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autoCompressPictures="0" defaultThemeVersion="124226"/>
  <bookViews>
    <workbookView xWindow="0" yWindow="15" windowWidth="12000" windowHeight="5085" tabRatio="544"/>
  </bookViews>
  <sheets>
    <sheet name="Assumptions" sheetId="80" r:id="rId1"/>
    <sheet name="Valuation" sheetId="99" r:id="rId2"/>
    <sheet name="Sensitivities" sheetId="100" r:id="rId3"/>
    <sheet name="Fin Statements" sheetId="20" r:id="rId4"/>
    <sheet name="Monthly FS" sheetId="1" r:id="rId5"/>
    <sheet name="1.Revenue" sheetId="16" r:id="rId6"/>
    <sheet name="2.Sales Costs" sheetId="29" r:id="rId7"/>
    <sheet name="3. Variable Costs" sheetId="60" r:id="rId8"/>
    <sheet name="4. OH Expenses" sheetId="18" r:id="rId9"/>
    <sheet name="5.Depreciation" sheetId="22" r:id="rId10"/>
    <sheet name="6. Finance Income" sheetId="58" r:id="rId11"/>
    <sheet name="7.Finance Costs" sheetId="24" r:id="rId12"/>
    <sheet name="8.Income Tax" sheetId="23" r:id="rId13"/>
    <sheet name="9.CAPEX" sheetId="13" r:id="rId14"/>
    <sheet name="Production" sheetId="44" r:id="rId15"/>
    <sheet name="WACC" sheetId="65" r:id="rId16"/>
    <sheet name="HR" sheetId="47" r:id="rId17"/>
    <sheet name="Elec" sheetId="98" r:id="rId18"/>
    <sheet name="Feed" sheetId="62" r:id="rId19"/>
    <sheet name="R&amp;M" sheetId="69" r:id="rId20"/>
    <sheet name="Input data" sheetId="77" r:id="rId21"/>
    <sheet name="Summary Bioplan" sheetId="72" r:id="rId22"/>
    <sheet name="Smolt Production" sheetId="74" r:id="rId23"/>
    <sheet name="Batch1 - S0 Smolts" sheetId="82" r:id="rId24"/>
    <sheet name="Batch2 - S0 Smolts" sheetId="75" r:id="rId25"/>
    <sheet name="Batch 3 - S1 Smolts" sheetId="76" r:id="rId26"/>
    <sheet name="Production calcs" sheetId="81" r:id="rId27"/>
    <sheet name="Production Plan" sheetId="83" r:id="rId28"/>
    <sheet name="Capex Summary Sheet" sheetId="84" r:id="rId29"/>
    <sheet name="1. Pre-development" sheetId="85" r:id="rId30"/>
    <sheet name="2. Land" sheetId="86" r:id="rId31"/>
    <sheet name="3. Infrastructure" sheetId="87" r:id="rId32"/>
    <sheet name="4. Buildings" sheetId="90" r:id="rId33"/>
    <sheet name="5. Services" sheetId="89" r:id="rId34"/>
    <sheet name="6. Aquaculture systems - Hatch" sheetId="91" r:id="rId35"/>
    <sheet name="7. Aquaculture systems - Cages" sheetId="92" r:id="rId36"/>
    <sheet name="8. Vehicles" sheetId="93" r:id="rId37"/>
    <sheet name="9. Transport and logistics" sheetId="94" r:id="rId38"/>
    <sheet name="10. Professional Fees" sheetId="95" r:id="rId39"/>
    <sheet name="11. Contingency" sheetId="96" r:id="rId40"/>
  </sheets>
  <externalReferences>
    <externalReference r:id="rId41"/>
    <externalReference r:id="rId42"/>
    <externalReference r:id="rId43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Annual_interest_rate" localSheetId="18">'[1]AX Interest'!$D$8</definedName>
    <definedName name="Annual_interest_rate" localSheetId="16">'[1]AX Interest'!$D$8</definedName>
    <definedName name="Annual_interest_rate" localSheetId="19">'[1]AX Interest'!$D$8</definedName>
    <definedName name="Annual_interest_rate" localSheetId="15">'[1]AX Interest'!$D$8</definedName>
    <definedName name="Annual_interest_rate">'[1]AX Interest'!$D$8</definedName>
    <definedName name="Beg.Bal" localSheetId="18">IF('[1]AX Interest'!XFC1&lt;&gt;"",'[1]AX Interest'!D1048576,"")</definedName>
    <definedName name="Beg.Bal" localSheetId="16">IF('[1]AX Interest'!XFC1&lt;&gt;"",'[1]AX Interest'!D1048576,"")</definedName>
    <definedName name="Beg.Bal" localSheetId="19">IF('[1]AX Interest'!XFC1&lt;&gt;"",'[1]AX Interest'!D1048576,"")</definedName>
    <definedName name="Beg.Bal" localSheetId="15">IF('[1]AX Interest'!XFC1&lt;&gt;"",'[1]AX Interest'!D1048576,"")</definedName>
    <definedName name="Beg.Bal">IF('[1]AX Interest'!XFC1&lt;&gt;"",'[1]AX Interest'!D1048576,"")</definedName>
    <definedName name="Calculated_payment" localSheetId="18">'[1]AX Interest'!$D$14</definedName>
    <definedName name="Calculated_payment" localSheetId="16">'[1]AX Interest'!$D$14</definedName>
    <definedName name="Calculated_payment" localSheetId="19">'[1]AX Interest'!$D$14</definedName>
    <definedName name="Calculated_payment" localSheetId="15">'[1]AX Interest'!$D$14</definedName>
    <definedName name="Calculated_payment">'[1]AX Interest'!$D$14</definedName>
    <definedName name="Cum.Interest" localSheetId="18">IF('[1]AX Interest'!XEY1&lt;&gt;"",'[1]AX Interest'!A1048576+'[1]AX Interest'!XFB1,"")</definedName>
    <definedName name="Cum.Interest" localSheetId="16">IF('[1]AX Interest'!XEY1&lt;&gt;"",'[1]AX Interest'!A1048576+'[1]AX Interest'!XFB1,"")</definedName>
    <definedName name="Cum.Interest" localSheetId="19">IF('[1]AX Interest'!XEY1&lt;&gt;"",'[1]AX Interest'!A1048576+'[1]AX Interest'!XFB1,"")</definedName>
    <definedName name="Cum.Interest" localSheetId="15">IF('[1]AX Interest'!XEY1&lt;&gt;"",'[1]AX Interest'!A1048576+'[1]AX Interest'!XFB1,"")</definedName>
    <definedName name="Cum.Interest">IF('[1]AX Interest'!XEY1&lt;&gt;"",'[1]AX Interest'!A1048576+'[1]AX Interest'!XFB1,"")</definedName>
    <definedName name="Ending.Balance" localSheetId="18">IF('[1]AX Interest'!XEZ1&lt;&gt;"",'[1]AX Interest'!XFB1-'[1]AX Interest'!XFD1,"")</definedName>
    <definedName name="Ending.Balance" localSheetId="16">IF('[1]AX Interest'!XEZ1&lt;&gt;"",'[1]AX Interest'!XFB1-'[1]AX Interest'!XFD1,"")</definedName>
    <definedName name="Ending.Balance" localSheetId="19">IF('[1]AX Interest'!XEZ1&lt;&gt;"",'[1]AX Interest'!XFB1-'[1]AX Interest'!XFD1,"")</definedName>
    <definedName name="Ending.Balance" localSheetId="15">IF('[1]AX Interest'!XEZ1&lt;&gt;"",'[1]AX Interest'!XFB1-'[1]AX Interest'!XFD1,"")</definedName>
    <definedName name="Ending.Balance">IF('[1]AX Interest'!XEZ1&lt;&gt;"",'[1]AX Interest'!XFB1-'[1]AX Interest'!XFD1,"")</definedName>
    <definedName name="Entered_payment" localSheetId="18">'[1]AX Interest'!$D$13</definedName>
    <definedName name="Entered_payment" localSheetId="16">'[1]AX Interest'!$D$13</definedName>
    <definedName name="Entered_payment" localSheetId="19">'[1]AX Interest'!$D$13</definedName>
    <definedName name="Entered_payment" localSheetId="15">'[1]AX Interest'!$D$13</definedName>
    <definedName name="Entered_payment">'[1]AX Interest'!$D$13</definedName>
    <definedName name="First_payment_due" localSheetId="18">'[1]AX Interest'!$D$11</definedName>
    <definedName name="First_payment_due" localSheetId="16">'[1]AX Interest'!$D$11</definedName>
    <definedName name="First_payment_due" localSheetId="19">'[1]AX Interest'!$D$11</definedName>
    <definedName name="First_payment_due" localSheetId="15">'[1]AX Interest'!$D$11</definedName>
    <definedName name="First_payment_due">'[1]AX Interest'!$D$11</definedName>
    <definedName name="First_payment_no" localSheetId="18">'[1]AX Interest'!$D$17</definedName>
    <definedName name="First_payment_no" localSheetId="16">'[1]AX Interest'!$D$17</definedName>
    <definedName name="First_payment_no" localSheetId="19">'[1]AX Interest'!$D$17</definedName>
    <definedName name="First_payment_no" localSheetId="15">'[1]AX Interest'!$D$17</definedName>
    <definedName name="First_payment_no">'[1]AX Interest'!$D$17</definedName>
    <definedName name="goodwill_intang_deductible">[2]Depr_Amort!$N$6</definedName>
    <definedName name="Interest" localSheetId="18">IF('[1]AX Interest'!XFB1&lt;&gt;"",'[1]AX Interest'!XFD1*Feed!Periodic_rate,"")</definedName>
    <definedName name="Interest" localSheetId="16">IF('[1]AX Interest'!XFB1&lt;&gt;"",'[1]AX Interest'!XFD1*HR!Periodic_rate,"")</definedName>
    <definedName name="Interest" localSheetId="14">IF('[1]AX Interest'!XFB1&lt;&gt;"",'[1]AX Interest'!XFD1*Production!Periodic_rate,"")</definedName>
    <definedName name="Interest" localSheetId="19">IF('[1]AX Interest'!XFB1&lt;&gt;"",'[1]AX Interest'!XFD1*'R&amp;M'!Periodic_rate,"")</definedName>
    <definedName name="Interest" localSheetId="21">IF('[1]AX Interest'!XFB1&lt;&gt;"",'[1]AX Interest'!XFD1*'Summary Bioplan'!Periodic_rate,"")</definedName>
    <definedName name="Interest" localSheetId="15">IF('[1]AX Interest'!XFB1&lt;&gt;"",'[1]AX Interest'!XFD1*WACC!Periodic_rate,"")</definedName>
    <definedName name="Interest">IF('[1]AX Interest'!XFB1&lt;&gt;"",'[1]AX Interest'!XFD1*Periodic_rate,"")</definedName>
    <definedName name="Loan_amount" localSheetId="18">'[1]AX Interest'!$D$7</definedName>
    <definedName name="Loan_amount" localSheetId="16">'[1]AX Interest'!$D$7</definedName>
    <definedName name="Loan_amount" localSheetId="19">'[1]AX Interest'!$D$7</definedName>
    <definedName name="Loan_amount" localSheetId="15">'[1]AX Interest'!$D$7</definedName>
    <definedName name="Loan_amount">'[1]AX Interest'!$D$7</definedName>
    <definedName name="Pal_Workbook_GUID" hidden="1">"TZXNL8ITJRXHGUPYKGZVAKMB"</definedName>
    <definedName name="payment.Num" localSheetId="18">IF(OR('[1]AX Interest'!A1048576="",'[1]AX Interest'!A1048576=Feed!Total_payments),"",'[1]AX Interest'!A1048576+1)</definedName>
    <definedName name="payment.Num" localSheetId="16">IF(OR('[1]AX Interest'!A1048576="",'[1]AX Interest'!A1048576=HR!Total_payments),"",'[1]AX Interest'!A1048576+1)</definedName>
    <definedName name="payment.Num" localSheetId="14">IF(OR('[1]AX Interest'!A1048576="",'[1]AX Interest'!A1048576=Production!Total_payments),"",'[1]AX Interest'!A1048576+1)</definedName>
    <definedName name="payment.Num" localSheetId="19">IF(OR('[1]AX Interest'!A1048576="",'[1]AX Interest'!A1048576='R&amp;M'!Total_payments),"",'[1]AX Interest'!A1048576+1)</definedName>
    <definedName name="payment.Num" localSheetId="21">IF(OR('[1]AX Interest'!A1048576="",'[1]AX Interest'!A1048576='Summary Bioplan'!Total_payments),"",'[1]AX Interest'!A1048576+1)</definedName>
    <definedName name="payment.Num" localSheetId="15">IF(OR('[1]AX Interest'!A1048576="",'[1]AX Interest'!A1048576=WACC!Total_payments),"",'[1]AX Interest'!A1048576+1)</definedName>
    <definedName name="payment.Num">IF(OR('[1]AX Interest'!A1048576="",'[1]AX Interest'!A1048576=Total_payments),"",'[1]AX Interest'!A1048576+1)</definedName>
    <definedName name="Payments_per_year" localSheetId="18">'[1]AX Interest'!$D$10</definedName>
    <definedName name="Payments_per_year" localSheetId="16">'[1]AX Interest'!$D$10</definedName>
    <definedName name="Payments_per_year" localSheetId="19">'[1]AX Interest'!$D$10</definedName>
    <definedName name="Payments_per_year" localSheetId="15">'[1]AX Interest'!$D$10</definedName>
    <definedName name="Payments_per_year">'[1]AX Interest'!$D$10</definedName>
    <definedName name="Periodic_rate" localSheetId="18">Feed!Annual_interest_rate/Feed!Payments_per_year</definedName>
    <definedName name="Periodic_rate" localSheetId="16">HR!Annual_interest_rate/HR!Payments_per_year</definedName>
    <definedName name="Periodic_rate" localSheetId="14">Annual_interest_rate/Payments_per_year</definedName>
    <definedName name="Periodic_rate" localSheetId="19">'R&amp;M'!Annual_interest_rate/'R&amp;M'!Payments_per_year</definedName>
    <definedName name="Periodic_rate" localSheetId="21">Annual_interest_rate/Payments_per_year</definedName>
    <definedName name="Periodic_rate" localSheetId="15">WACC!Annual_interest_rate/WACC!Payments_per_year</definedName>
    <definedName name="Periodic_rate">Annual_interest_rate/Payments_per_year</definedName>
    <definedName name="Pmt_to_use" localSheetId="18">'[1]AX Interest'!$D$16</definedName>
    <definedName name="Pmt_to_use" localSheetId="16">'[1]AX Interest'!$D$16</definedName>
    <definedName name="Pmt_to_use" localSheetId="19">'[1]AX Interest'!$D$16</definedName>
    <definedName name="Pmt_to_use" localSheetId="15">'[1]AX Interest'!$D$16</definedName>
    <definedName name="Pmt_to_use">'[1]AX Interest'!$D$16</definedName>
    <definedName name="Principal" localSheetId="18">IF('[1]AX Interest'!XFA1&lt;&gt;"",MIN('[1]AX Interest'!XFC1,Feed!Pmt_to_use-'[1]AX Interest'!XFD1),"")</definedName>
    <definedName name="Principal" localSheetId="16">IF('[1]AX Interest'!XFA1&lt;&gt;"",MIN('[1]AX Interest'!XFC1,HR!Pmt_to_use-'[1]AX Interest'!XFD1),"")</definedName>
    <definedName name="Principal" localSheetId="14">IF('[1]AX Interest'!XFA1&lt;&gt;"",MIN('[1]AX Interest'!XFC1,Pmt_to_use-'[1]AX Interest'!XFD1),"")</definedName>
    <definedName name="Principal" localSheetId="19">IF('[1]AX Interest'!XFA1&lt;&gt;"",MIN('[1]AX Interest'!XFC1,'R&amp;M'!Pmt_to_use-'[1]AX Interest'!XFD1),"")</definedName>
    <definedName name="Principal" localSheetId="21">IF('[1]AX Interest'!XFA1&lt;&gt;"",MIN('[1]AX Interest'!XFC1,Pmt_to_use-'[1]AX Interest'!XFD1),"")</definedName>
    <definedName name="Principal" localSheetId="15">IF('[1]AX Interest'!XFA1&lt;&gt;"",MIN('[1]AX Interest'!XFC1,WACC!Pmt_to_use-'[1]AX Interest'!XFD1),"")</definedName>
    <definedName name="Principal">IF('[1]AX Interest'!XFA1&lt;&gt;"",MIN('[1]AX Interest'!XFC1,Pmt_to_use-'[1]AX Interest'!XFD1),"")</definedName>
    <definedName name="_xlnm.Print_Area" localSheetId="8">'4. OH Expenses'!$A$1:$AA$31</definedName>
    <definedName name="_xlnm.Print_Area" localSheetId="9">'5.Depreciation'!$A$1:$P$77</definedName>
    <definedName name="_xlnm.Print_Area" localSheetId="12">'8.Income Tax'!$A$1:$L$43</definedName>
    <definedName name="_xlnm.Print_Area" localSheetId="13">'9.CAPEX'!$A$1:$AR$22</definedName>
    <definedName name="_xlnm.Print_Area" localSheetId="25">'Batch 3 - S1 Smolts'!$B$1:$T$112</definedName>
    <definedName name="_xlnm.Print_Area" localSheetId="24">'Batch2 - S0 Smolts'!$B$1:$T$112</definedName>
    <definedName name="_xlnm.Print_Area" localSheetId="18">Feed!$A$1:$I$21</definedName>
    <definedName name="_xlnm.Print_Area" localSheetId="3">'Fin Statements'!$B$1:$M$55</definedName>
    <definedName name="_xlnm.Print_Area" localSheetId="16">HR!#REF!</definedName>
    <definedName name="_xlnm.Print_Area" localSheetId="19">'R&amp;M'!$A$1:$T$9</definedName>
    <definedName name="_xlnm.Print_Area" localSheetId="22">'Smolt Production'!$B$1:$R$115</definedName>
    <definedName name="_xlnm.Print_Titles" localSheetId="25">'Batch 3 - S1 Smolts'!#REF!</definedName>
    <definedName name="_xlnm.Print_Titles" localSheetId="24">'Batch2 - S0 Smolts'!#REF!</definedName>
    <definedName name="_xlnm.Print_Titles" localSheetId="22">'Smolt Production'!#REF!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4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how.Date" localSheetId="18">IF('[1]AX Interest'!XFD1&lt;&gt;"",DATE(YEAR(Feed!First_payment_due),MONTH(Feed!First_payment_due)+('[1]AX Interest'!XFD1-1)*12/Feed!Payments_per_year,DAY(Feed!First_payment_due)),"")</definedName>
    <definedName name="Show.Date" localSheetId="16">IF('[1]AX Interest'!XFD1&lt;&gt;"",DATE(YEAR(HR!First_payment_due),MONTH(HR!First_payment_due)+('[1]AX Interest'!XFD1-1)*12/HR!Payments_per_year,DAY(HR!First_payment_due)),"")</definedName>
    <definedName name="Show.Date" localSheetId="14">IF('[1]AX Interest'!XFD1&lt;&gt;"",DATE(YEAR(First_payment_due),MONTH(First_payment_due)+('[1]AX Interest'!XFD1-1)*12/Payments_per_year,DAY(First_payment_due)),"")</definedName>
    <definedName name="Show.Date" localSheetId="19">IF('[1]AX Interest'!XFD1&lt;&gt;"",DATE(YEAR('R&amp;M'!First_payment_due),MONTH('R&amp;M'!First_payment_due)+('[1]AX Interest'!XFD1-1)*12/'R&amp;M'!Payments_per_year,DAY('R&amp;M'!First_payment_due)),"")</definedName>
    <definedName name="Show.Date" localSheetId="21">IF('[1]AX Interest'!XFD1&lt;&gt;"",DATE(YEAR(First_payment_due),MONTH(First_payment_due)+('[1]AX Interest'!XFD1-1)*12/Payments_per_year,DAY(First_payment_due)),"")</definedName>
    <definedName name="Show.Date" localSheetId="15">IF('[1]AX Interest'!XFD1&lt;&gt;"",DATE(YEAR(WACC!First_payment_due),MONTH(WACC!First_payment_due)+('[1]AX Interest'!XFD1-1)*12/WACC!Payments_per_year,DAY(WACC!First_payment_due)),"")</definedName>
    <definedName name="Show.Date">IF('[1]AX Interest'!XFD1&lt;&gt;"",DATE(YEAR(First_payment_due),MONTH(First_payment_due)+('[1]AX Interest'!XFD1-1)*12/Payments_per_year,DAY(First_payment_due)),"")</definedName>
    <definedName name="Table_beg_bal" localSheetId="18">'[1]AX Interest'!$H$16</definedName>
    <definedName name="Table_beg_bal" localSheetId="16">'[1]AX Interest'!$H$16</definedName>
    <definedName name="Table_beg_bal" localSheetId="19">'[1]AX Interest'!$H$16</definedName>
    <definedName name="Table_beg_bal" localSheetId="15">'[1]AX Interest'!$H$16</definedName>
    <definedName name="Table_beg_bal">'[1]AX Interest'!$H$16</definedName>
    <definedName name="Table_prior_interest" localSheetId="18">'[1]AX Interest'!$H$17</definedName>
    <definedName name="Table_prior_interest" localSheetId="16">'[1]AX Interest'!$H$17</definedName>
    <definedName name="Table_prior_interest" localSheetId="19">'[1]AX Interest'!$H$17</definedName>
    <definedName name="Table_prior_interest" localSheetId="15">'[1]AX Interest'!$H$17</definedName>
    <definedName name="Table_prior_interest">'[1]AX Interest'!$H$17</definedName>
    <definedName name="Term_in_years" localSheetId="18">'[1]AX Interest'!$D$9</definedName>
    <definedName name="Term_in_years" localSheetId="16">'[1]AX Interest'!$D$9</definedName>
    <definedName name="Term_in_years" localSheetId="19">'[1]AX Interest'!$D$9</definedName>
    <definedName name="Term_in_years" localSheetId="15">'[1]AX Interest'!$D$9</definedName>
    <definedName name="Term_in_years">'[1]AX Interest'!$D$9</definedName>
    <definedName name="Total_payments" localSheetId="18">Feed!Payments_per_year*Feed!Term_in_years</definedName>
    <definedName name="Total_payments" localSheetId="16">HR!Payments_per_year*HR!Term_in_years</definedName>
    <definedName name="Total_payments" localSheetId="14">Payments_per_year*Term_in_years</definedName>
    <definedName name="Total_payments" localSheetId="19">'R&amp;M'!Payments_per_year*'R&amp;M'!Term_in_years</definedName>
    <definedName name="Total_payments" localSheetId="21">Payments_per_year*Term_in_years</definedName>
    <definedName name="Total_payments" localSheetId="15">WACC!Payments_per_year*WACC!Term_in_years</definedName>
    <definedName name="Total_payments">Payments_per_year*Term_in_years</definedName>
  </definedNames>
  <calcPr calcId="162913"/>
</workbook>
</file>

<file path=xl/calcChain.xml><?xml version="1.0" encoding="utf-8"?>
<calcChain xmlns="http://schemas.openxmlformats.org/spreadsheetml/2006/main">
  <c r="AM32" i="60" l="1"/>
  <c r="AN32" i="60"/>
  <c r="AO32" i="60"/>
  <c r="AP32" i="60"/>
  <c r="AQ32" i="60"/>
  <c r="AR32" i="60"/>
  <c r="AS32" i="60"/>
  <c r="AT32" i="60"/>
  <c r="AU32" i="60"/>
  <c r="AV32" i="60"/>
  <c r="AW32" i="60"/>
  <c r="AX32" i="60"/>
  <c r="AY32" i="60"/>
  <c r="AZ32" i="60"/>
  <c r="BA32" i="60"/>
  <c r="BB32" i="60"/>
  <c r="BC32" i="60"/>
  <c r="BD32" i="60"/>
  <c r="BE32" i="60"/>
  <c r="BF32" i="60"/>
  <c r="BG32" i="60"/>
  <c r="BH32" i="60"/>
  <c r="BI32" i="60"/>
  <c r="BJ32" i="60"/>
  <c r="BK32" i="60"/>
  <c r="BL32" i="60"/>
  <c r="BM32" i="60"/>
  <c r="BN32" i="60"/>
  <c r="BO32" i="60"/>
  <c r="BP32" i="60"/>
  <c r="BQ32" i="60"/>
  <c r="BR32" i="60"/>
  <c r="BS32" i="60"/>
  <c r="BT32" i="60"/>
  <c r="BU32" i="60"/>
  <c r="BV32" i="60"/>
  <c r="BW32" i="60"/>
  <c r="BX32" i="60"/>
  <c r="BY32" i="60"/>
  <c r="BZ32" i="60"/>
  <c r="CA32" i="60"/>
  <c r="CB32" i="60"/>
  <c r="CC32" i="60"/>
  <c r="CD32" i="60"/>
  <c r="CE32" i="60"/>
  <c r="CF32" i="60"/>
  <c r="CG32" i="60"/>
  <c r="CH32" i="60"/>
  <c r="CI32" i="60"/>
  <c r="CJ32" i="60"/>
  <c r="CK32" i="60"/>
  <c r="CL32" i="60"/>
  <c r="CM32" i="60"/>
  <c r="CN32" i="60"/>
  <c r="CO32" i="60"/>
  <c r="CP32" i="60"/>
  <c r="CQ32" i="60"/>
  <c r="CR32" i="60"/>
  <c r="CS32" i="60"/>
  <c r="CT32" i="60"/>
  <c r="CU32" i="60"/>
  <c r="CV32" i="60"/>
  <c r="CW32" i="60"/>
  <c r="CX32" i="60"/>
  <c r="CY32" i="60"/>
  <c r="CZ32" i="60"/>
  <c r="DA32" i="60"/>
  <c r="DB32" i="60"/>
  <c r="DC32" i="60"/>
  <c r="DD32" i="60"/>
  <c r="DE32" i="60"/>
  <c r="DF32" i="60"/>
  <c r="DG32" i="60"/>
  <c r="DH32" i="60"/>
  <c r="DI32" i="60"/>
  <c r="DJ32" i="60"/>
  <c r="DK32" i="60"/>
  <c r="DL32" i="60"/>
  <c r="DM32" i="60"/>
  <c r="DN32" i="60"/>
  <c r="DO32" i="60"/>
  <c r="DP32" i="60"/>
  <c r="DQ32" i="60"/>
  <c r="DR32" i="60"/>
  <c r="DS32" i="60"/>
  <c r="AD32" i="60"/>
  <c r="AE32" i="60"/>
  <c r="AF32" i="60"/>
  <c r="AG32" i="60"/>
  <c r="AH32" i="60"/>
  <c r="AI32" i="60"/>
  <c r="AJ32" i="60"/>
  <c r="AK32" i="60"/>
  <c r="AL32" i="60"/>
  <c r="AC32" i="60"/>
  <c r="C60" i="80" l="1"/>
  <c r="E23" i="100" l="1"/>
  <c r="D16" i="89" l="1"/>
  <c r="D36" i="90"/>
  <c r="C34" i="80" l="1"/>
  <c r="C36" i="80" s="1"/>
  <c r="C38" i="80" s="1"/>
  <c r="C40" i="80" s="1"/>
  <c r="C42" i="80" s="1"/>
  <c r="C35" i="80"/>
  <c r="C37" i="80" s="1"/>
  <c r="C39" i="80" s="1"/>
  <c r="C41" i="80" s="1"/>
  <c r="C43" i="80" s="1"/>
  <c r="C26" i="100" l="1"/>
  <c r="E26" i="100" s="1"/>
  <c r="E40" i="100" s="1"/>
  <c r="C21" i="81"/>
  <c r="C148" i="72" s="1"/>
  <c r="E41" i="100" l="1"/>
  <c r="E42" i="100"/>
  <c r="F26" i="100"/>
  <c r="F40" i="100" s="1"/>
  <c r="G26" i="100"/>
  <c r="G40" i="100" s="1"/>
  <c r="F23" i="100"/>
  <c r="G23" i="100"/>
  <c r="G42" i="100" l="1"/>
  <c r="G41" i="100"/>
  <c r="F41" i="100"/>
  <c r="F42" i="100"/>
  <c r="Q23" i="100" l="1"/>
  <c r="R23" i="100"/>
  <c r="P23" i="100"/>
  <c r="N23" i="100"/>
  <c r="O23" i="100"/>
  <c r="C40" i="100"/>
  <c r="C80" i="100"/>
  <c r="M23" i="100"/>
  <c r="L23" i="100"/>
  <c r="K23" i="100"/>
  <c r="J23" i="100"/>
  <c r="I23" i="100"/>
  <c r="H23" i="100"/>
  <c r="O26" i="100" l="1"/>
  <c r="O40" i="100" s="1"/>
  <c r="Q26" i="100"/>
  <c r="Q40" i="100" s="1"/>
  <c r="Q41" i="100" s="1"/>
  <c r="N26" i="100"/>
  <c r="N40" i="100" s="1"/>
  <c r="P26" i="100"/>
  <c r="P40" i="100" s="1"/>
  <c r="R26" i="100"/>
  <c r="R40" i="100" s="1"/>
  <c r="K26" i="100"/>
  <c r="K40" i="100" s="1"/>
  <c r="K42" i="100" s="1"/>
  <c r="J26" i="100"/>
  <c r="J40" i="100" s="1"/>
  <c r="J41" i="100" s="1"/>
  <c r="D26" i="100"/>
  <c r="H26" i="100"/>
  <c r="H40" i="100" s="1"/>
  <c r="H41" i="100" s="1"/>
  <c r="L26" i="100"/>
  <c r="L40" i="100" s="1"/>
  <c r="I26" i="100"/>
  <c r="I40" i="100" s="1"/>
  <c r="I42" i="100" s="1"/>
  <c r="M26" i="100"/>
  <c r="M40" i="100" s="1"/>
  <c r="J42" i="100" l="1"/>
  <c r="Q42" i="100"/>
  <c r="O41" i="100"/>
  <c r="O42" i="100"/>
  <c r="P42" i="100"/>
  <c r="P41" i="100"/>
  <c r="N41" i="100"/>
  <c r="N42" i="100"/>
  <c r="K41" i="100"/>
  <c r="R42" i="100"/>
  <c r="R41" i="100"/>
  <c r="H42" i="100"/>
  <c r="L41" i="100"/>
  <c r="L42" i="100"/>
  <c r="I41" i="100"/>
  <c r="M42" i="100"/>
  <c r="M41" i="100"/>
  <c r="F7" i="62" l="1"/>
  <c r="F8" i="62"/>
  <c r="F9" i="62"/>
  <c r="F10" i="62"/>
  <c r="F11" i="62"/>
  <c r="F12" i="62"/>
  <c r="F13" i="62"/>
  <c r="F14" i="62"/>
  <c r="F15" i="62"/>
  <c r="W26" i="22" l="1"/>
  <c r="W25" i="22"/>
  <c r="W24" i="22"/>
  <c r="V24" i="22"/>
  <c r="W23" i="22"/>
  <c r="V23" i="22"/>
  <c r="W22" i="22"/>
  <c r="V22" i="22"/>
  <c r="W21" i="22"/>
  <c r="V21" i="22"/>
  <c r="E32" i="80"/>
  <c r="S19" i="77" l="1"/>
  <c r="S20" i="77" s="1"/>
  <c r="S21" i="77" s="1"/>
  <c r="S22" i="77" s="1"/>
  <c r="S23" i="77" s="1"/>
  <c r="S24" i="77" s="1"/>
  <c r="S25" i="77" s="1"/>
  <c r="S26" i="77" s="1"/>
  <c r="S27" i="77" s="1"/>
  <c r="S28" i="77" s="1"/>
  <c r="S29" i="77" s="1"/>
  <c r="S30" i="77" s="1"/>
  <c r="S31" i="77" s="1"/>
  <c r="S32" i="77" s="1"/>
  <c r="S33" i="77" s="1"/>
  <c r="S34" i="77" s="1"/>
  <c r="S35" i="77" s="1"/>
  <c r="S36" i="77" s="1"/>
  <c r="S37" i="77" s="1"/>
  <c r="S38" i="77" s="1"/>
  <c r="S39" i="77" s="1"/>
  <c r="S40" i="77" s="1"/>
  <c r="S41" i="77" s="1"/>
  <c r="S42" i="77" s="1"/>
  <c r="S43" i="77" s="1"/>
  <c r="S44" i="77" s="1"/>
  <c r="S45" i="77" s="1"/>
  <c r="S46" i="77" s="1"/>
  <c r="S47" i="77" s="1"/>
  <c r="S48" i="77" s="1"/>
  <c r="S49" i="77" s="1"/>
  <c r="S50" i="77" s="1"/>
  <c r="S51" i="77" s="1"/>
  <c r="S52" i="77" s="1"/>
  <c r="S53" i="77" s="1"/>
  <c r="S54" i="77" s="1"/>
  <c r="S55" i="77" s="1"/>
  <c r="S56" i="77" s="1"/>
  <c r="S57" i="77" s="1"/>
  <c r="S58" i="77" s="1"/>
  <c r="S59" i="77" s="1"/>
  <c r="W23" i="77"/>
  <c r="W24" i="77" s="1"/>
  <c r="W25" i="77" s="1"/>
  <c r="W26" i="77" s="1"/>
  <c r="W27" i="77" s="1"/>
  <c r="W28" i="77" s="1"/>
  <c r="W29" i="77" s="1"/>
  <c r="W30" i="77" s="1"/>
  <c r="W31" i="77" s="1"/>
  <c r="W32" i="77" s="1"/>
  <c r="W33" i="77" s="1"/>
  <c r="W34" i="77" s="1"/>
  <c r="W35" i="77" s="1"/>
  <c r="W36" i="77" s="1"/>
  <c r="W37" i="77" s="1"/>
  <c r="W38" i="77" s="1"/>
  <c r="W39" i="77" s="1"/>
  <c r="W40" i="77" s="1"/>
  <c r="W41" i="77" s="1"/>
  <c r="W42" i="77" s="1"/>
  <c r="W43" i="77" s="1"/>
  <c r="W44" i="77" s="1"/>
  <c r="W45" i="77" s="1"/>
  <c r="W46" i="77" s="1"/>
  <c r="W47" i="77" s="1"/>
  <c r="W48" i="77" s="1"/>
  <c r="W49" i="77" s="1"/>
  <c r="W50" i="77" s="1"/>
  <c r="W51" i="77" s="1"/>
  <c r="W52" i="77" s="1"/>
  <c r="W53" i="77" s="1"/>
  <c r="W54" i="77" s="1"/>
  <c r="W55" i="77" s="1"/>
  <c r="W56" i="77" s="1"/>
  <c r="W57" i="77" s="1"/>
  <c r="S16" i="77"/>
  <c r="S15" i="77"/>
  <c r="S14" i="77"/>
  <c r="W13" i="77"/>
  <c r="W14" i="77" s="1"/>
  <c r="W15" i="77" s="1"/>
  <c r="W16" i="77" s="1"/>
  <c r="W19" i="77" s="1"/>
  <c r="W20" i="77" s="1"/>
  <c r="S13" i="77"/>
  <c r="S12" i="77"/>
  <c r="S11" i="77"/>
  <c r="S10" i="77"/>
  <c r="S9" i="77"/>
  <c r="S8" i="77"/>
  <c r="S7" i="77"/>
  <c r="W6" i="77"/>
  <c r="W7" i="77" s="1"/>
  <c r="W8" i="77" s="1"/>
  <c r="W9" i="77" s="1"/>
  <c r="W10" i="77" s="1"/>
  <c r="W11" i="77" s="1"/>
  <c r="S6" i="77"/>
  <c r="S5" i="77"/>
  <c r="AB71" i="76"/>
  <c r="AC71" i="76"/>
  <c r="D25" i="47"/>
  <c r="F9" i="93"/>
  <c r="F8" i="93"/>
  <c r="F6" i="93"/>
  <c r="E29" i="47"/>
  <c r="C13" i="60"/>
  <c r="W21" i="77" l="1"/>
  <c r="F6" i="98" l="1"/>
  <c r="F15" i="98"/>
  <c r="F14" i="98"/>
  <c r="F6" i="84" l="1"/>
  <c r="C10" i="13" s="1"/>
  <c r="AD4" i="77"/>
  <c r="R4" i="74" s="1"/>
  <c r="R6" i="74"/>
  <c r="R8" i="74"/>
  <c r="R7" i="74"/>
  <c r="F58" i="91"/>
  <c r="F59" i="91"/>
  <c r="F13" i="91"/>
  <c r="F8" i="98"/>
  <c r="F10" i="13" l="1"/>
  <c r="E10" i="13"/>
  <c r="F57" i="91"/>
  <c r="F55" i="91"/>
  <c r="F54" i="91"/>
  <c r="G44" i="98"/>
  <c r="G43" i="98"/>
  <c r="G42" i="98"/>
  <c r="G41" i="98"/>
  <c r="G40" i="98"/>
  <c r="G39" i="98"/>
  <c r="G35" i="98"/>
  <c r="G34" i="98"/>
  <c r="G33" i="98"/>
  <c r="G32" i="98"/>
  <c r="G31" i="98"/>
  <c r="G30" i="98"/>
  <c r="F20" i="98"/>
  <c r="F19" i="98"/>
  <c r="F18" i="98"/>
  <c r="F17" i="98"/>
  <c r="F16" i="98"/>
  <c r="F13" i="98"/>
  <c r="F12" i="98"/>
  <c r="F11" i="98"/>
  <c r="F10" i="98"/>
  <c r="F9" i="98"/>
  <c r="F7" i="98"/>
  <c r="F5" i="98"/>
  <c r="H5" i="98" s="1"/>
  <c r="J4" i="98"/>
  <c r="J8" i="98" s="1"/>
  <c r="F12" i="93"/>
  <c r="E8" i="16"/>
  <c r="F8" i="16"/>
  <c r="G8" i="16"/>
  <c r="H8" i="16"/>
  <c r="I8" i="16"/>
  <c r="J8" i="16"/>
  <c r="K8" i="16"/>
  <c r="L8" i="16"/>
  <c r="M8" i="16"/>
  <c r="N8" i="16"/>
  <c r="O8" i="16"/>
  <c r="P8" i="16"/>
  <c r="Q8" i="16"/>
  <c r="R8" i="16"/>
  <c r="S8" i="16"/>
  <c r="T8" i="16"/>
  <c r="U8" i="16"/>
  <c r="V8" i="16"/>
  <c r="W8" i="16"/>
  <c r="X8" i="16"/>
  <c r="Y8" i="16"/>
  <c r="Z8" i="16"/>
  <c r="AA8" i="16"/>
  <c r="AB8" i="16"/>
  <c r="AC8" i="16"/>
  <c r="AD8" i="16"/>
  <c r="AE8" i="16"/>
  <c r="AF8" i="16"/>
  <c r="AG8" i="16"/>
  <c r="AH8" i="16"/>
  <c r="AI8" i="16"/>
  <c r="AJ8" i="16"/>
  <c r="AK8" i="16"/>
  <c r="AL8" i="16"/>
  <c r="AM8" i="16"/>
  <c r="AK47" i="72"/>
  <c r="AL47" i="72"/>
  <c r="AM47" i="72"/>
  <c r="J9" i="98" l="1"/>
  <c r="J13" i="98"/>
  <c r="J14" i="98"/>
  <c r="J6" i="98"/>
  <c r="J15" i="98"/>
  <c r="J10" i="98"/>
  <c r="J16" i="98"/>
  <c r="J11" i="98"/>
  <c r="J17" i="98"/>
  <c r="J7" i="98"/>
  <c r="J12" i="98"/>
  <c r="J5" i="98"/>
  <c r="H12" i="98"/>
  <c r="H17" i="98"/>
  <c r="L4" i="98"/>
  <c r="H22" i="98" l="1"/>
  <c r="L19" i="98"/>
  <c r="L15" i="98"/>
  <c r="L14" i="98"/>
  <c r="L6" i="98"/>
  <c r="L8" i="98"/>
  <c r="L12" i="98"/>
  <c r="L11" i="98"/>
  <c r="L10" i="98"/>
  <c r="L16" i="98"/>
  <c r="L5" i="98"/>
  <c r="L7" i="98"/>
  <c r="L17" i="98"/>
  <c r="S41" i="60"/>
  <c r="W41" i="60"/>
  <c r="AA41" i="60"/>
  <c r="Y41" i="60"/>
  <c r="T41" i="60"/>
  <c r="X41" i="60"/>
  <c r="R41" i="60"/>
  <c r="Z41" i="60"/>
  <c r="U41" i="60"/>
  <c r="V41" i="60"/>
  <c r="L13" i="98"/>
  <c r="L9" i="98"/>
  <c r="J22" i="98"/>
  <c r="L18" i="98"/>
  <c r="N4" i="98"/>
  <c r="L20" i="98"/>
  <c r="AC41" i="60" l="1"/>
  <c r="AG41" i="60"/>
  <c r="AK41" i="60"/>
  <c r="AI41" i="60"/>
  <c r="AB41" i="60"/>
  <c r="AD41" i="60"/>
  <c r="AH41" i="60"/>
  <c r="AL41" i="60"/>
  <c r="AE41" i="60"/>
  <c r="AF41" i="60"/>
  <c r="AM41" i="60"/>
  <c r="AJ41" i="60"/>
  <c r="N14" i="98"/>
  <c r="N15" i="98"/>
  <c r="N6" i="98"/>
  <c r="N8" i="98"/>
  <c r="N13" i="98"/>
  <c r="N11" i="98"/>
  <c r="N7" i="98"/>
  <c r="N12" i="98"/>
  <c r="N10" i="98"/>
  <c r="N9" i="98"/>
  <c r="L22" i="98"/>
  <c r="N16" i="98"/>
  <c r="N18" i="98"/>
  <c r="P4" i="98"/>
  <c r="N19" i="98"/>
  <c r="N20" i="98"/>
  <c r="N5" i="98"/>
  <c r="N17" i="98"/>
  <c r="AO41" i="60" l="1"/>
  <c r="AS41" i="60"/>
  <c r="AW41" i="60"/>
  <c r="AN41" i="60"/>
  <c r="AP41" i="60"/>
  <c r="AT41" i="60"/>
  <c r="AX41" i="60"/>
  <c r="AR41" i="60"/>
  <c r="AQ41" i="60"/>
  <c r="AU41" i="60"/>
  <c r="AY41" i="60"/>
  <c r="AV41" i="60"/>
  <c r="P6" i="98"/>
  <c r="P15" i="98"/>
  <c r="P14" i="98"/>
  <c r="P8" i="98"/>
  <c r="P9" i="98"/>
  <c r="P13" i="98"/>
  <c r="P11" i="98"/>
  <c r="P18" i="98"/>
  <c r="P16" i="98"/>
  <c r="P17" i="98"/>
  <c r="P12" i="98"/>
  <c r="P19" i="98"/>
  <c r="P10" i="98"/>
  <c r="P7" i="98"/>
  <c r="AS10" i="60"/>
  <c r="AW10" i="60"/>
  <c r="AP10" i="60"/>
  <c r="AT10" i="60"/>
  <c r="AX10" i="60"/>
  <c r="AQ10" i="60"/>
  <c r="AU10" i="60"/>
  <c r="AY10" i="60"/>
  <c r="AR10" i="60"/>
  <c r="AV10" i="60"/>
  <c r="AO10" i="60"/>
  <c r="N22" i="98"/>
  <c r="R4" i="98"/>
  <c r="P20" i="98"/>
  <c r="P5" i="98"/>
  <c r="R6" i="98" l="1"/>
  <c r="R15" i="98"/>
  <c r="R14" i="98"/>
  <c r="R8" i="98"/>
  <c r="R9" i="98"/>
  <c r="R19" i="98"/>
  <c r="R18" i="98"/>
  <c r="R13" i="98"/>
  <c r="R20" i="98"/>
  <c r="R11" i="98"/>
  <c r="R17" i="98"/>
  <c r="R7" i="98"/>
  <c r="R10" i="98"/>
  <c r="R16" i="98"/>
  <c r="R12" i="98"/>
  <c r="BA41" i="60"/>
  <c r="BE41" i="60"/>
  <c r="BI41" i="60"/>
  <c r="BH41" i="60"/>
  <c r="BB41" i="60"/>
  <c r="BF41" i="60"/>
  <c r="BJ41" i="60"/>
  <c r="BC41" i="60"/>
  <c r="BG41" i="60"/>
  <c r="BK41" i="60"/>
  <c r="BD41" i="60"/>
  <c r="AZ41" i="60"/>
  <c r="BD10" i="60"/>
  <c r="BH10" i="60"/>
  <c r="AZ10" i="60"/>
  <c r="BA10" i="60"/>
  <c r="BE10" i="60"/>
  <c r="BI10" i="60"/>
  <c r="BB10" i="60"/>
  <c r="BF10" i="60"/>
  <c r="BJ10" i="60"/>
  <c r="BC10" i="60"/>
  <c r="BG10" i="60"/>
  <c r="BK10" i="60"/>
  <c r="P22" i="98"/>
  <c r="T4" i="98"/>
  <c r="R5" i="98"/>
  <c r="BN10" i="60" l="1"/>
  <c r="BS10" i="60"/>
  <c r="BQ10" i="60"/>
  <c r="BR10" i="60"/>
  <c r="BU10" i="60"/>
  <c r="BV10" i="60"/>
  <c r="BP10" i="60"/>
  <c r="BM10" i="60"/>
  <c r="BL10" i="60"/>
  <c r="BO10" i="60"/>
  <c r="BT10" i="60"/>
  <c r="BW10" i="60"/>
  <c r="T6" i="98"/>
  <c r="T15" i="98"/>
  <c r="T14" i="98"/>
  <c r="T8" i="98"/>
  <c r="T16" i="98"/>
  <c r="T9" i="98"/>
  <c r="T10" i="98"/>
  <c r="T11" i="98"/>
  <c r="T7" i="98"/>
  <c r="T19" i="98"/>
  <c r="T13" i="98"/>
  <c r="T17" i="98"/>
  <c r="T18" i="98"/>
  <c r="T12" i="98"/>
  <c r="T20" i="98"/>
  <c r="BM41" i="60"/>
  <c r="BQ41" i="60"/>
  <c r="BU41" i="60"/>
  <c r="BL41" i="60"/>
  <c r="BN41" i="60"/>
  <c r="BR41" i="60"/>
  <c r="BV41" i="60"/>
  <c r="BP41" i="60"/>
  <c r="BO41" i="60"/>
  <c r="BS41" i="60"/>
  <c r="BW41" i="60"/>
  <c r="BT41" i="60"/>
  <c r="V4" i="98"/>
  <c r="T5" i="98"/>
  <c r="R22" i="98"/>
  <c r="V14" i="98" l="1"/>
  <c r="V6" i="98"/>
  <c r="V15" i="98"/>
  <c r="V8" i="98"/>
  <c r="V10" i="98"/>
  <c r="V9" i="98"/>
  <c r="V19" i="98"/>
  <c r="V18" i="98"/>
  <c r="V13" i="98"/>
  <c r="V11" i="98"/>
  <c r="V17" i="98"/>
  <c r="V7" i="98"/>
  <c r="V20" i="98"/>
  <c r="V16" i="98"/>
  <c r="V12" i="98"/>
  <c r="BZ10" i="60"/>
  <c r="BY10" i="60"/>
  <c r="CI10" i="60"/>
  <c r="CC10" i="60"/>
  <c r="CE10" i="60"/>
  <c r="CG10" i="60"/>
  <c r="CA10" i="60"/>
  <c r="BX10" i="60"/>
  <c r="CH10" i="60"/>
  <c r="CF10" i="60"/>
  <c r="CD10" i="60"/>
  <c r="CB10" i="60"/>
  <c r="BY41" i="60"/>
  <c r="CC41" i="60"/>
  <c r="CG41" i="60"/>
  <c r="CB41" i="60"/>
  <c r="BX41" i="60"/>
  <c r="BZ41" i="60"/>
  <c r="CD41" i="60"/>
  <c r="CH41" i="60"/>
  <c r="CA41" i="60"/>
  <c r="CE41" i="60"/>
  <c r="CI41" i="60"/>
  <c r="CF41" i="60"/>
  <c r="T22" i="98"/>
  <c r="X4" i="98"/>
  <c r="V5" i="98"/>
  <c r="X14" i="98" l="1"/>
  <c r="X6" i="98"/>
  <c r="X15" i="98"/>
  <c r="X8" i="98"/>
  <c r="X13" i="98"/>
  <c r="X16" i="98"/>
  <c r="X17" i="98"/>
  <c r="X12" i="98"/>
  <c r="X10" i="98"/>
  <c r="X11" i="98"/>
  <c r="X9" i="98"/>
  <c r="X19" i="98"/>
  <c r="X7" i="98"/>
  <c r="X20" i="98"/>
  <c r="X18" i="98"/>
  <c r="CN10" i="60"/>
  <c r="CT10" i="60"/>
  <c r="CO10" i="60"/>
  <c r="CU10" i="60"/>
  <c r="CP10" i="60"/>
  <c r="CJ10" i="60"/>
  <c r="CQ10" i="60"/>
  <c r="CL10" i="60"/>
  <c r="CR10" i="60"/>
  <c r="CM10" i="60"/>
  <c r="CS10" i="60"/>
  <c r="CK10" i="60"/>
  <c r="CK41" i="60"/>
  <c r="CO41" i="60"/>
  <c r="CS41" i="60"/>
  <c r="CN41" i="60"/>
  <c r="CR41" i="60"/>
  <c r="CL41" i="60"/>
  <c r="CP41" i="60"/>
  <c r="CT41" i="60"/>
  <c r="CM41" i="60"/>
  <c r="CQ41" i="60"/>
  <c r="CU41" i="60"/>
  <c r="CJ41" i="60"/>
  <c r="V22" i="98"/>
  <c r="X5" i="98"/>
  <c r="Z4" i="98"/>
  <c r="CW10" i="60" l="1"/>
  <c r="CV10" i="60"/>
  <c r="CY10" i="60"/>
  <c r="CX10" i="60"/>
  <c r="DD10" i="60"/>
  <c r="DC10" i="60"/>
  <c r="DE10" i="60"/>
  <c r="CZ10" i="60"/>
  <c r="DF10" i="60"/>
  <c r="DA10" i="60"/>
  <c r="DG10" i="60"/>
  <c r="DB10" i="60"/>
  <c r="Z15" i="98"/>
  <c r="Z14" i="98"/>
  <c r="Z6" i="98"/>
  <c r="Z8" i="98"/>
  <c r="Z7" i="98"/>
  <c r="Z10" i="98"/>
  <c r="Z16" i="98"/>
  <c r="Z12" i="98"/>
  <c r="Z18" i="98"/>
  <c r="Z9" i="98"/>
  <c r="Z19" i="98"/>
  <c r="Z20" i="98"/>
  <c r="Z13" i="98"/>
  <c r="Z11" i="98"/>
  <c r="Z17" i="98"/>
  <c r="CW41" i="60"/>
  <c r="DA41" i="60"/>
  <c r="DE41" i="60"/>
  <c r="DD41" i="60"/>
  <c r="CX41" i="60"/>
  <c r="DB41" i="60"/>
  <c r="DF41" i="60"/>
  <c r="CY41" i="60"/>
  <c r="DC41" i="60"/>
  <c r="DG41" i="60"/>
  <c r="CZ41" i="60"/>
  <c r="CV41" i="60"/>
  <c r="X22" i="98"/>
  <c r="Z5" i="98"/>
  <c r="DI10" i="60" l="1"/>
  <c r="DI41" i="60"/>
  <c r="DM41" i="60"/>
  <c r="DQ41" i="60"/>
  <c r="DL41" i="60"/>
  <c r="DH41" i="60"/>
  <c r="DJ41" i="60"/>
  <c r="DN41" i="60"/>
  <c r="DR41" i="60"/>
  <c r="DK41" i="60"/>
  <c r="DO41" i="60"/>
  <c r="DS41" i="60"/>
  <c r="DP41" i="60"/>
  <c r="DH10" i="60"/>
  <c r="DO10" i="60"/>
  <c r="DJ10" i="60"/>
  <c r="DP10" i="60"/>
  <c r="DK10" i="60"/>
  <c r="DQ10" i="60"/>
  <c r="DL10" i="60"/>
  <c r="DR10" i="60"/>
  <c r="DM10" i="60"/>
  <c r="DS10" i="60"/>
  <c r="DN10" i="60"/>
  <c r="Z22" i="98"/>
  <c r="F16" i="92" l="1"/>
  <c r="F15" i="92"/>
  <c r="F14" i="92"/>
  <c r="F13" i="92"/>
  <c r="F10" i="92"/>
  <c r="F8" i="92"/>
  <c r="D45" i="91" l="1"/>
  <c r="F45" i="91" s="1"/>
  <c r="F52" i="91"/>
  <c r="F51" i="91"/>
  <c r="F50" i="91"/>
  <c r="F49" i="91"/>
  <c r="F48" i="91"/>
  <c r="F47" i="91"/>
  <c r="F46" i="91"/>
  <c r="F44" i="91"/>
  <c r="F42" i="91"/>
  <c r="F41" i="91"/>
  <c r="F40" i="91"/>
  <c r="F36" i="91"/>
  <c r="F27" i="91"/>
  <c r="F26" i="91"/>
  <c r="F25" i="91"/>
  <c r="F23" i="91"/>
  <c r="F15" i="91"/>
  <c r="F11" i="91"/>
  <c r="F10" i="91"/>
  <c r="F9" i="91"/>
  <c r="F6" i="96" l="1"/>
  <c r="F16" i="95"/>
  <c r="F10" i="95"/>
  <c r="F7" i="94"/>
  <c r="F6" i="94"/>
  <c r="F5" i="94"/>
  <c r="F11" i="93"/>
  <c r="F10" i="93"/>
  <c r="F7" i="93"/>
  <c r="F5" i="93"/>
  <c r="F4" i="93"/>
  <c r="F49" i="89"/>
  <c r="F48" i="89"/>
  <c r="F47" i="89"/>
  <c r="F46" i="89"/>
  <c r="F45" i="89"/>
  <c r="F44" i="89"/>
  <c r="F43" i="89"/>
  <c r="F42" i="89"/>
  <c r="F39" i="89"/>
  <c r="F36" i="89"/>
  <c r="F35" i="89"/>
  <c r="F34" i="89"/>
  <c r="F33" i="89"/>
  <c r="D30" i="89"/>
  <c r="F30" i="89" s="1"/>
  <c r="F29" i="89"/>
  <c r="F28" i="89"/>
  <c r="F27" i="89"/>
  <c r="F26" i="89"/>
  <c r="F25" i="89"/>
  <c r="F24" i="89"/>
  <c r="F23" i="89"/>
  <c r="F20" i="89"/>
  <c r="F19" i="89"/>
  <c r="F18" i="89"/>
  <c r="F17" i="89"/>
  <c r="F16" i="89"/>
  <c r="F15" i="89"/>
  <c r="F14" i="89"/>
  <c r="F11" i="89"/>
  <c r="F10" i="89"/>
  <c r="F9" i="89"/>
  <c r="F8" i="89"/>
  <c r="F7" i="89"/>
  <c r="F6" i="89"/>
  <c r="F5" i="89"/>
  <c r="F84" i="90"/>
  <c r="F83" i="90"/>
  <c r="F82" i="90"/>
  <c r="F81" i="90"/>
  <c r="F80" i="90"/>
  <c r="F79" i="90"/>
  <c r="F78" i="90"/>
  <c r="F75" i="90"/>
  <c r="F72" i="90"/>
  <c r="F71" i="90"/>
  <c r="F70" i="90"/>
  <c r="F69" i="90"/>
  <c r="F68" i="90"/>
  <c r="F67" i="90"/>
  <c r="F64" i="90"/>
  <c r="F63" i="90"/>
  <c r="F60" i="90"/>
  <c r="F59" i="90"/>
  <c r="F58" i="90"/>
  <c r="F57" i="90"/>
  <c r="F56" i="90"/>
  <c r="F55" i="90"/>
  <c r="F54" i="90"/>
  <c r="F53" i="90"/>
  <c r="F52" i="90"/>
  <c r="F51" i="90"/>
  <c r="F50" i="90"/>
  <c r="F49" i="90"/>
  <c r="F48" i="90"/>
  <c r="F47" i="90"/>
  <c r="F46" i="90"/>
  <c r="F45" i="90"/>
  <c r="F44" i="90"/>
  <c r="F43" i="90"/>
  <c r="F42" i="90"/>
  <c r="F41" i="90"/>
  <c r="F40" i="90"/>
  <c r="F39" i="90"/>
  <c r="F38" i="90"/>
  <c r="F37" i="90"/>
  <c r="F36" i="90"/>
  <c r="F35" i="90"/>
  <c r="F34" i="90"/>
  <c r="F33" i="90"/>
  <c r="F32" i="90"/>
  <c r="F31" i="90"/>
  <c r="F30" i="90"/>
  <c r="F29" i="90"/>
  <c r="F28" i="90"/>
  <c r="F27" i="90"/>
  <c r="F26" i="90"/>
  <c r="F25" i="90"/>
  <c r="F24" i="90"/>
  <c r="F21" i="90"/>
  <c r="F20" i="90"/>
  <c r="F19" i="90"/>
  <c r="F18" i="90"/>
  <c r="F17" i="90"/>
  <c r="F16" i="90"/>
  <c r="F15" i="90"/>
  <c r="F14" i="90"/>
  <c r="D13" i="90"/>
  <c r="F13" i="90" s="1"/>
  <c r="F12" i="90"/>
  <c r="F11" i="90"/>
  <c r="D10" i="90"/>
  <c r="F10" i="90" s="1"/>
  <c r="D9" i="90"/>
  <c r="F9" i="90" s="1"/>
  <c r="D8" i="90"/>
  <c r="F8" i="90" s="1"/>
  <c r="D7" i="90"/>
  <c r="F7" i="90" s="1"/>
  <c r="D6" i="90"/>
  <c r="F6" i="90" s="1"/>
  <c r="F5" i="90"/>
  <c r="F47" i="87"/>
  <c r="F46" i="87"/>
  <c r="F45" i="87"/>
  <c r="F42" i="87"/>
  <c r="F41" i="87"/>
  <c r="F40" i="87"/>
  <c r="F39" i="87"/>
  <c r="F38" i="87"/>
  <c r="F37" i="87"/>
  <c r="F36" i="87"/>
  <c r="F35" i="87"/>
  <c r="F32" i="87"/>
  <c r="F31" i="87"/>
  <c r="F30" i="87"/>
  <c r="F27" i="87"/>
  <c r="F26" i="87"/>
  <c r="F23" i="87"/>
  <c r="F22" i="87"/>
  <c r="F21" i="87"/>
  <c r="F20" i="87"/>
  <c r="F19" i="87"/>
  <c r="F18" i="87"/>
  <c r="F17" i="87"/>
  <c r="F14" i="87"/>
  <c r="F13" i="87"/>
  <c r="F10" i="87"/>
  <c r="F7" i="87"/>
  <c r="F6" i="87"/>
  <c r="F5" i="87"/>
  <c r="F14" i="86"/>
  <c r="F11" i="86"/>
  <c r="F8" i="86"/>
  <c r="F5" i="86"/>
  <c r="F9" i="85"/>
  <c r="F9" i="94" l="1"/>
  <c r="F13" i="84" s="1"/>
  <c r="C17" i="13" s="1"/>
  <c r="F50" i="87"/>
  <c r="F7" i="84" s="1"/>
  <c r="C11" i="13" s="1"/>
  <c r="T21" i="22" s="1"/>
  <c r="F52" i="89"/>
  <c r="F9" i="84" s="1"/>
  <c r="C13" i="13" s="1"/>
  <c r="F14" i="93"/>
  <c r="F12" i="84" s="1"/>
  <c r="C16" i="13" s="1"/>
  <c r="I11" i="13"/>
  <c r="H11" i="13"/>
  <c r="L17" i="13"/>
  <c r="AB17" i="13"/>
  <c r="G17" i="13"/>
  <c r="I17" i="13"/>
  <c r="Y17" i="13"/>
  <c r="E17" i="13"/>
  <c r="F17" i="13"/>
  <c r="V17" i="13"/>
  <c r="AL17" i="13"/>
  <c r="P17" i="13"/>
  <c r="AF17" i="13"/>
  <c r="S17" i="13"/>
  <c r="M17" i="13"/>
  <c r="AC17" i="13"/>
  <c r="O17" i="13"/>
  <c r="J17" i="13"/>
  <c r="Z17" i="13"/>
  <c r="K17" i="13"/>
  <c r="T17" i="13"/>
  <c r="AJ17" i="13"/>
  <c r="W17" i="13"/>
  <c r="Q17" i="13"/>
  <c r="AG17" i="13"/>
  <c r="AA17" i="13"/>
  <c r="N17" i="13"/>
  <c r="AD17" i="13"/>
  <c r="AE17" i="13"/>
  <c r="H17" i="13"/>
  <c r="X17" i="13"/>
  <c r="AN17" i="13"/>
  <c r="AI17" i="13"/>
  <c r="U17" i="13"/>
  <c r="AK17" i="13"/>
  <c r="AM17" i="13"/>
  <c r="R17" i="13"/>
  <c r="AH17" i="13"/>
  <c r="F88" i="90"/>
  <c r="G11" i="13" l="1"/>
  <c r="F8" i="84"/>
  <c r="E7" i="95"/>
  <c r="F7" i="95" s="1"/>
  <c r="T26" i="22"/>
  <c r="AB16" i="13"/>
  <c r="W16" i="13"/>
  <c r="AC16" i="13"/>
  <c r="Z16" i="13"/>
  <c r="Q16" i="13"/>
  <c r="AA16" i="13"/>
  <c r="T16" i="13"/>
  <c r="AD16" i="13"/>
  <c r="X16" i="13"/>
  <c r="U16" i="13"/>
  <c r="R16" i="13"/>
  <c r="S16" i="13"/>
  <c r="Y16" i="13"/>
  <c r="V16" i="13"/>
  <c r="T23" i="22"/>
  <c r="I13" i="13"/>
  <c r="G13" i="13"/>
  <c r="J13" i="13"/>
  <c r="H13" i="13"/>
  <c r="C12" i="13"/>
  <c r="T22" i="22" s="1"/>
  <c r="E5" i="95"/>
  <c r="U18" i="76"/>
  <c r="V18" i="76"/>
  <c r="W18" i="76"/>
  <c r="X18" i="76"/>
  <c r="Y18" i="76"/>
  <c r="Z18" i="76"/>
  <c r="AA18" i="76"/>
  <c r="U19" i="76"/>
  <c r="V19" i="76"/>
  <c r="W19" i="76"/>
  <c r="X19" i="76"/>
  <c r="Y19" i="76"/>
  <c r="Z19" i="76"/>
  <c r="AA19" i="76"/>
  <c r="C15" i="81"/>
  <c r="P3" i="81"/>
  <c r="K3" i="81"/>
  <c r="M3" i="81" s="1"/>
  <c r="B6" i="81"/>
  <c r="B8" i="81" s="1"/>
  <c r="B9" i="81"/>
  <c r="D79" i="81"/>
  <c r="D78" i="81"/>
  <c r="D77" i="81"/>
  <c r="B63" i="81"/>
  <c r="B55" i="81"/>
  <c r="B71" i="81" s="1"/>
  <c r="J9" i="81"/>
  <c r="B15" i="81" l="1"/>
  <c r="D5" i="91" s="1"/>
  <c r="L3" i="81"/>
  <c r="F5" i="95"/>
  <c r="E8" i="95"/>
  <c r="F8" i="95" s="1"/>
  <c r="I12" i="13"/>
  <c r="M12" i="13"/>
  <c r="J12" i="13"/>
  <c r="H12" i="13"/>
  <c r="K12" i="13"/>
  <c r="L12" i="13"/>
  <c r="B10" i="81"/>
  <c r="I9" i="81"/>
  <c r="D6" i="91" l="1"/>
  <c r="F6" i="91" s="1"/>
  <c r="D8" i="91"/>
  <c r="F8" i="91" s="1"/>
  <c r="D16" i="91"/>
  <c r="F16" i="91" s="1"/>
  <c r="F5" i="91"/>
  <c r="D7" i="91"/>
  <c r="I6" i="81"/>
  <c r="D14" i="91" l="1"/>
  <c r="F14" i="91" s="1"/>
  <c r="D12" i="91"/>
  <c r="F12" i="91" s="1"/>
  <c r="F7" i="91"/>
  <c r="L6" i="81"/>
  <c r="K6" i="81"/>
  <c r="D15" i="81" l="1"/>
  <c r="G15" i="81" s="1"/>
  <c r="O6" i="81"/>
  <c r="Q6" i="81" s="1"/>
  <c r="M6" i="81"/>
  <c r="P6" i="81" s="1"/>
  <c r="R6" i="81" s="1"/>
  <c r="E15" i="81" l="1"/>
  <c r="H15" i="81" l="1"/>
  <c r="AI151" i="72" l="1"/>
  <c r="BC137" i="72" l="1"/>
  <c r="BO138" i="72" s="1"/>
  <c r="DL156" i="72"/>
  <c r="DK156" i="72"/>
  <c r="DJ156" i="72"/>
  <c r="DI156" i="72"/>
  <c r="DH156" i="72"/>
  <c r="DG156" i="72"/>
  <c r="DF156" i="72"/>
  <c r="DE156" i="72"/>
  <c r="DD156" i="72"/>
  <c r="DC156" i="72"/>
  <c r="DB156" i="72"/>
  <c r="DA156" i="72"/>
  <c r="CZ156" i="72"/>
  <c r="CY156" i="72"/>
  <c r="CX156" i="72"/>
  <c r="CW156" i="72"/>
  <c r="CV156" i="72"/>
  <c r="CU156" i="72"/>
  <c r="CT156" i="72"/>
  <c r="CS156" i="72"/>
  <c r="CR156" i="72"/>
  <c r="CQ156" i="72"/>
  <c r="CP156" i="72"/>
  <c r="CO156" i="72"/>
  <c r="CN156" i="72"/>
  <c r="CZ157" i="72" s="1"/>
  <c r="DL158" i="72" s="1"/>
  <c r="CM156" i="72"/>
  <c r="CL156" i="72"/>
  <c r="BN154" i="72"/>
  <c r="T153" i="72"/>
  <c r="AF154" i="72" s="1"/>
  <c r="AR155" i="72" s="1"/>
  <c r="BD156" i="72" s="1"/>
  <c r="BP157" i="72" s="1"/>
  <c r="CB158" i="72" s="1"/>
  <c r="CN159" i="72" s="1"/>
  <c r="CZ160" i="72" s="1"/>
  <c r="DL161" i="72" s="1"/>
  <c r="S153" i="72"/>
  <c r="AE154" i="72" s="1"/>
  <c r="AQ155" i="72" s="1"/>
  <c r="BC156" i="72" s="1"/>
  <c r="BO157" i="72" s="1"/>
  <c r="CA158" i="72" s="1"/>
  <c r="CM159" i="72" s="1"/>
  <c r="CY160" i="72" s="1"/>
  <c r="DK161" i="72" s="1"/>
  <c r="R153" i="72"/>
  <c r="AD154" i="72" s="1"/>
  <c r="AP155" i="72" s="1"/>
  <c r="BB156" i="72" s="1"/>
  <c r="BN157" i="72" s="1"/>
  <c r="BZ158" i="72" s="1"/>
  <c r="CL159" i="72" s="1"/>
  <c r="CX160" i="72" s="1"/>
  <c r="DJ161" i="72" s="1"/>
  <c r="Q153" i="72"/>
  <c r="AC154" i="72" s="1"/>
  <c r="AO155" i="72" s="1"/>
  <c r="BA156" i="72" s="1"/>
  <c r="BM157" i="72" s="1"/>
  <c r="BY158" i="72" s="1"/>
  <c r="CK159" i="72" s="1"/>
  <c r="CW160" i="72" s="1"/>
  <c r="DI161" i="72" s="1"/>
  <c r="P153" i="72"/>
  <c r="AB154" i="72" s="1"/>
  <c r="AN155" i="72" s="1"/>
  <c r="AZ156" i="72" s="1"/>
  <c r="BL157" i="72" s="1"/>
  <c r="BX158" i="72" s="1"/>
  <c r="CJ159" i="72" s="1"/>
  <c r="CV160" i="72" s="1"/>
  <c r="DH161" i="72" s="1"/>
  <c r="O153" i="72"/>
  <c r="AA154" i="72" s="1"/>
  <c r="AM155" i="72" s="1"/>
  <c r="AY156" i="72" s="1"/>
  <c r="BK157" i="72" s="1"/>
  <c r="BW158" i="72" s="1"/>
  <c r="CI159" i="72" s="1"/>
  <c r="CU160" i="72" s="1"/>
  <c r="DG161" i="72" s="1"/>
  <c r="AU152" i="72"/>
  <c r="AT152" i="72"/>
  <c r="AS152" i="72"/>
  <c r="AR152" i="72"/>
  <c r="AQ152" i="72"/>
  <c r="AP152" i="72"/>
  <c r="AO152" i="72"/>
  <c r="AN152" i="72"/>
  <c r="AM152" i="72"/>
  <c r="AL152" i="72"/>
  <c r="AK152" i="72"/>
  <c r="AJ152" i="72"/>
  <c r="AH152" i="72"/>
  <c r="AG152" i="72"/>
  <c r="AF152" i="72"/>
  <c r="AE152" i="72"/>
  <c r="AD152" i="72"/>
  <c r="AH151" i="72"/>
  <c r="AG151" i="72"/>
  <c r="AF151" i="72"/>
  <c r="AE151" i="72"/>
  <c r="AD151" i="72"/>
  <c r="AC151" i="72"/>
  <c r="AB151" i="72"/>
  <c r="AA151" i="72"/>
  <c r="AF150" i="72"/>
  <c r="AE150" i="72"/>
  <c r="AD150" i="72"/>
  <c r="AC150" i="72"/>
  <c r="AB150" i="72"/>
  <c r="AA150" i="72"/>
  <c r="Z150" i="72"/>
  <c r="Y150" i="72"/>
  <c r="X150" i="72"/>
  <c r="AC149" i="72"/>
  <c r="AB149" i="72"/>
  <c r="AA149" i="72"/>
  <c r="Z149" i="72"/>
  <c r="Y149" i="72"/>
  <c r="X149" i="72"/>
  <c r="X153" i="72" s="1"/>
  <c r="W149" i="72"/>
  <c r="W153" i="72" s="1"/>
  <c r="AI154" i="72" s="1"/>
  <c r="AU155" i="72" s="1"/>
  <c r="BG156" i="72" s="1"/>
  <c r="BS157" i="72" s="1"/>
  <c r="CE158" i="72" s="1"/>
  <c r="CQ159" i="72" s="1"/>
  <c r="DC160" i="72" s="1"/>
  <c r="DO161" i="72" s="1"/>
  <c r="V149" i="72"/>
  <c r="V153" i="72" s="1"/>
  <c r="U149" i="72"/>
  <c r="U153" i="72" s="1"/>
  <c r="U163" i="72" s="1"/>
  <c r="DL139" i="72"/>
  <c r="DK139" i="72"/>
  <c r="DJ139" i="72"/>
  <c r="DI139" i="72"/>
  <c r="DH139" i="72"/>
  <c r="DT140" i="72" s="1"/>
  <c r="DG139" i="72"/>
  <c r="DS140" i="72" s="1"/>
  <c r="DF139" i="72"/>
  <c r="DE139" i="72"/>
  <c r="DD139" i="72"/>
  <c r="DP140" i="72" s="1"/>
  <c r="DC139" i="72"/>
  <c r="DO140" i="72" s="1"/>
  <c r="DB139" i="72"/>
  <c r="DA139" i="72"/>
  <c r="CZ139" i="72"/>
  <c r="DL140" i="72" s="1"/>
  <c r="CY139" i="72"/>
  <c r="DK140" i="72" s="1"/>
  <c r="CX139" i="72"/>
  <c r="CW139" i="72"/>
  <c r="CV139" i="72"/>
  <c r="DH140" i="72" s="1"/>
  <c r="DT141" i="72" s="1"/>
  <c r="CU139" i="72"/>
  <c r="DG140" i="72" s="1"/>
  <c r="DS141" i="72" s="1"/>
  <c r="CT139" i="72"/>
  <c r="CS139" i="72"/>
  <c r="CR139" i="72"/>
  <c r="DD140" i="72" s="1"/>
  <c r="DP141" i="72" s="1"/>
  <c r="CQ139" i="72"/>
  <c r="DC140" i="72" s="1"/>
  <c r="DO141" i="72" s="1"/>
  <c r="CP139" i="72"/>
  <c r="CO139" i="72"/>
  <c r="CN139" i="72"/>
  <c r="CM139" i="72"/>
  <c r="CY140" i="72" s="1"/>
  <c r="DK141" i="72" s="1"/>
  <c r="CL139" i="72"/>
  <c r="BN137" i="72"/>
  <c r="BM137" i="72"/>
  <c r="BL137" i="72"/>
  <c r="BK137" i="72"/>
  <c r="BI137" i="72"/>
  <c r="BH137" i="72"/>
  <c r="BG137" i="72"/>
  <c r="BS138" i="72" s="1"/>
  <c r="BE137" i="72"/>
  <c r="BA137" i="72"/>
  <c r="BM138" i="72" s="1"/>
  <c r="BY139" i="72" s="1"/>
  <c r="CK140" i="72" s="1"/>
  <c r="CW141" i="72" s="1"/>
  <c r="DI142" i="72" s="1"/>
  <c r="AY137" i="72"/>
  <c r="BK138" i="72" s="1"/>
  <c r="BW139" i="72" s="1"/>
  <c r="CI140" i="72" s="1"/>
  <c r="CU141" i="72" s="1"/>
  <c r="DG142" i="72" s="1"/>
  <c r="DS143" i="72" s="1"/>
  <c r="AW137" i="72"/>
  <c r="BI138" i="72" s="1"/>
  <c r="BU139" i="72" s="1"/>
  <c r="CG140" i="72" s="1"/>
  <c r="CS141" i="72" s="1"/>
  <c r="DE142" i="72" s="1"/>
  <c r="DQ143" i="72" s="1"/>
  <c r="AC137" i="72"/>
  <c r="AO138" i="72" s="1"/>
  <c r="BA139" i="72" s="1"/>
  <c r="BM140" i="72" s="1"/>
  <c r="BY141" i="72" s="1"/>
  <c r="CK142" i="72" s="1"/>
  <c r="CW143" i="72" s="1"/>
  <c r="DI144" i="72" s="1"/>
  <c r="AB137" i="72"/>
  <c r="AN138" i="72" s="1"/>
  <c r="AZ139" i="72" s="1"/>
  <c r="BL140" i="72" s="1"/>
  <c r="BX141" i="72" s="1"/>
  <c r="CJ142" i="72" s="1"/>
  <c r="CV143" i="72" s="1"/>
  <c r="DH144" i="72" s="1"/>
  <c r="AA137" i="72"/>
  <c r="AM138" i="72" s="1"/>
  <c r="AY139" i="72" s="1"/>
  <c r="BK140" i="72" s="1"/>
  <c r="BW141" i="72" s="1"/>
  <c r="CI142" i="72" s="1"/>
  <c r="CU143" i="72" s="1"/>
  <c r="DG144" i="72" s="1"/>
  <c r="W146" i="72"/>
  <c r="S146" i="72"/>
  <c r="DL126" i="72"/>
  <c r="DK126" i="72"/>
  <c r="DJ126" i="72"/>
  <c r="DI126" i="72"/>
  <c r="DH126" i="72"/>
  <c r="DG126" i="72"/>
  <c r="DS127" i="72" s="1"/>
  <c r="DF126" i="72"/>
  <c r="DR127" i="72" s="1"/>
  <c r="DE126" i="72"/>
  <c r="DQ127" i="72" s="1"/>
  <c r="DD126" i="72"/>
  <c r="DC126" i="72"/>
  <c r="DO127" i="72" s="1"/>
  <c r="DB126" i="72"/>
  <c r="DN127" i="72" s="1"/>
  <c r="DA126" i="72"/>
  <c r="DM127" i="72" s="1"/>
  <c r="CZ126" i="72"/>
  <c r="CY126" i="72"/>
  <c r="DK127" i="72" s="1"/>
  <c r="CX126" i="72"/>
  <c r="DJ127" i="72" s="1"/>
  <c r="CW126" i="72"/>
  <c r="DI127" i="72" s="1"/>
  <c r="CV126" i="72"/>
  <c r="CU126" i="72"/>
  <c r="DG127" i="72" s="1"/>
  <c r="DS128" i="72" s="1"/>
  <c r="CT126" i="72"/>
  <c r="DF127" i="72" s="1"/>
  <c r="DR128" i="72" s="1"/>
  <c r="CS126" i="72"/>
  <c r="DE127" i="72" s="1"/>
  <c r="DQ128" i="72" s="1"/>
  <c r="CR126" i="72"/>
  <c r="CQ126" i="72"/>
  <c r="DC127" i="72" s="1"/>
  <c r="DO128" i="72" s="1"/>
  <c r="CP126" i="72"/>
  <c r="DB127" i="72" s="1"/>
  <c r="DN128" i="72" s="1"/>
  <c r="CO126" i="72"/>
  <c r="DA127" i="72" s="1"/>
  <c r="DM128" i="72" s="1"/>
  <c r="CN126" i="72"/>
  <c r="CM126" i="72"/>
  <c r="CY127" i="72" s="1"/>
  <c r="DK128" i="72" s="1"/>
  <c r="CL126" i="72"/>
  <c r="CX127" i="72" s="1"/>
  <c r="DJ128" i="72" s="1"/>
  <c r="BN124" i="72"/>
  <c r="AO124" i="72"/>
  <c r="BA125" i="72" s="1"/>
  <c r="BM126" i="72" s="1"/>
  <c r="BY127" i="72" s="1"/>
  <c r="BM124" i="72"/>
  <c r="BY125" i="72" s="1"/>
  <c r="CK126" i="72" s="1"/>
  <c r="BL124" i="72"/>
  <c r="BI124" i="72"/>
  <c r="BU125" i="72" s="1"/>
  <c r="CG126" i="72" s="1"/>
  <c r="CS127" i="72" s="1"/>
  <c r="DE128" i="72" s="1"/>
  <c r="BE124" i="72"/>
  <c r="BQ125" i="72" s="1"/>
  <c r="CC126" i="72" s="1"/>
  <c r="BA124" i="72"/>
  <c r="BM125" i="72" s="1"/>
  <c r="BY126" i="72" s="1"/>
  <c r="CK127" i="72" s="1"/>
  <c r="CW128" i="72" s="1"/>
  <c r="DI129" i="72" s="1"/>
  <c r="AZ124" i="72"/>
  <c r="BL125" i="72" s="1"/>
  <c r="BX126" i="72" s="1"/>
  <c r="CJ127" i="72" s="1"/>
  <c r="CV128" i="72" s="1"/>
  <c r="DH129" i="72" s="1"/>
  <c r="DT130" i="72" s="1"/>
  <c r="AW124" i="72"/>
  <c r="BI125" i="72" s="1"/>
  <c r="BU126" i="72" s="1"/>
  <c r="CG127" i="72" s="1"/>
  <c r="CS128" i="72" s="1"/>
  <c r="DE129" i="72" s="1"/>
  <c r="DQ130" i="72" s="1"/>
  <c r="AV124" i="72"/>
  <c r="BH125" i="72" s="1"/>
  <c r="BT126" i="72" s="1"/>
  <c r="CF127" i="72" s="1"/>
  <c r="CR128" i="72" s="1"/>
  <c r="DD129" i="72" s="1"/>
  <c r="DP130" i="72" s="1"/>
  <c r="AS124" i="72"/>
  <c r="BE125" i="72" s="1"/>
  <c r="BQ126" i="72" s="1"/>
  <c r="CC127" i="72" s="1"/>
  <c r="CO128" i="72" s="1"/>
  <c r="DA129" i="72" s="1"/>
  <c r="DM130" i="72" s="1"/>
  <c r="AN124" i="72"/>
  <c r="AZ125" i="72" s="1"/>
  <c r="BL126" i="72" s="1"/>
  <c r="BX127" i="72" s="1"/>
  <c r="CJ128" i="72" s="1"/>
  <c r="CV129" i="72" s="1"/>
  <c r="DH130" i="72" s="1"/>
  <c r="DT131" i="72" s="1"/>
  <c r="AM124" i="72"/>
  <c r="AY125" i="72" s="1"/>
  <c r="BK126" i="72" s="1"/>
  <c r="BW127" i="72" s="1"/>
  <c r="CI128" i="72" s="1"/>
  <c r="CU129" i="72" s="1"/>
  <c r="DG130" i="72" s="1"/>
  <c r="DS131" i="72" s="1"/>
  <c r="CO113" i="72"/>
  <c r="DA114" i="72" s="1"/>
  <c r="DM115" i="72" s="1"/>
  <c r="CP113" i="72"/>
  <c r="DB114" i="72" s="1"/>
  <c r="DN115" i="72" s="1"/>
  <c r="CQ113" i="72"/>
  <c r="DC114" i="72" s="1"/>
  <c r="DO115" i="72" s="1"/>
  <c r="CR113" i="72"/>
  <c r="DD114" i="72" s="1"/>
  <c r="DP115" i="72" s="1"/>
  <c r="CS113" i="72"/>
  <c r="DE114" i="72" s="1"/>
  <c r="DQ115" i="72" s="1"/>
  <c r="CT113" i="72"/>
  <c r="DF114" i="72" s="1"/>
  <c r="DR115" i="72" s="1"/>
  <c r="CU113" i="72"/>
  <c r="DG114" i="72" s="1"/>
  <c r="DS115" i="72" s="1"/>
  <c r="CV113" i="72"/>
  <c r="DH114" i="72" s="1"/>
  <c r="DT115" i="72" s="1"/>
  <c r="CW113" i="72"/>
  <c r="DI114" i="72" s="1"/>
  <c r="CX113" i="72"/>
  <c r="DJ114" i="72" s="1"/>
  <c r="CY113" i="72"/>
  <c r="DK114" i="72" s="1"/>
  <c r="CZ113" i="72"/>
  <c r="DL114" i="72" s="1"/>
  <c r="DA113" i="72"/>
  <c r="DM114" i="72" s="1"/>
  <c r="DB113" i="72"/>
  <c r="DN114" i="72" s="1"/>
  <c r="DC113" i="72"/>
  <c r="DO114" i="72" s="1"/>
  <c r="DD113" i="72"/>
  <c r="DP114" i="72" s="1"/>
  <c r="DE113" i="72"/>
  <c r="DF113" i="72"/>
  <c r="DR114" i="72" s="1"/>
  <c r="DG113" i="72"/>
  <c r="DS114" i="72" s="1"/>
  <c r="DH113" i="72"/>
  <c r="DT114" i="72" s="1"/>
  <c r="DI113" i="72"/>
  <c r="DJ113" i="72"/>
  <c r="DK113" i="72"/>
  <c r="DL113" i="72"/>
  <c r="DM113" i="72"/>
  <c r="DN113" i="72"/>
  <c r="DO113" i="72"/>
  <c r="DP113" i="72"/>
  <c r="DQ113" i="72"/>
  <c r="DR113" i="72"/>
  <c r="DS113" i="72"/>
  <c r="DT113" i="72"/>
  <c r="BY114" i="72"/>
  <c r="CK115" i="72" s="1"/>
  <c r="CW116" i="72" s="1"/>
  <c r="DI117" i="72" s="1"/>
  <c r="DQ114" i="72"/>
  <c r="BO116" i="72"/>
  <c r="BP116" i="72"/>
  <c r="CB117" i="72" s="1"/>
  <c r="CN118" i="72" s="1"/>
  <c r="CZ119" i="72" s="1"/>
  <c r="DL120" i="72" s="1"/>
  <c r="BQ116" i="72"/>
  <c r="CC117" i="72" s="1"/>
  <c r="CO118" i="72" s="1"/>
  <c r="DA119" i="72" s="1"/>
  <c r="DM120" i="72" s="1"/>
  <c r="BR116" i="72"/>
  <c r="CD117" i="72" s="1"/>
  <c r="CP118" i="72" s="1"/>
  <c r="DB119" i="72" s="1"/>
  <c r="DN120" i="72" s="1"/>
  <c r="BS116" i="72"/>
  <c r="CE117" i="72" s="1"/>
  <c r="CQ118" i="72" s="1"/>
  <c r="DC119" i="72" s="1"/>
  <c r="DO120" i="72" s="1"/>
  <c r="BO117" i="72"/>
  <c r="CA118" i="72" s="1"/>
  <c r="CM119" i="72" s="1"/>
  <c r="CY120" i="72" s="1"/>
  <c r="BP117" i="72"/>
  <c r="CB118" i="72" s="1"/>
  <c r="CN119" i="72" s="1"/>
  <c r="CZ120" i="72" s="1"/>
  <c r="BQ117" i="72"/>
  <c r="CC118" i="72" s="1"/>
  <c r="CO119" i="72" s="1"/>
  <c r="DA120" i="72" s="1"/>
  <c r="BR117" i="72"/>
  <c r="CD118" i="72" s="1"/>
  <c r="CP119" i="72" s="1"/>
  <c r="DB120" i="72" s="1"/>
  <c r="BS117" i="72"/>
  <c r="BT117" i="72"/>
  <c r="CF118" i="72" s="1"/>
  <c r="CR119" i="72" s="1"/>
  <c r="DD120" i="72" s="1"/>
  <c r="BU117" i="72"/>
  <c r="CG118" i="72" s="1"/>
  <c r="CS119" i="72" s="1"/>
  <c r="DE120" i="72" s="1"/>
  <c r="BV117" i="72"/>
  <c r="CH118" i="72" s="1"/>
  <c r="CT119" i="72" s="1"/>
  <c r="DF120" i="72" s="1"/>
  <c r="BW117" i="72"/>
  <c r="CI118" i="72" s="1"/>
  <c r="CU119" i="72" s="1"/>
  <c r="DG120" i="72" s="1"/>
  <c r="BX117" i="72"/>
  <c r="CJ118" i="72" s="1"/>
  <c r="CV119" i="72" s="1"/>
  <c r="DH120" i="72" s="1"/>
  <c r="BY117" i="72"/>
  <c r="CK118" i="72" s="1"/>
  <c r="CW119" i="72" s="1"/>
  <c r="DI120" i="72" s="1"/>
  <c r="CA117" i="72"/>
  <c r="CM118" i="72" s="1"/>
  <c r="CY119" i="72" s="1"/>
  <c r="DK120" i="72" s="1"/>
  <c r="BO118" i="72"/>
  <c r="CA119" i="72" s="1"/>
  <c r="CM120" i="72" s="1"/>
  <c r="BP118" i="72"/>
  <c r="CB119" i="72" s="1"/>
  <c r="CN120" i="72" s="1"/>
  <c r="BQ118" i="72"/>
  <c r="CC119" i="72" s="1"/>
  <c r="CO120" i="72" s="1"/>
  <c r="BR118" i="72"/>
  <c r="CD119" i="72" s="1"/>
  <c r="CP120" i="72" s="1"/>
  <c r="BS118" i="72"/>
  <c r="CE119" i="72" s="1"/>
  <c r="CQ120" i="72" s="1"/>
  <c r="BT118" i="72"/>
  <c r="CF119" i="72" s="1"/>
  <c r="BU118" i="72"/>
  <c r="CG119" i="72" s="1"/>
  <c r="CS120" i="72" s="1"/>
  <c r="BV118" i="72"/>
  <c r="BW118" i="72"/>
  <c r="CI119" i="72" s="1"/>
  <c r="CU120" i="72" s="1"/>
  <c r="BX118" i="72"/>
  <c r="CJ119" i="72" s="1"/>
  <c r="CV120" i="72" s="1"/>
  <c r="BY118" i="72"/>
  <c r="CK119" i="72" s="1"/>
  <c r="CW120" i="72" s="1"/>
  <c r="CE118" i="72"/>
  <c r="CQ119" i="72" s="1"/>
  <c r="DC120" i="72" s="1"/>
  <c r="BO119" i="72"/>
  <c r="CA120" i="72" s="1"/>
  <c r="BP119" i="72"/>
  <c r="CB120" i="72" s="1"/>
  <c r="BQ119" i="72"/>
  <c r="BR119" i="72"/>
  <c r="CD120" i="72" s="1"/>
  <c r="BS119" i="72"/>
  <c r="CE120" i="72" s="1"/>
  <c r="BT119" i="72"/>
  <c r="CF120" i="72" s="1"/>
  <c r="BU119" i="72"/>
  <c r="CG120" i="72" s="1"/>
  <c r="BV119" i="72"/>
  <c r="CH120" i="72" s="1"/>
  <c r="BW119" i="72"/>
  <c r="CI120" i="72" s="1"/>
  <c r="BX119" i="72"/>
  <c r="CJ120" i="72" s="1"/>
  <c r="BY119" i="72"/>
  <c r="CK120" i="72" s="1"/>
  <c r="CH119" i="72"/>
  <c r="CT120" i="72" s="1"/>
  <c r="BO120" i="72"/>
  <c r="BP120" i="72"/>
  <c r="BQ120" i="72"/>
  <c r="BR120" i="72"/>
  <c r="BS120" i="72"/>
  <c r="BT120" i="72"/>
  <c r="BU120" i="72"/>
  <c r="BV120" i="72"/>
  <c r="BW120" i="72"/>
  <c r="BX120" i="72"/>
  <c r="BY120" i="72"/>
  <c r="CC120" i="72"/>
  <c r="CR120" i="72"/>
  <c r="BN116" i="72"/>
  <c r="BZ117" i="72" s="1"/>
  <c r="CL118" i="72" s="1"/>
  <c r="CX119" i="72" s="1"/>
  <c r="DJ120" i="72" s="1"/>
  <c r="BN117" i="72"/>
  <c r="BZ118" i="72" s="1"/>
  <c r="CL119" i="72" s="1"/>
  <c r="CX120" i="72" s="1"/>
  <c r="BN118" i="72"/>
  <c r="BZ119" i="72" s="1"/>
  <c r="CL120" i="72" s="1"/>
  <c r="BN119" i="72"/>
  <c r="BZ120" i="72" s="1"/>
  <c r="BN120" i="72"/>
  <c r="CB112" i="72"/>
  <c r="CN113" i="72" s="1"/>
  <c r="CZ114" i="72" s="1"/>
  <c r="DL115" i="72" s="1"/>
  <c r="BW96" i="72"/>
  <c r="CI97" i="72" s="1"/>
  <c r="CU98" i="72" s="1"/>
  <c r="DG99" i="72" s="1"/>
  <c r="DS100" i="72" s="1"/>
  <c r="BX96" i="72"/>
  <c r="CJ97" i="72" s="1"/>
  <c r="CV98" i="72" s="1"/>
  <c r="DH99" i="72" s="1"/>
  <c r="DT100" i="72" s="1"/>
  <c r="BY96" i="72"/>
  <c r="CK97" i="72" s="1"/>
  <c r="CW98" i="72" s="1"/>
  <c r="DI99" i="72" s="1"/>
  <c r="BZ96" i="72"/>
  <c r="CL97" i="72" s="1"/>
  <c r="CX98" i="72" s="1"/>
  <c r="DJ99" i="72" s="1"/>
  <c r="CA96" i="72"/>
  <c r="CM97" i="72" s="1"/>
  <c r="CY98" i="72" s="1"/>
  <c r="DK99" i="72" s="1"/>
  <c r="CB96" i="72"/>
  <c r="CN97" i="72" s="1"/>
  <c r="CZ98" i="72" s="1"/>
  <c r="DL99" i="72" s="1"/>
  <c r="CC96" i="72"/>
  <c r="CO97" i="72" s="1"/>
  <c r="DA98" i="72" s="1"/>
  <c r="DM99" i="72" s="1"/>
  <c r="CD96" i="72"/>
  <c r="CP97" i="72" s="1"/>
  <c r="DB98" i="72" s="1"/>
  <c r="DN99" i="72" s="1"/>
  <c r="CE96" i="72"/>
  <c r="CQ97" i="72" s="1"/>
  <c r="DC98" i="72" s="1"/>
  <c r="DO99" i="72" s="1"/>
  <c r="CF96" i="72"/>
  <c r="CR97" i="72" s="1"/>
  <c r="DD98" i="72" s="1"/>
  <c r="DP99" i="72" s="1"/>
  <c r="CG96" i="72"/>
  <c r="CS97" i="72" s="1"/>
  <c r="DE98" i="72" s="1"/>
  <c r="DQ99" i="72" s="1"/>
  <c r="CH96" i="72"/>
  <c r="CT97" i="72" s="1"/>
  <c r="DF98" i="72" s="1"/>
  <c r="DR99" i="72" s="1"/>
  <c r="CI96" i="72"/>
  <c r="CU97" i="72" s="1"/>
  <c r="DG98" i="72" s="1"/>
  <c r="DS99" i="72" s="1"/>
  <c r="CJ96" i="72"/>
  <c r="CV97" i="72" s="1"/>
  <c r="DH98" i="72" s="1"/>
  <c r="DT99" i="72" s="1"/>
  <c r="CK96" i="72"/>
  <c r="CW97" i="72" s="1"/>
  <c r="DI98" i="72" s="1"/>
  <c r="CL96" i="72"/>
  <c r="CX97" i="72" s="1"/>
  <c r="DJ98" i="72" s="1"/>
  <c r="CM96" i="72"/>
  <c r="CY97" i="72" s="1"/>
  <c r="DK98" i="72" s="1"/>
  <c r="CN96" i="72"/>
  <c r="CZ97" i="72" s="1"/>
  <c r="DL98" i="72" s="1"/>
  <c r="CO96" i="72"/>
  <c r="DA97" i="72" s="1"/>
  <c r="DM98" i="72" s="1"/>
  <c r="CP96" i="72"/>
  <c r="DB97" i="72" s="1"/>
  <c r="DN98" i="72" s="1"/>
  <c r="CQ96" i="72"/>
  <c r="DC97" i="72" s="1"/>
  <c r="DO98" i="72" s="1"/>
  <c r="CR96" i="72"/>
  <c r="DD97" i="72" s="1"/>
  <c r="DP98" i="72" s="1"/>
  <c r="CS96" i="72"/>
  <c r="DE97" i="72" s="1"/>
  <c r="DQ98" i="72" s="1"/>
  <c r="CT96" i="72"/>
  <c r="DF97" i="72" s="1"/>
  <c r="DR98" i="72" s="1"/>
  <c r="CU96" i="72"/>
  <c r="DG97" i="72" s="1"/>
  <c r="DS98" i="72" s="1"/>
  <c r="CV96" i="72"/>
  <c r="DH97" i="72" s="1"/>
  <c r="DT98" i="72" s="1"/>
  <c r="CW96" i="72"/>
  <c r="DI97" i="72" s="1"/>
  <c r="CX96" i="72"/>
  <c r="DJ97" i="72" s="1"/>
  <c r="CY96" i="72"/>
  <c r="DK97" i="72" s="1"/>
  <c r="CZ96" i="72"/>
  <c r="DL97" i="72" s="1"/>
  <c r="DA96" i="72"/>
  <c r="DM97" i="72" s="1"/>
  <c r="DB96" i="72"/>
  <c r="DN97" i="72" s="1"/>
  <c r="DC96" i="72"/>
  <c r="DO97" i="72" s="1"/>
  <c r="DD96" i="72"/>
  <c r="DP97" i="72" s="1"/>
  <c r="DE96" i="72"/>
  <c r="DQ97" i="72" s="1"/>
  <c r="DF96" i="72"/>
  <c r="DR97" i="72" s="1"/>
  <c r="DG96" i="72"/>
  <c r="DS97" i="72" s="1"/>
  <c r="DH96" i="72"/>
  <c r="DT97" i="72" s="1"/>
  <c r="DI96" i="72"/>
  <c r="DJ96" i="72"/>
  <c r="DK96" i="72"/>
  <c r="DL96" i="72"/>
  <c r="DM96" i="72"/>
  <c r="DN96" i="72"/>
  <c r="DO96" i="72"/>
  <c r="DP96" i="72"/>
  <c r="DQ96" i="72"/>
  <c r="DR96" i="72"/>
  <c r="DS96" i="72"/>
  <c r="DT96" i="72"/>
  <c r="AI99" i="72"/>
  <c r="AU100" i="72" s="1"/>
  <c r="BG101" i="72" s="1"/>
  <c r="BS102" i="72" s="1"/>
  <c r="CE103" i="72" s="1"/>
  <c r="CQ104" i="72" s="1"/>
  <c r="AI100" i="72"/>
  <c r="AU101" i="72" s="1"/>
  <c r="BG102" i="72" s="1"/>
  <c r="BS103" i="72" s="1"/>
  <c r="CE104" i="72" s="1"/>
  <c r="AJ100" i="72"/>
  <c r="AV101" i="72" s="1"/>
  <c r="BH102" i="72" s="1"/>
  <c r="BT103" i="72" s="1"/>
  <c r="CF104" i="72" s="1"/>
  <c r="AK100" i="72"/>
  <c r="AW101" i="72" s="1"/>
  <c r="BI102" i="72" s="1"/>
  <c r="BU103" i="72" s="1"/>
  <c r="CG104" i="72" s="1"/>
  <c r="AL100" i="72"/>
  <c r="AX101" i="72" s="1"/>
  <c r="BJ102" i="72" s="1"/>
  <c r="BV103" i="72" s="1"/>
  <c r="CH104" i="72" s="1"/>
  <c r="AM100" i="72"/>
  <c r="AY101" i="72" s="1"/>
  <c r="BK102" i="72" s="1"/>
  <c r="BW103" i="72" s="1"/>
  <c r="CI104" i="72" s="1"/>
  <c r="AN100" i="72"/>
  <c r="AZ101" i="72" s="1"/>
  <c r="BL102" i="72" s="1"/>
  <c r="BX103" i="72" s="1"/>
  <c r="CJ104" i="72" s="1"/>
  <c r="AO100" i="72"/>
  <c r="AP100" i="72"/>
  <c r="BB101" i="72" s="1"/>
  <c r="BN102" i="72" s="1"/>
  <c r="BZ103" i="72" s="1"/>
  <c r="CL104" i="72" s="1"/>
  <c r="AQ100" i="72"/>
  <c r="BC101" i="72" s="1"/>
  <c r="BO102" i="72" s="1"/>
  <c r="CA103" i="72" s="1"/>
  <c r="CM104" i="72" s="1"/>
  <c r="AR100" i="72"/>
  <c r="BD101" i="72" s="1"/>
  <c r="BP102" i="72" s="1"/>
  <c r="CB103" i="72" s="1"/>
  <c r="CN104" i="72" s="1"/>
  <c r="AS100" i="72"/>
  <c r="BE101" i="72" s="1"/>
  <c r="BQ102" i="72" s="1"/>
  <c r="CC103" i="72" s="1"/>
  <c r="CO104" i="72" s="1"/>
  <c r="AI101" i="72"/>
  <c r="AU102" i="72" s="1"/>
  <c r="BG103" i="72" s="1"/>
  <c r="BS104" i="72" s="1"/>
  <c r="AJ101" i="72"/>
  <c r="AV102" i="72" s="1"/>
  <c r="BH103" i="72" s="1"/>
  <c r="BT104" i="72" s="1"/>
  <c r="AK101" i="72"/>
  <c r="AW102" i="72" s="1"/>
  <c r="BI103" i="72" s="1"/>
  <c r="BU104" i="72" s="1"/>
  <c r="AL101" i="72"/>
  <c r="AX102" i="72" s="1"/>
  <c r="BJ103" i="72" s="1"/>
  <c r="BV104" i="72" s="1"/>
  <c r="BA101" i="72"/>
  <c r="BM102" i="72" s="1"/>
  <c r="BY103" i="72" s="1"/>
  <c r="CK104" i="72" s="1"/>
  <c r="AI102" i="72"/>
  <c r="AU103" i="72" s="1"/>
  <c r="BG104" i="72" s="1"/>
  <c r="AJ102" i="72"/>
  <c r="AV103" i="72" s="1"/>
  <c r="BH104" i="72" s="1"/>
  <c r="AK102" i="72"/>
  <c r="AL102" i="72"/>
  <c r="AX103" i="72" s="1"/>
  <c r="BJ104" i="72" s="1"/>
  <c r="AM102" i="72"/>
  <c r="AY103" i="72" s="1"/>
  <c r="BK104" i="72" s="1"/>
  <c r="AN102" i="72"/>
  <c r="AZ103" i="72" s="1"/>
  <c r="BL104" i="72" s="1"/>
  <c r="AO102" i="72"/>
  <c r="AP102" i="72"/>
  <c r="BB103" i="72" s="1"/>
  <c r="BN104" i="72" s="1"/>
  <c r="AQ102" i="72"/>
  <c r="BC103" i="72" s="1"/>
  <c r="BO104" i="72" s="1"/>
  <c r="AR102" i="72"/>
  <c r="BD103" i="72" s="1"/>
  <c r="BP104" i="72" s="1"/>
  <c r="AS102" i="72"/>
  <c r="BE103" i="72" s="1"/>
  <c r="BQ104" i="72" s="1"/>
  <c r="AI103" i="72"/>
  <c r="AJ103" i="72"/>
  <c r="AV104" i="72" s="1"/>
  <c r="AK103" i="72"/>
  <c r="AW104" i="72" s="1"/>
  <c r="AL103" i="72"/>
  <c r="AX104" i="72" s="1"/>
  <c r="AM103" i="72"/>
  <c r="AY104" i="72" s="1"/>
  <c r="AN103" i="72"/>
  <c r="AZ104" i="72" s="1"/>
  <c r="AO103" i="72"/>
  <c r="BA104" i="72" s="1"/>
  <c r="AP103" i="72"/>
  <c r="BB104" i="72" s="1"/>
  <c r="AQ103" i="72"/>
  <c r="BC104" i="72" s="1"/>
  <c r="AR103" i="72"/>
  <c r="BD104" i="72" s="1"/>
  <c r="AS103" i="72"/>
  <c r="BE104" i="72" s="1"/>
  <c r="AW103" i="72"/>
  <c r="BI104" i="72" s="1"/>
  <c r="BA103" i="72"/>
  <c r="BM104" i="72" s="1"/>
  <c r="AI104" i="72"/>
  <c r="AJ104" i="72"/>
  <c r="AK104" i="72"/>
  <c r="AL104" i="72"/>
  <c r="AM104" i="72"/>
  <c r="AN104" i="72"/>
  <c r="AO104" i="72"/>
  <c r="AP104" i="72"/>
  <c r="AQ104" i="72"/>
  <c r="AR104" i="72"/>
  <c r="AS104" i="72"/>
  <c r="AU104" i="72"/>
  <c r="AH99" i="72"/>
  <c r="AT100" i="72" s="1"/>
  <c r="BF101" i="72" s="1"/>
  <c r="BR102" i="72" s="1"/>
  <c r="CD103" i="72" s="1"/>
  <c r="CP104" i="72" s="1"/>
  <c r="AH100" i="72"/>
  <c r="AT101" i="72" s="1"/>
  <c r="BF102" i="72" s="1"/>
  <c r="BR103" i="72" s="1"/>
  <c r="CD104" i="72" s="1"/>
  <c r="AH101" i="72"/>
  <c r="AT102" i="72" s="1"/>
  <c r="BF103" i="72" s="1"/>
  <c r="BR104" i="72" s="1"/>
  <c r="AH102" i="72"/>
  <c r="AT103" i="72" s="1"/>
  <c r="BF104" i="72" s="1"/>
  <c r="AH103" i="72"/>
  <c r="AT104" i="72" s="1"/>
  <c r="AH104" i="72"/>
  <c r="AK95" i="72"/>
  <c r="AW96" i="72" s="1"/>
  <c r="BI97" i="72" s="1"/>
  <c r="BU98" i="72" s="1"/>
  <c r="CG99" i="72" s="1"/>
  <c r="CS100" i="72" s="1"/>
  <c r="DE101" i="72" s="1"/>
  <c r="DQ102" i="72" s="1"/>
  <c r="AL95" i="72"/>
  <c r="AX96" i="72" s="1"/>
  <c r="BJ97" i="72" s="1"/>
  <c r="BV98" i="72" s="1"/>
  <c r="CH99" i="72" s="1"/>
  <c r="CT100" i="72" s="1"/>
  <c r="DF101" i="72" s="1"/>
  <c r="DR102" i="72" s="1"/>
  <c r="AM95" i="72"/>
  <c r="AY96" i="72" s="1"/>
  <c r="BK97" i="72" s="1"/>
  <c r="BW98" i="72" s="1"/>
  <c r="CI99" i="72" s="1"/>
  <c r="CU100" i="72" s="1"/>
  <c r="DG101" i="72" s="1"/>
  <c r="DS102" i="72" s="1"/>
  <c r="N105" i="72"/>
  <c r="M105" i="72"/>
  <c r="L105" i="72"/>
  <c r="K105" i="72"/>
  <c r="AG98" i="72"/>
  <c r="AS99" i="72" s="1"/>
  <c r="BE100" i="72" s="1"/>
  <c r="BQ101" i="72" s="1"/>
  <c r="CC102" i="72" s="1"/>
  <c r="CO103" i="72" s="1"/>
  <c r="DA104" i="72" s="1"/>
  <c r="AF98" i="72"/>
  <c r="AR99" i="72" s="1"/>
  <c r="BD100" i="72" s="1"/>
  <c r="BP101" i="72" s="1"/>
  <c r="CB102" i="72" s="1"/>
  <c r="CN103" i="72" s="1"/>
  <c r="CZ104" i="72" s="1"/>
  <c r="AE98" i="72"/>
  <c r="AQ99" i="72" s="1"/>
  <c r="BC100" i="72" s="1"/>
  <c r="BO101" i="72" s="1"/>
  <c r="CA102" i="72" s="1"/>
  <c r="CM103" i="72" s="1"/>
  <c r="CY104" i="72" s="1"/>
  <c r="AD98" i="72"/>
  <c r="AP99" i="72" s="1"/>
  <c r="BB100" i="72" s="1"/>
  <c r="BN101" i="72" s="1"/>
  <c r="BZ102" i="72" s="1"/>
  <c r="CL103" i="72" s="1"/>
  <c r="CX104" i="72" s="1"/>
  <c r="AC98" i="72"/>
  <c r="AO99" i="72" s="1"/>
  <c r="BA100" i="72" s="1"/>
  <c r="BM101" i="72" s="1"/>
  <c r="BY102" i="72" s="1"/>
  <c r="CK103" i="72" s="1"/>
  <c r="CW104" i="72" s="1"/>
  <c r="AB98" i="72"/>
  <c r="AN99" i="72" s="1"/>
  <c r="AZ100" i="72" s="1"/>
  <c r="BL101" i="72" s="1"/>
  <c r="BX102" i="72" s="1"/>
  <c r="CJ103" i="72" s="1"/>
  <c r="CV104" i="72" s="1"/>
  <c r="AA98" i="72"/>
  <c r="AM99" i="72" s="1"/>
  <c r="AY100" i="72" s="1"/>
  <c r="BK101" i="72" s="1"/>
  <c r="BW102" i="72" s="1"/>
  <c r="CI103" i="72" s="1"/>
  <c r="CU104" i="72" s="1"/>
  <c r="Z98" i="72"/>
  <c r="AL99" i="72" s="1"/>
  <c r="AX100" i="72" s="1"/>
  <c r="BJ101" i="72" s="1"/>
  <c r="BV102" i="72" s="1"/>
  <c r="CH103" i="72" s="1"/>
  <c r="CT104" i="72" s="1"/>
  <c r="Y98" i="72"/>
  <c r="AK99" i="72" s="1"/>
  <c r="AW100" i="72" s="1"/>
  <c r="BI101" i="72" s="1"/>
  <c r="BU102" i="72" s="1"/>
  <c r="CG103" i="72" s="1"/>
  <c r="CS104" i="72" s="1"/>
  <c r="X98" i="72"/>
  <c r="AJ99" i="72" s="1"/>
  <c r="AV100" i="72" s="1"/>
  <c r="BH101" i="72" s="1"/>
  <c r="BT102" i="72" s="1"/>
  <c r="CF103" i="72" s="1"/>
  <c r="CR104" i="72" s="1"/>
  <c r="AG97" i="72"/>
  <c r="AS98" i="72" s="1"/>
  <c r="BE99" i="72" s="1"/>
  <c r="BQ100" i="72" s="1"/>
  <c r="CC101" i="72" s="1"/>
  <c r="CO102" i="72" s="1"/>
  <c r="DA103" i="72" s="1"/>
  <c r="DM104" i="72" s="1"/>
  <c r="AF97" i="72"/>
  <c r="AR98" i="72" s="1"/>
  <c r="BD99" i="72" s="1"/>
  <c r="BP100" i="72" s="1"/>
  <c r="CB101" i="72" s="1"/>
  <c r="CN102" i="72" s="1"/>
  <c r="CZ103" i="72" s="1"/>
  <c r="DL104" i="72" s="1"/>
  <c r="AE97" i="72"/>
  <c r="AQ98" i="72" s="1"/>
  <c r="BC99" i="72" s="1"/>
  <c r="BO100" i="72" s="1"/>
  <c r="CA101" i="72" s="1"/>
  <c r="CM102" i="72" s="1"/>
  <c r="CY103" i="72" s="1"/>
  <c r="DK104" i="72" s="1"/>
  <c r="AD97" i="72"/>
  <c r="AP98" i="72" s="1"/>
  <c r="BB99" i="72" s="1"/>
  <c r="BN100" i="72" s="1"/>
  <c r="BZ101" i="72" s="1"/>
  <c r="CL102" i="72" s="1"/>
  <c r="CX103" i="72" s="1"/>
  <c r="DJ104" i="72" s="1"/>
  <c r="AC97" i="72"/>
  <c r="AO98" i="72" s="1"/>
  <c r="BA99" i="72" s="1"/>
  <c r="BM100" i="72" s="1"/>
  <c r="BY101" i="72" s="1"/>
  <c r="CK102" i="72" s="1"/>
  <c r="CW103" i="72" s="1"/>
  <c r="DI104" i="72" s="1"/>
  <c r="AB97" i="72"/>
  <c r="AN98" i="72" s="1"/>
  <c r="AZ99" i="72" s="1"/>
  <c r="BL100" i="72" s="1"/>
  <c r="BX101" i="72" s="1"/>
  <c r="CJ102" i="72" s="1"/>
  <c r="CV103" i="72" s="1"/>
  <c r="DH104" i="72" s="1"/>
  <c r="AA97" i="72"/>
  <c r="AM98" i="72" s="1"/>
  <c r="AY99" i="72" s="1"/>
  <c r="BK100" i="72" s="1"/>
  <c r="BW101" i="72" s="1"/>
  <c r="CI102" i="72" s="1"/>
  <c r="CU103" i="72" s="1"/>
  <c r="DG104" i="72" s="1"/>
  <c r="Z97" i="72"/>
  <c r="AL98" i="72" s="1"/>
  <c r="AX99" i="72" s="1"/>
  <c r="BJ100" i="72" s="1"/>
  <c r="BV101" i="72" s="1"/>
  <c r="CH102" i="72" s="1"/>
  <c r="CT103" i="72" s="1"/>
  <c r="DF104" i="72" s="1"/>
  <c r="Y97" i="72"/>
  <c r="AK98" i="72" s="1"/>
  <c r="AW99" i="72" s="1"/>
  <c r="BI100" i="72" s="1"/>
  <c r="BU101" i="72" s="1"/>
  <c r="CG102" i="72" s="1"/>
  <c r="CS103" i="72" s="1"/>
  <c r="DE104" i="72" s="1"/>
  <c r="X97" i="72"/>
  <c r="AJ98" i="72" s="1"/>
  <c r="AV99" i="72" s="1"/>
  <c r="BH100" i="72" s="1"/>
  <c r="BT101" i="72" s="1"/>
  <c r="CF102" i="72" s="1"/>
  <c r="CR103" i="72" s="1"/>
  <c r="DD104" i="72" s="1"/>
  <c r="W97" i="72"/>
  <c r="AI98" i="72" s="1"/>
  <c r="AU99" i="72" s="1"/>
  <c r="BG100" i="72" s="1"/>
  <c r="BS101" i="72" s="1"/>
  <c r="CE102" i="72" s="1"/>
  <c r="CQ103" i="72" s="1"/>
  <c r="DC104" i="72" s="1"/>
  <c r="V97" i="72"/>
  <c r="AH98" i="72" s="1"/>
  <c r="AT99" i="72" s="1"/>
  <c r="BF100" i="72" s="1"/>
  <c r="BR101" i="72" s="1"/>
  <c r="CD102" i="72" s="1"/>
  <c r="CP103" i="72" s="1"/>
  <c r="DB104" i="72" s="1"/>
  <c r="U97" i="72"/>
  <c r="AG96" i="72"/>
  <c r="AS97" i="72" s="1"/>
  <c r="BE98" i="72" s="1"/>
  <c r="BQ99" i="72" s="1"/>
  <c r="CC100" i="72" s="1"/>
  <c r="CO101" i="72" s="1"/>
  <c r="DA102" i="72" s="1"/>
  <c r="DM103" i="72" s="1"/>
  <c r="AF96" i="72"/>
  <c r="AR97" i="72" s="1"/>
  <c r="BD98" i="72" s="1"/>
  <c r="BP99" i="72" s="1"/>
  <c r="CB100" i="72" s="1"/>
  <c r="CN101" i="72" s="1"/>
  <c r="CZ102" i="72" s="1"/>
  <c r="DL103" i="72" s="1"/>
  <c r="AE96" i="72"/>
  <c r="AQ97" i="72" s="1"/>
  <c r="BC98" i="72" s="1"/>
  <c r="BO99" i="72" s="1"/>
  <c r="CA100" i="72" s="1"/>
  <c r="CM101" i="72" s="1"/>
  <c r="CY102" i="72" s="1"/>
  <c r="DK103" i="72" s="1"/>
  <c r="AD96" i="72"/>
  <c r="AP97" i="72" s="1"/>
  <c r="BB98" i="72" s="1"/>
  <c r="BN99" i="72" s="1"/>
  <c r="BZ100" i="72" s="1"/>
  <c r="CL101" i="72" s="1"/>
  <c r="CX102" i="72" s="1"/>
  <c r="DJ103" i="72" s="1"/>
  <c r="AC96" i="72"/>
  <c r="AO97" i="72" s="1"/>
  <c r="BA98" i="72" s="1"/>
  <c r="BM99" i="72" s="1"/>
  <c r="BY100" i="72" s="1"/>
  <c r="CK101" i="72" s="1"/>
  <c r="CW102" i="72" s="1"/>
  <c r="DI103" i="72" s="1"/>
  <c r="AB96" i="72"/>
  <c r="AN97" i="72" s="1"/>
  <c r="AZ98" i="72" s="1"/>
  <c r="BL99" i="72" s="1"/>
  <c r="BX100" i="72" s="1"/>
  <c r="CJ101" i="72" s="1"/>
  <c r="CV102" i="72" s="1"/>
  <c r="DH103" i="72" s="1"/>
  <c r="DT104" i="72" s="1"/>
  <c r="AA96" i="72"/>
  <c r="AM97" i="72" s="1"/>
  <c r="AY98" i="72" s="1"/>
  <c r="BK99" i="72" s="1"/>
  <c r="BW100" i="72" s="1"/>
  <c r="CI101" i="72" s="1"/>
  <c r="CU102" i="72" s="1"/>
  <c r="DG103" i="72" s="1"/>
  <c r="DS104" i="72" s="1"/>
  <c r="Z96" i="72"/>
  <c r="AL97" i="72" s="1"/>
  <c r="AX98" i="72" s="1"/>
  <c r="BJ99" i="72" s="1"/>
  <c r="BV100" i="72" s="1"/>
  <c r="CH101" i="72" s="1"/>
  <c r="CT102" i="72" s="1"/>
  <c r="DF103" i="72" s="1"/>
  <c r="DR104" i="72" s="1"/>
  <c r="Y96" i="72"/>
  <c r="AK97" i="72" s="1"/>
  <c r="AW98" i="72" s="1"/>
  <c r="BI99" i="72" s="1"/>
  <c r="BU100" i="72" s="1"/>
  <c r="CG101" i="72" s="1"/>
  <c r="CS102" i="72" s="1"/>
  <c r="DE103" i="72" s="1"/>
  <c r="DQ104" i="72" s="1"/>
  <c r="X96" i="72"/>
  <c r="AJ97" i="72" s="1"/>
  <c r="AV98" i="72" s="1"/>
  <c r="BH99" i="72" s="1"/>
  <c r="BT100" i="72" s="1"/>
  <c r="CF101" i="72" s="1"/>
  <c r="CR102" i="72" s="1"/>
  <c r="DD103" i="72" s="1"/>
  <c r="DP104" i="72" s="1"/>
  <c r="W96" i="72"/>
  <c r="AI97" i="72" s="1"/>
  <c r="AU98" i="72" s="1"/>
  <c r="BG99" i="72" s="1"/>
  <c r="BS100" i="72" s="1"/>
  <c r="CE101" i="72" s="1"/>
  <c r="CQ102" i="72" s="1"/>
  <c r="DC103" i="72" s="1"/>
  <c r="DO104" i="72" s="1"/>
  <c r="V96" i="72"/>
  <c r="AH97" i="72" s="1"/>
  <c r="AT98" i="72" s="1"/>
  <c r="BF99" i="72" s="1"/>
  <c r="BR100" i="72" s="1"/>
  <c r="CD101" i="72" s="1"/>
  <c r="CP102" i="72" s="1"/>
  <c r="DB103" i="72" s="1"/>
  <c r="DN104" i="72" s="1"/>
  <c r="U96" i="72"/>
  <c r="T96" i="72"/>
  <c r="S96" i="72"/>
  <c r="R96" i="72"/>
  <c r="BJ95" i="72"/>
  <c r="BV96" i="72" s="1"/>
  <c r="CH97" i="72" s="1"/>
  <c r="CT98" i="72" s="1"/>
  <c r="DF99" i="72" s="1"/>
  <c r="DR100" i="72" s="1"/>
  <c r="BI95" i="72"/>
  <c r="BU96" i="72" s="1"/>
  <c r="CG97" i="72" s="1"/>
  <c r="CS98" i="72" s="1"/>
  <c r="DE99" i="72" s="1"/>
  <c r="DQ100" i="72" s="1"/>
  <c r="BH95" i="72"/>
  <c r="BT96" i="72" s="1"/>
  <c r="CF97" i="72" s="1"/>
  <c r="CR98" i="72" s="1"/>
  <c r="DD99" i="72" s="1"/>
  <c r="DP100" i="72" s="1"/>
  <c r="BG95" i="72"/>
  <c r="BS96" i="72" s="1"/>
  <c r="CE97" i="72" s="1"/>
  <c r="CQ98" i="72" s="1"/>
  <c r="DC99" i="72" s="1"/>
  <c r="DO100" i="72" s="1"/>
  <c r="BF95" i="72"/>
  <c r="BR96" i="72" s="1"/>
  <c r="CD97" i="72" s="1"/>
  <c r="CP98" i="72" s="1"/>
  <c r="DB99" i="72" s="1"/>
  <c r="DN100" i="72" s="1"/>
  <c r="BE95" i="72"/>
  <c r="BQ96" i="72" s="1"/>
  <c r="CC97" i="72" s="1"/>
  <c r="CO98" i="72" s="1"/>
  <c r="DA99" i="72" s="1"/>
  <c r="DM100" i="72" s="1"/>
  <c r="BD95" i="72"/>
  <c r="BP96" i="72" s="1"/>
  <c r="CB97" i="72" s="1"/>
  <c r="CN98" i="72" s="1"/>
  <c r="CZ99" i="72" s="1"/>
  <c r="DL100" i="72" s="1"/>
  <c r="BC95" i="72"/>
  <c r="BO96" i="72" s="1"/>
  <c r="CA97" i="72" s="1"/>
  <c r="CM98" i="72" s="1"/>
  <c r="CY99" i="72" s="1"/>
  <c r="DK100" i="72" s="1"/>
  <c r="BB95" i="72"/>
  <c r="BN96" i="72" s="1"/>
  <c r="BZ97" i="72" s="1"/>
  <c r="CL98" i="72" s="1"/>
  <c r="CX99" i="72" s="1"/>
  <c r="DJ100" i="72" s="1"/>
  <c r="BA95" i="72"/>
  <c r="BM96" i="72" s="1"/>
  <c r="BY97" i="72" s="1"/>
  <c r="CK98" i="72" s="1"/>
  <c r="CW99" i="72" s="1"/>
  <c r="DI100" i="72" s="1"/>
  <c r="AZ95" i="72"/>
  <c r="BL96" i="72" s="1"/>
  <c r="BX97" i="72" s="1"/>
  <c r="CJ98" i="72" s="1"/>
  <c r="CV99" i="72" s="1"/>
  <c r="DH100" i="72" s="1"/>
  <c r="DT101" i="72" s="1"/>
  <c r="AY95" i="72"/>
  <c r="BK96" i="72" s="1"/>
  <c r="BW97" i="72" s="1"/>
  <c r="CI98" i="72" s="1"/>
  <c r="CU99" i="72" s="1"/>
  <c r="DG100" i="72" s="1"/>
  <c r="DS101" i="72" s="1"/>
  <c r="AX95" i="72"/>
  <c r="BJ96" i="72" s="1"/>
  <c r="BV97" i="72" s="1"/>
  <c r="CH98" i="72" s="1"/>
  <c r="CT99" i="72" s="1"/>
  <c r="DF100" i="72" s="1"/>
  <c r="DR101" i="72" s="1"/>
  <c r="AW95" i="72"/>
  <c r="BI96" i="72" s="1"/>
  <c r="BU97" i="72" s="1"/>
  <c r="CG98" i="72" s="1"/>
  <c r="CS99" i="72" s="1"/>
  <c r="DE100" i="72" s="1"/>
  <c r="DQ101" i="72" s="1"/>
  <c r="AV95" i="72"/>
  <c r="BH96" i="72" s="1"/>
  <c r="BT97" i="72" s="1"/>
  <c r="CF98" i="72" s="1"/>
  <c r="CR99" i="72" s="1"/>
  <c r="DD100" i="72" s="1"/>
  <c r="DP101" i="72" s="1"/>
  <c r="AU95" i="72"/>
  <c r="BG96" i="72" s="1"/>
  <c r="BS97" i="72" s="1"/>
  <c r="CE98" i="72" s="1"/>
  <c r="CQ99" i="72" s="1"/>
  <c r="DC100" i="72" s="1"/>
  <c r="DO101" i="72" s="1"/>
  <c r="AT95" i="72"/>
  <c r="BF96" i="72" s="1"/>
  <c r="BR97" i="72" s="1"/>
  <c r="CD98" i="72" s="1"/>
  <c r="CP99" i="72" s="1"/>
  <c r="DB100" i="72" s="1"/>
  <c r="DN101" i="72" s="1"/>
  <c r="AS95" i="72"/>
  <c r="BE96" i="72" s="1"/>
  <c r="BQ97" i="72" s="1"/>
  <c r="CC98" i="72" s="1"/>
  <c r="CO99" i="72" s="1"/>
  <c r="DA100" i="72" s="1"/>
  <c r="DM101" i="72" s="1"/>
  <c r="AR95" i="72"/>
  <c r="BD96" i="72" s="1"/>
  <c r="BP97" i="72" s="1"/>
  <c r="CB98" i="72" s="1"/>
  <c r="CN99" i="72" s="1"/>
  <c r="CZ100" i="72" s="1"/>
  <c r="DL101" i="72" s="1"/>
  <c r="AQ95" i="72"/>
  <c r="BC96" i="72" s="1"/>
  <c r="BO97" i="72" s="1"/>
  <c r="CA98" i="72" s="1"/>
  <c r="CM99" i="72" s="1"/>
  <c r="CY100" i="72" s="1"/>
  <c r="DK101" i="72" s="1"/>
  <c r="AP95" i="72"/>
  <c r="BB96" i="72" s="1"/>
  <c r="BN97" i="72" s="1"/>
  <c r="BZ98" i="72" s="1"/>
  <c r="CL99" i="72" s="1"/>
  <c r="CX100" i="72" s="1"/>
  <c r="DJ101" i="72" s="1"/>
  <c r="AO95" i="72"/>
  <c r="BA96" i="72" s="1"/>
  <c r="BM97" i="72" s="1"/>
  <c r="BY98" i="72" s="1"/>
  <c r="CK99" i="72" s="1"/>
  <c r="CW100" i="72" s="1"/>
  <c r="DI101" i="72" s="1"/>
  <c r="AN95" i="72"/>
  <c r="AZ96" i="72" s="1"/>
  <c r="BL97" i="72" s="1"/>
  <c r="BX98" i="72" s="1"/>
  <c r="CJ99" i="72" s="1"/>
  <c r="CV100" i="72" s="1"/>
  <c r="DH101" i="72" s="1"/>
  <c r="DT102" i="72" s="1"/>
  <c r="U95" i="72"/>
  <c r="T95" i="72"/>
  <c r="S95" i="72"/>
  <c r="R95" i="72"/>
  <c r="Q95" i="72"/>
  <c r="Q99" i="72" s="1"/>
  <c r="P95" i="72"/>
  <c r="P99" i="72" s="1"/>
  <c r="O95" i="72"/>
  <c r="O99" i="72" s="1"/>
  <c r="DD157" i="72" l="1"/>
  <c r="DP158" i="72" s="1"/>
  <c r="DP157" i="72"/>
  <c r="DT157" i="72"/>
  <c r="Z153" i="72"/>
  <c r="Z163" i="72" s="1"/>
  <c r="DH157" i="72"/>
  <c r="DT158" i="72" s="1"/>
  <c r="DL157" i="72"/>
  <c r="CY157" i="72"/>
  <c r="DK158" i="72" s="1"/>
  <c r="DC157" i="72"/>
  <c r="DO158" i="72" s="1"/>
  <c r="DG157" i="72"/>
  <c r="DS158" i="72" s="1"/>
  <c r="DK157" i="72"/>
  <c r="DO157" i="72"/>
  <c r="DS157" i="72"/>
  <c r="AE137" i="72"/>
  <c r="AQ138" i="72" s="1"/>
  <c r="BC139" i="72" s="1"/>
  <c r="BO140" i="72" s="1"/>
  <c r="CA141" i="72" s="1"/>
  <c r="CM142" i="72" s="1"/>
  <c r="CY143" i="72" s="1"/>
  <c r="DK144" i="72" s="1"/>
  <c r="AA153" i="72"/>
  <c r="AB153" i="72"/>
  <c r="AN154" i="72" s="1"/>
  <c r="AZ155" i="72" s="1"/>
  <c r="BL156" i="72" s="1"/>
  <c r="BX157" i="72" s="1"/>
  <c r="CJ158" i="72" s="1"/>
  <c r="CV159" i="72" s="1"/>
  <c r="DH160" i="72" s="1"/>
  <c r="DT161" i="72" s="1"/>
  <c r="R99" i="72"/>
  <c r="AD100" i="72" s="1"/>
  <c r="AP101" i="72" s="1"/>
  <c r="BB102" i="72" s="1"/>
  <c r="BN103" i="72" s="1"/>
  <c r="BZ104" i="72" s="1"/>
  <c r="Y153" i="72"/>
  <c r="AC153" i="72"/>
  <c r="AC163" i="72" s="1"/>
  <c r="S133" i="72"/>
  <c r="AE124" i="72"/>
  <c r="AQ125" i="72" s="1"/>
  <c r="BC126" i="72" s="1"/>
  <c r="BO127" i="72" s="1"/>
  <c r="CA128" i="72" s="1"/>
  <c r="CM129" i="72" s="1"/>
  <c r="CY130" i="72" s="1"/>
  <c r="DK131" i="72" s="1"/>
  <c r="CK128" i="72"/>
  <c r="CW129" i="72" s="1"/>
  <c r="DI130" i="72" s="1"/>
  <c r="P133" i="72"/>
  <c r="AB124" i="72"/>
  <c r="AN125" i="72" s="1"/>
  <c r="AZ126" i="72" s="1"/>
  <c r="BL127" i="72" s="1"/>
  <c r="BX128" i="72" s="1"/>
  <c r="CJ129" i="72" s="1"/>
  <c r="CV130" i="72" s="1"/>
  <c r="DH131" i="72" s="1"/>
  <c r="T133" i="72"/>
  <c r="AF124" i="72"/>
  <c r="AR125" i="72" s="1"/>
  <c r="BD126" i="72" s="1"/>
  <c r="BP127" i="72" s="1"/>
  <c r="CB128" i="72" s="1"/>
  <c r="CN129" i="72" s="1"/>
  <c r="CZ130" i="72" s="1"/>
  <c r="DL131" i="72" s="1"/>
  <c r="X133" i="72"/>
  <c r="AJ124" i="72"/>
  <c r="AV125" i="72" s="1"/>
  <c r="BH126" i="72" s="1"/>
  <c r="BT127" i="72" s="1"/>
  <c r="CF128" i="72" s="1"/>
  <c r="CR129" i="72" s="1"/>
  <c r="DD130" i="72" s="1"/>
  <c r="DP131" i="72" s="1"/>
  <c r="CA139" i="72"/>
  <c r="AC124" i="72"/>
  <c r="Q133" i="72"/>
  <c r="U133" i="72"/>
  <c r="AG124" i="72"/>
  <c r="AS125" i="72" s="1"/>
  <c r="Y133" i="72"/>
  <c r="AK124" i="72"/>
  <c r="AW125" i="72" s="1"/>
  <c r="BI126" i="72" s="1"/>
  <c r="CO127" i="72"/>
  <c r="CW127" i="72"/>
  <c r="DQ129" i="72"/>
  <c r="O133" i="72"/>
  <c r="AA124" i="72"/>
  <c r="AM125" i="72" s="1"/>
  <c r="AY126" i="72" s="1"/>
  <c r="BK127" i="72" s="1"/>
  <c r="BW128" i="72" s="1"/>
  <c r="CI129" i="72" s="1"/>
  <c r="CU130" i="72" s="1"/>
  <c r="DG131" i="72" s="1"/>
  <c r="R133" i="72"/>
  <c r="AD124" i="72"/>
  <c r="AP125" i="72" s="1"/>
  <c r="BB126" i="72" s="1"/>
  <c r="BN127" i="72" s="1"/>
  <c r="BZ128" i="72" s="1"/>
  <c r="CL129" i="72" s="1"/>
  <c r="CX130" i="72" s="1"/>
  <c r="DJ131" i="72" s="1"/>
  <c r="Z133" i="72"/>
  <c r="AL124" i="72"/>
  <c r="AX125" i="72" s="1"/>
  <c r="BJ126" i="72" s="1"/>
  <c r="BV127" i="72" s="1"/>
  <c r="CH128" i="72" s="1"/>
  <c r="CT129" i="72" s="1"/>
  <c r="DF130" i="72" s="1"/>
  <c r="DR131" i="72" s="1"/>
  <c r="AP124" i="72"/>
  <c r="BB125" i="72" s="1"/>
  <c r="BN126" i="72" s="1"/>
  <c r="BZ127" i="72" s="1"/>
  <c r="CL128" i="72" s="1"/>
  <c r="CX129" i="72" s="1"/>
  <c r="DJ130" i="72" s="1"/>
  <c r="AX124" i="72"/>
  <c r="BJ125" i="72" s="1"/>
  <c r="BV126" i="72" s="1"/>
  <c r="CH127" i="72" s="1"/>
  <c r="CT128" i="72" s="1"/>
  <c r="DF129" i="72" s="1"/>
  <c r="DR130" i="72" s="1"/>
  <c r="BJ124" i="72"/>
  <c r="U146" i="72"/>
  <c r="AG137" i="72"/>
  <c r="AS138" i="72" s="1"/>
  <c r="BE139" i="72" s="1"/>
  <c r="BQ140" i="72" s="1"/>
  <c r="CC141" i="72" s="1"/>
  <c r="CO142" i="72" s="1"/>
  <c r="DA143" i="72" s="1"/>
  <c r="DM144" i="72" s="1"/>
  <c r="R146" i="72"/>
  <c r="AD137" i="72"/>
  <c r="AP138" i="72" s="1"/>
  <c r="BB139" i="72" s="1"/>
  <c r="BN140" i="72" s="1"/>
  <c r="BZ141" i="72" s="1"/>
  <c r="CL142" i="72" s="1"/>
  <c r="CX143" i="72" s="1"/>
  <c r="DJ144" i="72" s="1"/>
  <c r="AA133" i="72"/>
  <c r="AQ124" i="72"/>
  <c r="BC125" i="72" s="1"/>
  <c r="BO126" i="72" s="1"/>
  <c r="CA127" i="72" s="1"/>
  <c r="CM128" i="72" s="1"/>
  <c r="CY129" i="72" s="1"/>
  <c r="DK130" i="72" s="1"/>
  <c r="AU124" i="72"/>
  <c r="BG125" i="72" s="1"/>
  <c r="BS126" i="72" s="1"/>
  <c r="CE127" i="72" s="1"/>
  <c r="CQ128" i="72" s="1"/>
  <c r="DC129" i="72" s="1"/>
  <c r="DO130" i="72" s="1"/>
  <c r="AY124" i="72"/>
  <c r="BK125" i="72" s="1"/>
  <c r="BW126" i="72" s="1"/>
  <c r="CI127" i="72" s="1"/>
  <c r="CU128" i="72" s="1"/>
  <c r="DG129" i="72" s="1"/>
  <c r="DS130" i="72" s="1"/>
  <c r="BC124" i="72"/>
  <c r="BG124" i="72"/>
  <c r="BK124" i="72"/>
  <c r="AW133" i="72"/>
  <c r="V146" i="72"/>
  <c r="AH137" i="72"/>
  <c r="AT138" i="72" s="1"/>
  <c r="BF139" i="72" s="1"/>
  <c r="BR140" i="72" s="1"/>
  <c r="CD141" i="72" s="1"/>
  <c r="CP142" i="72" s="1"/>
  <c r="DB143" i="72" s="1"/>
  <c r="DN144" i="72" s="1"/>
  <c r="BT138" i="72"/>
  <c r="BX138" i="72"/>
  <c r="AI137" i="72"/>
  <c r="AU138" i="72" s="1"/>
  <c r="BG139" i="72" s="1"/>
  <c r="BS140" i="72" s="1"/>
  <c r="CE141" i="72" s="1"/>
  <c r="CQ142" i="72" s="1"/>
  <c r="DC143" i="72" s="1"/>
  <c r="DO144" i="72" s="1"/>
  <c r="BF124" i="72"/>
  <c r="AN133" i="72"/>
  <c r="BD124" i="72"/>
  <c r="AK133" i="72"/>
  <c r="BQ138" i="72"/>
  <c r="BU138" i="72"/>
  <c r="BY138" i="72"/>
  <c r="CE139" i="72"/>
  <c r="AT124" i="72"/>
  <c r="BF125" i="72" s="1"/>
  <c r="BR126" i="72" s="1"/>
  <c r="CD127" i="72" s="1"/>
  <c r="CP128" i="72" s="1"/>
  <c r="DB129" i="72" s="1"/>
  <c r="DN130" i="72" s="1"/>
  <c r="BB124" i="72"/>
  <c r="AR124" i="72"/>
  <c r="BD125" i="72" s="1"/>
  <c r="BP126" i="72" s="1"/>
  <c r="CB127" i="72" s="1"/>
  <c r="CN128" i="72" s="1"/>
  <c r="CZ129" i="72" s="1"/>
  <c r="DL130" i="72" s="1"/>
  <c r="BH124" i="72"/>
  <c r="BX125" i="72"/>
  <c r="T146" i="72"/>
  <c r="AF137" i="72"/>
  <c r="AX137" i="72"/>
  <c r="BJ138" i="72" s="1"/>
  <c r="BV139" i="72" s="1"/>
  <c r="CH140" i="72" s="1"/>
  <c r="CT141" i="72" s="1"/>
  <c r="DF142" i="72" s="1"/>
  <c r="DR143" i="72" s="1"/>
  <c r="BB137" i="72"/>
  <c r="BF137" i="72"/>
  <c r="BJ137" i="72"/>
  <c r="BW138" i="72"/>
  <c r="CZ127" i="72"/>
  <c r="DL128" i="72" s="1"/>
  <c r="DD127" i="72"/>
  <c r="DP128" i="72" s="1"/>
  <c r="DH127" i="72"/>
  <c r="DT128" i="72" s="1"/>
  <c r="DL127" i="72"/>
  <c r="DP127" i="72"/>
  <c r="DT127" i="72"/>
  <c r="AV137" i="72"/>
  <c r="BH138" i="72" s="1"/>
  <c r="BT139" i="72" s="1"/>
  <c r="CF140" i="72" s="1"/>
  <c r="CR141" i="72" s="1"/>
  <c r="DD142" i="72" s="1"/>
  <c r="DP143" i="72" s="1"/>
  <c r="AZ137" i="72"/>
  <c r="BL138" i="72" s="1"/>
  <c r="BX139" i="72" s="1"/>
  <c r="CJ140" i="72" s="1"/>
  <c r="CV141" i="72" s="1"/>
  <c r="DH142" i="72" s="1"/>
  <c r="DT143" i="72" s="1"/>
  <c r="BD137" i="72"/>
  <c r="DA140" i="72"/>
  <c r="DM141" i="72" s="1"/>
  <c r="DE140" i="72"/>
  <c r="DQ141" i="72" s="1"/>
  <c r="DI140" i="72"/>
  <c r="DM140" i="72"/>
  <c r="DQ140" i="72"/>
  <c r="V163" i="72"/>
  <c r="AH154" i="72"/>
  <c r="AT155" i="72" s="1"/>
  <c r="BF156" i="72" s="1"/>
  <c r="BR157" i="72" s="1"/>
  <c r="CD158" i="72" s="1"/>
  <c r="CP159" i="72" s="1"/>
  <c r="DB160" i="72" s="1"/>
  <c r="DN161" i="72" s="1"/>
  <c r="CX140" i="72"/>
  <c r="DJ141" i="72" s="1"/>
  <c r="DB140" i="72"/>
  <c r="DN141" i="72" s="1"/>
  <c r="DF140" i="72"/>
  <c r="DR141" i="72" s="1"/>
  <c r="DJ140" i="72"/>
  <c r="DN140" i="72"/>
  <c r="DR140" i="72"/>
  <c r="CZ140" i="72"/>
  <c r="DL141" i="72" s="1"/>
  <c r="AB163" i="72"/>
  <c r="AA163" i="72"/>
  <c r="AM154" i="72"/>
  <c r="AY155" i="72" s="1"/>
  <c r="BK156" i="72" s="1"/>
  <c r="BW157" i="72" s="1"/>
  <c r="CI158" i="72" s="1"/>
  <c r="CU159" i="72" s="1"/>
  <c r="DG160" i="72" s="1"/>
  <c r="DS161" i="72" s="1"/>
  <c r="AJ154" i="72"/>
  <c r="AV155" i="72" s="1"/>
  <c r="BH156" i="72" s="1"/>
  <c r="BT157" i="72" s="1"/>
  <c r="CF158" i="72" s="1"/>
  <c r="CR159" i="72" s="1"/>
  <c r="DD160" i="72" s="1"/>
  <c r="DP161" i="72" s="1"/>
  <c r="X163" i="72"/>
  <c r="DA157" i="72"/>
  <c r="DM158" i="72" s="1"/>
  <c r="DE157" i="72"/>
  <c r="DQ158" i="72" s="1"/>
  <c r="DI157" i="72"/>
  <c r="DM157" i="72"/>
  <c r="DQ157" i="72"/>
  <c r="AG154" i="72"/>
  <c r="AS155" i="72" s="1"/>
  <c r="BE156" i="72" s="1"/>
  <c r="BQ157" i="72" s="1"/>
  <c r="CC158" i="72" s="1"/>
  <c r="CO159" i="72" s="1"/>
  <c r="DA160" i="72" s="1"/>
  <c r="DM161" i="72" s="1"/>
  <c r="W163" i="72"/>
  <c r="CX157" i="72"/>
  <c r="DJ158" i="72" s="1"/>
  <c r="DB157" i="72"/>
  <c r="DN158" i="72" s="1"/>
  <c r="DF157" i="72"/>
  <c r="DR158" i="72" s="1"/>
  <c r="DJ157" i="72"/>
  <c r="DN157" i="72"/>
  <c r="DR157" i="72"/>
  <c r="S99" i="72"/>
  <c r="AE100" i="72" s="1"/>
  <c r="AQ101" i="72" s="1"/>
  <c r="BC102" i="72" s="1"/>
  <c r="BO103" i="72" s="1"/>
  <c r="CA104" i="72" s="1"/>
  <c r="T99" i="72"/>
  <c r="T105" i="72" s="1"/>
  <c r="U99" i="72"/>
  <c r="U105" i="72" s="1"/>
  <c r="Z105" i="72"/>
  <c r="AL105" i="72"/>
  <c r="W105" i="72"/>
  <c r="P105" i="72"/>
  <c r="AB100" i="72"/>
  <c r="AN101" i="72" s="1"/>
  <c r="AZ102" i="72" s="1"/>
  <c r="BL103" i="72" s="1"/>
  <c r="BX104" i="72" s="1"/>
  <c r="X105" i="72"/>
  <c r="V105" i="72"/>
  <c r="O105" i="72"/>
  <c r="AA100" i="72"/>
  <c r="AM101" i="72" s="1"/>
  <c r="AY102" i="72" s="1"/>
  <c r="BK103" i="72" s="1"/>
  <c r="BW104" i="72" s="1"/>
  <c r="AC100" i="72"/>
  <c r="AO101" i="72" s="1"/>
  <c r="BA102" i="72" s="1"/>
  <c r="BM103" i="72" s="1"/>
  <c r="BY104" i="72" s="1"/>
  <c r="Q105" i="72"/>
  <c r="Y105" i="72"/>
  <c r="AV133" i="72" l="1"/>
  <c r="S105" i="72"/>
  <c r="BL133" i="72"/>
  <c r="AJ133" i="72"/>
  <c r="R105" i="72"/>
  <c r="AZ133" i="72"/>
  <c r="AB133" i="72"/>
  <c r="AL154" i="72"/>
  <c r="AX155" i="72" s="1"/>
  <c r="BJ156" i="72" s="1"/>
  <c r="BV157" i="72" s="1"/>
  <c r="CH158" i="72" s="1"/>
  <c r="CT159" i="72" s="1"/>
  <c r="DF160" i="72" s="1"/>
  <c r="DR161" i="72" s="1"/>
  <c r="AE133" i="72"/>
  <c r="AG133" i="72"/>
  <c r="AL133" i="72"/>
  <c r="AG100" i="72"/>
  <c r="AS101" i="72" s="1"/>
  <c r="BE102" i="72" s="1"/>
  <c r="BQ103" i="72" s="1"/>
  <c r="CC104" i="72" s="1"/>
  <c r="AD133" i="72"/>
  <c r="AF100" i="72"/>
  <c r="AR101" i="72" s="1"/>
  <c r="BD102" i="72" s="1"/>
  <c r="BP103" i="72" s="1"/>
  <c r="CB104" i="72" s="1"/>
  <c r="Y163" i="72"/>
  <c r="AK154" i="72"/>
  <c r="AW155" i="72" s="1"/>
  <c r="BI156" i="72" s="1"/>
  <c r="BU157" i="72" s="1"/>
  <c r="CG158" i="72" s="1"/>
  <c r="CS159" i="72" s="1"/>
  <c r="DE160" i="72" s="1"/>
  <c r="DQ161" i="72" s="1"/>
  <c r="AO154" i="72"/>
  <c r="BA155" i="72" s="1"/>
  <c r="BM156" i="72" s="1"/>
  <c r="BY157" i="72" s="1"/>
  <c r="CK158" i="72" s="1"/>
  <c r="CW159" i="72" s="1"/>
  <c r="DI160" i="72" s="1"/>
  <c r="AM133" i="72"/>
  <c r="BH133" i="72"/>
  <c r="BT125" i="72"/>
  <c r="DI128" i="72"/>
  <c r="AP133" i="72"/>
  <c r="CK139" i="72"/>
  <c r="CC139" i="72"/>
  <c r="BR125" i="72"/>
  <c r="CJ139" i="72"/>
  <c r="AO125" i="72"/>
  <c r="AC133" i="72"/>
  <c r="CM140" i="72"/>
  <c r="BP138" i="72"/>
  <c r="CI139" i="72"/>
  <c r="BD133" i="72"/>
  <c r="BP125" i="72"/>
  <c r="BO125" i="72"/>
  <c r="BC133" i="72"/>
  <c r="BV125" i="72"/>
  <c r="BJ133" i="72"/>
  <c r="BU127" i="72"/>
  <c r="BI133" i="72"/>
  <c r="BV138" i="72"/>
  <c r="BN138" i="72"/>
  <c r="AR138" i="72"/>
  <c r="BN125" i="72"/>
  <c r="BB133" i="72"/>
  <c r="CQ140" i="72"/>
  <c r="AF133" i="72"/>
  <c r="BS125" i="72"/>
  <c r="AS133" i="72"/>
  <c r="BE126" i="72"/>
  <c r="BR138" i="72"/>
  <c r="BW125" i="72"/>
  <c r="BK133" i="72"/>
  <c r="BX133" i="72"/>
  <c r="CJ126" i="72"/>
  <c r="CG139" i="72"/>
  <c r="AR133" i="72"/>
  <c r="CF139" i="72"/>
  <c r="AY133" i="72"/>
  <c r="AQ133" i="72"/>
  <c r="AX133" i="72"/>
  <c r="DA128" i="72"/>
  <c r="AD105" i="72"/>
  <c r="AH105" i="72"/>
  <c r="AK105" i="72"/>
  <c r="AN105" i="72"/>
  <c r="AV105" i="72"/>
  <c r="BA105" i="72"/>
  <c r="AC105" i="72"/>
  <c r="AA105" i="72"/>
  <c r="AT105" i="72"/>
  <c r="BL105" i="72"/>
  <c r="BB105" i="72"/>
  <c r="AU105" i="72"/>
  <c r="AM105" i="72"/>
  <c r="BG105" i="72"/>
  <c r="AW105" i="72"/>
  <c r="BI105" i="72"/>
  <c r="AO105" i="72"/>
  <c r="AZ105" i="72"/>
  <c r="AR105" i="72"/>
  <c r="AJ105" i="72"/>
  <c r="AB105" i="72"/>
  <c r="AE105" i="72"/>
  <c r="AP105" i="72"/>
  <c r="BK105" i="72"/>
  <c r="BC105" i="72"/>
  <c r="BJ105" i="72"/>
  <c r="BM105" i="72"/>
  <c r="BF105" i="72"/>
  <c r="BH105" i="72"/>
  <c r="AY105" i="72"/>
  <c r="AQ105" i="72"/>
  <c r="AI105" i="72"/>
  <c r="AX105" i="72"/>
  <c r="AG105" i="72" l="1"/>
  <c r="BE105" i="72"/>
  <c r="AS105" i="72"/>
  <c r="AF105" i="72"/>
  <c r="BD105" i="72"/>
  <c r="BD139" i="72"/>
  <c r="CR140" i="72"/>
  <c r="CS140" i="72"/>
  <c r="BZ139" i="72"/>
  <c r="CY141" i="72"/>
  <c r="CW140" i="72"/>
  <c r="BT133" i="72"/>
  <c r="CF126" i="72"/>
  <c r="BO133" i="72"/>
  <c r="CA126" i="72"/>
  <c r="CB139" i="72"/>
  <c r="BA126" i="72"/>
  <c r="AO133" i="72"/>
  <c r="BW133" i="72"/>
  <c r="CI126" i="72"/>
  <c r="CE126" i="72"/>
  <c r="BZ126" i="72"/>
  <c r="BN133" i="72"/>
  <c r="BV133" i="72"/>
  <c r="CH126" i="72"/>
  <c r="BP133" i="72"/>
  <c r="CB126" i="72"/>
  <c r="CU140" i="72"/>
  <c r="CD126" i="72"/>
  <c r="CG128" i="72"/>
  <c r="BU133" i="72"/>
  <c r="DM129" i="72"/>
  <c r="CJ133" i="72"/>
  <c r="CV127" i="72"/>
  <c r="CD139" i="72"/>
  <c r="BQ127" i="72"/>
  <c r="BE133" i="72"/>
  <c r="DC141" i="72"/>
  <c r="CH139" i="72"/>
  <c r="CV140" i="72"/>
  <c r="CO140" i="72"/>
  <c r="BQ105" i="72"/>
  <c r="BN105" i="72"/>
  <c r="BP105" i="72"/>
  <c r="BO105" i="72"/>
  <c r="CT127" i="72" l="1"/>
  <c r="CH133" i="72"/>
  <c r="DH141" i="72"/>
  <c r="CT140" i="72"/>
  <c r="CL127" i="72"/>
  <c r="BZ133" i="72"/>
  <c r="DO142" i="72"/>
  <c r="CS129" i="72"/>
  <c r="CG133" i="72"/>
  <c r="DI141" i="72"/>
  <c r="CC128" i="72"/>
  <c r="BQ133" i="72"/>
  <c r="CP127" i="72"/>
  <c r="CB133" i="72"/>
  <c r="CN127" i="72"/>
  <c r="CQ127" i="72"/>
  <c r="CA133" i="72"/>
  <c r="CM127" i="72"/>
  <c r="CF133" i="72"/>
  <c r="CR127" i="72"/>
  <c r="DD141" i="72"/>
  <c r="DG141" i="72"/>
  <c r="CI133" i="72"/>
  <c r="CU127" i="72"/>
  <c r="CN140" i="72"/>
  <c r="DE141" i="72"/>
  <c r="DA141" i="72"/>
  <c r="CP140" i="72"/>
  <c r="DH128" i="72"/>
  <c r="CV133" i="72"/>
  <c r="BM127" i="72"/>
  <c r="BA133" i="72"/>
  <c r="DK142" i="72"/>
  <c r="CL140" i="72"/>
  <c r="BP140" i="72"/>
  <c r="DT129" i="72" l="1"/>
  <c r="DT133" i="72" s="1"/>
  <c r="DH133" i="72"/>
  <c r="DB141" i="72"/>
  <c r="DG128" i="72"/>
  <c r="CU133" i="72"/>
  <c r="DD128" i="72"/>
  <c r="CR133" i="72"/>
  <c r="CY128" i="72"/>
  <c r="CM133" i="72"/>
  <c r="CZ128" i="72"/>
  <c r="CN133" i="72"/>
  <c r="CO129" i="72"/>
  <c r="CC133" i="72"/>
  <c r="DE130" i="72"/>
  <c r="CS133" i="72"/>
  <c r="DM142" i="72"/>
  <c r="DS142" i="72"/>
  <c r="DB128" i="72"/>
  <c r="DF141" i="72"/>
  <c r="CB141" i="72"/>
  <c r="BY128" i="72"/>
  <c r="BM133" i="72"/>
  <c r="DQ142" i="72"/>
  <c r="DP142" i="72"/>
  <c r="CX141" i="72"/>
  <c r="CZ141" i="72"/>
  <c r="DC128" i="72"/>
  <c r="CX128" i="72"/>
  <c r="CL133" i="72"/>
  <c r="DT142" i="72"/>
  <c r="DF128" i="72"/>
  <c r="CT133" i="72"/>
  <c r="DL142" i="72" l="1"/>
  <c r="DQ131" i="72"/>
  <c r="DQ133" i="72" s="1"/>
  <c r="DE133" i="72"/>
  <c r="DK129" i="72"/>
  <c r="DK133" i="72" s="1"/>
  <c r="CY133" i="72"/>
  <c r="DS129" i="72"/>
  <c r="DS133" i="72" s="1"/>
  <c r="DG133" i="72"/>
  <c r="DR129" i="72"/>
  <c r="DR133" i="72" s="1"/>
  <c r="DF133" i="72"/>
  <c r="DJ129" i="72"/>
  <c r="DJ133" i="72" s="1"/>
  <c r="CX133" i="72"/>
  <c r="DO129" i="72"/>
  <c r="DJ142" i="72"/>
  <c r="CK129" i="72"/>
  <c r="BY133" i="72"/>
  <c r="DR142" i="72"/>
  <c r="CN142" i="72"/>
  <c r="DN129" i="72"/>
  <c r="DA130" i="72"/>
  <c r="CO133" i="72"/>
  <c r="DL129" i="72"/>
  <c r="DL133" i="72" s="1"/>
  <c r="CZ133" i="72"/>
  <c r="DP129" i="72"/>
  <c r="DP133" i="72" s="1"/>
  <c r="DD133" i="72"/>
  <c r="DN142" i="72"/>
  <c r="DM131" i="72" l="1"/>
  <c r="DM133" i="72" s="1"/>
  <c r="DA133" i="72"/>
  <c r="CZ143" i="72"/>
  <c r="CW130" i="72"/>
  <c r="CK133" i="72"/>
  <c r="DL144" i="72" l="1"/>
  <c r="DI131" i="72"/>
  <c r="DI133" i="72" s="1"/>
  <c r="CW133" i="72"/>
  <c r="AA75" i="72" l="1"/>
  <c r="Z75" i="72"/>
  <c r="Y75" i="72"/>
  <c r="X75" i="72"/>
  <c r="R75" i="72"/>
  <c r="Q75" i="72"/>
  <c r="P75" i="72"/>
  <c r="O75" i="72"/>
  <c r="N75" i="72"/>
  <c r="M75" i="72"/>
  <c r="L75" i="72"/>
  <c r="K75" i="72"/>
  <c r="DS73" i="72"/>
  <c r="DR73" i="72"/>
  <c r="DQ73" i="72"/>
  <c r="DP73" i="72"/>
  <c r="DJ73" i="72"/>
  <c r="DI73" i="72"/>
  <c r="DG72" i="72"/>
  <c r="DF72" i="72"/>
  <c r="DE72" i="72"/>
  <c r="DD72" i="72"/>
  <c r="CX72" i="72"/>
  <c r="CW72" i="72"/>
  <c r="CU71" i="72"/>
  <c r="CT71" i="72"/>
  <c r="CS71" i="72"/>
  <c r="CR71" i="72"/>
  <c r="CL71" i="72"/>
  <c r="CK71" i="72"/>
  <c r="DL70" i="72"/>
  <c r="DK70" i="72"/>
  <c r="DJ70" i="72"/>
  <c r="CI70" i="72"/>
  <c r="CH70" i="72"/>
  <c r="CG70" i="72"/>
  <c r="CF70" i="72"/>
  <c r="BZ70" i="72"/>
  <c r="BY70" i="72"/>
  <c r="CX69" i="72"/>
  <c r="BW69" i="72"/>
  <c r="BV69" i="72"/>
  <c r="BU69" i="72"/>
  <c r="BT69" i="72"/>
  <c r="BN69" i="72"/>
  <c r="BM69" i="72"/>
  <c r="CN68" i="72"/>
  <c r="CM68" i="72"/>
  <c r="CL68" i="72"/>
  <c r="BK68" i="72"/>
  <c r="BJ68" i="72"/>
  <c r="BI68" i="72"/>
  <c r="BH68" i="72"/>
  <c r="BB68" i="72"/>
  <c r="BA68" i="72"/>
  <c r="CJ67" i="72"/>
  <c r="CI67" i="72"/>
  <c r="CH67" i="72"/>
  <c r="CG67" i="72"/>
  <c r="CF67" i="72"/>
  <c r="CE67" i="72"/>
  <c r="CD67" i="72"/>
  <c r="CC67" i="72"/>
  <c r="CB67" i="72"/>
  <c r="CA67" i="72"/>
  <c r="BZ67" i="72"/>
  <c r="AY67" i="72"/>
  <c r="AX67" i="72"/>
  <c r="AW67" i="72"/>
  <c r="AV67" i="72"/>
  <c r="AP67" i="72"/>
  <c r="AO67" i="72"/>
  <c r="BP66" i="72"/>
  <c r="BO66" i="72"/>
  <c r="BN66" i="72"/>
  <c r="AM66" i="72"/>
  <c r="AL66" i="72"/>
  <c r="AK66" i="72"/>
  <c r="AJ66" i="72"/>
  <c r="AD66" i="72"/>
  <c r="AC66" i="72"/>
  <c r="AC65" i="72"/>
  <c r="DI72" i="72" s="1"/>
  <c r="AB65" i="72"/>
  <c r="AB75" i="72" s="1"/>
  <c r="W65" i="72"/>
  <c r="CQ71" i="72" s="1"/>
  <c r="V65" i="72"/>
  <c r="BR69" i="72" s="1"/>
  <c r="U65" i="72"/>
  <c r="DM73" i="72" s="1"/>
  <c r="T65" i="72"/>
  <c r="T75" i="72" s="1"/>
  <c r="S65" i="72"/>
  <c r="BG63" i="72"/>
  <c r="BF63" i="72"/>
  <c r="BE63" i="72"/>
  <c r="BD63" i="72"/>
  <c r="BC63" i="72"/>
  <c r="BB63" i="72"/>
  <c r="BA63" i="72"/>
  <c r="CO51" i="72"/>
  <c r="DA52" i="72" s="1"/>
  <c r="DM53" i="72" s="1"/>
  <c r="CP51" i="72"/>
  <c r="DB52" i="72" s="1"/>
  <c r="DN53" i="72" s="1"/>
  <c r="CQ51" i="72"/>
  <c r="DC52" i="72" s="1"/>
  <c r="DO53" i="72" s="1"/>
  <c r="CR51" i="72"/>
  <c r="DD52" i="72" s="1"/>
  <c r="DP53" i="72" s="1"/>
  <c r="CS51" i="72"/>
  <c r="DE52" i="72" s="1"/>
  <c r="DQ53" i="72" s="1"/>
  <c r="CT51" i="72"/>
  <c r="DF52" i="72" s="1"/>
  <c r="DR53" i="72" s="1"/>
  <c r="CU51" i="72"/>
  <c r="DG52" i="72" s="1"/>
  <c r="DS53" i="72" s="1"/>
  <c r="CV51" i="72"/>
  <c r="DH52" i="72" s="1"/>
  <c r="DT53" i="72" s="1"/>
  <c r="CW51" i="72"/>
  <c r="DI52" i="72" s="1"/>
  <c r="CX51" i="72"/>
  <c r="DJ52" i="72" s="1"/>
  <c r="CY51" i="72"/>
  <c r="DK52" i="72" s="1"/>
  <c r="CZ51" i="72"/>
  <c r="DL52" i="72" s="1"/>
  <c r="DA51" i="72"/>
  <c r="DM52" i="72" s="1"/>
  <c r="DB51" i="72"/>
  <c r="DN52" i="72" s="1"/>
  <c r="DC51" i="72"/>
  <c r="DO52" i="72" s="1"/>
  <c r="DD51" i="72"/>
  <c r="DP52" i="72" s="1"/>
  <c r="DE51" i="72"/>
  <c r="DQ52" i="72" s="1"/>
  <c r="DF51" i="72"/>
  <c r="DR52" i="72" s="1"/>
  <c r="DG51" i="72"/>
  <c r="DS52" i="72" s="1"/>
  <c r="DH51" i="72"/>
  <c r="DT52" i="72" s="1"/>
  <c r="DI51" i="72"/>
  <c r="DJ51" i="72"/>
  <c r="DK51" i="72"/>
  <c r="DL51" i="72"/>
  <c r="DM51" i="72"/>
  <c r="DN51" i="72"/>
  <c r="DO51" i="72"/>
  <c r="DP51" i="72"/>
  <c r="DQ51" i="72"/>
  <c r="DR51" i="72"/>
  <c r="DS51" i="72"/>
  <c r="DT51" i="72"/>
  <c r="BV52" i="72"/>
  <c r="BW52" i="72"/>
  <c r="CI53" i="72" s="1"/>
  <c r="CU54" i="72" s="1"/>
  <c r="DG55" i="72" s="1"/>
  <c r="DS56" i="72" s="1"/>
  <c r="BX52" i="72"/>
  <c r="CJ53" i="72" s="1"/>
  <c r="CV54" i="72" s="1"/>
  <c r="DH55" i="72" s="1"/>
  <c r="DT56" i="72" s="1"/>
  <c r="BY52" i="72"/>
  <c r="CK53" i="72" s="1"/>
  <c r="CW54" i="72" s="1"/>
  <c r="DI55" i="72" s="1"/>
  <c r="BZ52" i="72"/>
  <c r="CL53" i="72" s="1"/>
  <c r="CX54" i="72" s="1"/>
  <c r="DJ55" i="72" s="1"/>
  <c r="CA52" i="72"/>
  <c r="CM53" i="72" s="1"/>
  <c r="CY54" i="72" s="1"/>
  <c r="DK55" i="72" s="1"/>
  <c r="CB52" i="72"/>
  <c r="CN53" i="72" s="1"/>
  <c r="CZ54" i="72" s="1"/>
  <c r="DL55" i="72" s="1"/>
  <c r="CC52" i="72"/>
  <c r="CO53" i="72" s="1"/>
  <c r="DA54" i="72" s="1"/>
  <c r="DM55" i="72" s="1"/>
  <c r="CH53" i="72"/>
  <c r="CT54" i="72" s="1"/>
  <c r="DF55" i="72" s="1"/>
  <c r="DR56" i="72" s="1"/>
  <c r="BS55" i="72"/>
  <c r="CE56" i="72" s="1"/>
  <c r="CQ57" i="72" s="1"/>
  <c r="BT55" i="72"/>
  <c r="BU55" i="72"/>
  <c r="CG56" i="72" s="1"/>
  <c r="CS57" i="72" s="1"/>
  <c r="BV55" i="72"/>
  <c r="CH56" i="72" s="1"/>
  <c r="CT57" i="72" s="1"/>
  <c r="BW55" i="72"/>
  <c r="CI56" i="72" s="1"/>
  <c r="CU57" i="72" s="1"/>
  <c r="BX55" i="72"/>
  <c r="CJ56" i="72" s="1"/>
  <c r="CV57" i="72" s="1"/>
  <c r="BS56" i="72"/>
  <c r="CE57" i="72" s="1"/>
  <c r="BT56" i="72"/>
  <c r="CF57" i="72" s="1"/>
  <c r="BU56" i="72"/>
  <c r="CG57" i="72" s="1"/>
  <c r="BV56" i="72"/>
  <c r="BW56" i="72"/>
  <c r="BX56" i="72"/>
  <c r="CJ57" i="72" s="1"/>
  <c r="BY56" i="72"/>
  <c r="CK57" i="72" s="1"/>
  <c r="BZ56" i="72"/>
  <c r="CL57" i="72" s="1"/>
  <c r="CA56" i="72"/>
  <c r="CM57" i="72" s="1"/>
  <c r="CB56" i="72"/>
  <c r="CN57" i="72" s="1"/>
  <c r="CC56" i="72"/>
  <c r="CO57" i="72" s="1"/>
  <c r="CF56" i="72"/>
  <c r="CR57" i="72" s="1"/>
  <c r="BS57" i="72"/>
  <c r="BT57" i="72"/>
  <c r="BU57" i="72"/>
  <c r="BV57" i="72"/>
  <c r="BW57" i="72"/>
  <c r="BX57" i="72"/>
  <c r="BY57" i="72"/>
  <c r="BZ57" i="72"/>
  <c r="CA57" i="72"/>
  <c r="CB57" i="72"/>
  <c r="CC57" i="72"/>
  <c r="CH57" i="72"/>
  <c r="CI57" i="72"/>
  <c r="BR55" i="72"/>
  <c r="CD56" i="72" s="1"/>
  <c r="CP57" i="72" s="1"/>
  <c r="BR56" i="72"/>
  <c r="CD57" i="72" s="1"/>
  <c r="BR57" i="72"/>
  <c r="AR47" i="72"/>
  <c r="BA48" i="72" s="1"/>
  <c r="BM49" i="72" s="1"/>
  <c r="BY50" i="72" s="1"/>
  <c r="CK51" i="72" s="1"/>
  <c r="CW52" i="72" s="1"/>
  <c r="DI53" i="72" s="1"/>
  <c r="AS47" i="72"/>
  <c r="BB48" i="72" s="1"/>
  <c r="BN49" i="72" s="1"/>
  <c r="BZ50" i="72" s="1"/>
  <c r="CL51" i="72" s="1"/>
  <c r="CX52" i="72" s="1"/>
  <c r="DJ53" i="72" s="1"/>
  <c r="AT47" i="72"/>
  <c r="BC48" i="72" s="1"/>
  <c r="BO49" i="72" s="1"/>
  <c r="CA50" i="72" s="1"/>
  <c r="CM51" i="72" s="1"/>
  <c r="CY52" i="72" s="1"/>
  <c r="DK53" i="72" s="1"/>
  <c r="AU47" i="72"/>
  <c r="BD48" i="72" s="1"/>
  <c r="BP49" i="72" s="1"/>
  <c r="CB50" i="72" s="1"/>
  <c r="CN51" i="72" s="1"/>
  <c r="CZ52" i="72" s="1"/>
  <c r="DL53" i="72" s="1"/>
  <c r="AV47" i="72"/>
  <c r="BE48" i="72" s="1"/>
  <c r="AW47" i="72"/>
  <c r="BF48" i="72" s="1"/>
  <c r="AX47" i="72"/>
  <c r="BG48" i="72" s="1"/>
  <c r="AY47" i="72"/>
  <c r="BH48" i="72" s="1"/>
  <c r="AZ47" i="72"/>
  <c r="BI48" i="72" s="1"/>
  <c r="BA47" i="72"/>
  <c r="BJ48" i="72" s="1"/>
  <c r="BB47" i="72"/>
  <c r="BK48" i="72" s="1"/>
  <c r="BC47" i="72"/>
  <c r="BL48" i="72" s="1"/>
  <c r="BD47" i="72"/>
  <c r="BM48" i="72" s="1"/>
  <c r="BE47" i="72"/>
  <c r="BN48" i="72" s="1"/>
  <c r="BF47" i="72"/>
  <c r="BO48" i="72" s="1"/>
  <c r="BG47" i="72"/>
  <c r="BP48" i="72" s="1"/>
  <c r="BH47" i="72"/>
  <c r="BQ48" i="72" s="1"/>
  <c r="BI47" i="72"/>
  <c r="BR48" i="72" s="1"/>
  <c r="BJ47" i="72"/>
  <c r="BK47" i="72"/>
  <c r="BL47" i="72"/>
  <c r="BM47" i="72"/>
  <c r="BN47" i="72"/>
  <c r="BO47" i="72"/>
  <c r="BP47" i="72"/>
  <c r="BQ47" i="72"/>
  <c r="BR47" i="72"/>
  <c r="BS47" i="72"/>
  <c r="BT47" i="72"/>
  <c r="BU47" i="72"/>
  <c r="BV47" i="72"/>
  <c r="BW47" i="72"/>
  <c r="BX47" i="72"/>
  <c r="AN47" i="72"/>
  <c r="AW48" i="72" s="1"/>
  <c r="BI49" i="72" s="1"/>
  <c r="BU50" i="72" s="1"/>
  <c r="CG51" i="72" s="1"/>
  <c r="CS52" i="72" s="1"/>
  <c r="DE53" i="72" s="1"/>
  <c r="DQ54" i="72" s="1"/>
  <c r="AO47" i="72"/>
  <c r="AX48" i="72" s="1"/>
  <c r="BJ49" i="72" s="1"/>
  <c r="BV50" i="72" s="1"/>
  <c r="CH51" i="72" s="1"/>
  <c r="CT52" i="72" s="1"/>
  <c r="DF53" i="72" s="1"/>
  <c r="DR54" i="72" s="1"/>
  <c r="AP47" i="72"/>
  <c r="AY48" i="72" s="1"/>
  <c r="BK49" i="72" s="1"/>
  <c r="BW50" i="72" s="1"/>
  <c r="CI51" i="72" s="1"/>
  <c r="CU52" i="72" s="1"/>
  <c r="DG53" i="72" s="1"/>
  <c r="DS54" i="72" s="1"/>
  <c r="AQ47" i="72"/>
  <c r="AZ48" i="72" s="1"/>
  <c r="BL49" i="72" s="1"/>
  <c r="BX50" i="72" s="1"/>
  <c r="CJ51" i="72" s="1"/>
  <c r="CV52" i="72" s="1"/>
  <c r="DH53" i="72" s="1"/>
  <c r="DT54" i="72" s="1"/>
  <c r="R72" i="74"/>
  <c r="E17" i="62"/>
  <c r="F17" i="62" s="1"/>
  <c r="DJ39" i="72"/>
  <c r="DK39" i="72"/>
  <c r="DL39" i="72"/>
  <c r="CX38" i="72"/>
  <c r="CL37" i="72"/>
  <c r="CM37" i="72"/>
  <c r="CN37" i="72"/>
  <c r="BZ36" i="72"/>
  <c r="CA36" i="72"/>
  <c r="CB36" i="72"/>
  <c r="CC36" i="72"/>
  <c r="CD36" i="72"/>
  <c r="CE36" i="72"/>
  <c r="CF36" i="72"/>
  <c r="CG36" i="72"/>
  <c r="CH36" i="72"/>
  <c r="CI36" i="72"/>
  <c r="CJ36" i="72"/>
  <c r="BN35" i="72"/>
  <c r="BO35" i="72"/>
  <c r="BP35" i="72"/>
  <c r="BE32" i="72"/>
  <c r="BF32" i="72"/>
  <c r="BG32" i="72"/>
  <c r="DQ25" i="72"/>
  <c r="BU21" i="72"/>
  <c r="BV21" i="72"/>
  <c r="AY19" i="72"/>
  <c r="AZ19" i="72"/>
  <c r="AK18" i="72"/>
  <c r="AW19" i="72" s="1"/>
  <c r="AL18" i="72"/>
  <c r="AX19" i="72" s="1"/>
  <c r="DT15" i="72"/>
  <c r="DT5" i="44" s="1"/>
  <c r="T15" i="72"/>
  <c r="T5" i="44" s="1"/>
  <c r="U15" i="72"/>
  <c r="U5" i="44" s="1"/>
  <c r="V15" i="72"/>
  <c r="V5" i="44" s="1"/>
  <c r="W15" i="72"/>
  <c r="W5" i="44" s="1"/>
  <c r="X15" i="72"/>
  <c r="X5" i="44" s="1"/>
  <c r="Y15" i="72"/>
  <c r="Y5" i="44" s="1"/>
  <c r="Z15" i="72"/>
  <c r="Z5" i="44" s="1"/>
  <c r="AA15" i="72"/>
  <c r="AA5" i="44" s="1"/>
  <c r="AB15" i="72"/>
  <c r="AB5" i="44" s="1"/>
  <c r="AC15" i="72"/>
  <c r="AC5" i="44" s="1"/>
  <c r="AD15" i="72"/>
  <c r="AD5" i="44" s="1"/>
  <c r="AF15" i="72"/>
  <c r="AF5" i="44" s="1"/>
  <c r="AG15" i="72"/>
  <c r="AG5" i="44" s="1"/>
  <c r="AH15" i="72"/>
  <c r="AH5" i="44" s="1"/>
  <c r="AI15" i="72"/>
  <c r="AI5" i="44" s="1"/>
  <c r="AJ15" i="72"/>
  <c r="AJ5" i="44" s="1"/>
  <c r="AK15" i="72"/>
  <c r="AK5" i="44" s="1"/>
  <c r="AL15" i="72"/>
  <c r="AL5" i="44" s="1"/>
  <c r="AM15" i="72"/>
  <c r="AM5" i="44" s="1"/>
  <c r="AN15" i="72"/>
  <c r="AN5" i="44" s="1"/>
  <c r="AO15" i="72"/>
  <c r="AO5" i="44" s="1"/>
  <c r="AP15" i="72"/>
  <c r="AP5" i="44" s="1"/>
  <c r="AR15" i="72"/>
  <c r="AR5" i="44" s="1"/>
  <c r="AS15" i="72"/>
  <c r="AS5" i="44" s="1"/>
  <c r="AT15" i="72"/>
  <c r="AT5" i="44" s="1"/>
  <c r="AU15" i="72"/>
  <c r="AU5" i="44" s="1"/>
  <c r="AV15" i="72"/>
  <c r="AV5" i="44" s="1"/>
  <c r="AW15" i="72"/>
  <c r="AW5" i="44" s="1"/>
  <c r="AX15" i="72"/>
  <c r="AX5" i="44" s="1"/>
  <c r="AY15" i="72"/>
  <c r="AY5" i="44" s="1"/>
  <c r="AZ15" i="72"/>
  <c r="AZ5" i="44" s="1"/>
  <c r="BA15" i="72"/>
  <c r="BA5" i="44" s="1"/>
  <c r="BB15" i="72"/>
  <c r="BB5" i="44" s="1"/>
  <c r="BD15" i="72"/>
  <c r="BD5" i="44" s="1"/>
  <c r="BE15" i="72"/>
  <c r="BE5" i="44" s="1"/>
  <c r="BF15" i="72"/>
  <c r="BF5" i="44" s="1"/>
  <c r="BG15" i="72"/>
  <c r="BG5" i="44" s="1"/>
  <c r="BH15" i="72"/>
  <c r="BH5" i="44" s="1"/>
  <c r="BI15" i="72"/>
  <c r="BI5" i="44" s="1"/>
  <c r="BJ15" i="72"/>
  <c r="BJ5" i="44" s="1"/>
  <c r="BK15" i="72"/>
  <c r="BK5" i="44" s="1"/>
  <c r="BL15" i="72"/>
  <c r="BL5" i="44" s="1"/>
  <c r="BM15" i="72"/>
  <c r="BM5" i="44" s="1"/>
  <c r="BN15" i="72"/>
  <c r="BN5" i="44" s="1"/>
  <c r="BP15" i="72"/>
  <c r="BP5" i="44" s="1"/>
  <c r="BQ15" i="72"/>
  <c r="BQ5" i="44" s="1"/>
  <c r="BR15" i="72"/>
  <c r="BR5" i="44" s="1"/>
  <c r="BS15" i="72"/>
  <c r="BS5" i="44" s="1"/>
  <c r="BT15" i="72"/>
  <c r="BT5" i="44" s="1"/>
  <c r="BU15" i="72"/>
  <c r="BU5" i="44" s="1"/>
  <c r="BV15" i="72"/>
  <c r="BV5" i="44" s="1"/>
  <c r="BW15" i="72"/>
  <c r="BW5" i="44" s="1"/>
  <c r="BX15" i="72"/>
  <c r="BX5" i="44" s="1"/>
  <c r="BY15" i="72"/>
  <c r="BY5" i="44" s="1"/>
  <c r="BZ15" i="72"/>
  <c r="BZ5" i="44" s="1"/>
  <c r="CB15" i="72"/>
  <c r="CB5" i="44" s="1"/>
  <c r="CC15" i="72"/>
  <c r="CC5" i="44" s="1"/>
  <c r="CD15" i="72"/>
  <c r="CD5" i="44" s="1"/>
  <c r="CE15" i="72"/>
  <c r="CE5" i="44" s="1"/>
  <c r="CF15" i="72"/>
  <c r="CF5" i="44" s="1"/>
  <c r="CG15" i="72"/>
  <c r="CG5" i="44" s="1"/>
  <c r="CH15" i="72"/>
  <c r="CH5" i="44" s="1"/>
  <c r="CI15" i="72"/>
  <c r="CI5" i="44" s="1"/>
  <c r="CJ15" i="72"/>
  <c r="CJ5" i="44" s="1"/>
  <c r="CK15" i="72"/>
  <c r="CK5" i="44" s="1"/>
  <c r="CL15" i="72"/>
  <c r="CL5" i="44" s="1"/>
  <c r="CN15" i="72"/>
  <c r="CN5" i="44" s="1"/>
  <c r="CO15" i="72"/>
  <c r="CO5" i="44" s="1"/>
  <c r="CP15" i="72"/>
  <c r="CP5" i="44" s="1"/>
  <c r="CQ15" i="72"/>
  <c r="CQ5" i="44" s="1"/>
  <c r="CR15" i="72"/>
  <c r="CR5" i="44" s="1"/>
  <c r="CS15" i="72"/>
  <c r="CS5" i="44" s="1"/>
  <c r="CT15" i="72"/>
  <c r="CT5" i="44" s="1"/>
  <c r="CU15" i="72"/>
  <c r="CU5" i="44" s="1"/>
  <c r="CV15" i="72"/>
  <c r="CV5" i="44" s="1"/>
  <c r="CW15" i="72"/>
  <c r="CW5" i="44" s="1"/>
  <c r="CX15" i="72"/>
  <c r="CX5" i="44" s="1"/>
  <c r="CZ15" i="72"/>
  <c r="CZ5" i="44" s="1"/>
  <c r="DA15" i="72"/>
  <c r="DA5" i="44" s="1"/>
  <c r="DB15" i="72"/>
  <c r="DB5" i="44" s="1"/>
  <c r="DC15" i="72"/>
  <c r="DC5" i="44" s="1"/>
  <c r="DD15" i="72"/>
  <c r="DD5" i="44" s="1"/>
  <c r="DE15" i="72"/>
  <c r="DE5" i="44" s="1"/>
  <c r="DF15" i="72"/>
  <c r="DF5" i="44" s="1"/>
  <c r="DG15" i="72"/>
  <c r="DG5" i="44" s="1"/>
  <c r="DH15" i="72"/>
  <c r="DH5" i="44" s="1"/>
  <c r="DI15" i="72"/>
  <c r="DI5" i="44" s="1"/>
  <c r="DJ15" i="72"/>
  <c r="DJ5" i="44" s="1"/>
  <c r="DL15" i="72"/>
  <c r="DL5" i="44" s="1"/>
  <c r="DM15" i="72"/>
  <c r="DM5" i="44" s="1"/>
  <c r="DN15" i="72"/>
  <c r="DN5" i="44" s="1"/>
  <c r="DO15" i="72"/>
  <c r="DO5" i="44" s="1"/>
  <c r="DP15" i="72"/>
  <c r="DP5" i="44" s="1"/>
  <c r="DQ15" i="72"/>
  <c r="DQ5" i="44" s="1"/>
  <c r="DR15" i="72"/>
  <c r="DR5" i="44" s="1"/>
  <c r="DS15" i="72"/>
  <c r="DS5" i="44" s="1"/>
  <c r="M28" i="72"/>
  <c r="U28" i="72"/>
  <c r="T28" i="72"/>
  <c r="R28" i="72"/>
  <c r="Q28" i="72"/>
  <c r="P28" i="72"/>
  <c r="O28" i="72"/>
  <c r="N28" i="72"/>
  <c r="L28" i="72"/>
  <c r="K28" i="72"/>
  <c r="AE27" i="72"/>
  <c r="AE26" i="72"/>
  <c r="AE24" i="72"/>
  <c r="AE23" i="72"/>
  <c r="AE21" i="72"/>
  <c r="S19" i="72"/>
  <c r="S28" i="72" s="1"/>
  <c r="AE8" i="72"/>
  <c r="AE10" i="72"/>
  <c r="AE11" i="72"/>
  <c r="AE13" i="72"/>
  <c r="AE14" i="72"/>
  <c r="U18" i="75"/>
  <c r="V18" i="75"/>
  <c r="W18" i="75"/>
  <c r="X18" i="75"/>
  <c r="Y18" i="75"/>
  <c r="Z18" i="75"/>
  <c r="AA18" i="75"/>
  <c r="U19" i="75"/>
  <c r="V19" i="75"/>
  <c r="W19" i="75"/>
  <c r="X19" i="75"/>
  <c r="Y19" i="75"/>
  <c r="Z19" i="75"/>
  <c r="AA19" i="75"/>
  <c r="U18" i="82"/>
  <c r="V18" i="82"/>
  <c r="W18" i="82"/>
  <c r="X18" i="82"/>
  <c r="Y18" i="82"/>
  <c r="Z18" i="82"/>
  <c r="AA18" i="82"/>
  <c r="AB18" i="82"/>
  <c r="AC18" i="82"/>
  <c r="AD18" i="82"/>
  <c r="AE18" i="82"/>
  <c r="AF18" i="82"/>
  <c r="AG18" i="82"/>
  <c r="U19" i="82"/>
  <c r="V19" i="82"/>
  <c r="W19" i="82"/>
  <c r="X19" i="82"/>
  <c r="Y19" i="82"/>
  <c r="Z19" i="82"/>
  <c r="AA19" i="82"/>
  <c r="AB19" i="82"/>
  <c r="AC19" i="82"/>
  <c r="AD19" i="82"/>
  <c r="AE19" i="82"/>
  <c r="AF19" i="82"/>
  <c r="AG19" i="82"/>
  <c r="AV48" i="72" l="1"/>
  <c r="BH49" i="72" s="1"/>
  <c r="BT50" i="72" s="1"/>
  <c r="CF51" i="72" s="1"/>
  <c r="CR52" i="72" s="1"/>
  <c r="DD53" i="72" s="1"/>
  <c r="DP54" i="72" s="1"/>
  <c r="AJ47" i="72"/>
  <c r="AS67" i="72"/>
  <c r="AH66" i="72"/>
  <c r="BY69" i="72"/>
  <c r="CV71" i="72"/>
  <c r="AO66" i="72"/>
  <c r="AT67" i="72"/>
  <c r="BE68" i="72"/>
  <c r="CB70" i="72"/>
  <c r="DT73" i="72"/>
  <c r="BA67" i="72"/>
  <c r="BF68" i="72"/>
  <c r="BQ69" i="72"/>
  <c r="CJ70" i="72"/>
  <c r="CZ72" i="72"/>
  <c r="U75" i="72"/>
  <c r="DL73" i="72"/>
  <c r="AG66" i="72"/>
  <c r="BM68" i="72"/>
  <c r="CN71" i="72"/>
  <c r="DH72" i="72"/>
  <c r="AC75" i="72"/>
  <c r="S75" i="72"/>
  <c r="BO69" i="72"/>
  <c r="BC68" i="72"/>
  <c r="AQ67" i="72"/>
  <c r="AE66" i="72"/>
  <c r="CM71" i="72"/>
  <c r="DC72" i="72"/>
  <c r="CY72" i="72"/>
  <c r="DK73" i="72"/>
  <c r="W75" i="72"/>
  <c r="BS69" i="72"/>
  <c r="BG68" i="72"/>
  <c r="AU67" i="72"/>
  <c r="AI66" i="72"/>
  <c r="DO73" i="72"/>
  <c r="CE70" i="72"/>
  <c r="DN73" i="72"/>
  <c r="DB72" i="72"/>
  <c r="CP71" i="72"/>
  <c r="CD70" i="72"/>
  <c r="CA70" i="72"/>
  <c r="V75" i="72"/>
  <c r="CC70" i="72"/>
  <c r="CK70" i="72"/>
  <c r="CO71" i="72"/>
  <c r="CW71" i="72"/>
  <c r="DA72" i="72"/>
  <c r="AF66" i="72"/>
  <c r="AN66" i="72"/>
  <c r="AR67" i="72"/>
  <c r="AZ67" i="72"/>
  <c r="BD68" i="72"/>
  <c r="BL68" i="72"/>
  <c r="BP69" i="72"/>
  <c r="BX69" i="72"/>
  <c r="AE20" i="72"/>
  <c r="AQ21" i="72" s="1"/>
  <c r="BC22" i="72" s="1"/>
  <c r="BO23" i="72" s="1"/>
  <c r="CA24" i="72" s="1"/>
  <c r="CM25" i="72" s="1"/>
  <c r="CY26" i="72" s="1"/>
  <c r="DK27" i="72" s="1"/>
  <c r="E11" i="77"/>
  <c r="E12" i="77" s="1"/>
  <c r="E13" i="77" s="1"/>
  <c r="E14" i="77" s="1"/>
  <c r="E15" i="77" s="1"/>
  <c r="E16" i="77" s="1"/>
  <c r="E17" i="77" s="1"/>
  <c r="F11" i="77"/>
  <c r="F12" i="77" s="1"/>
  <c r="F13" i="77" s="1"/>
  <c r="F14" i="77" s="1"/>
  <c r="F15" i="77" s="1"/>
  <c r="F16" i="77" s="1"/>
  <c r="F17" i="77" s="1"/>
  <c r="G11" i="77"/>
  <c r="G12" i="77" s="1"/>
  <c r="G13" i="77" s="1"/>
  <c r="G14" i="77" s="1"/>
  <c r="G15" i="77" s="1"/>
  <c r="G16" i="77" s="1"/>
  <c r="G17" i="77" s="1"/>
  <c r="H11" i="77"/>
  <c r="H12" i="77" s="1"/>
  <c r="H13" i="77" s="1"/>
  <c r="H14" i="77" s="1"/>
  <c r="H15" i="77" s="1"/>
  <c r="H16" i="77" s="1"/>
  <c r="H17" i="77" s="1"/>
  <c r="I11" i="77"/>
  <c r="I12" i="77" s="1"/>
  <c r="I13" i="77" s="1"/>
  <c r="I14" i="77" s="1"/>
  <c r="I15" i="77" s="1"/>
  <c r="I16" i="77" s="1"/>
  <c r="I17" i="77" s="1"/>
  <c r="J11" i="77"/>
  <c r="J12" i="77" s="1"/>
  <c r="J13" i="77" s="1"/>
  <c r="J14" i="77" s="1"/>
  <c r="J15" i="77" s="1"/>
  <c r="J16" i="77" s="1"/>
  <c r="J17" i="77" s="1"/>
  <c r="K11" i="77"/>
  <c r="K12" i="77" s="1"/>
  <c r="K13" i="77" s="1"/>
  <c r="K14" i="77" s="1"/>
  <c r="K15" i="77" s="1"/>
  <c r="K16" i="77" s="1"/>
  <c r="K17" i="77" s="1"/>
  <c r="L11" i="77"/>
  <c r="L12" i="77" s="1"/>
  <c r="L13" i="77" s="1"/>
  <c r="L14" i="77" s="1"/>
  <c r="L15" i="77" s="1"/>
  <c r="L16" i="77" s="1"/>
  <c r="L17" i="77" s="1"/>
  <c r="M11" i="77"/>
  <c r="M12" i="77" s="1"/>
  <c r="M13" i="77" s="1"/>
  <c r="M14" i="77" s="1"/>
  <c r="M15" i="77" s="1"/>
  <c r="M16" i="77" s="1"/>
  <c r="M17" i="77" s="1"/>
  <c r="N11" i="77"/>
  <c r="N12" i="77" s="1"/>
  <c r="N13" i="77" s="1"/>
  <c r="N14" i="77" s="1"/>
  <c r="N15" i="77" s="1"/>
  <c r="N16" i="77" s="1"/>
  <c r="N17" i="77" s="1"/>
  <c r="O11" i="77"/>
  <c r="O12" i="77" s="1"/>
  <c r="O13" i="77" s="1"/>
  <c r="O14" i="77" s="1"/>
  <c r="O15" i="77" s="1"/>
  <c r="O16" i="77" s="1"/>
  <c r="O17" i="77" s="1"/>
  <c r="P11" i="77"/>
  <c r="P12" i="77" s="1"/>
  <c r="P13" i="77" s="1"/>
  <c r="P14" i="77" s="1"/>
  <c r="P15" i="77" s="1"/>
  <c r="P16" i="77" s="1"/>
  <c r="P17" i="77" s="1"/>
  <c r="D11" i="77"/>
  <c r="D12" i="77" s="1"/>
  <c r="D13" i="77" s="1"/>
  <c r="D14" i="77" s="1"/>
  <c r="D15" i="77" s="1"/>
  <c r="D16" i="77" s="1"/>
  <c r="D17" i="77" s="1"/>
  <c r="P58" i="77"/>
  <c r="O58" i="77"/>
  <c r="P57" i="77"/>
  <c r="O57" i="77"/>
  <c r="P56" i="77"/>
  <c r="O56" i="77"/>
  <c r="P55" i="77"/>
  <c r="O55" i="77"/>
  <c r="P54" i="77"/>
  <c r="O54" i="77"/>
  <c r="D62" i="77"/>
  <c r="D63" i="77" s="1"/>
  <c r="D64" i="77" s="1"/>
  <c r="D65" i="77" s="1"/>
  <c r="E62" i="77"/>
  <c r="F62" i="77"/>
  <c r="G62" i="77"/>
  <c r="G63" i="77" s="1"/>
  <c r="G64" i="77" s="1"/>
  <c r="G65" i="77" s="1"/>
  <c r="H62" i="77"/>
  <c r="H63" i="77" s="1"/>
  <c r="H64" i="77" s="1"/>
  <c r="H65" i="77" s="1"/>
  <c r="I62" i="77"/>
  <c r="I63" i="77" s="1"/>
  <c r="I64" i="77" s="1"/>
  <c r="I65" i="77" s="1"/>
  <c r="J62" i="77"/>
  <c r="J63" i="77" s="1"/>
  <c r="J64" i="77" s="1"/>
  <c r="J65" i="77" s="1"/>
  <c r="K62" i="77"/>
  <c r="K63" i="77" s="1"/>
  <c r="K64" i="77" s="1"/>
  <c r="K65" i="77" s="1"/>
  <c r="L62" i="77"/>
  <c r="L63" i="77" s="1"/>
  <c r="L64" i="77" s="1"/>
  <c r="L65" i="77" s="1"/>
  <c r="M62" i="77"/>
  <c r="M63" i="77" s="1"/>
  <c r="M64" i="77" s="1"/>
  <c r="M65" i="77" s="1"/>
  <c r="N62" i="77"/>
  <c r="N63" i="77" s="1"/>
  <c r="N64" i="77" s="1"/>
  <c r="N65" i="77" s="1"/>
  <c r="O62" i="77"/>
  <c r="O63" i="77" s="1"/>
  <c r="O64" i="77" s="1"/>
  <c r="O65" i="77" s="1"/>
  <c r="P62" i="77"/>
  <c r="P63" i="77" s="1"/>
  <c r="P64" i="77" s="1"/>
  <c r="P65" i="77" s="1"/>
  <c r="E63" i="77"/>
  <c r="E64" i="77" s="1"/>
  <c r="E65" i="77" s="1"/>
  <c r="F63" i="77"/>
  <c r="F64" i="77" s="1"/>
  <c r="F65" i="77" s="1"/>
  <c r="U44" i="76" l="1"/>
  <c r="T44" i="76"/>
  <c r="S44" i="76"/>
  <c r="R44" i="76"/>
  <c r="Q44" i="76"/>
  <c r="P44" i="76"/>
  <c r="O44" i="76"/>
  <c r="N44" i="76"/>
  <c r="M44" i="76"/>
  <c r="L44" i="76"/>
  <c r="K44" i="76"/>
  <c r="J44" i="76"/>
  <c r="I44" i="76"/>
  <c r="H44" i="76"/>
  <c r="G44" i="76"/>
  <c r="F44" i="76"/>
  <c r="E43" i="76"/>
  <c r="F43" i="76" s="1"/>
  <c r="G43" i="76" s="1"/>
  <c r="H43" i="76" s="1"/>
  <c r="I43" i="76" s="1"/>
  <c r="J43" i="76" s="1"/>
  <c r="K43" i="76" s="1"/>
  <c r="L43" i="76" s="1"/>
  <c r="M43" i="76" s="1"/>
  <c r="N43" i="76" s="1"/>
  <c r="O43" i="76" s="1"/>
  <c r="P43" i="76" s="1"/>
  <c r="Q43" i="76" s="1"/>
  <c r="R43" i="76" s="1"/>
  <c r="S43" i="76" s="1"/>
  <c r="T43" i="76" s="1"/>
  <c r="U43" i="76" s="1"/>
  <c r="U42" i="76"/>
  <c r="T42" i="76"/>
  <c r="S42" i="76"/>
  <c r="R42" i="76"/>
  <c r="Q42" i="76"/>
  <c r="P42" i="76"/>
  <c r="O42" i="76"/>
  <c r="N42" i="76"/>
  <c r="M42" i="76"/>
  <c r="L42" i="76"/>
  <c r="K42" i="76"/>
  <c r="J42" i="76"/>
  <c r="I42" i="76"/>
  <c r="H42" i="76"/>
  <c r="G42" i="76"/>
  <c r="F42" i="76"/>
  <c r="E42" i="76"/>
  <c r="E44" i="76" s="1"/>
  <c r="U33" i="76"/>
  <c r="T33" i="76"/>
  <c r="S33" i="76"/>
  <c r="R33" i="76"/>
  <c r="Q33" i="76"/>
  <c r="P33" i="76"/>
  <c r="O33" i="76"/>
  <c r="N33" i="76"/>
  <c r="M33" i="76"/>
  <c r="L33" i="76"/>
  <c r="K33" i="76"/>
  <c r="J33" i="76"/>
  <c r="I33" i="76"/>
  <c r="H33" i="76"/>
  <c r="G33" i="76"/>
  <c r="F33" i="76"/>
  <c r="U28" i="76"/>
  <c r="T28" i="76"/>
  <c r="S28" i="76"/>
  <c r="R28" i="76"/>
  <c r="Q28" i="76"/>
  <c r="P28" i="76"/>
  <c r="O28" i="76"/>
  <c r="N28" i="76"/>
  <c r="M28" i="76"/>
  <c r="L28" i="76"/>
  <c r="K28" i="76"/>
  <c r="J28" i="76"/>
  <c r="I28" i="76"/>
  <c r="H28" i="76"/>
  <c r="G28" i="76"/>
  <c r="F28" i="76"/>
  <c r="E28" i="76"/>
  <c r="E27" i="76"/>
  <c r="E20" i="76"/>
  <c r="T19" i="76"/>
  <c r="S19" i="76"/>
  <c r="R19" i="76"/>
  <c r="Q19" i="76"/>
  <c r="P19" i="76"/>
  <c r="O19" i="76"/>
  <c r="N19" i="76"/>
  <c r="M19" i="76"/>
  <c r="L19" i="76"/>
  <c r="K19" i="76"/>
  <c r="J19" i="76"/>
  <c r="I19" i="76"/>
  <c r="H19" i="76"/>
  <c r="G19" i="76"/>
  <c r="F19" i="76"/>
  <c r="E19" i="76"/>
  <c r="D19" i="76"/>
  <c r="T18" i="76"/>
  <c r="S18" i="76"/>
  <c r="S35" i="76" s="1"/>
  <c r="R18" i="76"/>
  <c r="Q18" i="76"/>
  <c r="P18" i="76"/>
  <c r="O18" i="76"/>
  <c r="O35" i="76" s="1"/>
  <c r="N18" i="76"/>
  <c r="M18" i="76"/>
  <c r="L18" i="76"/>
  <c r="K18" i="76"/>
  <c r="K35" i="76" s="1"/>
  <c r="J18" i="76"/>
  <c r="I18" i="76"/>
  <c r="H18" i="76"/>
  <c r="G18" i="76"/>
  <c r="G35" i="76" s="1"/>
  <c r="F18" i="76"/>
  <c r="E18" i="76"/>
  <c r="D18" i="76"/>
  <c r="E16" i="76"/>
  <c r="F16" i="76" s="1"/>
  <c r="G16" i="76" s="1"/>
  <c r="H16" i="76" s="1"/>
  <c r="I16" i="76" s="1"/>
  <c r="J16" i="76" s="1"/>
  <c r="K16" i="76" s="1"/>
  <c r="L16" i="76" s="1"/>
  <c r="M16" i="76" s="1"/>
  <c r="N16" i="76" s="1"/>
  <c r="O16" i="76" s="1"/>
  <c r="P16" i="76" s="1"/>
  <c r="Q16" i="76" s="1"/>
  <c r="R16" i="76" s="1"/>
  <c r="S16" i="76" s="1"/>
  <c r="T16" i="76" s="1"/>
  <c r="U16" i="76" s="1"/>
  <c r="T44" i="82"/>
  <c r="S44" i="82"/>
  <c r="R44" i="82"/>
  <c r="Q44" i="82"/>
  <c r="P44" i="82"/>
  <c r="O44" i="82"/>
  <c r="N44" i="82"/>
  <c r="M44" i="82"/>
  <c r="L44" i="82"/>
  <c r="K44" i="82"/>
  <c r="J44" i="82"/>
  <c r="I44" i="82"/>
  <c r="H44" i="82"/>
  <c r="G44" i="82"/>
  <c r="F44" i="82"/>
  <c r="E43" i="82"/>
  <c r="F43" i="82" s="1"/>
  <c r="G43" i="82" s="1"/>
  <c r="H43" i="82" s="1"/>
  <c r="I43" i="82" s="1"/>
  <c r="J43" i="82" s="1"/>
  <c r="K43" i="82" s="1"/>
  <c r="L43" i="82" s="1"/>
  <c r="M43" i="82" s="1"/>
  <c r="N43" i="82" s="1"/>
  <c r="O43" i="82" s="1"/>
  <c r="P43" i="82" s="1"/>
  <c r="Q43" i="82" s="1"/>
  <c r="R43" i="82" s="1"/>
  <c r="S43" i="82" s="1"/>
  <c r="T43" i="82" s="1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E44" i="82" s="1"/>
  <c r="T33" i="82"/>
  <c r="S33" i="82"/>
  <c r="R33" i="82"/>
  <c r="Q33" i="82"/>
  <c r="P33" i="82"/>
  <c r="O33" i="82"/>
  <c r="N33" i="82"/>
  <c r="M33" i="82"/>
  <c r="L33" i="82"/>
  <c r="K33" i="82"/>
  <c r="J33" i="82"/>
  <c r="I33" i="82"/>
  <c r="H33" i="82"/>
  <c r="G33" i="82"/>
  <c r="F33" i="82"/>
  <c r="T28" i="82"/>
  <c r="S28" i="82"/>
  <c r="R28" i="82"/>
  <c r="Q28" i="82"/>
  <c r="P28" i="82"/>
  <c r="O28" i="82"/>
  <c r="N28" i="82"/>
  <c r="M28" i="82"/>
  <c r="L28" i="82"/>
  <c r="K28" i="82"/>
  <c r="J28" i="82"/>
  <c r="I28" i="82"/>
  <c r="H28" i="82"/>
  <c r="G28" i="82"/>
  <c r="F28" i="82"/>
  <c r="E28" i="82"/>
  <c r="E27" i="82"/>
  <c r="F27" i="82" s="1"/>
  <c r="E20" i="82"/>
  <c r="F20" i="82" s="1"/>
  <c r="T19" i="82"/>
  <c r="S19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D19" i="82"/>
  <c r="T18" i="82"/>
  <c r="S18" i="82"/>
  <c r="R18" i="82"/>
  <c r="Q18" i="82"/>
  <c r="P18" i="82"/>
  <c r="O18" i="82"/>
  <c r="N18" i="82"/>
  <c r="M18" i="82"/>
  <c r="L18" i="82"/>
  <c r="K18" i="82"/>
  <c r="J18" i="82"/>
  <c r="I18" i="82"/>
  <c r="H18" i="82"/>
  <c r="G18" i="82"/>
  <c r="F18" i="82"/>
  <c r="E18" i="82"/>
  <c r="D18" i="82"/>
  <c r="E16" i="82"/>
  <c r="F16" i="82" s="1"/>
  <c r="G16" i="82" s="1"/>
  <c r="H16" i="82" s="1"/>
  <c r="I16" i="82" s="1"/>
  <c r="J16" i="82" s="1"/>
  <c r="K16" i="82" s="1"/>
  <c r="L16" i="82" s="1"/>
  <c r="M16" i="82" s="1"/>
  <c r="N16" i="82" s="1"/>
  <c r="O16" i="82" s="1"/>
  <c r="P16" i="82" s="1"/>
  <c r="Q16" i="82" s="1"/>
  <c r="R16" i="82" s="1"/>
  <c r="S16" i="82" s="1"/>
  <c r="T16" i="82" s="1"/>
  <c r="E19" i="75"/>
  <c r="F19" i="75"/>
  <c r="G19" i="75"/>
  <c r="H19" i="75"/>
  <c r="I19" i="75"/>
  <c r="J19" i="75"/>
  <c r="K19" i="75"/>
  <c r="L19" i="75"/>
  <c r="M19" i="75"/>
  <c r="N19" i="75"/>
  <c r="O19" i="75"/>
  <c r="P19" i="75"/>
  <c r="Q19" i="75"/>
  <c r="R19" i="75"/>
  <c r="S19" i="75"/>
  <c r="T19" i="75"/>
  <c r="D19" i="75"/>
  <c r="I35" i="82" l="1"/>
  <c r="M35" i="82"/>
  <c r="Q35" i="82"/>
  <c r="J35" i="76"/>
  <c r="N35" i="76"/>
  <c r="R35" i="76"/>
  <c r="F35" i="76"/>
  <c r="H35" i="76"/>
  <c r="L35" i="76"/>
  <c r="P35" i="76"/>
  <c r="T35" i="76"/>
  <c r="F35" i="82"/>
  <c r="J35" i="82"/>
  <c r="N35" i="82"/>
  <c r="R35" i="82"/>
  <c r="H35" i="82"/>
  <c r="L35" i="82"/>
  <c r="P35" i="82"/>
  <c r="T35" i="82"/>
  <c r="F27" i="76"/>
  <c r="I35" i="76"/>
  <c r="M35" i="76"/>
  <c r="Q35" i="76"/>
  <c r="U35" i="76"/>
  <c r="F20" i="76"/>
  <c r="G27" i="82"/>
  <c r="K35" i="82"/>
  <c r="O35" i="82"/>
  <c r="G20" i="82"/>
  <c r="G35" i="82"/>
  <c r="S35" i="82"/>
  <c r="G27" i="76" l="1"/>
  <c r="G20" i="76"/>
  <c r="H27" i="82"/>
  <c r="H20" i="82"/>
  <c r="H20" i="76" l="1"/>
  <c r="H27" i="76"/>
  <c r="I20" i="82"/>
  <c r="I27" i="82"/>
  <c r="I27" i="76" l="1"/>
  <c r="I20" i="76"/>
  <c r="J20" i="82"/>
  <c r="J27" i="82"/>
  <c r="J20" i="76" l="1"/>
  <c r="J27" i="76"/>
  <c r="K20" i="82"/>
  <c r="K27" i="82"/>
  <c r="K27" i="76" l="1"/>
  <c r="K20" i="76"/>
  <c r="L20" i="82"/>
  <c r="L27" i="82"/>
  <c r="L20" i="76" l="1"/>
  <c r="L27" i="76"/>
  <c r="M20" i="82"/>
  <c r="M27" i="82"/>
  <c r="M20" i="76" l="1"/>
  <c r="M27" i="76"/>
  <c r="N27" i="82"/>
  <c r="N20" i="82"/>
  <c r="N27" i="76" l="1"/>
  <c r="N20" i="76"/>
  <c r="O27" i="82"/>
  <c r="O20" i="82"/>
  <c r="O27" i="76" l="1"/>
  <c r="O20" i="76"/>
  <c r="P20" i="82"/>
  <c r="P27" i="82"/>
  <c r="P20" i="76" l="1"/>
  <c r="P27" i="76"/>
  <c r="Q20" i="82"/>
  <c r="Q27" i="82"/>
  <c r="Q20" i="76" l="1"/>
  <c r="Q27" i="76"/>
  <c r="R20" i="82"/>
  <c r="R27" i="82"/>
  <c r="R27" i="76" l="1"/>
  <c r="R20" i="76"/>
  <c r="S27" i="82"/>
  <c r="S20" i="82"/>
  <c r="S20" i="76" l="1"/>
  <c r="S27" i="76"/>
  <c r="T20" i="82"/>
  <c r="U20" i="82" s="1"/>
  <c r="V20" i="82" s="1"/>
  <c r="W20" i="82" s="1"/>
  <c r="X20" i="82" s="1"/>
  <c r="Y20" i="82" s="1"/>
  <c r="Z20" i="82" s="1"/>
  <c r="AA20" i="82" s="1"/>
  <c r="AB20" i="82" s="1"/>
  <c r="AC20" i="82" s="1"/>
  <c r="AD20" i="82" s="1"/>
  <c r="AE20" i="82" s="1"/>
  <c r="AF20" i="82" s="1"/>
  <c r="AG20" i="82" s="1"/>
  <c r="T27" i="82"/>
  <c r="T20" i="76" l="1"/>
  <c r="U20" i="76" s="1"/>
  <c r="V20" i="76" s="1"/>
  <c r="W20" i="76" s="1"/>
  <c r="X20" i="76" s="1"/>
  <c r="Y20" i="76" s="1"/>
  <c r="Z20" i="76" s="1"/>
  <c r="AA20" i="76" s="1"/>
  <c r="T27" i="76"/>
  <c r="U27" i="76" l="1"/>
  <c r="M17" i="69" l="1"/>
  <c r="N17" i="69" s="1"/>
  <c r="Q17" i="69" l="1"/>
  <c r="O17" i="69"/>
  <c r="R17" i="69" s="1"/>
  <c r="S17" i="69" l="1"/>
  <c r="P17" i="69"/>
  <c r="D18" i="75" l="1"/>
  <c r="AH8" i="1" l="1"/>
  <c r="AI8" i="1"/>
  <c r="AJ8" i="1"/>
  <c r="AK8" i="1"/>
  <c r="AL8" i="1"/>
  <c r="AM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D8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D25" i="1"/>
  <c r="C55" i="80"/>
  <c r="N36" i="60" s="1"/>
  <c r="E10" i="44"/>
  <c r="F10" i="44"/>
  <c r="G10" i="44"/>
  <c r="H10" i="44"/>
  <c r="I10" i="44"/>
  <c r="J10" i="44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Z4" i="24"/>
  <c r="CY4" i="24"/>
  <c r="CX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I4" i="24"/>
  <c r="CH4" i="24"/>
  <c r="CG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R4" i="24"/>
  <c r="BQ4" i="24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DR4" i="58"/>
  <c r="DQ4" i="58"/>
  <c r="DP4" i="58"/>
  <c r="DO4" i="58"/>
  <c r="DN4" i="58"/>
  <c r="DM4" i="58"/>
  <c r="DL4" i="58"/>
  <c r="DK4" i="58"/>
  <c r="DJ4" i="58"/>
  <c r="DI4" i="58"/>
  <c r="DH4" i="58"/>
  <c r="DG4" i="58"/>
  <c r="DF4" i="58"/>
  <c r="DE4" i="58"/>
  <c r="DD4" i="58"/>
  <c r="DC4" i="58"/>
  <c r="DB4" i="58"/>
  <c r="DA4" i="58"/>
  <c r="CZ4" i="58"/>
  <c r="CY4" i="58"/>
  <c r="CX4" i="58"/>
  <c r="CW4" i="58"/>
  <c r="CV4" i="58"/>
  <c r="CU4" i="58"/>
  <c r="CT4" i="58"/>
  <c r="CS4" i="58"/>
  <c r="CR4" i="58"/>
  <c r="CQ4" i="58"/>
  <c r="CP4" i="58"/>
  <c r="CO4" i="58"/>
  <c r="CN4" i="58"/>
  <c r="CM4" i="58"/>
  <c r="CL4" i="58"/>
  <c r="CK4" i="58"/>
  <c r="CJ4" i="58"/>
  <c r="CI4" i="58"/>
  <c r="CH4" i="58"/>
  <c r="CG4" i="58"/>
  <c r="CF4" i="58"/>
  <c r="CE4" i="58"/>
  <c r="CD4" i="58"/>
  <c r="CC4" i="58"/>
  <c r="CB4" i="58"/>
  <c r="CA4" i="58"/>
  <c r="BZ4" i="58"/>
  <c r="BY4" i="58"/>
  <c r="BX4" i="58"/>
  <c r="BW4" i="58"/>
  <c r="BV4" i="58"/>
  <c r="BU4" i="58"/>
  <c r="BT4" i="58"/>
  <c r="BS4" i="58"/>
  <c r="BR4" i="58"/>
  <c r="BQ4" i="58"/>
  <c r="BP4" i="58"/>
  <c r="BO4" i="58"/>
  <c r="BN4" i="58"/>
  <c r="BM4" i="58"/>
  <c r="BL4" i="58"/>
  <c r="BK4" i="58"/>
  <c r="BJ4" i="58"/>
  <c r="BI4" i="58"/>
  <c r="BH4" i="58"/>
  <c r="BG4" i="58"/>
  <c r="BF4" i="58"/>
  <c r="BE4" i="58"/>
  <c r="BD4" i="58"/>
  <c r="BC4" i="58"/>
  <c r="BB4" i="58"/>
  <c r="BA4" i="58"/>
  <c r="AZ4" i="58"/>
  <c r="AY4" i="58"/>
  <c r="AX4" i="58"/>
  <c r="AW4" i="58"/>
  <c r="AV4" i="58"/>
  <c r="AU4" i="58"/>
  <c r="AT4" i="58"/>
  <c r="AS4" i="58"/>
  <c r="AR4" i="58"/>
  <c r="AQ4" i="58"/>
  <c r="AP4" i="58"/>
  <c r="AO4" i="58"/>
  <c r="AN4" i="58"/>
  <c r="AM4" i="58"/>
  <c r="AL4" i="58"/>
  <c r="AK4" i="58"/>
  <c r="AJ4" i="58"/>
  <c r="AI4" i="58"/>
  <c r="AH4" i="58"/>
  <c r="AG4" i="58"/>
  <c r="AF4" i="58"/>
  <c r="AE4" i="58"/>
  <c r="AD4" i="58"/>
  <c r="AC4" i="58"/>
  <c r="AB4" i="58"/>
  <c r="AA4" i="58"/>
  <c r="Z4" i="58"/>
  <c r="Y4" i="58"/>
  <c r="X4" i="58"/>
  <c r="W4" i="58"/>
  <c r="V4" i="58"/>
  <c r="U4" i="58"/>
  <c r="T4" i="58"/>
  <c r="S4" i="58"/>
  <c r="R4" i="58"/>
  <c r="Q4" i="58"/>
  <c r="P4" i="58"/>
  <c r="O4" i="58"/>
  <c r="N4" i="58"/>
  <c r="M4" i="58"/>
  <c r="L4" i="58"/>
  <c r="K4" i="58"/>
  <c r="J4" i="58"/>
  <c r="I4" i="58"/>
  <c r="H4" i="58"/>
  <c r="G4" i="58"/>
  <c r="F4" i="58"/>
  <c r="E4" i="58"/>
  <c r="D4" i="58"/>
  <c r="C4" i="58"/>
  <c r="E33" i="80"/>
  <c r="N12" i="16" s="1"/>
  <c r="N22" i="80"/>
  <c r="M22" i="80"/>
  <c r="L22" i="80"/>
  <c r="K22" i="80"/>
  <c r="J22" i="80"/>
  <c r="I22" i="80"/>
  <c r="H22" i="80"/>
  <c r="G22" i="80"/>
  <c r="F22" i="80"/>
  <c r="E22" i="80"/>
  <c r="N29" i="80"/>
  <c r="M29" i="80"/>
  <c r="L29" i="80"/>
  <c r="K29" i="80"/>
  <c r="J29" i="80"/>
  <c r="I29" i="80"/>
  <c r="H29" i="80"/>
  <c r="G29" i="80"/>
  <c r="F29" i="80"/>
  <c r="E29" i="80"/>
  <c r="Q6" i="47"/>
  <c r="P6" i="47"/>
  <c r="O6" i="47"/>
  <c r="N6" i="47"/>
  <c r="M6" i="47"/>
  <c r="L6" i="47"/>
  <c r="K6" i="47"/>
  <c r="J6" i="47"/>
  <c r="I6" i="47"/>
  <c r="H6" i="47"/>
  <c r="G6" i="47"/>
  <c r="F6" i="47"/>
  <c r="P6" i="13"/>
  <c r="O6" i="13"/>
  <c r="N6" i="13"/>
  <c r="M6" i="13"/>
  <c r="L6" i="13"/>
  <c r="K6" i="13"/>
  <c r="J6" i="13"/>
  <c r="I6" i="13"/>
  <c r="H6" i="13"/>
  <c r="G6" i="13"/>
  <c r="F6" i="13"/>
  <c r="E6" i="13"/>
  <c r="O6" i="18"/>
  <c r="N6" i="18"/>
  <c r="M6" i="18"/>
  <c r="L6" i="18"/>
  <c r="K6" i="18"/>
  <c r="J6" i="18"/>
  <c r="I6" i="18"/>
  <c r="H6" i="18"/>
  <c r="G6" i="18"/>
  <c r="F6" i="18"/>
  <c r="E6" i="18"/>
  <c r="D6" i="18"/>
  <c r="O6" i="60"/>
  <c r="N6" i="60"/>
  <c r="M6" i="60"/>
  <c r="L6" i="60"/>
  <c r="K6" i="60"/>
  <c r="J6" i="60"/>
  <c r="I6" i="60"/>
  <c r="H6" i="60"/>
  <c r="G6" i="60"/>
  <c r="F6" i="60"/>
  <c r="E6" i="60"/>
  <c r="D6" i="60"/>
  <c r="O6" i="29"/>
  <c r="N6" i="29"/>
  <c r="M6" i="29"/>
  <c r="L6" i="29"/>
  <c r="K6" i="29"/>
  <c r="J6" i="29"/>
  <c r="I6" i="29"/>
  <c r="H6" i="29"/>
  <c r="G6" i="29"/>
  <c r="F6" i="29"/>
  <c r="E6" i="29"/>
  <c r="D6" i="29"/>
  <c r="F6" i="16"/>
  <c r="G6" i="16"/>
  <c r="H6" i="16"/>
  <c r="I6" i="16"/>
  <c r="J6" i="16"/>
  <c r="K6" i="16"/>
  <c r="L6" i="16"/>
  <c r="M6" i="16"/>
  <c r="N6" i="16"/>
  <c r="O6" i="16"/>
  <c r="P6" i="16"/>
  <c r="E6" i="16"/>
  <c r="E43" i="80"/>
  <c r="E42" i="80"/>
  <c r="K21" i="16" s="1"/>
  <c r="E37" i="80"/>
  <c r="F16" i="16" s="1"/>
  <c r="E36" i="80"/>
  <c r="F15" i="16" s="1"/>
  <c r="N25" i="80"/>
  <c r="N26" i="80"/>
  <c r="F25" i="80"/>
  <c r="G25" i="80"/>
  <c r="H25" i="80"/>
  <c r="I25" i="80"/>
  <c r="J25" i="80"/>
  <c r="K25" i="80"/>
  <c r="L25" i="80"/>
  <c r="M25" i="80"/>
  <c r="F26" i="80"/>
  <c r="G26" i="80"/>
  <c r="H26" i="80"/>
  <c r="I26" i="80"/>
  <c r="J26" i="80"/>
  <c r="K26" i="80"/>
  <c r="L26" i="80"/>
  <c r="M26" i="80"/>
  <c r="E25" i="80"/>
  <c r="E26" i="80"/>
  <c r="E45" i="80"/>
  <c r="J24" i="16" s="1"/>
  <c r="E44" i="80"/>
  <c r="I23" i="16" s="1"/>
  <c r="E41" i="80"/>
  <c r="K20" i="16" s="1"/>
  <c r="E40" i="80"/>
  <c r="J19" i="16" s="1"/>
  <c r="E39" i="80"/>
  <c r="P18" i="16" s="1"/>
  <c r="E38" i="80"/>
  <c r="K17" i="16" s="1"/>
  <c r="E35" i="80"/>
  <c r="H14" i="16" s="1"/>
  <c r="E34" i="80"/>
  <c r="G13" i="16" s="1"/>
  <c r="N31" i="80"/>
  <c r="M31" i="80"/>
  <c r="L31" i="80"/>
  <c r="K31" i="80"/>
  <c r="J31" i="80"/>
  <c r="I31" i="80"/>
  <c r="H31" i="80"/>
  <c r="G31" i="80"/>
  <c r="F31" i="80"/>
  <c r="E31" i="80"/>
  <c r="N30" i="80"/>
  <c r="M30" i="80"/>
  <c r="L30" i="80"/>
  <c r="K30" i="80"/>
  <c r="J30" i="80"/>
  <c r="I30" i="80"/>
  <c r="H30" i="80"/>
  <c r="G30" i="80"/>
  <c r="F30" i="80"/>
  <c r="E30" i="80"/>
  <c r="N27" i="80"/>
  <c r="M27" i="80"/>
  <c r="L27" i="80"/>
  <c r="K27" i="80"/>
  <c r="J27" i="80"/>
  <c r="I27" i="80"/>
  <c r="H27" i="80"/>
  <c r="G27" i="80"/>
  <c r="F27" i="80"/>
  <c r="E27" i="80"/>
  <c r="N24" i="80"/>
  <c r="M24" i="80"/>
  <c r="L24" i="80"/>
  <c r="K24" i="80"/>
  <c r="J24" i="80"/>
  <c r="I24" i="80"/>
  <c r="H24" i="80"/>
  <c r="G24" i="80"/>
  <c r="F24" i="80"/>
  <c r="E24" i="80"/>
  <c r="N23" i="80"/>
  <c r="M23" i="80"/>
  <c r="L23" i="80"/>
  <c r="K23" i="80"/>
  <c r="J23" i="80"/>
  <c r="I23" i="80"/>
  <c r="H23" i="80"/>
  <c r="G23" i="80"/>
  <c r="F23" i="80"/>
  <c r="E23" i="80"/>
  <c r="F7" i="80"/>
  <c r="T6" i="13" s="1"/>
  <c r="F6" i="80"/>
  <c r="AB5" i="16" s="1"/>
  <c r="E6" i="80"/>
  <c r="E5" i="80"/>
  <c r="Q36" i="60" l="1"/>
  <c r="J13" i="44"/>
  <c r="J17" i="44" s="1"/>
  <c r="J12" i="44"/>
  <c r="J11" i="44"/>
  <c r="J14" i="44" s="1"/>
  <c r="F13" i="44"/>
  <c r="F17" i="44" s="1"/>
  <c r="F12" i="44"/>
  <c r="F11" i="44"/>
  <c r="F14" i="44" s="1"/>
  <c r="I13" i="44"/>
  <c r="I17" i="44" s="1"/>
  <c r="I12" i="44"/>
  <c r="I11" i="44"/>
  <c r="I14" i="44" s="1"/>
  <c r="E12" i="44"/>
  <c r="E13" i="44"/>
  <c r="E17" i="44" s="1"/>
  <c r="E11" i="44"/>
  <c r="E14" i="44" s="1"/>
  <c r="H12" i="44"/>
  <c r="H11" i="44"/>
  <c r="H14" i="44" s="1"/>
  <c r="H13" i="44"/>
  <c r="H17" i="44" s="1"/>
  <c r="G11" i="44"/>
  <c r="G14" i="44" s="1"/>
  <c r="G12" i="44"/>
  <c r="G13" i="44"/>
  <c r="G17" i="44" s="1"/>
  <c r="V6" i="29"/>
  <c r="G12" i="16"/>
  <c r="T6" i="18"/>
  <c r="T23" i="18" s="1"/>
  <c r="I12" i="16"/>
  <c r="X6" i="47"/>
  <c r="M12" i="16"/>
  <c r="Y6" i="16"/>
  <c r="E12" i="16"/>
  <c r="O12" i="16"/>
  <c r="T21" i="18"/>
  <c r="Q6" i="16"/>
  <c r="AA6" i="16"/>
  <c r="P6" i="60"/>
  <c r="Y6" i="18"/>
  <c r="L17" i="16"/>
  <c r="F36" i="80"/>
  <c r="U15" i="16" s="1"/>
  <c r="S6" i="16"/>
  <c r="Q6" i="29"/>
  <c r="U6" i="60"/>
  <c r="J18" i="16"/>
  <c r="V5" i="29"/>
  <c r="AC6" i="47"/>
  <c r="V6" i="16"/>
  <c r="T6" i="29"/>
  <c r="Z6" i="60"/>
  <c r="AB6" i="13"/>
  <c r="O21" i="16"/>
  <c r="K12" i="16"/>
  <c r="H12" i="16"/>
  <c r="L12" i="16"/>
  <c r="P12" i="16"/>
  <c r="F12" i="16"/>
  <c r="J12" i="16"/>
  <c r="O20" i="16"/>
  <c r="F14" i="16"/>
  <c r="N4" i="47"/>
  <c r="J4" i="47"/>
  <c r="F4" i="47"/>
  <c r="Q4" i="47"/>
  <c r="M4" i="47"/>
  <c r="I4" i="47"/>
  <c r="P4" i="13"/>
  <c r="L4" i="13"/>
  <c r="H4" i="13"/>
  <c r="P4" i="47"/>
  <c r="L4" i="47"/>
  <c r="H4" i="47"/>
  <c r="O4" i="47"/>
  <c r="M4" i="13"/>
  <c r="G4" i="13"/>
  <c r="K4" i="47"/>
  <c r="K4" i="13"/>
  <c r="F4" i="13"/>
  <c r="L4" i="18"/>
  <c r="H4" i="18"/>
  <c r="D4" i="18"/>
  <c r="G4" i="47"/>
  <c r="O4" i="13"/>
  <c r="J4" i="13"/>
  <c r="E4" i="13"/>
  <c r="I4" i="13"/>
  <c r="O4" i="18"/>
  <c r="J4" i="18"/>
  <c r="E4" i="18"/>
  <c r="M4" i="60"/>
  <c r="I4" i="60"/>
  <c r="E4" i="60"/>
  <c r="N4" i="18"/>
  <c r="I4" i="18"/>
  <c r="L4" i="60"/>
  <c r="H4" i="60"/>
  <c r="D4" i="60"/>
  <c r="L4" i="29"/>
  <c r="H4" i="29"/>
  <c r="D4" i="29"/>
  <c r="M4" i="18"/>
  <c r="G4" i="18"/>
  <c r="O4" i="60"/>
  <c r="K4" i="60"/>
  <c r="G4" i="60"/>
  <c r="F4" i="18"/>
  <c r="J4" i="60"/>
  <c r="M4" i="29"/>
  <c r="G4" i="29"/>
  <c r="N4" i="16"/>
  <c r="J4" i="16"/>
  <c r="F4" i="16"/>
  <c r="N4" i="13"/>
  <c r="F4" i="60"/>
  <c r="K4" i="29"/>
  <c r="F4" i="29"/>
  <c r="M4" i="16"/>
  <c r="I4" i="16"/>
  <c r="E4" i="16"/>
  <c r="O4" i="29"/>
  <c r="J4" i="29"/>
  <c r="E4" i="29"/>
  <c r="P4" i="16"/>
  <c r="L4" i="16"/>
  <c r="H4" i="16"/>
  <c r="N4" i="60"/>
  <c r="N4" i="29"/>
  <c r="O4" i="16"/>
  <c r="I4" i="29"/>
  <c r="K4" i="16"/>
  <c r="G4" i="16"/>
  <c r="E5" i="16"/>
  <c r="Q5" i="47"/>
  <c r="M5" i="47"/>
  <c r="I5" i="47"/>
  <c r="P5" i="47"/>
  <c r="L5" i="47"/>
  <c r="H5" i="47"/>
  <c r="O5" i="47"/>
  <c r="K5" i="47"/>
  <c r="G5" i="47"/>
  <c r="M5" i="13"/>
  <c r="I5" i="13"/>
  <c r="E5" i="13"/>
  <c r="N5" i="47"/>
  <c r="P5" i="13"/>
  <c r="L5" i="13"/>
  <c r="H5" i="13"/>
  <c r="J5" i="47"/>
  <c r="O5" i="13"/>
  <c r="K5" i="13"/>
  <c r="G5" i="13"/>
  <c r="F5" i="13"/>
  <c r="M5" i="18"/>
  <c r="I5" i="18"/>
  <c r="E5" i="18"/>
  <c r="L5" i="18"/>
  <c r="H5" i="18"/>
  <c r="D5" i="18"/>
  <c r="N5" i="13"/>
  <c r="O5" i="18"/>
  <c r="K5" i="18"/>
  <c r="G5" i="18"/>
  <c r="F5" i="47"/>
  <c r="F5" i="18"/>
  <c r="M5" i="60"/>
  <c r="I5" i="60"/>
  <c r="E5" i="60"/>
  <c r="M5" i="29"/>
  <c r="I5" i="29"/>
  <c r="E5" i="29"/>
  <c r="L5" i="60"/>
  <c r="H5" i="60"/>
  <c r="D5" i="60"/>
  <c r="L5" i="29"/>
  <c r="H5" i="29"/>
  <c r="D5" i="29"/>
  <c r="J5" i="13"/>
  <c r="N5" i="18"/>
  <c r="O5" i="60"/>
  <c r="K5" i="60"/>
  <c r="G5" i="60"/>
  <c r="O5" i="29"/>
  <c r="K5" i="29"/>
  <c r="G5" i="29"/>
  <c r="J5" i="18"/>
  <c r="O5" i="16"/>
  <c r="K5" i="16"/>
  <c r="G5" i="16"/>
  <c r="N5" i="60"/>
  <c r="N5" i="29"/>
  <c r="N5" i="16"/>
  <c r="J5" i="16"/>
  <c r="F5" i="16"/>
  <c r="J5" i="60"/>
  <c r="J5" i="29"/>
  <c r="M5" i="16"/>
  <c r="I5" i="16"/>
  <c r="F5" i="29"/>
  <c r="F5" i="60"/>
  <c r="P5" i="16"/>
  <c r="L5" i="16"/>
  <c r="F40" i="80"/>
  <c r="F37" i="80"/>
  <c r="F43" i="80"/>
  <c r="Y22" i="16" s="1"/>
  <c r="U6" i="16"/>
  <c r="Z6" i="16"/>
  <c r="R6" i="29"/>
  <c r="X6" i="29"/>
  <c r="Q6" i="60"/>
  <c r="V6" i="60"/>
  <c r="P6" i="18"/>
  <c r="U6" i="18"/>
  <c r="Z6" i="18"/>
  <c r="W6" i="13"/>
  <c r="S6" i="47"/>
  <c r="Y6" i="47"/>
  <c r="E23" i="16"/>
  <c r="P16" i="16"/>
  <c r="P17" i="16"/>
  <c r="L18" i="16"/>
  <c r="F20" i="16"/>
  <c r="P20" i="16"/>
  <c r="H24" i="16"/>
  <c r="F33" i="80"/>
  <c r="K4" i="18"/>
  <c r="G6" i="80"/>
  <c r="AC5" i="47"/>
  <c r="Y5" i="47"/>
  <c r="U5" i="47"/>
  <c r="AB5" i="47"/>
  <c r="X5" i="47"/>
  <c r="T5" i="47"/>
  <c r="AA5" i="47"/>
  <c r="W5" i="47"/>
  <c r="S5" i="47"/>
  <c r="R5" i="47"/>
  <c r="Y5" i="13"/>
  <c r="U5" i="13"/>
  <c r="Q5" i="13"/>
  <c r="AB5" i="13"/>
  <c r="X5" i="13"/>
  <c r="T5" i="13"/>
  <c r="Z5" i="47"/>
  <c r="AA5" i="13"/>
  <c r="W5" i="13"/>
  <c r="S5" i="13"/>
  <c r="V5" i="13"/>
  <c r="Y5" i="18"/>
  <c r="U5" i="18"/>
  <c r="Q5" i="18"/>
  <c r="R5" i="13"/>
  <c r="X5" i="18"/>
  <c r="T5" i="18"/>
  <c r="P5" i="18"/>
  <c r="X5" i="60"/>
  <c r="T5" i="60"/>
  <c r="P5" i="60"/>
  <c r="V5" i="47"/>
  <c r="AA5" i="18"/>
  <c r="W5" i="18"/>
  <c r="S5" i="18"/>
  <c r="V5" i="18"/>
  <c r="W5" i="60"/>
  <c r="R5" i="60"/>
  <c r="Y5" i="29"/>
  <c r="U5" i="29"/>
  <c r="Q5" i="29"/>
  <c r="Z5" i="13"/>
  <c r="R5" i="18"/>
  <c r="AA5" i="60"/>
  <c r="V5" i="60"/>
  <c r="Q5" i="60"/>
  <c r="X5" i="29"/>
  <c r="T5" i="29"/>
  <c r="P5" i="29"/>
  <c r="Z5" i="60"/>
  <c r="U5" i="60"/>
  <c r="AA5" i="29"/>
  <c r="W5" i="29"/>
  <c r="S5" i="29"/>
  <c r="S5" i="60"/>
  <c r="R5" i="29"/>
  <c r="AA5" i="16"/>
  <c r="W5" i="16"/>
  <c r="S5" i="16"/>
  <c r="Z5" i="16"/>
  <c r="V5" i="16"/>
  <c r="R5" i="16"/>
  <c r="Q5" i="16"/>
  <c r="Z5" i="29"/>
  <c r="Y5" i="16"/>
  <c r="U5" i="16"/>
  <c r="Z5" i="18"/>
  <c r="Y5" i="60"/>
  <c r="X5" i="16"/>
  <c r="T5" i="16"/>
  <c r="Y6" i="29"/>
  <c r="R6" i="60"/>
  <c r="X6" i="60"/>
  <c r="Q6" i="18"/>
  <c r="V6" i="18"/>
  <c r="R6" i="13"/>
  <c r="X6" i="13"/>
  <c r="T6" i="47"/>
  <c r="AB6" i="47"/>
  <c r="E18" i="16"/>
  <c r="G17" i="16"/>
  <c r="F18" i="16"/>
  <c r="M18" i="16"/>
  <c r="J20" i="16"/>
  <c r="I21" i="16"/>
  <c r="G16" i="16"/>
  <c r="R6" i="16"/>
  <c r="W6" i="16"/>
  <c r="P6" i="29"/>
  <c r="U6" i="29"/>
  <c r="Z6" i="29"/>
  <c r="T6" i="60"/>
  <c r="Y6" i="60"/>
  <c r="R6" i="18"/>
  <c r="X6" i="18"/>
  <c r="X22" i="18" s="1"/>
  <c r="S6" i="13"/>
  <c r="Z6" i="13"/>
  <c r="W6" i="47"/>
  <c r="H18" i="16"/>
  <c r="H5" i="16"/>
  <c r="G28" i="44"/>
  <c r="O22" i="16"/>
  <c r="K22" i="16"/>
  <c r="G22" i="16"/>
  <c r="M22" i="16"/>
  <c r="H22" i="16"/>
  <c r="L22" i="16"/>
  <c r="F22" i="16"/>
  <c r="I22" i="16"/>
  <c r="F5" i="80"/>
  <c r="N13" i="16"/>
  <c r="J13" i="16"/>
  <c r="F13" i="16"/>
  <c r="E13" i="16"/>
  <c r="P13" i="16"/>
  <c r="K13" i="16"/>
  <c r="O13" i="16"/>
  <c r="I13" i="16"/>
  <c r="P19" i="16"/>
  <c r="L19" i="16"/>
  <c r="H19" i="16"/>
  <c r="N19" i="16"/>
  <c r="I19" i="16"/>
  <c r="E19" i="16"/>
  <c r="M19" i="16"/>
  <c r="G19" i="16"/>
  <c r="P23" i="16"/>
  <c r="L23" i="16"/>
  <c r="H23" i="16"/>
  <c r="M23" i="16"/>
  <c r="G23" i="16"/>
  <c r="K23" i="16"/>
  <c r="F23" i="16"/>
  <c r="P15" i="16"/>
  <c r="L15" i="16"/>
  <c r="H15" i="16"/>
  <c r="O15" i="16"/>
  <c r="J15" i="16"/>
  <c r="N15" i="16"/>
  <c r="I15" i="16"/>
  <c r="E15" i="16"/>
  <c r="E22" i="16"/>
  <c r="H13" i="16"/>
  <c r="G15" i="16"/>
  <c r="K19" i="16"/>
  <c r="J22" i="16"/>
  <c r="J23" i="16"/>
  <c r="O14" i="16"/>
  <c r="K14" i="16"/>
  <c r="G14" i="16"/>
  <c r="P14" i="16"/>
  <c r="J14" i="16"/>
  <c r="E14" i="16"/>
  <c r="N14" i="16"/>
  <c r="I14" i="16"/>
  <c r="M24" i="16"/>
  <c r="I24" i="16"/>
  <c r="L24" i="16"/>
  <c r="G24" i="16"/>
  <c r="E24" i="16"/>
  <c r="P24" i="16"/>
  <c r="K24" i="16"/>
  <c r="F24" i="16"/>
  <c r="M16" i="16"/>
  <c r="I16" i="16"/>
  <c r="O16" i="16"/>
  <c r="J16" i="16"/>
  <c r="N16" i="16"/>
  <c r="H16" i="16"/>
  <c r="L13" i="16"/>
  <c r="L14" i="16"/>
  <c r="K15" i="16"/>
  <c r="K16" i="16"/>
  <c r="O19" i="16"/>
  <c r="N22" i="16"/>
  <c r="N23" i="16"/>
  <c r="N24" i="16"/>
  <c r="N21" i="16"/>
  <c r="J21" i="16"/>
  <c r="F21" i="16"/>
  <c r="E21" i="16"/>
  <c r="M21" i="16"/>
  <c r="H21" i="16"/>
  <c r="L21" i="16"/>
  <c r="G21" i="16"/>
  <c r="E16" i="16"/>
  <c r="M13" i="16"/>
  <c r="M14" i="16"/>
  <c r="M15" i="16"/>
  <c r="L16" i="16"/>
  <c r="F19" i="16"/>
  <c r="P21" i="16"/>
  <c r="P22" i="16"/>
  <c r="O23" i="16"/>
  <c r="O24" i="16"/>
  <c r="N17" i="16"/>
  <c r="J17" i="16"/>
  <c r="F17" i="16"/>
  <c r="E17" i="16"/>
  <c r="M20" i="16"/>
  <c r="I20" i="16"/>
  <c r="E20" i="16"/>
  <c r="H17" i="16"/>
  <c r="M17" i="16"/>
  <c r="G20" i="16"/>
  <c r="L20" i="16"/>
  <c r="F44" i="80"/>
  <c r="Z6" i="47"/>
  <c r="V6" i="47"/>
  <c r="R6" i="47"/>
  <c r="Y6" i="13"/>
  <c r="U6" i="13"/>
  <c r="Q6" i="13"/>
  <c r="O18" i="16"/>
  <c r="K18" i="16"/>
  <c r="G18" i="16"/>
  <c r="F42" i="80"/>
  <c r="T6" i="16"/>
  <c r="X6" i="16"/>
  <c r="AB6" i="16"/>
  <c r="S6" i="29"/>
  <c r="W6" i="29"/>
  <c r="AA6" i="29"/>
  <c r="S6" i="60"/>
  <c r="W6" i="60"/>
  <c r="AA6" i="60"/>
  <c r="S6" i="18"/>
  <c r="W6" i="18"/>
  <c r="W22" i="18" s="1"/>
  <c r="AA6" i="18"/>
  <c r="V6" i="13"/>
  <c r="AA6" i="13"/>
  <c r="U6" i="47"/>
  <c r="AA6" i="47"/>
  <c r="I17" i="16"/>
  <c r="O17" i="16"/>
  <c r="I18" i="16"/>
  <c r="N18" i="16"/>
  <c r="H20" i="16"/>
  <c r="N20" i="16"/>
  <c r="V22" i="16"/>
  <c r="F38" i="80"/>
  <c r="G7" i="80"/>
  <c r="G34" i="80" s="1"/>
  <c r="F34" i="80"/>
  <c r="F35" i="80"/>
  <c r="F39" i="80"/>
  <c r="F41" i="80"/>
  <c r="F45" i="80"/>
  <c r="F28" i="44" l="1"/>
  <c r="T25" i="18"/>
  <c r="J28" i="44"/>
  <c r="E15" i="44"/>
  <c r="E16" i="44"/>
  <c r="J15" i="44"/>
  <c r="J16" i="44"/>
  <c r="R12" i="18"/>
  <c r="R25" i="18"/>
  <c r="R29" i="18"/>
  <c r="R21" i="18"/>
  <c r="R26" i="18"/>
  <c r="R30" i="18"/>
  <c r="R28" i="18"/>
  <c r="R22" i="18"/>
  <c r="R27" i="18"/>
  <c r="R31" i="18"/>
  <c r="R23" i="18"/>
  <c r="G15" i="44"/>
  <c r="G16" i="44"/>
  <c r="H15" i="44"/>
  <c r="H16" i="44"/>
  <c r="F15" i="44"/>
  <c r="F16" i="44"/>
  <c r="I15" i="44"/>
  <c r="I16" i="44"/>
  <c r="AA29" i="47"/>
  <c r="V29" i="47"/>
  <c r="S29" i="47"/>
  <c r="U29" i="47"/>
  <c r="Z29" i="47"/>
  <c r="X29" i="47"/>
  <c r="AB29" i="47"/>
  <c r="AC29" i="47"/>
  <c r="W29" i="47"/>
  <c r="T29" i="47"/>
  <c r="Y29" i="47"/>
  <c r="X52" i="60"/>
  <c r="X49" i="60"/>
  <c r="S49" i="60"/>
  <c r="S52" i="60"/>
  <c r="T51" i="60"/>
  <c r="T48" i="60"/>
  <c r="T49" i="60"/>
  <c r="T52" i="60"/>
  <c r="T50" i="60"/>
  <c r="R52" i="60"/>
  <c r="R44" i="60"/>
  <c r="R49" i="60"/>
  <c r="V52" i="60"/>
  <c r="V49" i="60"/>
  <c r="U52" i="60"/>
  <c r="U49" i="60"/>
  <c r="W49" i="60"/>
  <c r="W52" i="60"/>
  <c r="W48" i="60"/>
  <c r="Y52" i="60"/>
  <c r="Y49" i="60"/>
  <c r="Q42" i="60"/>
  <c r="AA49" i="60"/>
  <c r="AA52" i="60"/>
  <c r="Z52" i="60"/>
  <c r="Z50" i="60"/>
  <c r="Z51" i="60"/>
  <c r="Z49" i="60"/>
  <c r="Z48" i="60"/>
  <c r="R43" i="60"/>
  <c r="R15" i="16"/>
  <c r="AA15" i="16"/>
  <c r="T22" i="18"/>
  <c r="AB15" i="16"/>
  <c r="Y15" i="16"/>
  <c r="W15" i="16"/>
  <c r="T15" i="16"/>
  <c r="V15" i="16"/>
  <c r="S15" i="16"/>
  <c r="Z15" i="16"/>
  <c r="X15" i="16"/>
  <c r="Q15" i="16"/>
  <c r="G33" i="80"/>
  <c r="AD12" i="16" s="1"/>
  <c r="U21" i="18"/>
  <c r="U22" i="18"/>
  <c r="U25" i="18"/>
  <c r="U23" i="18"/>
  <c r="V22" i="18"/>
  <c r="V21" i="18"/>
  <c r="V25" i="18"/>
  <c r="V23" i="18"/>
  <c r="Z22" i="16"/>
  <c r="U22" i="16"/>
  <c r="Q22" i="16"/>
  <c r="AA22" i="16"/>
  <c r="T22" i="16"/>
  <c r="AD13" i="16"/>
  <c r="AH13" i="16"/>
  <c r="AL13" i="16"/>
  <c r="AE13" i="16"/>
  <c r="AI13" i="16"/>
  <c r="AM13" i="16"/>
  <c r="AF13" i="16"/>
  <c r="AJ13" i="16"/>
  <c r="AN13" i="16"/>
  <c r="AC13" i="16"/>
  <c r="AG13" i="16"/>
  <c r="AK13" i="16"/>
  <c r="Q17" i="16"/>
  <c r="U17" i="16"/>
  <c r="Y17" i="16"/>
  <c r="R17" i="16"/>
  <c r="V17" i="16"/>
  <c r="Z17" i="16"/>
  <c r="S17" i="16"/>
  <c r="W17" i="16"/>
  <c r="AA17" i="16"/>
  <c r="T17" i="16"/>
  <c r="X17" i="16"/>
  <c r="AB17" i="16"/>
  <c r="E28" i="44"/>
  <c r="E29" i="44" s="1"/>
  <c r="Q19" i="16"/>
  <c r="U19" i="16"/>
  <c r="Y19" i="16"/>
  <c r="R19" i="16"/>
  <c r="V19" i="16"/>
  <c r="Z19" i="16"/>
  <c r="S19" i="16"/>
  <c r="W19" i="16"/>
  <c r="AA19" i="16"/>
  <c r="AB19" i="16"/>
  <c r="T19" i="16"/>
  <c r="X19" i="16"/>
  <c r="R20" i="16"/>
  <c r="V20" i="16"/>
  <c r="Z20" i="16"/>
  <c r="S20" i="16"/>
  <c r="X20" i="16"/>
  <c r="W20" i="16"/>
  <c r="T20" i="16"/>
  <c r="Y20" i="16"/>
  <c r="Q20" i="16"/>
  <c r="U20" i="16"/>
  <c r="AA20" i="16"/>
  <c r="AB20" i="16"/>
  <c r="H7" i="80"/>
  <c r="Q18" i="16"/>
  <c r="U18" i="16"/>
  <c r="Y18" i="16"/>
  <c r="R18" i="16"/>
  <c r="V18" i="16"/>
  <c r="Z18" i="16"/>
  <c r="S18" i="16"/>
  <c r="W18" i="16"/>
  <c r="AA18" i="16"/>
  <c r="X18" i="16"/>
  <c r="AB18" i="16"/>
  <c r="T18" i="16"/>
  <c r="R21" i="16"/>
  <c r="V21" i="16"/>
  <c r="Z21" i="16"/>
  <c r="Q21" i="16"/>
  <c r="W21" i="16"/>
  <c r="AB21" i="16"/>
  <c r="S21" i="16"/>
  <c r="X21" i="16"/>
  <c r="AA21" i="16"/>
  <c r="T21" i="16"/>
  <c r="Y21" i="16"/>
  <c r="U21" i="16"/>
  <c r="R14" i="16"/>
  <c r="V14" i="16"/>
  <c r="Z14" i="16"/>
  <c r="S14" i="16"/>
  <c r="W14" i="16"/>
  <c r="AA14" i="16"/>
  <c r="T14" i="16"/>
  <c r="X14" i="16"/>
  <c r="AB14" i="16"/>
  <c r="Q14" i="16"/>
  <c r="U14" i="16"/>
  <c r="Y14" i="16"/>
  <c r="H28" i="44"/>
  <c r="AE12" i="16"/>
  <c r="AJ12" i="16"/>
  <c r="AG12" i="16"/>
  <c r="Z4" i="47"/>
  <c r="V4" i="47"/>
  <c r="R4" i="47"/>
  <c r="AC4" i="47"/>
  <c r="Y4" i="47"/>
  <c r="U4" i="47"/>
  <c r="AB4" i="13"/>
  <c r="X4" i="13"/>
  <c r="T4" i="13"/>
  <c r="AB4" i="47"/>
  <c r="X4" i="47"/>
  <c r="T4" i="47"/>
  <c r="W4" i="13"/>
  <c r="R4" i="13"/>
  <c r="AA4" i="47"/>
  <c r="AA4" i="13"/>
  <c r="V4" i="13"/>
  <c r="Q4" i="13"/>
  <c r="X4" i="18"/>
  <c r="T4" i="18"/>
  <c r="P4" i="18"/>
  <c r="W4" i="47"/>
  <c r="Z4" i="13"/>
  <c r="U4" i="13"/>
  <c r="Z4" i="18"/>
  <c r="U4" i="18"/>
  <c r="Y4" i="60"/>
  <c r="U4" i="60"/>
  <c r="Q4" i="60"/>
  <c r="Y4" i="13"/>
  <c r="Y4" i="18"/>
  <c r="S4" i="18"/>
  <c r="X4" i="60"/>
  <c r="T4" i="60"/>
  <c r="P4" i="60"/>
  <c r="X4" i="29"/>
  <c r="T4" i="29"/>
  <c r="P4" i="29"/>
  <c r="S4" i="47"/>
  <c r="S4" i="13"/>
  <c r="W4" i="18"/>
  <c r="R4" i="18"/>
  <c r="AA4" i="60"/>
  <c r="W4" i="60"/>
  <c r="S4" i="60"/>
  <c r="AA4" i="18"/>
  <c r="Z4" i="60"/>
  <c r="W4" i="29"/>
  <c r="R4" i="29"/>
  <c r="Z4" i="16"/>
  <c r="V4" i="16"/>
  <c r="R4" i="16"/>
  <c r="V4" i="18"/>
  <c r="V4" i="60"/>
  <c r="AA4" i="29"/>
  <c r="V4" i="29"/>
  <c r="Q4" i="29"/>
  <c r="Y4" i="16"/>
  <c r="U4" i="16"/>
  <c r="Q4" i="18"/>
  <c r="R4" i="60"/>
  <c r="Z4" i="29"/>
  <c r="U4" i="29"/>
  <c r="AB4" i="16"/>
  <c r="X4" i="16"/>
  <c r="T4" i="16"/>
  <c r="Q4" i="16"/>
  <c r="S4" i="16"/>
  <c r="Y4" i="29"/>
  <c r="AA4" i="16"/>
  <c r="S4" i="29"/>
  <c r="W4" i="16"/>
  <c r="I28" i="44"/>
  <c r="H6" i="80"/>
  <c r="AO5" i="47"/>
  <c r="AK5" i="47"/>
  <c r="AG5" i="47"/>
  <c r="AN5" i="47"/>
  <c r="AJ5" i="47"/>
  <c r="AF5" i="47"/>
  <c r="AM5" i="47"/>
  <c r="AI5" i="47"/>
  <c r="AE5" i="47"/>
  <c r="AH5" i="47"/>
  <c r="AK5" i="13"/>
  <c r="AG5" i="13"/>
  <c r="AC5" i="13"/>
  <c r="AD5" i="47"/>
  <c r="AN5" i="13"/>
  <c r="AJ5" i="13"/>
  <c r="AF5" i="13"/>
  <c r="AM5" i="13"/>
  <c r="AI5" i="13"/>
  <c r="AE5" i="13"/>
  <c r="AL5" i="13"/>
  <c r="AK5" i="18"/>
  <c r="AG5" i="18"/>
  <c r="AC5" i="18"/>
  <c r="AL5" i="47"/>
  <c r="AH5" i="13"/>
  <c r="AJ5" i="18"/>
  <c r="AF5" i="18"/>
  <c r="AB5" i="18"/>
  <c r="AJ5" i="60"/>
  <c r="AF5" i="60"/>
  <c r="AB5" i="60"/>
  <c r="AD5" i="13"/>
  <c r="AM5" i="18"/>
  <c r="AI5" i="18"/>
  <c r="AE5" i="18"/>
  <c r="AL5" i="18"/>
  <c r="AM5" i="60"/>
  <c r="AH5" i="60"/>
  <c r="AC5" i="60"/>
  <c r="AK5" i="29"/>
  <c r="AG5" i="29"/>
  <c r="AC5" i="29"/>
  <c r="AH5" i="18"/>
  <c r="AL5" i="60"/>
  <c r="AG5" i="60"/>
  <c r="AJ5" i="29"/>
  <c r="AF5" i="29"/>
  <c r="AB5" i="29"/>
  <c r="AD5" i="18"/>
  <c r="AK5" i="60"/>
  <c r="AE5" i="60"/>
  <c r="AM5" i="29"/>
  <c r="AI5" i="29"/>
  <c r="AE5" i="29"/>
  <c r="AH5" i="29"/>
  <c r="AM5" i="16"/>
  <c r="AI5" i="16"/>
  <c r="AE5" i="16"/>
  <c r="AI5" i="60"/>
  <c r="AD5" i="29"/>
  <c r="AL5" i="16"/>
  <c r="AH5" i="16"/>
  <c r="AD5" i="16"/>
  <c r="AC5" i="16"/>
  <c r="AD5" i="60"/>
  <c r="AK5" i="16"/>
  <c r="AG5" i="16"/>
  <c r="AN5" i="16"/>
  <c r="AL5" i="29"/>
  <c r="AJ5" i="16"/>
  <c r="AF5" i="16"/>
  <c r="S16" i="16"/>
  <c r="W16" i="16"/>
  <c r="AA16" i="16"/>
  <c r="U16" i="16"/>
  <c r="Z16" i="16"/>
  <c r="Q16" i="16"/>
  <c r="V16" i="16"/>
  <c r="AB16" i="16"/>
  <c r="R16" i="16"/>
  <c r="X16" i="16"/>
  <c r="Y16" i="16"/>
  <c r="T16" i="16"/>
  <c r="G45" i="80"/>
  <c r="AG24" i="16" s="1"/>
  <c r="R13" i="16"/>
  <c r="V13" i="16"/>
  <c r="Z13" i="16"/>
  <c r="S13" i="16"/>
  <c r="W13" i="16"/>
  <c r="AA13" i="16"/>
  <c r="T13" i="16"/>
  <c r="X13" i="16"/>
  <c r="AB13" i="16"/>
  <c r="Y13" i="16"/>
  <c r="Q13" i="16"/>
  <c r="U13" i="16"/>
  <c r="R12" i="16"/>
  <c r="V12" i="16"/>
  <c r="Z12" i="16"/>
  <c r="S12" i="16"/>
  <c r="W12" i="16"/>
  <c r="AA12" i="16"/>
  <c r="T12" i="16"/>
  <c r="X12" i="16"/>
  <c r="AB12" i="16"/>
  <c r="U12" i="16"/>
  <c r="Y12" i="16"/>
  <c r="Q12" i="16"/>
  <c r="S22" i="16"/>
  <c r="R22" i="16"/>
  <c r="AB22" i="16"/>
  <c r="X22" i="16"/>
  <c r="W22" i="16"/>
  <c r="Y23" i="16"/>
  <c r="U23" i="16"/>
  <c r="Q23" i="16"/>
  <c r="Z23" i="16"/>
  <c r="T23" i="16"/>
  <c r="X23" i="16"/>
  <c r="S23" i="16"/>
  <c r="W23" i="16"/>
  <c r="V23" i="16"/>
  <c r="AB23" i="16"/>
  <c r="R23" i="16"/>
  <c r="AA23" i="16"/>
  <c r="G40" i="80"/>
  <c r="AL6" i="47"/>
  <c r="AH6" i="47"/>
  <c r="AD6" i="47"/>
  <c r="AK6" i="13"/>
  <c r="AG6" i="13"/>
  <c r="AC6" i="13"/>
  <c r="AJ6" i="18"/>
  <c r="AF6" i="18"/>
  <c r="AB6" i="18"/>
  <c r="AK6" i="47"/>
  <c r="AF6" i="47"/>
  <c r="AL6" i="13"/>
  <c r="AF6" i="13"/>
  <c r="AL6" i="18"/>
  <c r="AG6" i="18"/>
  <c r="AM6" i="60"/>
  <c r="AI6" i="60"/>
  <c r="AE6" i="60"/>
  <c r="AM6" i="29"/>
  <c r="AI6" i="29"/>
  <c r="AE6" i="29"/>
  <c r="AN6" i="16"/>
  <c r="AJ6" i="16"/>
  <c r="AF6" i="16"/>
  <c r="AO6" i="47"/>
  <c r="AJ6" i="47"/>
  <c r="AE6" i="47"/>
  <c r="AJ6" i="13"/>
  <c r="AE6" i="13"/>
  <c r="AK6" i="18"/>
  <c r="AE6" i="18"/>
  <c r="AL6" i="60"/>
  <c r="AH6" i="60"/>
  <c r="AD6" i="60"/>
  <c r="AL6" i="29"/>
  <c r="AH6" i="29"/>
  <c r="AD6" i="29"/>
  <c r="AM6" i="16"/>
  <c r="AI6" i="16"/>
  <c r="AE6" i="16"/>
  <c r="G42" i="80"/>
  <c r="AN6" i="47"/>
  <c r="AI6" i="13"/>
  <c r="AD6" i="18"/>
  <c r="AF6" i="60"/>
  <c r="AG6" i="29"/>
  <c r="AK6" i="16"/>
  <c r="AC6" i="16"/>
  <c r="AM6" i="47"/>
  <c r="AH6" i="13"/>
  <c r="AM6" i="18"/>
  <c r="AC6" i="18"/>
  <c r="AK6" i="60"/>
  <c r="AC6" i="60"/>
  <c r="AF6" i="29"/>
  <c r="AH6" i="16"/>
  <c r="AI6" i="47"/>
  <c r="AN6" i="13"/>
  <c r="AD6" i="13"/>
  <c r="AI6" i="18"/>
  <c r="AJ6" i="60"/>
  <c r="AB6" i="60"/>
  <c r="AK6" i="29"/>
  <c r="AC6" i="29"/>
  <c r="AG6" i="16"/>
  <c r="G36" i="80"/>
  <c r="G37" i="80"/>
  <c r="AG6" i="47"/>
  <c r="AM6" i="13"/>
  <c r="AH6" i="18"/>
  <c r="AG6" i="60"/>
  <c r="AJ6" i="29"/>
  <c r="AB6" i="29"/>
  <c r="AL6" i="16"/>
  <c r="AD6" i="16"/>
  <c r="G43" i="80"/>
  <c r="Y24" i="16"/>
  <c r="U24" i="16"/>
  <c r="Q24" i="16"/>
  <c r="X24" i="16"/>
  <c r="S24" i="16"/>
  <c r="AB24" i="16"/>
  <c r="W24" i="16"/>
  <c r="R24" i="16"/>
  <c r="V24" i="16"/>
  <c r="T24" i="16"/>
  <c r="AA24" i="16"/>
  <c r="Z24" i="16"/>
  <c r="G39" i="80"/>
  <c r="G5" i="80"/>
  <c r="G41" i="80"/>
  <c r="G35" i="80"/>
  <c r="G44" i="80"/>
  <c r="G38" i="80"/>
  <c r="AT6" i="47" l="1"/>
  <c r="AT29" i="47" s="1"/>
  <c r="AO6" i="16"/>
  <c r="AS6" i="16"/>
  <c r="AW6" i="13"/>
  <c r="AN29" i="47"/>
  <c r="AJ29" i="47"/>
  <c r="AK29" i="47"/>
  <c r="AH29" i="47"/>
  <c r="AI29" i="47"/>
  <c r="AM29" i="47"/>
  <c r="AO29" i="47"/>
  <c r="AL29" i="47"/>
  <c r="AG29" i="47"/>
  <c r="AE29" i="47"/>
  <c r="AF29" i="47"/>
  <c r="AD29" i="47"/>
  <c r="AJ26" i="60"/>
  <c r="AJ27" i="60"/>
  <c r="AK26" i="60"/>
  <c r="AK27" i="60"/>
  <c r="AF26" i="60"/>
  <c r="AF27" i="60"/>
  <c r="AH26" i="60"/>
  <c r="AH27" i="60"/>
  <c r="AI26" i="60"/>
  <c r="AI27" i="60"/>
  <c r="AL26" i="60"/>
  <c r="AL27" i="60"/>
  <c r="AM26" i="60"/>
  <c r="AM27" i="60"/>
  <c r="AG26" i="60"/>
  <c r="AG27" i="60"/>
  <c r="AC26" i="60"/>
  <c r="AC27" i="60"/>
  <c r="AD26" i="60"/>
  <c r="AD27" i="60"/>
  <c r="AE26" i="60"/>
  <c r="AE27" i="60"/>
  <c r="AI30" i="60"/>
  <c r="AK24" i="16"/>
  <c r="AK52" i="60"/>
  <c r="AK49" i="60"/>
  <c r="AF50" i="60"/>
  <c r="AF48" i="60"/>
  <c r="AF52" i="60"/>
  <c r="AF49" i="60"/>
  <c r="AF51" i="60"/>
  <c r="AH52" i="60"/>
  <c r="AH49" i="60"/>
  <c r="AI49" i="60"/>
  <c r="AI52" i="60"/>
  <c r="AI48" i="60"/>
  <c r="AC48" i="60"/>
  <c r="AC52" i="60"/>
  <c r="AC49" i="60"/>
  <c r="AE49" i="60"/>
  <c r="AE52" i="60"/>
  <c r="AJ49" i="60"/>
  <c r="AJ52" i="60"/>
  <c r="AL52" i="60"/>
  <c r="AL51" i="60"/>
  <c r="AL50" i="60"/>
  <c r="AL49" i="60"/>
  <c r="AL48" i="60"/>
  <c r="AM49" i="60"/>
  <c r="AM52" i="60"/>
  <c r="AB49" i="60"/>
  <c r="AB52" i="60"/>
  <c r="AD52" i="60"/>
  <c r="AD49" i="60"/>
  <c r="AG49" i="60"/>
  <c r="AG52" i="60"/>
  <c r="AF12" i="16"/>
  <c r="AT6" i="60"/>
  <c r="AK12" i="16"/>
  <c r="AM12" i="16"/>
  <c r="AH12" i="16"/>
  <c r="AC12" i="16"/>
  <c r="AL12" i="16"/>
  <c r="AY6" i="29"/>
  <c r="AN12" i="16"/>
  <c r="AI12" i="16"/>
  <c r="H38" i="80"/>
  <c r="AO17" i="16" s="1"/>
  <c r="AV6" i="60"/>
  <c r="AQ6" i="18"/>
  <c r="H45" i="80"/>
  <c r="AU24" i="16" s="1"/>
  <c r="AY6" i="47"/>
  <c r="AT6" i="18"/>
  <c r="AP6" i="13"/>
  <c r="H44" i="80"/>
  <c r="AP23" i="16" s="1"/>
  <c r="AT6" i="16"/>
  <c r="AX6" i="16"/>
  <c r="AZ6" i="47"/>
  <c r="AQ6" i="47"/>
  <c r="AM24" i="16"/>
  <c r="AS6" i="18"/>
  <c r="AX6" i="18"/>
  <c r="AP6" i="29"/>
  <c r="AV6" i="16"/>
  <c r="AR6" i="18"/>
  <c r="AE24" i="16"/>
  <c r="H40" i="80"/>
  <c r="AO19" i="16" s="1"/>
  <c r="AX6" i="13"/>
  <c r="AW6" i="16"/>
  <c r="AY6" i="13"/>
  <c r="AN6" i="29"/>
  <c r="AR6" i="13"/>
  <c r="AO6" i="29"/>
  <c r="AO6" i="18"/>
  <c r="AQ6" i="16"/>
  <c r="AT6" i="29"/>
  <c r="AX6" i="60"/>
  <c r="AU6" i="13"/>
  <c r="H37" i="80"/>
  <c r="AY16" i="16" s="1"/>
  <c r="AZ6" i="16"/>
  <c r="AQ6" i="60"/>
  <c r="AW6" i="18"/>
  <c r="AV6" i="47"/>
  <c r="AV6" i="18"/>
  <c r="AP6" i="47"/>
  <c r="AF24" i="16"/>
  <c r="AD24" i="16"/>
  <c r="AJ24" i="16"/>
  <c r="AO6" i="60"/>
  <c r="AR6" i="47"/>
  <c r="AS6" i="29"/>
  <c r="AS6" i="47"/>
  <c r="AV6" i="29"/>
  <c r="AW6" i="47"/>
  <c r="AW6" i="29"/>
  <c r="AY6" i="18"/>
  <c r="AU6" i="16"/>
  <c r="AX6" i="29"/>
  <c r="AP6" i="18"/>
  <c r="AZ6" i="13"/>
  <c r="H36" i="80"/>
  <c r="AU15" i="16" s="1"/>
  <c r="AQ6" i="29"/>
  <c r="AU6" i="60"/>
  <c r="AQ6" i="13"/>
  <c r="BA6" i="47"/>
  <c r="AO6" i="13"/>
  <c r="AH24" i="16"/>
  <c r="AI24" i="16"/>
  <c r="AC24" i="16"/>
  <c r="H33" i="80"/>
  <c r="AQ12" i="16" s="1"/>
  <c r="H35" i="80"/>
  <c r="AR6" i="29"/>
  <c r="I7" i="80"/>
  <c r="BB6" i="47" s="1"/>
  <c r="H39" i="80"/>
  <c r="AP18" i="16" s="1"/>
  <c r="H34" i="80"/>
  <c r="H41" i="80"/>
  <c r="AT20" i="16" s="1"/>
  <c r="AW6" i="60"/>
  <c r="H42" i="80"/>
  <c r="AR21" i="16" s="1"/>
  <c r="AR6" i="60"/>
  <c r="AP6" i="16"/>
  <c r="AS6" i="60"/>
  <c r="H43" i="80"/>
  <c r="AV22" i="16" s="1"/>
  <c r="AN6" i="60"/>
  <c r="AT6" i="13"/>
  <c r="AY6" i="16"/>
  <c r="AP6" i="60"/>
  <c r="AU6" i="18"/>
  <c r="AU6" i="47"/>
  <c r="AR6" i="16"/>
  <c r="AU6" i="29"/>
  <c r="AY6" i="60"/>
  <c r="AV6" i="13"/>
  <c r="AN6" i="18"/>
  <c r="AS6" i="13"/>
  <c r="AX6" i="47"/>
  <c r="AL24" i="16"/>
  <c r="AN24" i="16"/>
  <c r="AL4" i="47"/>
  <c r="AH4" i="47"/>
  <c r="AD4" i="47"/>
  <c r="AO4" i="47"/>
  <c r="AK4" i="47"/>
  <c r="AG4" i="47"/>
  <c r="AN4" i="13"/>
  <c r="AJ4" i="13"/>
  <c r="AF4" i="13"/>
  <c r="AN4" i="47"/>
  <c r="AJ4" i="47"/>
  <c r="AF4" i="47"/>
  <c r="AE4" i="47"/>
  <c r="AM4" i="13"/>
  <c r="AH4" i="13"/>
  <c r="AC4" i="13"/>
  <c r="AK4" i="18"/>
  <c r="AL4" i="13"/>
  <c r="AG4" i="13"/>
  <c r="AJ4" i="18"/>
  <c r="AF4" i="18"/>
  <c r="AB4" i="18"/>
  <c r="AM4" i="47"/>
  <c r="AK4" i="13"/>
  <c r="AE4" i="13"/>
  <c r="AD4" i="13"/>
  <c r="AL4" i="18"/>
  <c r="AE4" i="18"/>
  <c r="AK4" i="60"/>
  <c r="AG4" i="60"/>
  <c r="AC4" i="60"/>
  <c r="AI4" i="47"/>
  <c r="AI4" i="18"/>
  <c r="AD4" i="18"/>
  <c r="AJ4" i="60"/>
  <c r="AF4" i="60"/>
  <c r="AB4" i="60"/>
  <c r="AJ4" i="29"/>
  <c r="AF4" i="29"/>
  <c r="AB4" i="29"/>
  <c r="AH4" i="18"/>
  <c r="AC4" i="18"/>
  <c r="AM4" i="60"/>
  <c r="AI4" i="60"/>
  <c r="AE4" i="60"/>
  <c r="AI4" i="13"/>
  <c r="AM4" i="29"/>
  <c r="AH4" i="29"/>
  <c r="AC4" i="29"/>
  <c r="AL4" i="16"/>
  <c r="AH4" i="16"/>
  <c r="AD4" i="16"/>
  <c r="AL4" i="60"/>
  <c r="AL4" i="29"/>
  <c r="AG4" i="29"/>
  <c r="AK4" i="16"/>
  <c r="AG4" i="16"/>
  <c r="AM4" i="18"/>
  <c r="AH4" i="60"/>
  <c r="AK4" i="29"/>
  <c r="AE4" i="29"/>
  <c r="AN4" i="16"/>
  <c r="AJ4" i="16"/>
  <c r="AF4" i="16"/>
  <c r="AC4" i="16"/>
  <c r="AI4" i="29"/>
  <c r="AM4" i="16"/>
  <c r="AD4" i="29"/>
  <c r="AI4" i="16"/>
  <c r="AG4" i="18"/>
  <c r="AE4" i="16"/>
  <c r="AD4" i="60"/>
  <c r="AX12" i="16"/>
  <c r="AD20" i="16"/>
  <c r="AH20" i="16"/>
  <c r="AL20" i="16"/>
  <c r="AC20" i="16"/>
  <c r="AI20" i="16"/>
  <c r="AN20" i="16"/>
  <c r="AM20" i="16"/>
  <c r="AE20" i="16"/>
  <c r="AJ20" i="16"/>
  <c r="AG20" i="16"/>
  <c r="AF20" i="16"/>
  <c r="AK20" i="16"/>
  <c r="AE16" i="16"/>
  <c r="AI16" i="16"/>
  <c r="AM16" i="16"/>
  <c r="AF16" i="16"/>
  <c r="AK16" i="16"/>
  <c r="AG16" i="16"/>
  <c r="AL16" i="16"/>
  <c r="AC16" i="16"/>
  <c r="AH16" i="16"/>
  <c r="AN16" i="16"/>
  <c r="AD16" i="16"/>
  <c r="AJ16" i="16"/>
  <c r="AP14" i="16"/>
  <c r="AT14" i="16"/>
  <c r="AX14" i="16"/>
  <c r="AQ14" i="16"/>
  <c r="AU14" i="16"/>
  <c r="AY14" i="16"/>
  <c r="AR14" i="16"/>
  <c r="AV14" i="16"/>
  <c r="AZ14" i="16"/>
  <c r="AS14" i="16"/>
  <c r="AW14" i="16"/>
  <c r="AO14" i="16"/>
  <c r="AW19" i="16"/>
  <c r="AU19" i="16"/>
  <c r="AC17" i="16"/>
  <c r="AG17" i="16"/>
  <c r="AK17" i="16"/>
  <c r="AD17" i="16"/>
  <c r="AH17" i="16"/>
  <c r="AL17" i="16"/>
  <c r="AE17" i="16"/>
  <c r="AI17" i="16"/>
  <c r="AM17" i="16"/>
  <c r="AJ17" i="16"/>
  <c r="AN17" i="16"/>
  <c r="AF17" i="16"/>
  <c r="AE15" i="16"/>
  <c r="AI15" i="16"/>
  <c r="AM15" i="16"/>
  <c r="AG15" i="16"/>
  <c r="AL15" i="16"/>
  <c r="AC15" i="16"/>
  <c r="AH15" i="16"/>
  <c r="AN15" i="16"/>
  <c r="AD15" i="16"/>
  <c r="AJ15" i="16"/>
  <c r="AF15" i="16"/>
  <c r="AK15" i="16"/>
  <c r="AC18" i="16"/>
  <c r="AG18" i="16"/>
  <c r="AK18" i="16"/>
  <c r="AD18" i="16"/>
  <c r="AH18" i="16"/>
  <c r="AL18" i="16"/>
  <c r="AE18" i="16"/>
  <c r="AI18" i="16"/>
  <c r="AM18" i="16"/>
  <c r="AN18" i="16"/>
  <c r="AJ18" i="16"/>
  <c r="AF18" i="16"/>
  <c r="AD21" i="16"/>
  <c r="AH21" i="16"/>
  <c r="AL21" i="16"/>
  <c r="AG21" i="16"/>
  <c r="AM21" i="16"/>
  <c r="AK21" i="16"/>
  <c r="AC21" i="16"/>
  <c r="AI21" i="16"/>
  <c r="AN21" i="16"/>
  <c r="AF21" i="16"/>
  <c r="AE21" i="16"/>
  <c r="AJ21" i="16"/>
  <c r="AT15" i="16"/>
  <c r="AP13" i="16"/>
  <c r="AT13" i="16"/>
  <c r="AX13" i="16"/>
  <c r="AQ13" i="16"/>
  <c r="AU13" i="16"/>
  <c r="AY13" i="16"/>
  <c r="AR13" i="16"/>
  <c r="AV13" i="16"/>
  <c r="AZ13" i="16"/>
  <c r="AO13" i="16"/>
  <c r="AS13" i="16"/>
  <c r="AW13" i="16"/>
  <c r="AD14" i="16"/>
  <c r="AH14" i="16"/>
  <c r="AL14" i="16"/>
  <c r="AE14" i="16"/>
  <c r="AI14" i="16"/>
  <c r="AM14" i="16"/>
  <c r="AF14" i="16"/>
  <c r="AJ14" i="16"/>
  <c r="AN14" i="16"/>
  <c r="AC14" i="16"/>
  <c r="AG14" i="16"/>
  <c r="AK14" i="16"/>
  <c r="AC19" i="16"/>
  <c r="AG19" i="16"/>
  <c r="AK19" i="16"/>
  <c r="AD19" i="16"/>
  <c r="AH19" i="16"/>
  <c r="AL19" i="16"/>
  <c r="AE19" i="16"/>
  <c r="AI19" i="16"/>
  <c r="AM19" i="16"/>
  <c r="AF19" i="16"/>
  <c r="AN19" i="16"/>
  <c r="AJ19" i="16"/>
  <c r="I6" i="80"/>
  <c r="BA5" i="47"/>
  <c r="AW5" i="47"/>
  <c r="AS5" i="47"/>
  <c r="AZ5" i="47"/>
  <c r="AV5" i="47"/>
  <c r="AR5" i="47"/>
  <c r="AY5" i="47"/>
  <c r="AU5" i="47"/>
  <c r="AQ5" i="47"/>
  <c r="AX5" i="47"/>
  <c r="AW5" i="13"/>
  <c r="AS5" i="13"/>
  <c r="AO5" i="13"/>
  <c r="AT5" i="47"/>
  <c r="AZ5" i="13"/>
  <c r="AV5" i="13"/>
  <c r="AR5" i="13"/>
  <c r="AP5" i="47"/>
  <c r="AY5" i="13"/>
  <c r="AU5" i="13"/>
  <c r="AQ5" i="13"/>
  <c r="AW5" i="18"/>
  <c r="AS5" i="18"/>
  <c r="AO5" i="18"/>
  <c r="AX5" i="13"/>
  <c r="AV5" i="18"/>
  <c r="AR5" i="18"/>
  <c r="AN5" i="18"/>
  <c r="AV5" i="60"/>
  <c r="AR5" i="60"/>
  <c r="AN5" i="60"/>
  <c r="AT5" i="13"/>
  <c r="AY5" i="18"/>
  <c r="AU5" i="18"/>
  <c r="AQ5" i="18"/>
  <c r="AP5" i="13"/>
  <c r="AX5" i="60"/>
  <c r="AS5" i="60"/>
  <c r="AW5" i="29"/>
  <c r="AS5" i="29"/>
  <c r="AO5" i="29"/>
  <c r="AX5" i="18"/>
  <c r="AW5" i="60"/>
  <c r="AQ5" i="60"/>
  <c r="AV5" i="29"/>
  <c r="AR5" i="29"/>
  <c r="AN5" i="29"/>
  <c r="AT5" i="18"/>
  <c r="AU5" i="60"/>
  <c r="AP5" i="60"/>
  <c r="AY5" i="29"/>
  <c r="AU5" i="29"/>
  <c r="AQ5" i="29"/>
  <c r="AO5" i="60"/>
  <c r="AX5" i="29"/>
  <c r="AY5" i="16"/>
  <c r="AU5" i="16"/>
  <c r="AQ5" i="16"/>
  <c r="AT5" i="29"/>
  <c r="AX5" i="16"/>
  <c r="AT5" i="16"/>
  <c r="AP5" i="16"/>
  <c r="AO5" i="16"/>
  <c r="AP5" i="18"/>
  <c r="AY5" i="60"/>
  <c r="AP5" i="29"/>
  <c r="AW5" i="16"/>
  <c r="AS5" i="16"/>
  <c r="AV5" i="16"/>
  <c r="AR5" i="16"/>
  <c r="AT5" i="60"/>
  <c r="AZ5" i="16"/>
  <c r="E30" i="44"/>
  <c r="E9" i="16"/>
  <c r="BL6" i="47"/>
  <c r="I43" i="80"/>
  <c r="BC6" i="16"/>
  <c r="BF6" i="16"/>
  <c r="BJ6" i="16"/>
  <c r="AK23" i="16"/>
  <c r="AG23" i="16"/>
  <c r="AC23" i="16"/>
  <c r="AL23" i="16"/>
  <c r="AF23" i="16"/>
  <c r="AJ23" i="16"/>
  <c r="AE23" i="16"/>
  <c r="AN23" i="16"/>
  <c r="AD23" i="16"/>
  <c r="AM23" i="16"/>
  <c r="AI23" i="16"/>
  <c r="AH23" i="16"/>
  <c r="H5" i="80"/>
  <c r="AY24" i="16"/>
  <c r="AP24" i="16"/>
  <c r="AS24" i="16"/>
  <c r="AK22" i="16"/>
  <c r="AG22" i="16"/>
  <c r="AC22" i="16"/>
  <c r="AM22" i="16"/>
  <c r="AH22" i="16"/>
  <c r="AL22" i="16"/>
  <c r="AF22" i="16"/>
  <c r="AE22" i="16"/>
  <c r="AN22" i="16"/>
  <c r="AD22" i="16"/>
  <c r="AJ22" i="16"/>
  <c r="AI22" i="16"/>
  <c r="AT23" i="16"/>
  <c r="AZ23" i="16"/>
  <c r="AO23" i="16"/>
  <c r="I34" i="80"/>
  <c r="AP17" i="16" l="1"/>
  <c r="AX21" i="16"/>
  <c r="AW18" i="16"/>
  <c r="AS12" i="16"/>
  <c r="AS22" i="16"/>
  <c r="AR12" i="16"/>
  <c r="BB29" i="47"/>
  <c r="BA29" i="47"/>
  <c r="AP29" i="47"/>
  <c r="AU29" i="47"/>
  <c r="AS29" i="47"/>
  <c r="AY29" i="47"/>
  <c r="AX29" i="47"/>
  <c r="AV29" i="47"/>
  <c r="AQ29" i="47"/>
  <c r="BL29" i="47"/>
  <c r="AW29" i="47"/>
  <c r="AR29" i="47"/>
  <c r="AZ29" i="47"/>
  <c r="AZ19" i="16"/>
  <c r="AQ19" i="16"/>
  <c r="AS19" i="16"/>
  <c r="AZ21" i="16"/>
  <c r="AR18" i="16"/>
  <c r="AV19" i="16"/>
  <c r="AX19" i="16"/>
  <c r="AY21" i="16"/>
  <c r="AQ18" i="16"/>
  <c r="AR19" i="16"/>
  <c r="AP19" i="16"/>
  <c r="AY22" i="16"/>
  <c r="AP22" i="16"/>
  <c r="AY20" i="16"/>
  <c r="AY19" i="16"/>
  <c r="AT19" i="16"/>
  <c r="AS26" i="60"/>
  <c r="AS27" i="60"/>
  <c r="AW26" i="60"/>
  <c r="AW27" i="60"/>
  <c r="AO26" i="60"/>
  <c r="AO27" i="60"/>
  <c r="AQ26" i="60"/>
  <c r="AQ27" i="60"/>
  <c r="AX26" i="60"/>
  <c r="AX27" i="60"/>
  <c r="AV26" i="60"/>
  <c r="AV27" i="60"/>
  <c r="AY26" i="60"/>
  <c r="AY27" i="60"/>
  <c r="AN26" i="60"/>
  <c r="AN27" i="60"/>
  <c r="AR26" i="60"/>
  <c r="AR27" i="60"/>
  <c r="AU26" i="60"/>
  <c r="AU27" i="60"/>
  <c r="AT26" i="60"/>
  <c r="AT27" i="60"/>
  <c r="AP26" i="60"/>
  <c r="AP27" i="60"/>
  <c r="AU30" i="60"/>
  <c r="AO30" i="60"/>
  <c r="AX16" i="16"/>
  <c r="AV16" i="16"/>
  <c r="AQ16" i="16"/>
  <c r="AR16" i="16"/>
  <c r="AZ16" i="16"/>
  <c r="AS16" i="16"/>
  <c r="AP16" i="16"/>
  <c r="AT16" i="16"/>
  <c r="AU16" i="16"/>
  <c r="AO16" i="16"/>
  <c r="AW16" i="16"/>
  <c r="AZ20" i="16"/>
  <c r="AW49" i="60"/>
  <c r="AW52" i="60"/>
  <c r="AX52" i="60"/>
  <c r="AX50" i="60"/>
  <c r="AX51" i="60"/>
  <c r="AX49" i="60"/>
  <c r="AX48" i="60"/>
  <c r="AQ49" i="60"/>
  <c r="AQ52" i="60"/>
  <c r="AV52" i="60"/>
  <c r="AV49" i="60"/>
  <c r="AY49" i="60"/>
  <c r="AY52" i="60"/>
  <c r="AN49" i="60"/>
  <c r="AN52" i="60"/>
  <c r="AR51" i="60"/>
  <c r="AR48" i="60"/>
  <c r="AR52" i="60"/>
  <c r="AR49" i="60"/>
  <c r="AR50" i="60"/>
  <c r="AU49" i="60"/>
  <c r="AU52" i="60"/>
  <c r="AU48" i="60"/>
  <c r="AT52" i="60"/>
  <c r="AT49" i="60"/>
  <c r="AS52" i="60"/>
  <c r="AS49" i="60"/>
  <c r="AO48" i="60"/>
  <c r="AO52" i="60"/>
  <c r="AO49" i="60"/>
  <c r="AP52" i="60"/>
  <c r="AP49" i="60"/>
  <c r="AO12" i="60"/>
  <c r="BC6" i="18"/>
  <c r="BI6" i="18"/>
  <c r="BF6" i="29"/>
  <c r="BC6" i="29"/>
  <c r="BA6" i="13"/>
  <c r="BE6" i="16"/>
  <c r="BI6" i="16"/>
  <c r="BJ6" i="60"/>
  <c r="BG6" i="60"/>
  <c r="BF6" i="47"/>
  <c r="AW20" i="16"/>
  <c r="AS20" i="16"/>
  <c r="AQ15" i="16"/>
  <c r="AR17" i="16"/>
  <c r="I39" i="80"/>
  <c r="BI18" i="16" s="1"/>
  <c r="AW15" i="16"/>
  <c r="BH6" i="60"/>
  <c r="BD6" i="13"/>
  <c r="BF6" i="13"/>
  <c r="BB6" i="13"/>
  <c r="AR20" i="16"/>
  <c r="AP20" i="16"/>
  <c r="AU17" i="16"/>
  <c r="AV17" i="16"/>
  <c r="AQ17" i="16"/>
  <c r="AW17" i="16"/>
  <c r="AZ17" i="16"/>
  <c r="AX17" i="16"/>
  <c r="AS17" i="16"/>
  <c r="AY17" i="16"/>
  <c r="AT17" i="16"/>
  <c r="AZ6" i="29"/>
  <c r="BA6" i="29"/>
  <c r="BD6" i="29"/>
  <c r="BE6" i="29"/>
  <c r="BG6" i="16"/>
  <c r="BA6" i="18"/>
  <c r="BD6" i="16"/>
  <c r="BK6" i="60"/>
  <c r="AZ6" i="18"/>
  <c r="BJ6" i="47"/>
  <c r="AO15" i="16"/>
  <c r="I44" i="80"/>
  <c r="BA23" i="16" s="1"/>
  <c r="AU23" i="16"/>
  <c r="AV23" i="16"/>
  <c r="AO24" i="16"/>
  <c r="I42" i="80"/>
  <c r="BF21" i="16" s="1"/>
  <c r="BH6" i="29"/>
  <c r="BC6" i="47"/>
  <c r="BI6" i="29"/>
  <c r="BJ6" i="13"/>
  <c r="BA6" i="60"/>
  <c r="BH6" i="47"/>
  <c r="BD6" i="60"/>
  <c r="I37" i="80"/>
  <c r="BG16" i="16" s="1"/>
  <c r="BK6" i="16"/>
  <c r="BB6" i="60"/>
  <c r="BF6" i="18"/>
  <c r="BE6" i="47"/>
  <c r="BH6" i="16"/>
  <c r="BK6" i="29"/>
  <c r="BB6" i="18"/>
  <c r="BL6" i="13"/>
  <c r="BD6" i="18"/>
  <c r="BI6" i="13"/>
  <c r="AV20" i="16"/>
  <c r="AU20" i="16"/>
  <c r="AX20" i="16"/>
  <c r="AV15" i="16"/>
  <c r="AX15" i="16"/>
  <c r="AY15" i="16"/>
  <c r="I45" i="80"/>
  <c r="BG24" i="16" s="1"/>
  <c r="I38" i="80"/>
  <c r="I41" i="80"/>
  <c r="BF20" i="16" s="1"/>
  <c r="AR23" i="16"/>
  <c r="AQ23" i="16"/>
  <c r="AX23" i="16"/>
  <c r="AX24" i="16"/>
  <c r="AT24" i="16"/>
  <c r="AV24" i="16"/>
  <c r="BH6" i="13"/>
  <c r="BE6" i="18"/>
  <c r="BC6" i="13"/>
  <c r="BI6" i="47"/>
  <c r="BJ6" i="29"/>
  <c r="BK6" i="13"/>
  <c r="BG6" i="29"/>
  <c r="BG6" i="13"/>
  <c r="BE6" i="13"/>
  <c r="AP15" i="16"/>
  <c r="AR15" i="16"/>
  <c r="I40" i="80"/>
  <c r="BA19" i="16" s="1"/>
  <c r="AY23" i="16"/>
  <c r="AZ24" i="16"/>
  <c r="AQ24" i="16"/>
  <c r="J7" i="80"/>
  <c r="I35" i="80"/>
  <c r="BB14" i="16" s="1"/>
  <c r="AW23" i="16"/>
  <c r="AS23" i="16"/>
  <c r="AR24" i="16"/>
  <c r="AW24" i="16"/>
  <c r="BB6" i="16"/>
  <c r="BE6" i="60"/>
  <c r="BM6" i="47"/>
  <c r="AZ6" i="60"/>
  <c r="BD6" i="47"/>
  <c r="BI6" i="60"/>
  <c r="BA6" i="16"/>
  <c r="BJ6" i="18"/>
  <c r="I36" i="80"/>
  <c r="BG15" i="16" s="1"/>
  <c r="BB6" i="29"/>
  <c r="BF6" i="60"/>
  <c r="BK6" i="18"/>
  <c r="BK6" i="47"/>
  <c r="BL6" i="16"/>
  <c r="BC6" i="60"/>
  <c r="BG6" i="18"/>
  <c r="BG6" i="47"/>
  <c r="BH6" i="18"/>
  <c r="AQ20" i="16"/>
  <c r="AO20" i="16"/>
  <c r="AZ15" i="16"/>
  <c r="AS15" i="16"/>
  <c r="AO22" i="16"/>
  <c r="AX22" i="16"/>
  <c r="AW22" i="16"/>
  <c r="AU21" i="16"/>
  <c r="AS21" i="16"/>
  <c r="AT21" i="16"/>
  <c r="AZ18" i="16"/>
  <c r="AX18" i="16"/>
  <c r="AS18" i="16"/>
  <c r="AO12" i="16"/>
  <c r="AY12" i="16"/>
  <c r="AT12" i="16"/>
  <c r="I33" i="80"/>
  <c r="AZ22" i="16"/>
  <c r="AO21" i="16"/>
  <c r="AW21" i="16"/>
  <c r="AP21" i="16"/>
  <c r="AY18" i="16"/>
  <c r="AT18" i="16"/>
  <c r="AO18" i="16"/>
  <c r="AZ12" i="16"/>
  <c r="AU12" i="16"/>
  <c r="AP12" i="16"/>
  <c r="AR22" i="16"/>
  <c r="AQ22" i="16"/>
  <c r="J33" i="80"/>
  <c r="AT22" i="16"/>
  <c r="AU22" i="16"/>
  <c r="AQ21" i="16"/>
  <c r="AV21" i="16"/>
  <c r="AV18" i="16"/>
  <c r="AU18" i="16"/>
  <c r="AW12" i="16"/>
  <c r="AV12" i="16"/>
  <c r="BF14" i="16"/>
  <c r="BJ14" i="16"/>
  <c r="BC14" i="16"/>
  <c r="BK14" i="16"/>
  <c r="BD14" i="16"/>
  <c r="BH14" i="16"/>
  <c r="BL14" i="16"/>
  <c r="BI14" i="16"/>
  <c r="BA14" i="16"/>
  <c r="BE14" i="16"/>
  <c r="BB13" i="16"/>
  <c r="BF13" i="16"/>
  <c r="BJ13" i="16"/>
  <c r="BC13" i="16"/>
  <c r="BG13" i="16"/>
  <c r="BK13" i="16"/>
  <c r="BD13" i="16"/>
  <c r="BH13" i="16"/>
  <c r="BL13" i="16"/>
  <c r="BE13" i="16"/>
  <c r="BI13" i="16"/>
  <c r="BA13" i="16"/>
  <c r="BA17" i="16"/>
  <c r="BE17" i="16"/>
  <c r="BI17" i="16"/>
  <c r="BB17" i="16"/>
  <c r="BF17" i="16"/>
  <c r="BJ17" i="16"/>
  <c r="BC17" i="16"/>
  <c r="BG17" i="16"/>
  <c r="BK17" i="16"/>
  <c r="BD17" i="16"/>
  <c r="BH17" i="16"/>
  <c r="BL17" i="16"/>
  <c r="BN12" i="16"/>
  <c r="BR12" i="16"/>
  <c r="BV12" i="16"/>
  <c r="BO12" i="16"/>
  <c r="BS12" i="16"/>
  <c r="BW12" i="16"/>
  <c r="BP12" i="16"/>
  <c r="BT12" i="16"/>
  <c r="BX12" i="16"/>
  <c r="BQ12" i="16"/>
  <c r="BU12" i="16"/>
  <c r="BM12" i="16"/>
  <c r="BB19" i="16"/>
  <c r="BG19" i="16"/>
  <c r="BD19" i="16"/>
  <c r="AX4" i="47"/>
  <c r="AT4" i="47"/>
  <c r="AP4" i="47"/>
  <c r="BA4" i="47"/>
  <c r="AW4" i="47"/>
  <c r="AS4" i="47"/>
  <c r="AZ4" i="13"/>
  <c r="AV4" i="13"/>
  <c r="AR4" i="13"/>
  <c r="AZ4" i="47"/>
  <c r="AV4" i="47"/>
  <c r="AR4" i="47"/>
  <c r="AU4" i="47"/>
  <c r="AX4" i="13"/>
  <c r="AS4" i="13"/>
  <c r="AW4" i="18"/>
  <c r="AS4" i="18"/>
  <c r="AO4" i="18"/>
  <c r="AQ4" i="47"/>
  <c r="AW4" i="13"/>
  <c r="AQ4" i="13"/>
  <c r="AV4" i="18"/>
  <c r="AR4" i="18"/>
  <c r="AN4" i="18"/>
  <c r="AU4" i="13"/>
  <c r="AP4" i="13"/>
  <c r="AY4" i="18"/>
  <c r="AU4" i="18"/>
  <c r="AY4" i="47"/>
  <c r="AY4" i="13"/>
  <c r="AT4" i="18"/>
  <c r="AW4" i="60"/>
  <c r="AS4" i="60"/>
  <c r="AO4" i="60"/>
  <c r="AT4" i="13"/>
  <c r="AQ4" i="18"/>
  <c r="AV4" i="60"/>
  <c r="AR4" i="60"/>
  <c r="AN4" i="60"/>
  <c r="AV4" i="29"/>
  <c r="AR4" i="29"/>
  <c r="AN4" i="29"/>
  <c r="AO4" i="13"/>
  <c r="AP4" i="18"/>
  <c r="AY4" i="60"/>
  <c r="AU4" i="60"/>
  <c r="AQ4" i="60"/>
  <c r="AP4" i="60"/>
  <c r="AX4" i="29"/>
  <c r="AS4" i="29"/>
  <c r="AX4" i="16"/>
  <c r="AT4" i="16"/>
  <c r="AP4" i="16"/>
  <c r="AX4" i="18"/>
  <c r="AW4" i="29"/>
  <c r="AQ4" i="29"/>
  <c r="AW4" i="16"/>
  <c r="AS4" i="16"/>
  <c r="AX4" i="60"/>
  <c r="AU4" i="29"/>
  <c r="AP4" i="29"/>
  <c r="AZ4" i="16"/>
  <c r="AV4" i="16"/>
  <c r="AR4" i="16"/>
  <c r="AO4" i="16"/>
  <c r="AQ4" i="16"/>
  <c r="AY4" i="29"/>
  <c r="AT4" i="60"/>
  <c r="AT4" i="29"/>
  <c r="AY4" i="16"/>
  <c r="AU4" i="16"/>
  <c r="AO4" i="29"/>
  <c r="J6" i="80"/>
  <c r="BM5" i="47"/>
  <c r="BI5" i="47"/>
  <c r="BE5" i="47"/>
  <c r="BL5" i="47"/>
  <c r="BH5" i="47"/>
  <c r="BD5" i="47"/>
  <c r="BK5" i="47"/>
  <c r="BG5" i="47"/>
  <c r="BC5" i="47"/>
  <c r="BI5" i="13"/>
  <c r="BE5" i="13"/>
  <c r="BA5" i="13"/>
  <c r="BJ5" i="47"/>
  <c r="BL5" i="13"/>
  <c r="BH5" i="13"/>
  <c r="BD5" i="13"/>
  <c r="BF5" i="47"/>
  <c r="BK5" i="13"/>
  <c r="BG5" i="13"/>
  <c r="BC5" i="13"/>
  <c r="BB5" i="47"/>
  <c r="BB5" i="13"/>
  <c r="BI5" i="18"/>
  <c r="BE5" i="18"/>
  <c r="BA5" i="18"/>
  <c r="BH5" i="18"/>
  <c r="BD5" i="18"/>
  <c r="AZ5" i="18"/>
  <c r="BH5" i="60"/>
  <c r="BD5" i="60"/>
  <c r="AZ5" i="60"/>
  <c r="BJ5" i="13"/>
  <c r="BK5" i="18"/>
  <c r="BG5" i="18"/>
  <c r="BC5" i="18"/>
  <c r="BB5" i="18"/>
  <c r="BI5" i="60"/>
  <c r="BC5" i="60"/>
  <c r="BI5" i="29"/>
  <c r="BE5" i="29"/>
  <c r="BA5" i="29"/>
  <c r="BG5" i="60"/>
  <c r="BB5" i="60"/>
  <c r="BH5" i="29"/>
  <c r="BD5" i="29"/>
  <c r="AZ5" i="29"/>
  <c r="BJ5" i="18"/>
  <c r="BK5" i="60"/>
  <c r="BF5" i="60"/>
  <c r="BA5" i="60"/>
  <c r="BK5" i="29"/>
  <c r="BG5" i="29"/>
  <c r="BC5" i="29"/>
  <c r="BF5" i="13"/>
  <c r="BJ5" i="60"/>
  <c r="BK5" i="16"/>
  <c r="BG5" i="16"/>
  <c r="BC5" i="16"/>
  <c r="BF5" i="18"/>
  <c r="BE5" i="60"/>
  <c r="BJ5" i="29"/>
  <c r="BJ5" i="16"/>
  <c r="BF5" i="16"/>
  <c r="BB5" i="16"/>
  <c r="BA5" i="16"/>
  <c r="BF5" i="29"/>
  <c r="BI5" i="16"/>
  <c r="BE5" i="16"/>
  <c r="BB5" i="29"/>
  <c r="BL5" i="16"/>
  <c r="BH5" i="16"/>
  <c r="BD5" i="16"/>
  <c r="BK24" i="16"/>
  <c r="BC24" i="16"/>
  <c r="BB24" i="16"/>
  <c r="BF24" i="16"/>
  <c r="BE24" i="16"/>
  <c r="BJ24" i="16"/>
  <c r="BI22" i="16"/>
  <c r="BE22" i="16"/>
  <c r="BH22" i="16"/>
  <c r="BC22" i="16"/>
  <c r="BG22" i="16"/>
  <c r="BA22" i="16"/>
  <c r="BL22" i="16"/>
  <c r="BF22" i="16"/>
  <c r="BK22" i="16"/>
  <c r="BJ22" i="16"/>
  <c r="BD22" i="16"/>
  <c r="BB22" i="16"/>
  <c r="BV6" i="47"/>
  <c r="BR6" i="47"/>
  <c r="BN6" i="47"/>
  <c r="BU6" i="13"/>
  <c r="BQ6" i="13"/>
  <c r="BM6" i="13"/>
  <c r="BT6" i="18"/>
  <c r="BP6" i="18"/>
  <c r="BL6" i="18"/>
  <c r="BW6" i="47"/>
  <c r="BQ6" i="47"/>
  <c r="BW6" i="13"/>
  <c r="BR6" i="13"/>
  <c r="BW6" i="18"/>
  <c r="BR6" i="18"/>
  <c r="BM6" i="18"/>
  <c r="BW6" i="60"/>
  <c r="BS6" i="60"/>
  <c r="BO6" i="60"/>
  <c r="BW6" i="29"/>
  <c r="BS6" i="29"/>
  <c r="BO6" i="29"/>
  <c r="BX6" i="16"/>
  <c r="BT6" i="16"/>
  <c r="BP6" i="16"/>
  <c r="J42" i="80"/>
  <c r="BU6" i="47"/>
  <c r="BP6" i="47"/>
  <c r="BV6" i="13"/>
  <c r="BP6" i="13"/>
  <c r="BV6" i="18"/>
  <c r="BQ6" i="18"/>
  <c r="BV6" i="60"/>
  <c r="BR6" i="60"/>
  <c r="BN6" i="60"/>
  <c r="BV6" i="29"/>
  <c r="BR6" i="29"/>
  <c r="BN6" i="29"/>
  <c r="BW6" i="16"/>
  <c r="BS6" i="16"/>
  <c r="BO6" i="16"/>
  <c r="J43" i="80"/>
  <c r="BT6" i="47"/>
  <c r="BO6" i="13"/>
  <c r="BU6" i="18"/>
  <c r="BT6" i="60"/>
  <c r="BL6" i="60"/>
  <c r="BU6" i="29"/>
  <c r="BM6" i="29"/>
  <c r="BQ6" i="16"/>
  <c r="BS6" i="47"/>
  <c r="BX6" i="13"/>
  <c r="BN6" i="13"/>
  <c r="BS6" i="18"/>
  <c r="BQ6" i="60"/>
  <c r="BT6" i="29"/>
  <c r="BL6" i="29"/>
  <c r="BV6" i="16"/>
  <c r="BN6" i="16"/>
  <c r="BY6" i="47"/>
  <c r="BO6" i="47"/>
  <c r="BT6" i="13"/>
  <c r="BO6" i="18"/>
  <c r="BP6" i="60"/>
  <c r="BQ6" i="29"/>
  <c r="BU6" i="16"/>
  <c r="BM6" i="16"/>
  <c r="BX6" i="47"/>
  <c r="BS6" i="13"/>
  <c r="BN6" i="18"/>
  <c r="BU6" i="60"/>
  <c r="BM6" i="60"/>
  <c r="BP6" i="29"/>
  <c r="BR6" i="16"/>
  <c r="J36" i="80"/>
  <c r="J37" i="80"/>
  <c r="I5" i="80"/>
  <c r="J44" i="80"/>
  <c r="J45" i="80"/>
  <c r="J40" i="80"/>
  <c r="K7" i="80"/>
  <c r="J41" i="80"/>
  <c r="J39" i="80"/>
  <c r="J35" i="80"/>
  <c r="J38" i="80"/>
  <c r="J34" i="80"/>
  <c r="BD18" i="16" l="1"/>
  <c r="BX29" i="47"/>
  <c r="BY29" i="47"/>
  <c r="BP29" i="47"/>
  <c r="BG29" i="47"/>
  <c r="BK29" i="47"/>
  <c r="BD29" i="47"/>
  <c r="BF29" i="47"/>
  <c r="BS29" i="47"/>
  <c r="BT29" i="47"/>
  <c r="BU29" i="47"/>
  <c r="BQ29" i="47"/>
  <c r="BN29" i="47"/>
  <c r="BH29" i="47"/>
  <c r="BC29" i="47"/>
  <c r="BJ29" i="47"/>
  <c r="BW29" i="47"/>
  <c r="BR29" i="47"/>
  <c r="BM29" i="47"/>
  <c r="BI29" i="47"/>
  <c r="BO29" i="47"/>
  <c r="BV29" i="47"/>
  <c r="BE29" i="47"/>
  <c r="BI20" i="16"/>
  <c r="BL19" i="16"/>
  <c r="BC19" i="16"/>
  <c r="BI19" i="16"/>
  <c r="BH19" i="16"/>
  <c r="BJ19" i="16"/>
  <c r="BE19" i="16"/>
  <c r="BJ18" i="16"/>
  <c r="BC16" i="16"/>
  <c r="BK19" i="16"/>
  <c r="BF19" i="16"/>
  <c r="BE18" i="16"/>
  <c r="BI24" i="16"/>
  <c r="BL24" i="16"/>
  <c r="BH24" i="16"/>
  <c r="BD24" i="16"/>
  <c r="BA24" i="16"/>
  <c r="BU26" i="60"/>
  <c r="BU27" i="60"/>
  <c r="BQ26" i="60"/>
  <c r="BQ27" i="60"/>
  <c r="BL26" i="60"/>
  <c r="BL27" i="60"/>
  <c r="BN26" i="60"/>
  <c r="BN27" i="60"/>
  <c r="BO26" i="60"/>
  <c r="BO27" i="60"/>
  <c r="BC26" i="60"/>
  <c r="BC27" i="60"/>
  <c r="BF26" i="60"/>
  <c r="BF27" i="60"/>
  <c r="BA26" i="60"/>
  <c r="BA27" i="60"/>
  <c r="BJ26" i="60"/>
  <c r="BJ27" i="60"/>
  <c r="BR26" i="60"/>
  <c r="BR27" i="60"/>
  <c r="BS26" i="60"/>
  <c r="BS27" i="60"/>
  <c r="BI26" i="60"/>
  <c r="BI27" i="60"/>
  <c r="BE26" i="60"/>
  <c r="BE27" i="60"/>
  <c r="BK26" i="60"/>
  <c r="BK27" i="60"/>
  <c r="BT26" i="60"/>
  <c r="BT27" i="60"/>
  <c r="BV26" i="60"/>
  <c r="BV27" i="60"/>
  <c r="BW26" i="60"/>
  <c r="BW27" i="60"/>
  <c r="BD26" i="60"/>
  <c r="BD27" i="60"/>
  <c r="BM26" i="60"/>
  <c r="BM27" i="60"/>
  <c r="BP26" i="60"/>
  <c r="BP27" i="60"/>
  <c r="AZ26" i="60"/>
  <c r="AZ27" i="60"/>
  <c r="BB26" i="60"/>
  <c r="BB27" i="60"/>
  <c r="BH26" i="60"/>
  <c r="BH27" i="60"/>
  <c r="BG26" i="60"/>
  <c r="BG27" i="60"/>
  <c r="BS30" i="60"/>
  <c r="BM30" i="60"/>
  <c r="BA30" i="60"/>
  <c r="BG30" i="60"/>
  <c r="BC15" i="16"/>
  <c r="BG14" i="16"/>
  <c r="BJ15" i="16"/>
  <c r="BF15" i="16"/>
  <c r="BB15" i="16"/>
  <c r="BK20" i="16"/>
  <c r="BM48" i="60"/>
  <c r="BM49" i="60"/>
  <c r="BM52" i="60"/>
  <c r="BA48" i="60"/>
  <c r="BA52" i="60"/>
  <c r="BA49" i="60"/>
  <c r="BJ52" i="60"/>
  <c r="BJ51" i="60"/>
  <c r="BJ49" i="60"/>
  <c r="BJ48" i="60"/>
  <c r="BJ50" i="60"/>
  <c r="BU52" i="60"/>
  <c r="BU49" i="60"/>
  <c r="BQ52" i="60"/>
  <c r="BQ49" i="60"/>
  <c r="BL52" i="60"/>
  <c r="BL49" i="60"/>
  <c r="BN52" i="60"/>
  <c r="BN49" i="60"/>
  <c r="BO49" i="60"/>
  <c r="BO52" i="60"/>
  <c r="BI52" i="60"/>
  <c r="BI49" i="60"/>
  <c r="BE52" i="60"/>
  <c r="BE49" i="60"/>
  <c r="BK49" i="60"/>
  <c r="BK52" i="60"/>
  <c r="BP51" i="60"/>
  <c r="BP48" i="60"/>
  <c r="BP49" i="60"/>
  <c r="BP52" i="60"/>
  <c r="BP50" i="60"/>
  <c r="BF52" i="60"/>
  <c r="BF49" i="60"/>
  <c r="BR52" i="60"/>
  <c r="BR49" i="60"/>
  <c r="BD50" i="60"/>
  <c r="BD48" i="60"/>
  <c r="BD52" i="60"/>
  <c r="BD49" i="60"/>
  <c r="BD51" i="60"/>
  <c r="BC49" i="60"/>
  <c r="BC52" i="60"/>
  <c r="BT52" i="60"/>
  <c r="BT49" i="60"/>
  <c r="BS49" i="60"/>
  <c r="BS52" i="60"/>
  <c r="BS48" i="60"/>
  <c r="BV52" i="60"/>
  <c r="BV50" i="60"/>
  <c r="BV51" i="60"/>
  <c r="BV49" i="60"/>
  <c r="BV48" i="60"/>
  <c r="BW49" i="60"/>
  <c r="BW52" i="60"/>
  <c r="AZ49" i="60"/>
  <c r="AZ52" i="60"/>
  <c r="BB52" i="60"/>
  <c r="BB49" i="60"/>
  <c r="BH49" i="60"/>
  <c r="BH52" i="60"/>
  <c r="BG49" i="60"/>
  <c r="BG52" i="60"/>
  <c r="BG48" i="60"/>
  <c r="BK18" i="16"/>
  <c r="BA18" i="16"/>
  <c r="BL21" i="16"/>
  <c r="BK23" i="16"/>
  <c r="BL20" i="16"/>
  <c r="BD20" i="16"/>
  <c r="BE15" i="16"/>
  <c r="BL18" i="16"/>
  <c r="BG18" i="16"/>
  <c r="BB18" i="16"/>
  <c r="BD16" i="16"/>
  <c r="BH21" i="16"/>
  <c r="BG23" i="16"/>
  <c r="BF18" i="16"/>
  <c r="BB23" i="16"/>
  <c r="BC20" i="16"/>
  <c r="BB20" i="16"/>
  <c r="BH15" i="16"/>
  <c r="BH18" i="16"/>
  <c r="BC18" i="16"/>
  <c r="BF16" i="16"/>
  <c r="BB21" i="16"/>
  <c r="BC23" i="16"/>
  <c r="BE16" i="16"/>
  <c r="BH16" i="16"/>
  <c r="BA16" i="16"/>
  <c r="BG21" i="16"/>
  <c r="BI21" i="16"/>
  <c r="BC21" i="16"/>
  <c r="BL23" i="16"/>
  <c r="BF23" i="16"/>
  <c r="BI23" i="16"/>
  <c r="BH23" i="16"/>
  <c r="BJ23" i="16"/>
  <c r="BG20" i="16"/>
  <c r="BE20" i="16"/>
  <c r="BJ20" i="16"/>
  <c r="BA15" i="16"/>
  <c r="BI15" i="16"/>
  <c r="BK15" i="16"/>
  <c r="BJ16" i="16"/>
  <c r="BB16" i="16"/>
  <c r="BK16" i="16"/>
  <c r="BK21" i="16"/>
  <c r="BD21" i="16"/>
  <c r="BJ21" i="16"/>
  <c r="BE23" i="16"/>
  <c r="BD23" i="16"/>
  <c r="BA20" i="16"/>
  <c r="BH20" i="16"/>
  <c r="BL15" i="16"/>
  <c r="BD15" i="16"/>
  <c r="BI16" i="16"/>
  <c r="BL16" i="16"/>
  <c r="BE21" i="16"/>
  <c r="BA21" i="16"/>
  <c r="K33" i="80"/>
  <c r="BC12" i="16"/>
  <c r="BH12" i="16"/>
  <c r="BI12" i="16"/>
  <c r="BD12" i="16"/>
  <c r="BB12" i="16"/>
  <c r="BG12" i="16"/>
  <c r="BL12" i="16"/>
  <c r="BJ12" i="16"/>
  <c r="BF12" i="16"/>
  <c r="BK12" i="16"/>
  <c r="BA12" i="16"/>
  <c r="BE12" i="16"/>
  <c r="BN20" i="16"/>
  <c r="BR20" i="16"/>
  <c r="BV20" i="16"/>
  <c r="BO20" i="16"/>
  <c r="BT20" i="16"/>
  <c r="BP20" i="16"/>
  <c r="BU20" i="16"/>
  <c r="BM20" i="16"/>
  <c r="BX20" i="16"/>
  <c r="BQ20" i="16"/>
  <c r="BW20" i="16"/>
  <c r="BS20" i="16"/>
  <c r="BN21" i="16"/>
  <c r="BR21" i="16"/>
  <c r="BV21" i="16"/>
  <c r="BM21" i="16"/>
  <c r="BS21" i="16"/>
  <c r="BX21" i="16"/>
  <c r="BO21" i="16"/>
  <c r="BT21" i="16"/>
  <c r="BQ21" i="16"/>
  <c r="BP21" i="16"/>
  <c r="BU21" i="16"/>
  <c r="BW21" i="16"/>
  <c r="BM17" i="16"/>
  <c r="BQ17" i="16"/>
  <c r="BU17" i="16"/>
  <c r="BN17" i="16"/>
  <c r="BR17" i="16"/>
  <c r="BV17" i="16"/>
  <c r="BO17" i="16"/>
  <c r="BS17" i="16"/>
  <c r="BW17" i="16"/>
  <c r="BP17" i="16"/>
  <c r="BT17" i="16"/>
  <c r="BX17" i="16"/>
  <c r="BZ12" i="16"/>
  <c r="CD12" i="16"/>
  <c r="CH12" i="16"/>
  <c r="CA12" i="16"/>
  <c r="CE12" i="16"/>
  <c r="CI12" i="16"/>
  <c r="CB12" i="16"/>
  <c r="CF12" i="16"/>
  <c r="CJ12" i="16"/>
  <c r="CG12" i="16"/>
  <c r="BY12" i="16"/>
  <c r="CC12" i="16"/>
  <c r="BJ4" i="47"/>
  <c r="BF4" i="47"/>
  <c r="BB4" i="47"/>
  <c r="BM4" i="47"/>
  <c r="BI4" i="47"/>
  <c r="BE4" i="47"/>
  <c r="BL4" i="13"/>
  <c r="BH4" i="13"/>
  <c r="BD4" i="13"/>
  <c r="BL4" i="47"/>
  <c r="BH4" i="47"/>
  <c r="BD4" i="47"/>
  <c r="BK4" i="47"/>
  <c r="BI4" i="13"/>
  <c r="BC4" i="13"/>
  <c r="BI4" i="18"/>
  <c r="BE4" i="18"/>
  <c r="BA4" i="18"/>
  <c r="BG4" i="47"/>
  <c r="BG4" i="13"/>
  <c r="BB4" i="13"/>
  <c r="BH4" i="18"/>
  <c r="BD4" i="18"/>
  <c r="AZ4" i="18"/>
  <c r="BC4" i="47"/>
  <c r="BK4" i="13"/>
  <c r="BF4" i="13"/>
  <c r="BA4" i="13"/>
  <c r="BK4" i="18"/>
  <c r="BG4" i="18"/>
  <c r="BC4" i="18"/>
  <c r="BJ4" i="18"/>
  <c r="BI4" i="60"/>
  <c r="BE4" i="60"/>
  <c r="BA4" i="60"/>
  <c r="BF4" i="18"/>
  <c r="BH4" i="60"/>
  <c r="BD4" i="60"/>
  <c r="AZ4" i="60"/>
  <c r="BH4" i="29"/>
  <c r="BD4" i="29"/>
  <c r="AZ4" i="29"/>
  <c r="BJ4" i="13"/>
  <c r="BB4" i="18"/>
  <c r="BK4" i="60"/>
  <c r="BG4" i="60"/>
  <c r="BC4" i="60"/>
  <c r="BF4" i="60"/>
  <c r="BI4" i="29"/>
  <c r="BC4" i="29"/>
  <c r="BJ4" i="16"/>
  <c r="BF4" i="16"/>
  <c r="BB4" i="16"/>
  <c r="BB4" i="60"/>
  <c r="BG4" i="29"/>
  <c r="BB4" i="29"/>
  <c r="BI4" i="16"/>
  <c r="BE4" i="16"/>
  <c r="BK4" i="29"/>
  <c r="BF4" i="29"/>
  <c r="BA4" i="29"/>
  <c r="BL4" i="16"/>
  <c r="BH4" i="16"/>
  <c r="BD4" i="16"/>
  <c r="BA4" i="16"/>
  <c r="BE4" i="29"/>
  <c r="BK4" i="16"/>
  <c r="BJ4" i="60"/>
  <c r="BG4" i="16"/>
  <c r="BE4" i="13"/>
  <c r="BC4" i="16"/>
  <c r="BJ4" i="29"/>
  <c r="BN14" i="16"/>
  <c r="BR14" i="16"/>
  <c r="BV14" i="16"/>
  <c r="BO14" i="16"/>
  <c r="BS14" i="16"/>
  <c r="BW14" i="16"/>
  <c r="BP14" i="16"/>
  <c r="BT14" i="16"/>
  <c r="BX14" i="16"/>
  <c r="BM14" i="16"/>
  <c r="BQ14" i="16"/>
  <c r="BU14" i="16"/>
  <c r="BM19" i="16"/>
  <c r="BQ19" i="16"/>
  <c r="BU19" i="16"/>
  <c r="BN19" i="16"/>
  <c r="BR19" i="16"/>
  <c r="BV19" i="16"/>
  <c r="BO19" i="16"/>
  <c r="BS19" i="16"/>
  <c r="BW19" i="16"/>
  <c r="BX19" i="16"/>
  <c r="BP19" i="16"/>
  <c r="BT19" i="16"/>
  <c r="BO16" i="16"/>
  <c r="BS16" i="16"/>
  <c r="BW16" i="16"/>
  <c r="BQ16" i="16"/>
  <c r="BV16" i="16"/>
  <c r="BM16" i="16"/>
  <c r="BR16" i="16"/>
  <c r="BX16" i="16"/>
  <c r="BN16" i="16"/>
  <c r="BT16" i="16"/>
  <c r="BP16" i="16"/>
  <c r="BU16" i="16"/>
  <c r="BN13" i="16"/>
  <c r="BR13" i="16"/>
  <c r="BV13" i="16"/>
  <c r="BO13" i="16"/>
  <c r="BS13" i="16"/>
  <c r="BW13" i="16"/>
  <c r="BP13" i="16"/>
  <c r="BT13" i="16"/>
  <c r="BX13" i="16"/>
  <c r="BU13" i="16"/>
  <c r="BM13" i="16"/>
  <c r="BQ13" i="16"/>
  <c r="BM18" i="16"/>
  <c r="BQ18" i="16"/>
  <c r="BU18" i="16"/>
  <c r="BN18" i="16"/>
  <c r="BR18" i="16"/>
  <c r="BV18" i="16"/>
  <c r="BO18" i="16"/>
  <c r="BS18" i="16"/>
  <c r="BW18" i="16"/>
  <c r="BT18" i="16"/>
  <c r="BX18" i="16"/>
  <c r="BP18" i="16"/>
  <c r="BO15" i="16"/>
  <c r="BS15" i="16"/>
  <c r="BW15" i="16"/>
  <c r="BM15" i="16"/>
  <c r="BR15" i="16"/>
  <c r="BX15" i="16"/>
  <c r="BN15" i="16"/>
  <c r="BT15" i="16"/>
  <c r="BP15" i="16"/>
  <c r="BU15" i="16"/>
  <c r="BQ15" i="16"/>
  <c r="BV15" i="16"/>
  <c r="K6" i="80"/>
  <c r="BY5" i="47"/>
  <c r="BU5" i="47"/>
  <c r="BQ5" i="47"/>
  <c r="BX5" i="47"/>
  <c r="BT5" i="47"/>
  <c r="BP5" i="47"/>
  <c r="BW5" i="47"/>
  <c r="BS5" i="47"/>
  <c r="BO5" i="47"/>
  <c r="BN5" i="47"/>
  <c r="BU5" i="13"/>
  <c r="BQ5" i="13"/>
  <c r="BM5" i="13"/>
  <c r="BX5" i="13"/>
  <c r="BT5" i="13"/>
  <c r="BP5" i="13"/>
  <c r="BV5" i="47"/>
  <c r="BW5" i="13"/>
  <c r="BS5" i="13"/>
  <c r="BO5" i="13"/>
  <c r="BR5" i="13"/>
  <c r="BU5" i="18"/>
  <c r="BQ5" i="18"/>
  <c r="BM5" i="18"/>
  <c r="BN5" i="13"/>
  <c r="BT5" i="18"/>
  <c r="BP5" i="18"/>
  <c r="BL5" i="18"/>
  <c r="BT5" i="60"/>
  <c r="BP5" i="60"/>
  <c r="BL5" i="60"/>
  <c r="BW5" i="18"/>
  <c r="BS5" i="18"/>
  <c r="BO5" i="18"/>
  <c r="BR5" i="18"/>
  <c r="BS5" i="60"/>
  <c r="BN5" i="60"/>
  <c r="BU5" i="29"/>
  <c r="BQ5" i="29"/>
  <c r="BM5" i="29"/>
  <c r="BN5" i="18"/>
  <c r="BW5" i="60"/>
  <c r="BR5" i="60"/>
  <c r="BM5" i="60"/>
  <c r="BT5" i="29"/>
  <c r="BP5" i="29"/>
  <c r="BL5" i="29"/>
  <c r="BU5" i="16"/>
  <c r="BQ5" i="16"/>
  <c r="BV5" i="13"/>
  <c r="BV5" i="60"/>
  <c r="BQ5" i="60"/>
  <c r="BW5" i="29"/>
  <c r="BS5" i="29"/>
  <c r="BO5" i="29"/>
  <c r="BV5" i="18"/>
  <c r="BN5" i="29"/>
  <c r="BW5" i="16"/>
  <c r="BR5" i="16"/>
  <c r="BR5" i="47"/>
  <c r="BV5" i="16"/>
  <c r="BP5" i="16"/>
  <c r="BM5" i="16"/>
  <c r="BU5" i="60"/>
  <c r="BV5" i="29"/>
  <c r="BT5" i="16"/>
  <c r="BO5" i="16"/>
  <c r="BR5" i="29"/>
  <c r="BX5" i="16"/>
  <c r="BS5" i="16"/>
  <c r="BO5" i="60"/>
  <c r="BN5" i="16"/>
  <c r="BW24" i="16"/>
  <c r="BS24" i="16"/>
  <c r="BO24" i="16"/>
  <c r="BT24" i="16"/>
  <c r="BN24" i="16"/>
  <c r="BM24" i="16"/>
  <c r="BX24" i="16"/>
  <c r="BQ24" i="16"/>
  <c r="BV24" i="16"/>
  <c r="BP24" i="16"/>
  <c r="BU24" i="16"/>
  <c r="BR24" i="16"/>
  <c r="BV23" i="16"/>
  <c r="BR23" i="16"/>
  <c r="BN23" i="16"/>
  <c r="BM23" i="16"/>
  <c r="BT23" i="16"/>
  <c r="BO23" i="16"/>
  <c r="BU23" i="16"/>
  <c r="BS23" i="16"/>
  <c r="BX23" i="16"/>
  <c r="BW23" i="16"/>
  <c r="BQ23" i="16"/>
  <c r="BP23" i="16"/>
  <c r="CH6" i="47"/>
  <c r="CD6" i="47"/>
  <c r="BZ6" i="47"/>
  <c r="CG6" i="13"/>
  <c r="CC6" i="13"/>
  <c r="BY6" i="13"/>
  <c r="CF6" i="18"/>
  <c r="CF22" i="18" s="1"/>
  <c r="CB6" i="18"/>
  <c r="BX6" i="18"/>
  <c r="CG6" i="47"/>
  <c r="CB6" i="47"/>
  <c r="CH6" i="13"/>
  <c r="CB6" i="13"/>
  <c r="CH6" i="18"/>
  <c r="CC6" i="18"/>
  <c r="CI6" i="60"/>
  <c r="CE6" i="60"/>
  <c r="CA6" i="60"/>
  <c r="CI6" i="29"/>
  <c r="CE6" i="29"/>
  <c r="CA6" i="29"/>
  <c r="CJ6" i="16"/>
  <c r="CF6" i="16"/>
  <c r="CB6" i="16"/>
  <c r="CK6" i="47"/>
  <c r="CF6" i="47"/>
  <c r="CA6" i="47"/>
  <c r="CF6" i="13"/>
  <c r="CA6" i="13"/>
  <c r="CG6" i="18"/>
  <c r="CA6" i="18"/>
  <c r="CH6" i="60"/>
  <c r="CD6" i="60"/>
  <c r="BZ6" i="60"/>
  <c r="CH6" i="29"/>
  <c r="CD6" i="29"/>
  <c r="BZ6" i="29"/>
  <c r="CI6" i="16"/>
  <c r="CE6" i="16"/>
  <c r="CA6" i="16"/>
  <c r="K42" i="80"/>
  <c r="CE6" i="47"/>
  <c r="CJ6" i="13"/>
  <c r="BZ6" i="13"/>
  <c r="CE6" i="18"/>
  <c r="CB6" i="60"/>
  <c r="CC6" i="29"/>
  <c r="CG6" i="16"/>
  <c r="BY6" i="16"/>
  <c r="K36" i="80"/>
  <c r="K37" i="80"/>
  <c r="CC6" i="47"/>
  <c r="CI6" i="13"/>
  <c r="CD6" i="18"/>
  <c r="CG6" i="60"/>
  <c r="BY6" i="60"/>
  <c r="CB6" i="29"/>
  <c r="CD6" i="16"/>
  <c r="K43" i="80"/>
  <c r="CJ6" i="47"/>
  <c r="CE6" i="13"/>
  <c r="BZ6" i="18"/>
  <c r="CF6" i="60"/>
  <c r="BX6" i="60"/>
  <c r="CG6" i="29"/>
  <c r="BY6" i="29"/>
  <c r="CC6" i="16"/>
  <c r="CI6" i="47"/>
  <c r="CD6" i="13"/>
  <c r="CI6" i="18"/>
  <c r="BY6" i="18"/>
  <c r="CC6" i="60"/>
  <c r="CF6" i="29"/>
  <c r="BX6" i="29"/>
  <c r="CH6" i="16"/>
  <c r="BZ6" i="16"/>
  <c r="BU22" i="16"/>
  <c r="BQ22" i="16"/>
  <c r="BT22" i="16"/>
  <c r="BO22" i="16"/>
  <c r="BX22" i="16"/>
  <c r="BR22" i="16"/>
  <c r="BW22" i="16"/>
  <c r="BP22" i="16"/>
  <c r="BV22" i="16"/>
  <c r="BS22" i="16"/>
  <c r="BN22" i="16"/>
  <c r="BM22" i="16"/>
  <c r="J5" i="80"/>
  <c r="K40" i="80"/>
  <c r="K38" i="80"/>
  <c r="K34" i="80"/>
  <c r="L7" i="80"/>
  <c r="K41" i="80"/>
  <c r="K39" i="80"/>
  <c r="K35" i="80"/>
  <c r="K45" i="80"/>
  <c r="K44" i="80"/>
  <c r="CK29" i="47" l="1"/>
  <c r="CH29" i="47"/>
  <c r="CI29" i="47"/>
  <c r="CJ29" i="47"/>
  <c r="CC29" i="47"/>
  <c r="CA29" i="47"/>
  <c r="CB29" i="47"/>
  <c r="BZ29" i="47"/>
  <c r="CE29" i="47"/>
  <c r="CF29" i="47"/>
  <c r="CG29" i="47"/>
  <c r="CD29" i="47"/>
  <c r="CB26" i="60"/>
  <c r="CB27" i="60"/>
  <c r="BZ26" i="60"/>
  <c r="BZ27" i="60"/>
  <c r="CA26" i="60"/>
  <c r="CA27" i="60"/>
  <c r="CD26" i="60"/>
  <c r="CD27" i="60"/>
  <c r="CE26" i="60"/>
  <c r="CE27" i="60"/>
  <c r="CC26" i="60"/>
  <c r="CC27" i="60"/>
  <c r="BX26" i="60"/>
  <c r="BX27" i="60"/>
  <c r="BY26" i="60"/>
  <c r="BY27" i="60"/>
  <c r="CH26" i="60"/>
  <c r="CH27" i="60"/>
  <c r="CI26" i="60"/>
  <c r="CI27" i="60"/>
  <c r="CF26" i="60"/>
  <c r="CF27" i="60"/>
  <c r="CG26" i="60"/>
  <c r="CG27" i="60"/>
  <c r="CE30" i="60"/>
  <c r="BY30" i="60"/>
  <c r="BZ52" i="60"/>
  <c r="BZ49" i="60"/>
  <c r="CF52" i="60"/>
  <c r="CF49" i="60"/>
  <c r="CB50" i="60"/>
  <c r="CB48" i="60"/>
  <c r="CB52" i="60"/>
  <c r="CB49" i="60"/>
  <c r="CB51" i="60"/>
  <c r="CA49" i="60"/>
  <c r="CA52" i="60"/>
  <c r="CD52" i="60"/>
  <c r="CD49" i="60"/>
  <c r="CE49" i="60"/>
  <c r="CE52" i="60"/>
  <c r="CE48" i="60"/>
  <c r="CG52" i="60"/>
  <c r="CG49" i="60"/>
  <c r="CC49" i="60"/>
  <c r="CC52" i="60"/>
  <c r="BX49" i="60"/>
  <c r="BX52" i="60"/>
  <c r="BY48" i="60"/>
  <c r="BY52" i="60"/>
  <c r="BY49" i="60"/>
  <c r="CH52" i="60"/>
  <c r="CH51" i="60"/>
  <c r="CH50" i="60"/>
  <c r="CH49" i="60"/>
  <c r="CH48" i="60"/>
  <c r="CI49" i="60"/>
  <c r="CI52" i="60"/>
  <c r="L33" i="80"/>
  <c r="BZ20" i="16"/>
  <c r="CD20" i="16"/>
  <c r="CH20" i="16"/>
  <c r="CL20" i="16"/>
  <c r="CP20" i="16"/>
  <c r="CT20" i="16"/>
  <c r="BY20" i="16"/>
  <c r="CE20" i="16"/>
  <c r="CJ20" i="16"/>
  <c r="CO20" i="16"/>
  <c r="CU20" i="16"/>
  <c r="CC20" i="16"/>
  <c r="CS20" i="16"/>
  <c r="CA20" i="16"/>
  <c r="CF20" i="16"/>
  <c r="CK20" i="16"/>
  <c r="CQ20" i="16"/>
  <c r="CV20" i="16"/>
  <c r="CN20" i="16"/>
  <c r="CB20" i="16"/>
  <c r="CG20" i="16"/>
  <c r="CM20" i="16"/>
  <c r="CR20" i="16"/>
  <c r="CI20" i="16"/>
  <c r="CL12" i="16"/>
  <c r="CP12" i="16"/>
  <c r="CT12" i="16"/>
  <c r="CM12" i="16"/>
  <c r="CQ12" i="16"/>
  <c r="CU12" i="16"/>
  <c r="CN12" i="16"/>
  <c r="CR12" i="16"/>
  <c r="CV12" i="16"/>
  <c r="CK12" i="16"/>
  <c r="CO12" i="16"/>
  <c r="CS12" i="16"/>
  <c r="BV4" i="47"/>
  <c r="BR4" i="47"/>
  <c r="BN4" i="47"/>
  <c r="BY4" i="47"/>
  <c r="BU4" i="47"/>
  <c r="BQ4" i="47"/>
  <c r="BX4" i="13"/>
  <c r="BT4" i="13"/>
  <c r="BP4" i="13"/>
  <c r="BX4" i="47"/>
  <c r="BT4" i="47"/>
  <c r="BP4" i="47"/>
  <c r="BS4" i="13"/>
  <c r="BN4" i="13"/>
  <c r="BU4" i="18"/>
  <c r="BQ4" i="18"/>
  <c r="BM4" i="18"/>
  <c r="BW4" i="47"/>
  <c r="BW4" i="13"/>
  <c r="BR4" i="13"/>
  <c r="BM4" i="13"/>
  <c r="BT4" i="18"/>
  <c r="BP4" i="18"/>
  <c r="BL4" i="18"/>
  <c r="BS4" i="47"/>
  <c r="BV4" i="13"/>
  <c r="BQ4" i="13"/>
  <c r="BW4" i="18"/>
  <c r="BS4" i="18"/>
  <c r="BO4" i="18"/>
  <c r="BU4" i="13"/>
  <c r="BU4" i="60"/>
  <c r="BQ4" i="60"/>
  <c r="BM4" i="60"/>
  <c r="BO4" i="13"/>
  <c r="BV4" i="18"/>
  <c r="BT4" i="60"/>
  <c r="BP4" i="60"/>
  <c r="BL4" i="60"/>
  <c r="BT4" i="29"/>
  <c r="BP4" i="29"/>
  <c r="BL4" i="29"/>
  <c r="BX4" i="16"/>
  <c r="BT4" i="16"/>
  <c r="BR4" i="18"/>
  <c r="BW4" i="60"/>
  <c r="BS4" i="60"/>
  <c r="BO4" i="60"/>
  <c r="BN4" i="18"/>
  <c r="BV4" i="60"/>
  <c r="BS4" i="29"/>
  <c r="BN4" i="29"/>
  <c r="BW4" i="16"/>
  <c r="BR4" i="16"/>
  <c r="BN4" i="16"/>
  <c r="BR4" i="60"/>
  <c r="BW4" i="29"/>
  <c r="BR4" i="29"/>
  <c r="BM4" i="29"/>
  <c r="BV4" i="16"/>
  <c r="BQ4" i="16"/>
  <c r="BO4" i="47"/>
  <c r="BN4" i="60"/>
  <c r="BV4" i="29"/>
  <c r="BQ4" i="29"/>
  <c r="BU4" i="16"/>
  <c r="BP4" i="16"/>
  <c r="BM4" i="16"/>
  <c r="BO4" i="16"/>
  <c r="BU4" i="29"/>
  <c r="BO4" i="29"/>
  <c r="BS4" i="16"/>
  <c r="BZ21" i="16"/>
  <c r="CD21" i="16"/>
  <c r="CH21" i="16"/>
  <c r="CL21" i="16"/>
  <c r="CP21" i="16"/>
  <c r="CT21" i="16"/>
  <c r="CC21" i="16"/>
  <c r="CI21" i="16"/>
  <c r="CN21" i="16"/>
  <c r="CS21" i="16"/>
  <c r="CB21" i="16"/>
  <c r="BY21" i="16"/>
  <c r="CE21" i="16"/>
  <c r="CJ21" i="16"/>
  <c r="CO21" i="16"/>
  <c r="CU21" i="16"/>
  <c r="CG21" i="16"/>
  <c r="CM21" i="16"/>
  <c r="CA21" i="16"/>
  <c r="CF21" i="16"/>
  <c r="CK21" i="16"/>
  <c r="CQ21" i="16"/>
  <c r="CV21" i="16"/>
  <c r="CR21" i="16"/>
  <c r="BY19" i="16"/>
  <c r="CC19" i="16"/>
  <c r="CG19" i="16"/>
  <c r="CK19" i="16"/>
  <c r="CO19" i="16"/>
  <c r="CS19" i="16"/>
  <c r="BZ19" i="16"/>
  <c r="CD19" i="16"/>
  <c r="CH19" i="16"/>
  <c r="CL19" i="16"/>
  <c r="CP19" i="16"/>
  <c r="CT19" i="16"/>
  <c r="CA19" i="16"/>
  <c r="CE19" i="16"/>
  <c r="CI19" i="16"/>
  <c r="CM19" i="16"/>
  <c r="CQ19" i="16"/>
  <c r="CU19" i="16"/>
  <c r="CN19" i="16"/>
  <c r="CJ19" i="16"/>
  <c r="CB19" i="16"/>
  <c r="CR19" i="16"/>
  <c r="CF19" i="16"/>
  <c r="CV19" i="16"/>
  <c r="CA15" i="16"/>
  <c r="CE15" i="16"/>
  <c r="CI15" i="16"/>
  <c r="CM15" i="16"/>
  <c r="CQ15" i="16"/>
  <c r="CU15" i="16"/>
  <c r="CC15" i="16"/>
  <c r="CH15" i="16"/>
  <c r="CN15" i="16"/>
  <c r="CS15" i="16"/>
  <c r="BY15" i="16"/>
  <c r="CD15" i="16"/>
  <c r="CJ15" i="16"/>
  <c r="CO15" i="16"/>
  <c r="CT15" i="16"/>
  <c r="BZ15" i="16"/>
  <c r="CF15" i="16"/>
  <c r="CK15" i="16"/>
  <c r="CP15" i="16"/>
  <c r="CV15" i="16"/>
  <c r="CL15" i="16"/>
  <c r="CR15" i="16"/>
  <c r="CG15" i="16"/>
  <c r="CB15" i="16"/>
  <c r="BZ14" i="16"/>
  <c r="CD14" i="16"/>
  <c r="CA14" i="16"/>
  <c r="CE14" i="16"/>
  <c r="CI14" i="16"/>
  <c r="CM14" i="16"/>
  <c r="CQ14" i="16"/>
  <c r="CU14" i="16"/>
  <c r="CB14" i="16"/>
  <c r="CF14" i="16"/>
  <c r="BY14" i="16"/>
  <c r="CJ14" i="16"/>
  <c r="CO14" i="16"/>
  <c r="CT14" i="16"/>
  <c r="CC14" i="16"/>
  <c r="CK14" i="16"/>
  <c r="CP14" i="16"/>
  <c r="CV14" i="16"/>
  <c r="CG14" i="16"/>
  <c r="CL14" i="16"/>
  <c r="CR14" i="16"/>
  <c r="CN14" i="16"/>
  <c r="CS14" i="16"/>
  <c r="CH14" i="16"/>
  <c r="BZ13" i="16"/>
  <c r="CD13" i="16"/>
  <c r="CH13" i="16"/>
  <c r="CA13" i="16"/>
  <c r="CE13" i="16"/>
  <c r="CI13" i="16"/>
  <c r="CB13" i="16"/>
  <c r="CF13" i="16"/>
  <c r="CJ13" i="16"/>
  <c r="BY13" i="16"/>
  <c r="CC13" i="16"/>
  <c r="CG13" i="16"/>
  <c r="BY18" i="16"/>
  <c r="CC18" i="16"/>
  <c r="CG18" i="16"/>
  <c r="CK18" i="16"/>
  <c r="CO18" i="16"/>
  <c r="CS18" i="16"/>
  <c r="BZ18" i="16"/>
  <c r="CD18" i="16"/>
  <c r="CH18" i="16"/>
  <c r="CL18" i="16"/>
  <c r="CP18" i="16"/>
  <c r="CT18" i="16"/>
  <c r="CA18" i="16"/>
  <c r="CE18" i="16"/>
  <c r="CI18" i="16"/>
  <c r="CM18" i="16"/>
  <c r="CQ18" i="16"/>
  <c r="CU18" i="16"/>
  <c r="CJ18" i="16"/>
  <c r="CN18" i="16"/>
  <c r="CV18" i="16"/>
  <c r="CB18" i="16"/>
  <c r="CR18" i="16"/>
  <c r="CF18" i="16"/>
  <c r="BY17" i="16"/>
  <c r="CC17" i="16"/>
  <c r="CG17" i="16"/>
  <c r="CK17" i="16"/>
  <c r="CO17" i="16"/>
  <c r="CS17" i="16"/>
  <c r="BZ17" i="16"/>
  <c r="CD17" i="16"/>
  <c r="CH17" i="16"/>
  <c r="CL17" i="16"/>
  <c r="CP17" i="16"/>
  <c r="CT17" i="16"/>
  <c r="CA17" i="16"/>
  <c r="CE17" i="16"/>
  <c r="CI17" i="16"/>
  <c r="CM17" i="16"/>
  <c r="CQ17" i="16"/>
  <c r="CU17" i="16"/>
  <c r="CF17" i="16"/>
  <c r="CV17" i="16"/>
  <c r="CR17" i="16"/>
  <c r="CJ17" i="16"/>
  <c r="CB17" i="16"/>
  <c r="CN17" i="16"/>
  <c r="CA16" i="16"/>
  <c r="CE16" i="16"/>
  <c r="CI16" i="16"/>
  <c r="CM16" i="16"/>
  <c r="CQ16" i="16"/>
  <c r="CU16" i="16"/>
  <c r="CB16" i="16"/>
  <c r="CG16" i="16"/>
  <c r="CL16" i="16"/>
  <c r="CR16" i="16"/>
  <c r="CC16" i="16"/>
  <c r="CH16" i="16"/>
  <c r="CN16" i="16"/>
  <c r="CS16" i="16"/>
  <c r="BY16" i="16"/>
  <c r="CD16" i="16"/>
  <c r="CJ16" i="16"/>
  <c r="CO16" i="16"/>
  <c r="CT16" i="16"/>
  <c r="CK16" i="16"/>
  <c r="CP16" i="16"/>
  <c r="BZ16" i="16"/>
  <c r="CV16" i="16"/>
  <c r="CF16" i="16"/>
  <c r="L6" i="80"/>
  <c r="CK5" i="47"/>
  <c r="CG5" i="47"/>
  <c r="CC5" i="47"/>
  <c r="CJ5" i="47"/>
  <c r="CF5" i="47"/>
  <c r="CB5" i="47"/>
  <c r="CI5" i="47"/>
  <c r="CE5" i="47"/>
  <c r="CA5" i="47"/>
  <c r="CD5" i="47"/>
  <c r="CG5" i="13"/>
  <c r="CC5" i="13"/>
  <c r="BY5" i="13"/>
  <c r="BZ5" i="47"/>
  <c r="CJ5" i="13"/>
  <c r="CF5" i="13"/>
  <c r="CB5" i="13"/>
  <c r="CI5" i="13"/>
  <c r="CE5" i="13"/>
  <c r="CA5" i="13"/>
  <c r="CH5" i="13"/>
  <c r="CG5" i="18"/>
  <c r="CC5" i="18"/>
  <c r="BY5" i="18"/>
  <c r="CD5" i="13"/>
  <c r="CF5" i="18"/>
  <c r="CB5" i="18"/>
  <c r="BX5" i="18"/>
  <c r="CF5" i="60"/>
  <c r="CB5" i="60"/>
  <c r="BX5" i="60"/>
  <c r="CH5" i="47"/>
  <c r="BZ5" i="13"/>
  <c r="CI5" i="18"/>
  <c r="CE5" i="18"/>
  <c r="CA5" i="18"/>
  <c r="CH5" i="18"/>
  <c r="CI5" i="60"/>
  <c r="CD5" i="60"/>
  <c r="BY5" i="60"/>
  <c r="CG5" i="29"/>
  <c r="CC5" i="29"/>
  <c r="BY5" i="29"/>
  <c r="CD5" i="18"/>
  <c r="CH5" i="60"/>
  <c r="CC5" i="60"/>
  <c r="CF5" i="29"/>
  <c r="CB5" i="29"/>
  <c r="BX5" i="29"/>
  <c r="CG5" i="16"/>
  <c r="CC5" i="16"/>
  <c r="BZ5" i="18"/>
  <c r="CG5" i="60"/>
  <c r="CA5" i="60"/>
  <c r="CI5" i="29"/>
  <c r="CE5" i="29"/>
  <c r="CA5" i="29"/>
  <c r="CE5" i="60"/>
  <c r="CD5" i="29"/>
  <c r="CF5" i="16"/>
  <c r="CA5" i="16"/>
  <c r="BZ5" i="60"/>
  <c r="BZ5" i="29"/>
  <c r="CJ5" i="16"/>
  <c r="CE5" i="16"/>
  <c r="BZ5" i="16"/>
  <c r="CI5" i="16"/>
  <c r="CD5" i="16"/>
  <c r="BY5" i="16"/>
  <c r="CH5" i="16"/>
  <c r="CB5" i="16"/>
  <c r="CH5" i="29"/>
  <c r="CV23" i="16"/>
  <c r="CR23" i="16"/>
  <c r="CN23" i="16"/>
  <c r="CT23" i="16"/>
  <c r="CO23" i="16"/>
  <c r="CI23" i="16"/>
  <c r="CE23" i="16"/>
  <c r="CA23" i="16"/>
  <c r="CS23" i="16"/>
  <c r="CL23" i="16"/>
  <c r="CF23" i="16"/>
  <c r="BZ23" i="16"/>
  <c r="BY23" i="16"/>
  <c r="CM23" i="16"/>
  <c r="CD23" i="16"/>
  <c r="CP23" i="16"/>
  <c r="CH23" i="16"/>
  <c r="CG23" i="16"/>
  <c r="CC23" i="16"/>
  <c r="CB23" i="16"/>
  <c r="CU23" i="16"/>
  <c r="CK23" i="16"/>
  <c r="CQ23" i="16"/>
  <c r="CJ23" i="16"/>
  <c r="CU22" i="16"/>
  <c r="CQ22" i="16"/>
  <c r="CM22" i="16"/>
  <c r="CT22" i="16"/>
  <c r="CO22" i="16"/>
  <c r="CH22" i="16"/>
  <c r="CD22" i="16"/>
  <c r="BZ22" i="16"/>
  <c r="CP22" i="16"/>
  <c r="CF22" i="16"/>
  <c r="CA22" i="16"/>
  <c r="CN22" i="16"/>
  <c r="CI22" i="16"/>
  <c r="CB22" i="16"/>
  <c r="CL22" i="16"/>
  <c r="CJ22" i="16"/>
  <c r="CV22" i="16"/>
  <c r="CG22" i="16"/>
  <c r="CS22" i="16"/>
  <c r="CR22" i="16"/>
  <c r="CE22" i="16"/>
  <c r="BY22" i="16"/>
  <c r="CK22" i="16"/>
  <c r="CC22" i="16"/>
  <c r="CS24" i="16"/>
  <c r="CO24" i="16"/>
  <c r="CT24" i="16"/>
  <c r="CN24" i="16"/>
  <c r="CJ24" i="16"/>
  <c r="CF24" i="16"/>
  <c r="CB24" i="16"/>
  <c r="CV24" i="16"/>
  <c r="CP24" i="16"/>
  <c r="CK24" i="16"/>
  <c r="CE24" i="16"/>
  <c r="BZ24" i="16"/>
  <c r="CU24" i="16"/>
  <c r="CL24" i="16"/>
  <c r="CH24" i="16"/>
  <c r="CA24" i="16"/>
  <c r="BY24" i="16"/>
  <c r="CQ24" i="16"/>
  <c r="CG24" i="16"/>
  <c r="CM24" i="16"/>
  <c r="CD24" i="16"/>
  <c r="CR24" i="16"/>
  <c r="CI24" i="16"/>
  <c r="CC24" i="16"/>
  <c r="CT6" i="47"/>
  <c r="CP6" i="47"/>
  <c r="CL6" i="47"/>
  <c r="CS6" i="13"/>
  <c r="CO6" i="13"/>
  <c r="CK6" i="13"/>
  <c r="CR6" i="18"/>
  <c r="CN6" i="18"/>
  <c r="CJ6" i="18"/>
  <c r="CW6" i="47"/>
  <c r="CR6" i="47"/>
  <c r="CM6" i="47"/>
  <c r="CR6" i="13"/>
  <c r="CM6" i="13"/>
  <c r="CS6" i="18"/>
  <c r="CM6" i="18"/>
  <c r="CU6" i="60"/>
  <c r="CQ6" i="60"/>
  <c r="CM6" i="60"/>
  <c r="CU6" i="29"/>
  <c r="CQ6" i="29"/>
  <c r="CM6" i="29"/>
  <c r="CV6" i="16"/>
  <c r="CR6" i="16"/>
  <c r="CN6" i="16"/>
  <c r="L36" i="80"/>
  <c r="L37" i="80"/>
  <c r="CV6" i="47"/>
  <c r="CQ6" i="47"/>
  <c r="CV6" i="13"/>
  <c r="CQ6" i="13"/>
  <c r="CL6" i="13"/>
  <c r="CQ6" i="18"/>
  <c r="CL6" i="18"/>
  <c r="CT6" i="60"/>
  <c r="CP6" i="60"/>
  <c r="CL6" i="60"/>
  <c r="CT6" i="29"/>
  <c r="CP6" i="29"/>
  <c r="CL6" i="29"/>
  <c r="CU6" i="16"/>
  <c r="CQ6" i="16"/>
  <c r="CM6" i="16"/>
  <c r="CO6" i="47"/>
  <c r="CU6" i="13"/>
  <c r="CP6" i="18"/>
  <c r="CR6" i="60"/>
  <c r="CJ6" i="60"/>
  <c r="CS6" i="29"/>
  <c r="CK6" i="29"/>
  <c r="CO6" i="16"/>
  <c r="L42" i="80"/>
  <c r="CN6" i="47"/>
  <c r="CT6" i="13"/>
  <c r="CO6" i="18"/>
  <c r="CO6" i="60"/>
  <c r="CR6" i="29"/>
  <c r="CJ6" i="29"/>
  <c r="CT6" i="16"/>
  <c r="CL6" i="16"/>
  <c r="CU6" i="47"/>
  <c r="CP6" i="13"/>
  <c r="CU6" i="18"/>
  <c r="CK6" i="18"/>
  <c r="CN6" i="60"/>
  <c r="CO6" i="29"/>
  <c r="CS6" i="16"/>
  <c r="CK6" i="16"/>
  <c r="L43" i="80"/>
  <c r="CS6" i="47"/>
  <c r="CN6" i="13"/>
  <c r="CT6" i="18"/>
  <c r="CS6" i="60"/>
  <c r="CK6" i="60"/>
  <c r="CN6" i="29"/>
  <c r="CP6" i="16"/>
  <c r="K5" i="80"/>
  <c r="L45" i="80"/>
  <c r="L35" i="80"/>
  <c r="L40" i="80"/>
  <c r="L38" i="80"/>
  <c r="L34" i="80"/>
  <c r="M7" i="80"/>
  <c r="L41" i="80"/>
  <c r="L39" i="80"/>
  <c r="L44" i="80"/>
  <c r="CO29" i="47" l="1"/>
  <c r="CR29" i="47"/>
  <c r="CL29" i="47"/>
  <c r="CV29" i="47"/>
  <c r="CS29" i="47"/>
  <c r="CW29" i="47"/>
  <c r="CP29" i="47"/>
  <c r="CU29" i="47"/>
  <c r="CN29" i="47"/>
  <c r="CQ29" i="47"/>
  <c r="CT29" i="47"/>
  <c r="CM29" i="47"/>
  <c r="CO26" i="60"/>
  <c r="CO27" i="60"/>
  <c r="CJ26" i="60"/>
  <c r="CJ27" i="60"/>
  <c r="CP26" i="60"/>
  <c r="CP27" i="60"/>
  <c r="CR26" i="60"/>
  <c r="CR27" i="60"/>
  <c r="CT26" i="60"/>
  <c r="CT27" i="60"/>
  <c r="CM26" i="60"/>
  <c r="CM27" i="60"/>
  <c r="CK26" i="60"/>
  <c r="CK27" i="60"/>
  <c r="CQ26" i="60"/>
  <c r="CQ27" i="60"/>
  <c r="CS26" i="60"/>
  <c r="CS27" i="60"/>
  <c r="CN26" i="60"/>
  <c r="CN27" i="60"/>
  <c r="CL26" i="60"/>
  <c r="CL27" i="60"/>
  <c r="CU26" i="60"/>
  <c r="CU27" i="60"/>
  <c r="CK30" i="60"/>
  <c r="CQ30" i="60"/>
  <c r="CJ49" i="60"/>
  <c r="CJ52" i="60"/>
  <c r="CR49" i="60"/>
  <c r="CR52" i="60"/>
  <c r="CT52" i="60"/>
  <c r="CT50" i="60"/>
  <c r="CT51" i="60"/>
  <c r="CT49" i="60"/>
  <c r="CT48" i="60"/>
  <c r="CM49" i="60"/>
  <c r="CM52" i="60"/>
  <c r="CO52" i="60"/>
  <c r="CO49" i="60"/>
  <c r="CP52" i="60"/>
  <c r="CP49" i="60"/>
  <c r="CK48" i="60"/>
  <c r="CK52" i="60"/>
  <c r="CK49" i="60"/>
  <c r="CQ49" i="60"/>
  <c r="CQ52" i="60"/>
  <c r="CQ48" i="60"/>
  <c r="CS49" i="60"/>
  <c r="CS52" i="60"/>
  <c r="CN51" i="60"/>
  <c r="CN48" i="60"/>
  <c r="CN52" i="60"/>
  <c r="CN49" i="60"/>
  <c r="CN50" i="60"/>
  <c r="CL52" i="60"/>
  <c r="CL49" i="60"/>
  <c r="CU49" i="60"/>
  <c r="CU52" i="60"/>
  <c r="M33" i="80"/>
  <c r="CX12" i="16" s="1"/>
  <c r="CL13" i="16"/>
  <c r="CP13" i="16"/>
  <c r="CT13" i="16"/>
  <c r="CM13" i="16"/>
  <c r="CQ13" i="16"/>
  <c r="CU13" i="16"/>
  <c r="CN13" i="16"/>
  <c r="CR13" i="16"/>
  <c r="CV13" i="16"/>
  <c r="CK13" i="16"/>
  <c r="CO13" i="16"/>
  <c r="CS13" i="16"/>
  <c r="CH4" i="47"/>
  <c r="CD4" i="47"/>
  <c r="BZ4" i="47"/>
  <c r="CK4" i="47"/>
  <c r="CG4" i="47"/>
  <c r="CC4" i="47"/>
  <c r="CJ4" i="13"/>
  <c r="CF4" i="13"/>
  <c r="CB4" i="13"/>
  <c r="CJ4" i="47"/>
  <c r="CF4" i="47"/>
  <c r="CB4" i="47"/>
  <c r="CA4" i="47"/>
  <c r="CI4" i="13"/>
  <c r="CD4" i="13"/>
  <c r="BY4" i="13"/>
  <c r="CG4" i="18"/>
  <c r="CC4" i="18"/>
  <c r="BY4" i="18"/>
  <c r="CH4" i="13"/>
  <c r="CC4" i="13"/>
  <c r="CF4" i="18"/>
  <c r="CB4" i="18"/>
  <c r="BX4" i="18"/>
  <c r="CI4" i="47"/>
  <c r="CG4" i="13"/>
  <c r="CA4" i="13"/>
  <c r="CI4" i="18"/>
  <c r="CE4" i="18"/>
  <c r="CA4" i="18"/>
  <c r="BZ4" i="18"/>
  <c r="CG4" i="60"/>
  <c r="CC4" i="60"/>
  <c r="BY4" i="60"/>
  <c r="CF4" i="60"/>
  <c r="CB4" i="60"/>
  <c r="BX4" i="60"/>
  <c r="CF4" i="29"/>
  <c r="CB4" i="29"/>
  <c r="BX4" i="29"/>
  <c r="CJ4" i="16"/>
  <c r="CF4" i="16"/>
  <c r="CB4" i="16"/>
  <c r="BY4" i="16"/>
  <c r="CE4" i="47"/>
  <c r="CE4" i="13"/>
  <c r="CH4" i="18"/>
  <c r="CI4" i="60"/>
  <c r="CE4" i="60"/>
  <c r="CA4" i="60"/>
  <c r="CI4" i="29"/>
  <c r="CD4" i="29"/>
  <c r="BY4" i="29"/>
  <c r="CG4" i="16"/>
  <c r="CA4" i="16"/>
  <c r="CH4" i="60"/>
  <c r="CH4" i="29"/>
  <c r="CC4" i="29"/>
  <c r="CE4" i="16"/>
  <c r="BZ4" i="16"/>
  <c r="BZ4" i="13"/>
  <c r="CD4" i="60"/>
  <c r="CG4" i="29"/>
  <c r="CA4" i="29"/>
  <c r="CI4" i="16"/>
  <c r="CD4" i="16"/>
  <c r="BZ4" i="60"/>
  <c r="BZ4" i="29"/>
  <c r="CD4" i="18"/>
  <c r="CH4" i="16"/>
  <c r="CE4" i="29"/>
  <c r="CC4" i="16"/>
  <c r="CY12" i="16"/>
  <c r="DD12" i="16"/>
  <c r="DE12" i="16"/>
  <c r="M6" i="80"/>
  <c r="CW5" i="47"/>
  <c r="CS5" i="47"/>
  <c r="CO5" i="47"/>
  <c r="CV5" i="47"/>
  <c r="CR5" i="47"/>
  <c r="CN5" i="47"/>
  <c r="CU5" i="47"/>
  <c r="CQ5" i="47"/>
  <c r="CM5" i="47"/>
  <c r="CT5" i="47"/>
  <c r="CS5" i="13"/>
  <c r="CO5" i="13"/>
  <c r="CK5" i="13"/>
  <c r="CP5" i="47"/>
  <c r="CV5" i="13"/>
  <c r="CR5" i="13"/>
  <c r="CN5" i="13"/>
  <c r="CU5" i="18"/>
  <c r="CQ5" i="18"/>
  <c r="CM5" i="18"/>
  <c r="CL5" i="47"/>
  <c r="CU5" i="13"/>
  <c r="CQ5" i="13"/>
  <c r="CM5" i="13"/>
  <c r="CP5" i="18"/>
  <c r="CK5" i="18"/>
  <c r="CT5" i="13"/>
  <c r="CT5" i="18"/>
  <c r="CO5" i="18"/>
  <c r="CJ5" i="18"/>
  <c r="CR5" i="60"/>
  <c r="CN5" i="60"/>
  <c r="CJ5" i="60"/>
  <c r="CP5" i="13"/>
  <c r="CS5" i="18"/>
  <c r="CN5" i="18"/>
  <c r="CT5" i="60"/>
  <c r="CO5" i="60"/>
  <c r="CS5" i="29"/>
  <c r="CO5" i="29"/>
  <c r="CK5" i="29"/>
  <c r="CL5" i="13"/>
  <c r="CS5" i="60"/>
  <c r="CM5" i="60"/>
  <c r="CR5" i="29"/>
  <c r="CN5" i="29"/>
  <c r="CJ5" i="29"/>
  <c r="CS5" i="16"/>
  <c r="CO5" i="16"/>
  <c r="CR5" i="18"/>
  <c r="CQ5" i="60"/>
  <c r="CL5" i="60"/>
  <c r="CU5" i="29"/>
  <c r="CQ5" i="29"/>
  <c r="CM5" i="29"/>
  <c r="CT5" i="29"/>
  <c r="CU5" i="16"/>
  <c r="CP5" i="16"/>
  <c r="CK5" i="16"/>
  <c r="CU5" i="60"/>
  <c r="CP5" i="29"/>
  <c r="CT5" i="16"/>
  <c r="CN5" i="16"/>
  <c r="CP5" i="60"/>
  <c r="CL5" i="29"/>
  <c r="CR5" i="16"/>
  <c r="CM5" i="16"/>
  <c r="CQ5" i="16"/>
  <c r="CK5" i="60"/>
  <c r="CL5" i="16"/>
  <c r="CL5" i="18"/>
  <c r="CV5" i="16"/>
  <c r="DF6" i="47"/>
  <c r="DB6" i="47"/>
  <c r="CX6" i="47"/>
  <c r="DE6" i="13"/>
  <c r="DA6" i="13"/>
  <c r="CW6" i="13"/>
  <c r="DD6" i="18"/>
  <c r="CZ6" i="18"/>
  <c r="CV6" i="18"/>
  <c r="DH6" i="47"/>
  <c r="DC6" i="47"/>
  <c r="DH6" i="13"/>
  <c r="DC6" i="13"/>
  <c r="CX6" i="13"/>
  <c r="DC6" i="18"/>
  <c r="CX6" i="18"/>
  <c r="DG6" i="60"/>
  <c r="DC6" i="60"/>
  <c r="CY6" i="60"/>
  <c r="DG6" i="29"/>
  <c r="DC6" i="29"/>
  <c r="CY6" i="29"/>
  <c r="DH6" i="16"/>
  <c r="DD6" i="16"/>
  <c r="CZ6" i="16"/>
  <c r="M43" i="80"/>
  <c r="DG6" i="47"/>
  <c r="DA6" i="47"/>
  <c r="DG6" i="13"/>
  <c r="DB6" i="13"/>
  <c r="DG6" i="18"/>
  <c r="DB6" i="18"/>
  <c r="CW6" i="18"/>
  <c r="DF6" i="60"/>
  <c r="DB6" i="60"/>
  <c r="CX6" i="60"/>
  <c r="DF6" i="29"/>
  <c r="DB6" i="29"/>
  <c r="CX6" i="29"/>
  <c r="DG6" i="16"/>
  <c r="DC6" i="16"/>
  <c r="CY6" i="16"/>
  <c r="M36" i="80"/>
  <c r="M37" i="80"/>
  <c r="CZ6" i="47"/>
  <c r="DF6" i="13"/>
  <c r="DA6" i="18"/>
  <c r="CZ6" i="60"/>
  <c r="DA6" i="29"/>
  <c r="DE6" i="16"/>
  <c r="CW6" i="16"/>
  <c r="DI6" i="47"/>
  <c r="CY6" i="47"/>
  <c r="DD6" i="13"/>
  <c r="CY6" i="18"/>
  <c r="DE6" i="60"/>
  <c r="CW6" i="60"/>
  <c r="CZ6" i="29"/>
  <c r="DB6" i="16"/>
  <c r="M42" i="80"/>
  <c r="DE6" i="47"/>
  <c r="CZ6" i="13"/>
  <c r="DF6" i="18"/>
  <c r="DD6" i="60"/>
  <c r="CV6" i="60"/>
  <c r="DE6" i="29"/>
  <c r="CW6" i="29"/>
  <c r="DA6" i="16"/>
  <c r="DD6" i="47"/>
  <c r="CY6" i="13"/>
  <c r="DE6" i="18"/>
  <c r="DA6" i="60"/>
  <c r="DD6" i="29"/>
  <c r="CV6" i="29"/>
  <c r="DF6" i="16"/>
  <c r="CX6" i="16"/>
  <c r="L5" i="80"/>
  <c r="M41" i="80"/>
  <c r="M39" i="80"/>
  <c r="M35" i="80"/>
  <c r="M40" i="80"/>
  <c r="M38" i="80"/>
  <c r="M34" i="80"/>
  <c r="N7" i="80"/>
  <c r="M44" i="80"/>
  <c r="M45" i="80"/>
  <c r="DD29" i="47" l="1"/>
  <c r="CZ29" i="47"/>
  <c r="DF29" i="47"/>
  <c r="DE29" i="47"/>
  <c r="DI29" i="47"/>
  <c r="DA29" i="47"/>
  <c r="CY29" i="47"/>
  <c r="DG29" i="47"/>
  <c r="DC29" i="47"/>
  <c r="CX29" i="47"/>
  <c r="DH29" i="47"/>
  <c r="DB29" i="47"/>
  <c r="CV26" i="60"/>
  <c r="CV27" i="60"/>
  <c r="DG26" i="60"/>
  <c r="DG27" i="60"/>
  <c r="DD26" i="60"/>
  <c r="DD27" i="60"/>
  <c r="DE26" i="60"/>
  <c r="DE27" i="60"/>
  <c r="CZ26" i="60"/>
  <c r="CZ27" i="60"/>
  <c r="CX26" i="60"/>
  <c r="CX27" i="60"/>
  <c r="CY26" i="60"/>
  <c r="CY27" i="60"/>
  <c r="CW26" i="60"/>
  <c r="CW27" i="60"/>
  <c r="DA26" i="60"/>
  <c r="DA27" i="60"/>
  <c r="DB26" i="60"/>
  <c r="DB27" i="60"/>
  <c r="DF26" i="60"/>
  <c r="DF27" i="60"/>
  <c r="DC26" i="60"/>
  <c r="DC27" i="60"/>
  <c r="CW30" i="60"/>
  <c r="DC30" i="60"/>
  <c r="CX52" i="60"/>
  <c r="CX49" i="60"/>
  <c r="CV52" i="60"/>
  <c r="CV49" i="60"/>
  <c r="DD52" i="60"/>
  <c r="DD49" i="60"/>
  <c r="CZ50" i="60"/>
  <c r="CZ48" i="60"/>
  <c r="CZ49" i="60"/>
  <c r="CZ52" i="60"/>
  <c r="CZ51" i="60"/>
  <c r="DB52" i="60"/>
  <c r="DB49" i="60"/>
  <c r="CY49" i="60"/>
  <c r="CY52" i="60"/>
  <c r="CW48" i="60"/>
  <c r="CW52" i="60"/>
  <c r="CW49" i="60"/>
  <c r="DG49" i="60"/>
  <c r="DG52" i="60"/>
  <c r="DA52" i="60"/>
  <c r="DA49" i="60"/>
  <c r="DE52" i="60"/>
  <c r="DE49" i="60"/>
  <c r="DF52" i="60"/>
  <c r="DF51" i="60"/>
  <c r="DF49" i="60"/>
  <c r="DF48" i="60"/>
  <c r="DF50" i="60"/>
  <c r="DC49" i="60"/>
  <c r="DC52" i="60"/>
  <c r="DC48" i="60"/>
  <c r="DA12" i="16"/>
  <c r="CZ12" i="16"/>
  <c r="DF12" i="16"/>
  <c r="CW12" i="16"/>
  <c r="DG12" i="16"/>
  <c r="DB12" i="16"/>
  <c r="DH12" i="16"/>
  <c r="DC12" i="16"/>
  <c r="N33" i="80"/>
  <c r="CX20" i="16"/>
  <c r="DB20" i="16"/>
  <c r="DF20" i="16"/>
  <c r="CZ20" i="16"/>
  <c r="DE20" i="16"/>
  <c r="DA20" i="16"/>
  <c r="DG20" i="16"/>
  <c r="CY20" i="16"/>
  <c r="CW20" i="16"/>
  <c r="DC20" i="16"/>
  <c r="DH20" i="16"/>
  <c r="DD20" i="16"/>
  <c r="CW17" i="16"/>
  <c r="DA17" i="16"/>
  <c r="DE17" i="16"/>
  <c r="CX17" i="16"/>
  <c r="DB17" i="16"/>
  <c r="DF17" i="16"/>
  <c r="CY17" i="16"/>
  <c r="DC17" i="16"/>
  <c r="DG17" i="16"/>
  <c r="CZ17" i="16"/>
  <c r="DH17" i="16"/>
  <c r="DD17" i="16"/>
  <c r="CW19" i="16"/>
  <c r="DA19" i="16"/>
  <c r="DE19" i="16"/>
  <c r="CX19" i="16"/>
  <c r="DB19" i="16"/>
  <c r="DF19" i="16"/>
  <c r="CY19" i="16"/>
  <c r="DC19" i="16"/>
  <c r="DG19" i="16"/>
  <c r="DD19" i="16"/>
  <c r="DH19" i="16"/>
  <c r="CZ19" i="16"/>
  <c r="CV4" i="47"/>
  <c r="CR4" i="47"/>
  <c r="CU4" i="47"/>
  <c r="CP4" i="47"/>
  <c r="CL4" i="47"/>
  <c r="CS4" i="13"/>
  <c r="CO4" i="13"/>
  <c r="CT4" i="47"/>
  <c r="CO4" i="47"/>
  <c r="CV4" i="13"/>
  <c r="CR4" i="13"/>
  <c r="CN4" i="13"/>
  <c r="CS4" i="47"/>
  <c r="CN4" i="47"/>
  <c r="CU4" i="13"/>
  <c r="CQ4" i="13"/>
  <c r="CQ4" i="47"/>
  <c r="CP4" i="13"/>
  <c r="CS4" i="18"/>
  <c r="CO4" i="18"/>
  <c r="CK4" i="18"/>
  <c r="CM4" i="47"/>
  <c r="CM4" i="13"/>
  <c r="CR4" i="18"/>
  <c r="CN4" i="18"/>
  <c r="CJ4" i="18"/>
  <c r="CL4" i="13"/>
  <c r="CU4" i="18"/>
  <c r="CQ4" i="18"/>
  <c r="CM4" i="18"/>
  <c r="CT4" i="13"/>
  <c r="CP4" i="18"/>
  <c r="CS4" i="60"/>
  <c r="CO4" i="60"/>
  <c r="CK4" i="60"/>
  <c r="CS4" i="29"/>
  <c r="CO4" i="29"/>
  <c r="CK4" i="29"/>
  <c r="CW4" i="47"/>
  <c r="CK4" i="13"/>
  <c r="CL4" i="18"/>
  <c r="CR4" i="60"/>
  <c r="CN4" i="60"/>
  <c r="CJ4" i="60"/>
  <c r="CR4" i="29"/>
  <c r="CN4" i="29"/>
  <c r="CJ4" i="29"/>
  <c r="CV4" i="16"/>
  <c r="CR4" i="16"/>
  <c r="CN4" i="16"/>
  <c r="CK4" i="16"/>
  <c r="CU4" i="60"/>
  <c r="CQ4" i="60"/>
  <c r="CM4" i="60"/>
  <c r="CU4" i="29"/>
  <c r="CQ4" i="29"/>
  <c r="CM4" i="29"/>
  <c r="CL4" i="60"/>
  <c r="CL4" i="29"/>
  <c r="CU4" i="16"/>
  <c r="CP4" i="16"/>
  <c r="CT4" i="16"/>
  <c r="CO4" i="16"/>
  <c r="CT4" i="18"/>
  <c r="CT4" i="60"/>
  <c r="CT4" i="29"/>
  <c r="CS4" i="16"/>
  <c r="CM4" i="16"/>
  <c r="CP4" i="29"/>
  <c r="CQ4" i="16"/>
  <c r="CP4" i="60"/>
  <c r="CL4" i="16"/>
  <c r="DJ12" i="16"/>
  <c r="DN12" i="16"/>
  <c r="DR12" i="16"/>
  <c r="DK12" i="16"/>
  <c r="DO12" i="16"/>
  <c r="DS12" i="16"/>
  <c r="DL12" i="16"/>
  <c r="DP12" i="16"/>
  <c r="DT12" i="16"/>
  <c r="DM12" i="16"/>
  <c r="DQ12" i="16"/>
  <c r="DI12" i="16"/>
  <c r="CY14" i="16"/>
  <c r="DC14" i="16"/>
  <c r="DG14" i="16"/>
  <c r="CZ14" i="16"/>
  <c r="DE14" i="16"/>
  <c r="DA14" i="16"/>
  <c r="DF14" i="16"/>
  <c r="CW14" i="16"/>
  <c r="DB14" i="16"/>
  <c r="DH14" i="16"/>
  <c r="DD14" i="16"/>
  <c r="CX14" i="16"/>
  <c r="CX21" i="16"/>
  <c r="DB21" i="16"/>
  <c r="DF21" i="16"/>
  <c r="CY21" i="16"/>
  <c r="DD21" i="16"/>
  <c r="CW21" i="16"/>
  <c r="CZ21" i="16"/>
  <c r="DE21" i="16"/>
  <c r="DC21" i="16"/>
  <c r="DH21" i="16"/>
  <c r="DA21" i="16"/>
  <c r="DG21" i="16"/>
  <c r="CY16" i="16"/>
  <c r="DC16" i="16"/>
  <c r="DG16" i="16"/>
  <c r="CW16" i="16"/>
  <c r="DB16" i="16"/>
  <c r="DH16" i="16"/>
  <c r="CX16" i="16"/>
  <c r="DD16" i="16"/>
  <c r="CZ16" i="16"/>
  <c r="DE16" i="16"/>
  <c r="DF16" i="16"/>
  <c r="DA16" i="16"/>
  <c r="CX13" i="16"/>
  <c r="DB13" i="16"/>
  <c r="DF13" i="16"/>
  <c r="CY13" i="16"/>
  <c r="DC13" i="16"/>
  <c r="DG13" i="16"/>
  <c r="CZ13" i="16"/>
  <c r="DD13" i="16"/>
  <c r="DH13" i="16"/>
  <c r="DA13" i="16"/>
  <c r="DE13" i="16"/>
  <c r="CW13" i="16"/>
  <c r="CW18" i="16"/>
  <c r="DA18" i="16"/>
  <c r="DE18" i="16"/>
  <c r="CX18" i="16"/>
  <c r="DB18" i="16"/>
  <c r="DF18" i="16"/>
  <c r="CY18" i="16"/>
  <c r="DC18" i="16"/>
  <c r="DG18" i="16"/>
  <c r="CZ18" i="16"/>
  <c r="DD18" i="16"/>
  <c r="DH18" i="16"/>
  <c r="CY15" i="16"/>
  <c r="DC15" i="16"/>
  <c r="DG15" i="16"/>
  <c r="CX15" i="16"/>
  <c r="DD15" i="16"/>
  <c r="CZ15" i="16"/>
  <c r="DE15" i="16"/>
  <c r="DA15" i="16"/>
  <c r="DF15" i="16"/>
  <c r="DH15" i="16"/>
  <c r="CW15" i="16"/>
  <c r="DB15" i="16"/>
  <c r="N6" i="80"/>
  <c r="DI5" i="47"/>
  <c r="DE5" i="47"/>
  <c r="DA5" i="47"/>
  <c r="DH5" i="47"/>
  <c r="DD5" i="47"/>
  <c r="CZ5" i="47"/>
  <c r="DG5" i="47"/>
  <c r="DC5" i="47"/>
  <c r="CY5" i="47"/>
  <c r="DE5" i="13"/>
  <c r="DA5" i="13"/>
  <c r="CW5" i="13"/>
  <c r="DF5" i="47"/>
  <c r="DH5" i="13"/>
  <c r="DD5" i="13"/>
  <c r="CZ5" i="13"/>
  <c r="DG5" i="18"/>
  <c r="DC5" i="18"/>
  <c r="CY5" i="18"/>
  <c r="DB5" i="47"/>
  <c r="DG5" i="13"/>
  <c r="DC5" i="13"/>
  <c r="CY5" i="13"/>
  <c r="CX5" i="13"/>
  <c r="DF5" i="18"/>
  <c r="DA5" i="18"/>
  <c r="CV5" i="18"/>
  <c r="CX5" i="47"/>
  <c r="DE5" i="18"/>
  <c r="CZ5" i="18"/>
  <c r="DD5" i="60"/>
  <c r="CZ5" i="60"/>
  <c r="CV5" i="60"/>
  <c r="DF5" i="13"/>
  <c r="DD5" i="18"/>
  <c r="CX5" i="18"/>
  <c r="DB5" i="13"/>
  <c r="DB5" i="18"/>
  <c r="DE5" i="60"/>
  <c r="CY5" i="60"/>
  <c r="DE5" i="29"/>
  <c r="DA5" i="29"/>
  <c r="CW5" i="29"/>
  <c r="CW5" i="18"/>
  <c r="DC5" i="60"/>
  <c r="CX5" i="60"/>
  <c r="DD5" i="29"/>
  <c r="CZ5" i="29"/>
  <c r="CV5" i="29"/>
  <c r="DE5" i="16"/>
  <c r="DA5" i="16"/>
  <c r="DG5" i="60"/>
  <c r="DB5" i="60"/>
  <c r="CW5" i="60"/>
  <c r="DG5" i="29"/>
  <c r="DC5" i="29"/>
  <c r="CY5" i="29"/>
  <c r="DA5" i="60"/>
  <c r="DD5" i="16"/>
  <c r="CY5" i="16"/>
  <c r="DF5" i="29"/>
  <c r="DH5" i="16"/>
  <c r="DC5" i="16"/>
  <c r="CX5" i="16"/>
  <c r="DB5" i="29"/>
  <c r="DG5" i="16"/>
  <c r="DB5" i="16"/>
  <c r="CW5" i="16"/>
  <c r="DF5" i="60"/>
  <c r="CZ5" i="16"/>
  <c r="CX5" i="29"/>
  <c r="DF5" i="16"/>
  <c r="DF24" i="16"/>
  <c r="DB24" i="16"/>
  <c r="CX24" i="16"/>
  <c r="DE24" i="16"/>
  <c r="DA24" i="16"/>
  <c r="DH24" i="16"/>
  <c r="CZ24" i="16"/>
  <c r="CY24" i="16"/>
  <c r="DC24" i="16"/>
  <c r="DD24" i="16"/>
  <c r="DG24" i="16"/>
  <c r="CW24" i="16"/>
  <c r="DE23" i="16"/>
  <c r="DA23" i="16"/>
  <c r="DH23" i="16"/>
  <c r="DD23" i="16"/>
  <c r="CZ23" i="16"/>
  <c r="DC23" i="16"/>
  <c r="CY23" i="16"/>
  <c r="CX23" i="16"/>
  <c r="CW23" i="16"/>
  <c r="DG23" i="16"/>
  <c r="DF23" i="16"/>
  <c r="DB23" i="16"/>
  <c r="DH22" i="16"/>
  <c r="DD22" i="16"/>
  <c r="CZ22" i="16"/>
  <c r="CW22" i="16"/>
  <c r="DG22" i="16"/>
  <c r="DC22" i="16"/>
  <c r="CY22" i="16"/>
  <c r="DF22" i="16"/>
  <c r="CX22" i="16"/>
  <c r="DA22" i="16"/>
  <c r="DE22" i="16"/>
  <c r="DB22" i="16"/>
  <c r="DR6" i="47"/>
  <c r="DN6" i="47"/>
  <c r="DJ6" i="47"/>
  <c r="DQ6" i="13"/>
  <c r="DM6" i="13"/>
  <c r="DI6" i="13"/>
  <c r="DP6" i="18"/>
  <c r="DL6" i="18"/>
  <c r="DH6" i="18"/>
  <c r="DS6" i="47"/>
  <c r="DM6" i="47"/>
  <c r="DS6" i="13"/>
  <c r="DN6" i="13"/>
  <c r="DS6" i="18"/>
  <c r="DN6" i="18"/>
  <c r="DI6" i="18"/>
  <c r="DS6" i="60"/>
  <c r="DO6" i="60"/>
  <c r="DK6" i="60"/>
  <c r="DS6" i="29"/>
  <c r="DO6" i="29"/>
  <c r="DK6" i="29"/>
  <c r="DT6" i="16"/>
  <c r="DP6" i="16"/>
  <c r="DL6" i="16"/>
  <c r="N42" i="80"/>
  <c r="N36" i="80"/>
  <c r="DQ6" i="47"/>
  <c r="DL6" i="47"/>
  <c r="DR6" i="13"/>
  <c r="DL6" i="13"/>
  <c r="DR6" i="18"/>
  <c r="DM6" i="18"/>
  <c r="DR6" i="60"/>
  <c r="DN6" i="60"/>
  <c r="DJ6" i="60"/>
  <c r="DR6" i="29"/>
  <c r="DN6" i="29"/>
  <c r="DJ6" i="29"/>
  <c r="DS6" i="16"/>
  <c r="DO6" i="16"/>
  <c r="DK6" i="16"/>
  <c r="N43" i="80"/>
  <c r="N37" i="80"/>
  <c r="DU6" i="47"/>
  <c r="DK6" i="47"/>
  <c r="DP6" i="13"/>
  <c r="DK6" i="18"/>
  <c r="DP6" i="60"/>
  <c r="DH6" i="60"/>
  <c r="DQ6" i="29"/>
  <c r="DI6" i="29"/>
  <c r="DM6" i="16"/>
  <c r="DT6" i="47"/>
  <c r="DO6" i="13"/>
  <c r="DJ6" i="18"/>
  <c r="DM6" i="60"/>
  <c r="DP6" i="29"/>
  <c r="DH6" i="29"/>
  <c r="DR6" i="16"/>
  <c r="DJ6" i="16"/>
  <c r="DP6" i="47"/>
  <c r="DK6" i="13"/>
  <c r="DQ6" i="18"/>
  <c r="DL6" i="60"/>
  <c r="DM6" i="29"/>
  <c r="DQ6" i="16"/>
  <c r="DI6" i="16"/>
  <c r="DO6" i="47"/>
  <c r="DT6" i="13"/>
  <c r="DJ6" i="13"/>
  <c r="DO6" i="18"/>
  <c r="DQ6" i="60"/>
  <c r="DI6" i="60"/>
  <c r="DL6" i="29"/>
  <c r="DN6" i="16"/>
  <c r="M5" i="80"/>
  <c r="N44" i="80"/>
  <c r="N38" i="80"/>
  <c r="N34" i="80"/>
  <c r="N45" i="80"/>
  <c r="N41" i="80"/>
  <c r="N39" i="80"/>
  <c r="N35" i="80"/>
  <c r="N40" i="80"/>
  <c r="DQ29" i="47" l="1"/>
  <c r="DM29" i="47"/>
  <c r="DJ29" i="47"/>
  <c r="DP29" i="47"/>
  <c r="DT29" i="47"/>
  <c r="DK29" i="47"/>
  <c r="DS29" i="47"/>
  <c r="DN29" i="47"/>
  <c r="DO29" i="47"/>
  <c r="DU29" i="47"/>
  <c r="DL29" i="47"/>
  <c r="DR29" i="47"/>
  <c r="DJ26" i="60"/>
  <c r="DJ27" i="60"/>
  <c r="DN26" i="60"/>
  <c r="DN27" i="60"/>
  <c r="DK26" i="60"/>
  <c r="DK27" i="60"/>
  <c r="DR26" i="60"/>
  <c r="DR27" i="60"/>
  <c r="DI26" i="60"/>
  <c r="DI27" i="60"/>
  <c r="DH26" i="60"/>
  <c r="DH27" i="60"/>
  <c r="DO26" i="60"/>
  <c r="DO27" i="60"/>
  <c r="DQ26" i="60"/>
  <c r="DQ27" i="60"/>
  <c r="DL26" i="60"/>
  <c r="DL27" i="60"/>
  <c r="DM26" i="60"/>
  <c r="DM27" i="60"/>
  <c r="DP26" i="60"/>
  <c r="DP27" i="60"/>
  <c r="DS26" i="60"/>
  <c r="DS27" i="60"/>
  <c r="DI30" i="60"/>
  <c r="DO30" i="60"/>
  <c r="DN52" i="60"/>
  <c r="DN49" i="60"/>
  <c r="DI48" i="60"/>
  <c r="DI49" i="60"/>
  <c r="DI52" i="60"/>
  <c r="DH49" i="60"/>
  <c r="DH52" i="60"/>
  <c r="DR52" i="60"/>
  <c r="DR50" i="60"/>
  <c r="DR51" i="60"/>
  <c r="DR49" i="60"/>
  <c r="DR48" i="60"/>
  <c r="DO49" i="60"/>
  <c r="DO52" i="60"/>
  <c r="DO48" i="60"/>
  <c r="DK49" i="60"/>
  <c r="DK52" i="60"/>
  <c r="DQ49" i="60"/>
  <c r="DQ52" i="60"/>
  <c r="DM52" i="60"/>
  <c r="DM49" i="60"/>
  <c r="DL51" i="60"/>
  <c r="DL48" i="60"/>
  <c r="DL49" i="60"/>
  <c r="DL52" i="60"/>
  <c r="DL50" i="60"/>
  <c r="DP49" i="60"/>
  <c r="DP52" i="60"/>
  <c r="DS49" i="60"/>
  <c r="DS52" i="60"/>
  <c r="DJ52" i="60"/>
  <c r="DJ49" i="60"/>
  <c r="DK14" i="16"/>
  <c r="DO14" i="16"/>
  <c r="DS14" i="16"/>
  <c r="DJ14" i="16"/>
  <c r="DP14" i="16"/>
  <c r="DL14" i="16"/>
  <c r="DQ14" i="16"/>
  <c r="DM14" i="16"/>
  <c r="DR14" i="16"/>
  <c r="DI14" i="16"/>
  <c r="DN14" i="16"/>
  <c r="DT14" i="16"/>
  <c r="DI19" i="16"/>
  <c r="DM19" i="16"/>
  <c r="DJ19" i="16"/>
  <c r="DN19" i="16"/>
  <c r="DR19" i="16"/>
  <c r="DK19" i="16"/>
  <c r="DO19" i="16"/>
  <c r="DQ19" i="16"/>
  <c r="DS19" i="16"/>
  <c r="DL19" i="16"/>
  <c r="DT19" i="16"/>
  <c r="DP19" i="16"/>
  <c r="DJ13" i="16"/>
  <c r="DN13" i="16"/>
  <c r="DR13" i="16"/>
  <c r="DK13" i="16"/>
  <c r="DO13" i="16"/>
  <c r="DS13" i="16"/>
  <c r="DL13" i="16"/>
  <c r="DP13" i="16"/>
  <c r="DT13" i="16"/>
  <c r="DQ13" i="16"/>
  <c r="DI13" i="16"/>
  <c r="DM13" i="16"/>
  <c r="DH4" i="47"/>
  <c r="DD4" i="47"/>
  <c r="CZ4" i="47"/>
  <c r="DF4" i="47"/>
  <c r="DA4" i="47"/>
  <c r="DE4" i="13"/>
  <c r="DA4" i="13"/>
  <c r="CW4" i="13"/>
  <c r="DE4" i="47"/>
  <c r="CY4" i="47"/>
  <c r="DH4" i="13"/>
  <c r="DD4" i="13"/>
  <c r="CZ4" i="13"/>
  <c r="DI4" i="47"/>
  <c r="DC4" i="47"/>
  <c r="CX4" i="47"/>
  <c r="DG4" i="13"/>
  <c r="DC4" i="13"/>
  <c r="CY4" i="13"/>
  <c r="DF4" i="13"/>
  <c r="DE4" i="18"/>
  <c r="DA4" i="18"/>
  <c r="CW4" i="18"/>
  <c r="DG4" i="47"/>
  <c r="DB4" i="13"/>
  <c r="DD4" i="18"/>
  <c r="CZ4" i="18"/>
  <c r="CV4" i="18"/>
  <c r="DB4" i="47"/>
  <c r="CX4" i="13"/>
  <c r="DG4" i="18"/>
  <c r="DC4" i="18"/>
  <c r="CY4" i="18"/>
  <c r="DF4" i="18"/>
  <c r="DE4" i="60"/>
  <c r="DA4" i="60"/>
  <c r="CW4" i="60"/>
  <c r="DE4" i="29"/>
  <c r="DA4" i="29"/>
  <c r="CW4" i="29"/>
  <c r="DB4" i="18"/>
  <c r="DD4" i="60"/>
  <c r="CZ4" i="60"/>
  <c r="CV4" i="60"/>
  <c r="DD4" i="29"/>
  <c r="CZ4" i="29"/>
  <c r="CV4" i="29"/>
  <c r="DH4" i="16"/>
  <c r="DD4" i="16"/>
  <c r="CZ4" i="16"/>
  <c r="CW4" i="16"/>
  <c r="CX4" i="18"/>
  <c r="DG4" i="60"/>
  <c r="DC4" i="60"/>
  <c r="CY4" i="60"/>
  <c r="DG4" i="29"/>
  <c r="DC4" i="29"/>
  <c r="CY4" i="29"/>
  <c r="DB4" i="60"/>
  <c r="DB4" i="29"/>
  <c r="DE4" i="16"/>
  <c r="CY4" i="16"/>
  <c r="CX4" i="60"/>
  <c r="CX4" i="29"/>
  <c r="DC4" i="16"/>
  <c r="CX4" i="16"/>
  <c r="DG4" i="16"/>
  <c r="DB4" i="16"/>
  <c r="DF4" i="29"/>
  <c r="DF4" i="16"/>
  <c r="DF4" i="60"/>
  <c r="DA4" i="16"/>
  <c r="DI18" i="16"/>
  <c r="DM18" i="16"/>
  <c r="DQ18" i="16"/>
  <c r="DJ18" i="16"/>
  <c r="DN18" i="16"/>
  <c r="DR18" i="16"/>
  <c r="DK18" i="16"/>
  <c r="DO18" i="16"/>
  <c r="DS18" i="16"/>
  <c r="DP18" i="16"/>
  <c r="DT18" i="16"/>
  <c r="DL18" i="16"/>
  <c r="DI17" i="16"/>
  <c r="DM17" i="16"/>
  <c r="DQ17" i="16"/>
  <c r="DJ17" i="16"/>
  <c r="DN17" i="16"/>
  <c r="DR17" i="16"/>
  <c r="DK17" i="16"/>
  <c r="DO17" i="16"/>
  <c r="DS17" i="16"/>
  <c r="DL17" i="16"/>
  <c r="DP17" i="16"/>
  <c r="DT17" i="16"/>
  <c r="DK16" i="16"/>
  <c r="DM16" i="16"/>
  <c r="DQ16" i="16"/>
  <c r="DI16" i="16"/>
  <c r="DN16" i="16"/>
  <c r="DR16" i="16"/>
  <c r="DJ16" i="16"/>
  <c r="DO16" i="16"/>
  <c r="DS16" i="16"/>
  <c r="DL16" i="16"/>
  <c r="DT16" i="16"/>
  <c r="DP16" i="16"/>
  <c r="DJ21" i="16"/>
  <c r="DN21" i="16"/>
  <c r="DR21" i="16"/>
  <c r="DI21" i="16"/>
  <c r="DO21" i="16"/>
  <c r="DT21" i="16"/>
  <c r="DS21" i="16"/>
  <c r="DK21" i="16"/>
  <c r="DP21" i="16"/>
  <c r="DL21" i="16"/>
  <c r="DQ21" i="16"/>
  <c r="DM21" i="16"/>
  <c r="DJ20" i="16"/>
  <c r="DN20" i="16"/>
  <c r="DR20" i="16"/>
  <c r="DK20" i="16"/>
  <c r="DP20" i="16"/>
  <c r="DT20" i="16"/>
  <c r="DL20" i="16"/>
  <c r="DQ20" i="16"/>
  <c r="DI20" i="16"/>
  <c r="DO20" i="16"/>
  <c r="DM20" i="16"/>
  <c r="DS20" i="16"/>
  <c r="DK15" i="16"/>
  <c r="DO15" i="16"/>
  <c r="DS15" i="16"/>
  <c r="DI15" i="16"/>
  <c r="DN15" i="16"/>
  <c r="DT15" i="16"/>
  <c r="DJ15" i="16"/>
  <c r="DP15" i="16"/>
  <c r="DL15" i="16"/>
  <c r="DQ15" i="16"/>
  <c r="DM15" i="16"/>
  <c r="DR15" i="16"/>
  <c r="DU5" i="47"/>
  <c r="DQ5" i="47"/>
  <c r="DM5" i="47"/>
  <c r="DT5" i="47"/>
  <c r="DP5" i="47"/>
  <c r="DL5" i="47"/>
  <c r="DS5" i="47"/>
  <c r="DO5" i="47"/>
  <c r="DK5" i="47"/>
  <c r="DJ5" i="47"/>
  <c r="DQ5" i="13"/>
  <c r="DM5" i="13"/>
  <c r="DI5" i="13"/>
  <c r="DT5" i="13"/>
  <c r="DP5" i="13"/>
  <c r="DL5" i="13"/>
  <c r="DS5" i="18"/>
  <c r="DO5" i="18"/>
  <c r="DK5" i="18"/>
  <c r="DR5" i="47"/>
  <c r="DS5" i="13"/>
  <c r="DO5" i="13"/>
  <c r="DK5" i="13"/>
  <c r="DN5" i="47"/>
  <c r="DN5" i="13"/>
  <c r="DQ5" i="18"/>
  <c r="DL5" i="18"/>
  <c r="DJ5" i="13"/>
  <c r="DP5" i="18"/>
  <c r="DJ5" i="18"/>
  <c r="DP5" i="60"/>
  <c r="DL5" i="60"/>
  <c r="DH5" i="60"/>
  <c r="DN5" i="18"/>
  <c r="DI5" i="18"/>
  <c r="DO5" i="60"/>
  <c r="DJ5" i="60"/>
  <c r="DQ5" i="29"/>
  <c r="DM5" i="29"/>
  <c r="DI5" i="29"/>
  <c r="DR5" i="18"/>
  <c r="DS5" i="60"/>
  <c r="DN5" i="60"/>
  <c r="DI5" i="60"/>
  <c r="DP5" i="29"/>
  <c r="DL5" i="29"/>
  <c r="DH5" i="29"/>
  <c r="DQ5" i="16"/>
  <c r="DM5" i="16"/>
  <c r="DM5" i="18"/>
  <c r="DR5" i="60"/>
  <c r="DM5" i="60"/>
  <c r="DS5" i="29"/>
  <c r="DO5" i="29"/>
  <c r="DK5" i="29"/>
  <c r="DJ5" i="29"/>
  <c r="DS5" i="16"/>
  <c r="DN5" i="16"/>
  <c r="DI5" i="16"/>
  <c r="DQ5" i="60"/>
  <c r="DR5" i="16"/>
  <c r="DL5" i="16"/>
  <c r="DH5" i="18"/>
  <c r="DK5" i="60"/>
  <c r="DR5" i="29"/>
  <c r="DP5" i="16"/>
  <c r="DK5" i="16"/>
  <c r="DJ5" i="16"/>
  <c r="DR5" i="13"/>
  <c r="DN5" i="29"/>
  <c r="DT5" i="16"/>
  <c r="DO5" i="16"/>
  <c r="DR23" i="16"/>
  <c r="DN23" i="16"/>
  <c r="DJ23" i="16"/>
  <c r="DQ23" i="16"/>
  <c r="DM23" i="16"/>
  <c r="DI23" i="16"/>
  <c r="DP23" i="16"/>
  <c r="DS23" i="16"/>
  <c r="DK23" i="16"/>
  <c r="DO23" i="16"/>
  <c r="DL23" i="16"/>
  <c r="DT23" i="16"/>
  <c r="DR24" i="16"/>
  <c r="DN24" i="16"/>
  <c r="DJ24" i="16"/>
  <c r="DQ24" i="16"/>
  <c r="DM24" i="16"/>
  <c r="DI24" i="16"/>
  <c r="DT24" i="16"/>
  <c r="DL24" i="16"/>
  <c r="DP24" i="16"/>
  <c r="DK24" i="16"/>
  <c r="DS24" i="16"/>
  <c r="DO24" i="16"/>
  <c r="DR22" i="16"/>
  <c r="DN22" i="16"/>
  <c r="DJ22" i="16"/>
  <c r="DQ22" i="16"/>
  <c r="DM22" i="16"/>
  <c r="DI22" i="16"/>
  <c r="DT22" i="16"/>
  <c r="DL22" i="16"/>
  <c r="DS22" i="16"/>
  <c r="DK22" i="16"/>
  <c r="DP22" i="16"/>
  <c r="DO22" i="16"/>
  <c r="N5" i="80"/>
  <c r="DU4" i="47" l="1"/>
  <c r="DQ4" i="47"/>
  <c r="DM4" i="47"/>
  <c r="DT4" i="47"/>
  <c r="DP4" i="47"/>
  <c r="DL4" i="47"/>
  <c r="DS4" i="47"/>
  <c r="DK4" i="47"/>
  <c r="DQ4" i="13"/>
  <c r="DM4" i="13"/>
  <c r="DI4" i="13"/>
  <c r="DR4" i="47"/>
  <c r="DJ4" i="47"/>
  <c r="DT4" i="13"/>
  <c r="DP4" i="13"/>
  <c r="DL4" i="13"/>
  <c r="DO4" i="47"/>
  <c r="DS4" i="13"/>
  <c r="DO4" i="13"/>
  <c r="DK4" i="13"/>
  <c r="DN4" i="47"/>
  <c r="DQ4" i="18"/>
  <c r="DM4" i="18"/>
  <c r="DI4" i="18"/>
  <c r="DR4" i="13"/>
  <c r="DP4" i="18"/>
  <c r="DL4" i="18"/>
  <c r="DH4" i="18"/>
  <c r="DN4" i="13"/>
  <c r="DS4" i="18"/>
  <c r="DO4" i="18"/>
  <c r="DK4" i="18"/>
  <c r="DQ4" i="60"/>
  <c r="DM4" i="60"/>
  <c r="DI4" i="60"/>
  <c r="DQ4" i="29"/>
  <c r="DM4" i="29"/>
  <c r="DI4" i="29"/>
  <c r="DR4" i="18"/>
  <c r="DP4" i="60"/>
  <c r="DL4" i="60"/>
  <c r="DH4" i="60"/>
  <c r="DP4" i="29"/>
  <c r="DL4" i="29"/>
  <c r="DH4" i="29"/>
  <c r="DT4" i="16"/>
  <c r="DP4" i="16"/>
  <c r="DL4" i="16"/>
  <c r="DI4" i="16"/>
  <c r="DN4" i="18"/>
  <c r="DS4" i="60"/>
  <c r="DO4" i="60"/>
  <c r="DK4" i="60"/>
  <c r="DS4" i="29"/>
  <c r="DO4" i="29"/>
  <c r="DK4" i="29"/>
  <c r="DR4" i="60"/>
  <c r="DR4" i="29"/>
  <c r="DS4" i="16"/>
  <c r="DN4" i="16"/>
  <c r="DJ4" i="13"/>
  <c r="DJ4" i="18"/>
  <c r="DN4" i="60"/>
  <c r="DN4" i="29"/>
  <c r="DR4" i="16"/>
  <c r="DM4" i="16"/>
  <c r="DJ4" i="60"/>
  <c r="DJ4" i="29"/>
  <c r="DQ4" i="16"/>
  <c r="DK4" i="16"/>
  <c r="DO4" i="16"/>
  <c r="DJ4" i="16"/>
  <c r="BI51" i="72" l="1"/>
  <c r="BU52" i="72" s="1"/>
  <c r="CG53" i="72" s="1"/>
  <c r="CS54" i="72" s="1"/>
  <c r="DE55" i="72" s="1"/>
  <c r="DQ56" i="72" s="1"/>
  <c r="CX85" i="72"/>
  <c r="CY85" i="72"/>
  <c r="CZ85" i="72"/>
  <c r="DA85" i="72"/>
  <c r="DB85" i="72"/>
  <c r="DC85" i="72"/>
  <c r="DD85" i="72"/>
  <c r="BZ83" i="72"/>
  <c r="CA83" i="72"/>
  <c r="CB83" i="72"/>
  <c r="CC83" i="72"/>
  <c r="CD83" i="72"/>
  <c r="CE83" i="72"/>
  <c r="CF83" i="72"/>
  <c r="CG83" i="72"/>
  <c r="CH83" i="72"/>
  <c r="CI83" i="72"/>
  <c r="CJ83" i="72"/>
  <c r="H5" i="44" l="1"/>
  <c r="M111" i="72" l="1"/>
  <c r="M121" i="72" s="1"/>
  <c r="M5" i="44" s="1"/>
  <c r="L36" i="60" s="1"/>
  <c r="N111" i="72"/>
  <c r="O111" i="72"/>
  <c r="O121" i="72" s="1"/>
  <c r="P111" i="72"/>
  <c r="AZ114" i="72" s="1"/>
  <c r="BL115" i="72" s="1"/>
  <c r="BX116" i="72" s="1"/>
  <c r="CJ117" i="72" s="1"/>
  <c r="CV118" i="72" s="1"/>
  <c r="DH119" i="72" s="1"/>
  <c r="DT120" i="72" s="1"/>
  <c r="Q121" i="72"/>
  <c r="Q5" i="44" s="1"/>
  <c r="P36" i="60" s="1"/>
  <c r="R121" i="72"/>
  <c r="AQ113" i="72"/>
  <c r="BC114" i="72" s="1"/>
  <c r="BO115" i="72" s="1"/>
  <c r="CA116" i="72" s="1"/>
  <c r="CM117" i="72" s="1"/>
  <c r="CY118" i="72" s="1"/>
  <c r="DK119" i="72" s="1"/>
  <c r="U121" i="72"/>
  <c r="BF114" i="72"/>
  <c r="BR115" i="72" s="1"/>
  <c r="CD116" i="72" s="1"/>
  <c r="CP117" i="72" s="1"/>
  <c r="DB118" i="72" s="1"/>
  <c r="DN119" i="72" s="1"/>
  <c r="BH114" i="72"/>
  <c r="BT115" i="72" s="1"/>
  <c r="CF116" i="72" s="1"/>
  <c r="CR117" i="72" s="1"/>
  <c r="DD118" i="72" s="1"/>
  <c r="DP119" i="72" s="1"/>
  <c r="AW113" i="72"/>
  <c r="BI114" i="72" s="1"/>
  <c r="BU115" i="72" s="1"/>
  <c r="CG116" i="72" s="1"/>
  <c r="CS117" i="72" s="1"/>
  <c r="DE118" i="72" s="1"/>
  <c r="DQ119" i="72" s="1"/>
  <c r="AY113" i="72"/>
  <c r="BK114" i="72" s="1"/>
  <c r="BW115" i="72" s="1"/>
  <c r="CI116" i="72" s="1"/>
  <c r="CU117" i="72" s="1"/>
  <c r="DG118" i="72" s="1"/>
  <c r="DS119" i="72" s="1"/>
  <c r="Y121" i="72" l="1"/>
  <c r="S121" i="72"/>
  <c r="AW114" i="72"/>
  <c r="BI115" i="72" s="1"/>
  <c r="BU116" i="72" s="1"/>
  <c r="CG117" i="72" s="1"/>
  <c r="CS118" i="72" s="1"/>
  <c r="DE119" i="72" s="1"/>
  <c r="DQ120" i="72" s="1"/>
  <c r="AB121" i="72"/>
  <c r="AZ113" i="72"/>
  <c r="BL114" i="72" s="1"/>
  <c r="BX115" i="72" s="1"/>
  <c r="CJ116" i="72" s="1"/>
  <c r="CV117" i="72" s="1"/>
  <c r="DH118" i="72" s="1"/>
  <c r="DT119" i="72" s="1"/>
  <c r="N121" i="72"/>
  <c r="N5" i="44" s="1"/>
  <c r="M36" i="60" s="1"/>
  <c r="AX114" i="72"/>
  <c r="BJ115" i="72" s="1"/>
  <c r="BV116" i="72" s="1"/>
  <c r="CH117" i="72" s="1"/>
  <c r="CT118" i="72" s="1"/>
  <c r="DF119" i="72" s="1"/>
  <c r="DR120" i="72" s="1"/>
  <c r="V121" i="72"/>
  <c r="P121" i="72"/>
  <c r="AO113" i="72"/>
  <c r="BA114" i="72" s="1"/>
  <c r="BM115" i="72" s="1"/>
  <c r="BY116" i="72" s="1"/>
  <c r="CK117" i="72" s="1"/>
  <c r="CW118" i="72" s="1"/>
  <c r="DI119" i="72" s="1"/>
  <c r="AS113" i="72"/>
  <c r="BE114" i="72" s="1"/>
  <c r="BQ115" i="72" s="1"/>
  <c r="CC116" i="72" s="1"/>
  <c r="CO117" i="72" s="1"/>
  <c r="DA118" i="72" s="1"/>
  <c r="DM119" i="72" s="1"/>
  <c r="AP113" i="72" l="1"/>
  <c r="AA121" i="72"/>
  <c r="BB114" i="72" l="1"/>
  <c r="BN115" i="72" s="1"/>
  <c r="BZ116" i="72" s="1"/>
  <c r="CL117" i="72" s="1"/>
  <c r="CX118" i="72" s="1"/>
  <c r="DJ119" i="72" s="1"/>
  <c r="AY114" i="72"/>
  <c r="BK115" i="72" l="1"/>
  <c r="BW116" i="72" s="1"/>
  <c r="CI117" i="72" s="1"/>
  <c r="CU118" i="72" s="1"/>
  <c r="DG119" i="72" s="1"/>
  <c r="DS120" i="72" s="1"/>
  <c r="E18" i="75" l="1"/>
  <c r="F18" i="75"/>
  <c r="G18" i="75"/>
  <c r="D51" i="74"/>
  <c r="E19" i="74"/>
  <c r="F19" i="74"/>
  <c r="G19" i="74"/>
  <c r="H19" i="74"/>
  <c r="I19" i="74"/>
  <c r="J19" i="74"/>
  <c r="K19" i="74"/>
  <c r="H18" i="75"/>
  <c r="L19" i="74"/>
  <c r="I18" i="75"/>
  <c r="M19" i="74"/>
  <c r="J18" i="75"/>
  <c r="N19" i="74"/>
  <c r="K18" i="75"/>
  <c r="O19" i="74"/>
  <c r="L18" i="75"/>
  <c r="P19" i="74"/>
  <c r="M18" i="75"/>
  <c r="Q19" i="74"/>
  <c r="N18" i="75"/>
  <c r="R19" i="74"/>
  <c r="O18" i="75"/>
  <c r="P18" i="75"/>
  <c r="Q18" i="75"/>
  <c r="R18" i="75"/>
  <c r="S18" i="75"/>
  <c r="T18" i="75"/>
  <c r="D61" i="74"/>
  <c r="D57" i="74" s="1"/>
  <c r="E21" i="74"/>
  <c r="F21" i="74" s="1"/>
  <c r="G21" i="74" s="1"/>
  <c r="H21" i="74" s="1"/>
  <c r="I21" i="74" s="1"/>
  <c r="J21" i="74" s="1"/>
  <c r="K21" i="74" s="1"/>
  <c r="L21" i="74" s="1"/>
  <c r="M21" i="74" s="1"/>
  <c r="N21" i="74" s="1"/>
  <c r="O21" i="74" s="1"/>
  <c r="P21" i="74" s="1"/>
  <c r="Q21" i="74" s="1"/>
  <c r="R21" i="74" s="1"/>
  <c r="E17" i="74"/>
  <c r="F17" i="74" s="1"/>
  <c r="G17" i="74" s="1"/>
  <c r="H17" i="74" s="1"/>
  <c r="I17" i="74" s="1"/>
  <c r="J17" i="74" s="1"/>
  <c r="K17" i="74" s="1"/>
  <c r="L17" i="74" s="1"/>
  <c r="M17" i="74" s="1"/>
  <c r="N17" i="74" s="1"/>
  <c r="O17" i="74" s="1"/>
  <c r="P17" i="74" s="1"/>
  <c r="Q17" i="74" s="1"/>
  <c r="R17" i="74" s="1"/>
  <c r="E20" i="75"/>
  <c r="F20" i="75" s="1"/>
  <c r="G20" i="75" s="1"/>
  <c r="H20" i="75" s="1"/>
  <c r="I20" i="75" s="1"/>
  <c r="J20" i="75" s="1"/>
  <c r="K20" i="75" s="1"/>
  <c r="L20" i="75" s="1"/>
  <c r="M20" i="75" s="1"/>
  <c r="N20" i="75" s="1"/>
  <c r="O20" i="75" s="1"/>
  <c r="P20" i="75" s="1"/>
  <c r="Q20" i="75" s="1"/>
  <c r="R20" i="75" s="1"/>
  <c r="S20" i="75" s="1"/>
  <c r="T20" i="75" s="1"/>
  <c r="U20" i="75" s="1"/>
  <c r="V20" i="75" s="1"/>
  <c r="W20" i="75" s="1"/>
  <c r="X20" i="75" s="1"/>
  <c r="Y20" i="75" s="1"/>
  <c r="Z20" i="75" s="1"/>
  <c r="AA20" i="75" s="1"/>
  <c r="E28" i="74"/>
  <c r="F28" i="74" s="1"/>
  <c r="G28" i="74" s="1"/>
  <c r="H28" i="74" s="1"/>
  <c r="I28" i="74" s="1"/>
  <c r="J28" i="74" s="1"/>
  <c r="K28" i="74" s="1"/>
  <c r="L28" i="74" s="1"/>
  <c r="M28" i="74" s="1"/>
  <c r="N28" i="74" s="1"/>
  <c r="O28" i="74" s="1"/>
  <c r="P28" i="74" s="1"/>
  <c r="Q28" i="74" s="1"/>
  <c r="R28" i="74" s="1"/>
  <c r="E44" i="74"/>
  <c r="F44" i="74" s="1"/>
  <c r="G44" i="74" s="1"/>
  <c r="H44" i="74" s="1"/>
  <c r="I44" i="74" s="1"/>
  <c r="J44" i="74" s="1"/>
  <c r="K44" i="74" s="1"/>
  <c r="L44" i="74" s="1"/>
  <c r="M44" i="74" s="1"/>
  <c r="N44" i="74" s="1"/>
  <c r="O44" i="74" s="1"/>
  <c r="P44" i="74" s="1"/>
  <c r="Q44" i="74" s="1"/>
  <c r="R44" i="74" s="1"/>
  <c r="E16" i="75"/>
  <c r="F16" i="75" s="1"/>
  <c r="G16" i="75" s="1"/>
  <c r="H16" i="75" s="1"/>
  <c r="I16" i="75" s="1"/>
  <c r="J16" i="75" s="1"/>
  <c r="K16" i="75" s="1"/>
  <c r="L16" i="75" s="1"/>
  <c r="M16" i="75" s="1"/>
  <c r="N16" i="75" s="1"/>
  <c r="O16" i="75" s="1"/>
  <c r="P16" i="75" s="1"/>
  <c r="Q16" i="75" s="1"/>
  <c r="R16" i="75" s="1"/>
  <c r="S16" i="75" s="1"/>
  <c r="T16" i="75" s="1"/>
  <c r="E27" i="75"/>
  <c r="F27" i="75" s="1"/>
  <c r="G27" i="75" s="1"/>
  <c r="H27" i="75" s="1"/>
  <c r="I27" i="75" s="1"/>
  <c r="J27" i="75" s="1"/>
  <c r="K27" i="75" s="1"/>
  <c r="L27" i="75" s="1"/>
  <c r="M27" i="75" s="1"/>
  <c r="N27" i="75" s="1"/>
  <c r="O27" i="75" s="1"/>
  <c r="P27" i="75" s="1"/>
  <c r="Q27" i="75" s="1"/>
  <c r="R27" i="75" s="1"/>
  <c r="S27" i="75" s="1"/>
  <c r="T27" i="75" s="1"/>
  <c r="E43" i="75"/>
  <c r="F43" i="75" s="1"/>
  <c r="G43" i="75" s="1"/>
  <c r="H43" i="75" s="1"/>
  <c r="I43" i="75" s="1"/>
  <c r="J43" i="75" s="1"/>
  <c r="K43" i="75" s="1"/>
  <c r="L43" i="75" s="1"/>
  <c r="M43" i="75" s="1"/>
  <c r="N43" i="75" s="1"/>
  <c r="O43" i="75" s="1"/>
  <c r="P43" i="75" s="1"/>
  <c r="Q43" i="75" s="1"/>
  <c r="R43" i="75" s="1"/>
  <c r="S43" i="75" s="1"/>
  <c r="T43" i="75" s="1"/>
  <c r="DT20" i="13"/>
  <c r="DS20" i="13"/>
  <c r="DR20" i="13"/>
  <c r="DQ20" i="13"/>
  <c r="DP20" i="13"/>
  <c r="DO20" i="13"/>
  <c r="DN20" i="13"/>
  <c r="DM20" i="13"/>
  <c r="DL20" i="13"/>
  <c r="DK20" i="13"/>
  <c r="DJ20" i="13"/>
  <c r="DH20" i="13"/>
  <c r="DG20" i="13"/>
  <c r="DF20" i="13"/>
  <c r="DE20" i="13"/>
  <c r="DD20" i="13"/>
  <c r="DC20" i="13"/>
  <c r="DB20" i="13"/>
  <c r="DA20" i="13"/>
  <c r="CZ20" i="13"/>
  <c r="CY20" i="13"/>
  <c r="CX20" i="13"/>
  <c r="CV20" i="13"/>
  <c r="CU20" i="13"/>
  <c r="CT20" i="13"/>
  <c r="CS20" i="13"/>
  <c r="CR20" i="13"/>
  <c r="CQ20" i="13"/>
  <c r="CP20" i="13"/>
  <c r="CO20" i="13"/>
  <c r="CN20" i="13"/>
  <c r="CM20" i="13"/>
  <c r="CL20" i="13"/>
  <c r="CJ20" i="13"/>
  <c r="CI20" i="13"/>
  <c r="CH20" i="13"/>
  <c r="CG20" i="13"/>
  <c r="CF20" i="13"/>
  <c r="CE20" i="13"/>
  <c r="CD20" i="13"/>
  <c r="CC20" i="13"/>
  <c r="CB20" i="13"/>
  <c r="CA20" i="13"/>
  <c r="BZ20" i="13"/>
  <c r="BX20" i="13"/>
  <c r="BW20" i="13"/>
  <c r="BV20" i="13"/>
  <c r="BU20" i="13"/>
  <c r="BT20" i="13"/>
  <c r="BS20" i="13"/>
  <c r="BR20" i="13"/>
  <c r="BQ20" i="13"/>
  <c r="BP20" i="13"/>
  <c r="BO20" i="13"/>
  <c r="BN20" i="13"/>
  <c r="BL20" i="13"/>
  <c r="BK20" i="13"/>
  <c r="BJ20" i="13"/>
  <c r="BI20" i="13"/>
  <c r="BH20" i="13"/>
  <c r="BG20" i="13"/>
  <c r="BF20" i="13"/>
  <c r="BE20" i="13"/>
  <c r="BD20" i="13"/>
  <c r="BC20" i="13"/>
  <c r="BB20" i="13"/>
  <c r="AZ20" i="13"/>
  <c r="AY20" i="13"/>
  <c r="AX20" i="13"/>
  <c r="AW20" i="13"/>
  <c r="AV20" i="13"/>
  <c r="AU20" i="13"/>
  <c r="AT20" i="13"/>
  <c r="AS20" i="13"/>
  <c r="DR6" i="24"/>
  <c r="DS36" i="1" s="1"/>
  <c r="DQ6" i="24"/>
  <c r="DR36" i="1" s="1"/>
  <c r="DP6" i="24"/>
  <c r="DQ36" i="1" s="1"/>
  <c r="DO6" i="24"/>
  <c r="DP36" i="1" s="1"/>
  <c r="DN6" i="24"/>
  <c r="DO36" i="1" s="1"/>
  <c r="DM6" i="24"/>
  <c r="DN36" i="1" s="1"/>
  <c r="DL6" i="24"/>
  <c r="DM36" i="1" s="1"/>
  <c r="DK6" i="24"/>
  <c r="DL36" i="1" s="1"/>
  <c r="DJ6" i="24"/>
  <c r="DK36" i="1" s="1"/>
  <c r="DI6" i="24"/>
  <c r="DJ36" i="1" s="1"/>
  <c r="DH6" i="24"/>
  <c r="DI36" i="1" s="1"/>
  <c r="DG6" i="24"/>
  <c r="DH36" i="1" s="1"/>
  <c r="DF6" i="24"/>
  <c r="DG36" i="1" s="1"/>
  <c r="DE6" i="24"/>
  <c r="DF36" i="1" s="1"/>
  <c r="DD6" i="24"/>
  <c r="DE36" i="1" s="1"/>
  <c r="DC6" i="24"/>
  <c r="DD36" i="1" s="1"/>
  <c r="DB6" i="24"/>
  <c r="DC36" i="1" s="1"/>
  <c r="DA6" i="24"/>
  <c r="DB36" i="1" s="1"/>
  <c r="CZ6" i="24"/>
  <c r="DA36" i="1" s="1"/>
  <c r="CY6" i="24"/>
  <c r="CZ36" i="1" s="1"/>
  <c r="CX6" i="24"/>
  <c r="CY36" i="1" s="1"/>
  <c r="CW6" i="24"/>
  <c r="CX36" i="1" s="1"/>
  <c r="CV6" i="24"/>
  <c r="CW36" i="1" s="1"/>
  <c r="CU6" i="24"/>
  <c r="CV36" i="1" s="1"/>
  <c r="CT6" i="24"/>
  <c r="CU36" i="1" s="1"/>
  <c r="CS6" i="24"/>
  <c r="CT36" i="1" s="1"/>
  <c r="CR6" i="24"/>
  <c r="CS36" i="1" s="1"/>
  <c r="CQ6" i="24"/>
  <c r="CR36" i="1" s="1"/>
  <c r="CP6" i="24"/>
  <c r="CQ36" i="1" s="1"/>
  <c r="CO6" i="24"/>
  <c r="CP36" i="1" s="1"/>
  <c r="CN6" i="24"/>
  <c r="CO36" i="1" s="1"/>
  <c r="CM6" i="24"/>
  <c r="CN36" i="1" s="1"/>
  <c r="CL6" i="24"/>
  <c r="CM36" i="1" s="1"/>
  <c r="CK6" i="24"/>
  <c r="CL36" i="1" s="1"/>
  <c r="CJ6" i="24"/>
  <c r="CK36" i="1" s="1"/>
  <c r="CI6" i="24"/>
  <c r="CJ36" i="1" s="1"/>
  <c r="CH6" i="24"/>
  <c r="CI36" i="1" s="1"/>
  <c r="CG6" i="24"/>
  <c r="CH36" i="1" s="1"/>
  <c r="CF6" i="24"/>
  <c r="CG36" i="1" s="1"/>
  <c r="CE6" i="24"/>
  <c r="CF36" i="1" s="1"/>
  <c r="CD6" i="24"/>
  <c r="CE36" i="1" s="1"/>
  <c r="CC6" i="24"/>
  <c r="CD36" i="1" s="1"/>
  <c r="CB6" i="24"/>
  <c r="CC36" i="1" s="1"/>
  <c r="CA6" i="24"/>
  <c r="CB36" i="1" s="1"/>
  <c r="BZ6" i="24"/>
  <c r="CA36" i="1" s="1"/>
  <c r="BY6" i="24"/>
  <c r="BZ36" i="1" s="1"/>
  <c r="J37" i="20" s="1"/>
  <c r="BX6" i="24"/>
  <c r="BY36" i="1" s="1"/>
  <c r="BW6" i="24"/>
  <c r="BX36" i="1" s="1"/>
  <c r="BV6" i="24"/>
  <c r="BW36" i="1" s="1"/>
  <c r="BU6" i="24"/>
  <c r="BV36" i="1" s="1"/>
  <c r="BT6" i="24"/>
  <c r="BU36" i="1" s="1"/>
  <c r="BS6" i="24"/>
  <c r="BT36" i="1" s="1"/>
  <c r="BR6" i="24"/>
  <c r="BS36" i="1" s="1"/>
  <c r="BQ6" i="24"/>
  <c r="BR36" i="1" s="1"/>
  <c r="BP6" i="24"/>
  <c r="BQ36" i="1" s="1"/>
  <c r="BO6" i="24"/>
  <c r="BP36" i="1" s="1"/>
  <c r="BN6" i="24"/>
  <c r="BO36" i="1" s="1"/>
  <c r="BM6" i="24"/>
  <c r="BN36" i="1" s="1"/>
  <c r="I37" i="20" s="1"/>
  <c r="BL6" i="24"/>
  <c r="BM36" i="1" s="1"/>
  <c r="BK6" i="24"/>
  <c r="BL36" i="1" s="1"/>
  <c r="BJ6" i="24"/>
  <c r="BK36" i="1" s="1"/>
  <c r="BI6" i="24"/>
  <c r="BJ36" i="1" s="1"/>
  <c r="BH6" i="24"/>
  <c r="BI36" i="1" s="1"/>
  <c r="BG6" i="24"/>
  <c r="BH36" i="1" s="1"/>
  <c r="BF6" i="24"/>
  <c r="BG36" i="1" s="1"/>
  <c r="BE6" i="24"/>
  <c r="BF36" i="1" s="1"/>
  <c r="BD6" i="24"/>
  <c r="BE36" i="1" s="1"/>
  <c r="BC6" i="24"/>
  <c r="BD36" i="1" s="1"/>
  <c r="BB6" i="24"/>
  <c r="BC36" i="1" s="1"/>
  <c r="BA6" i="24"/>
  <c r="BB36" i="1" s="1"/>
  <c r="H37" i="20" s="1"/>
  <c r="AZ6" i="24"/>
  <c r="BA36" i="1" s="1"/>
  <c r="AY6" i="24"/>
  <c r="AZ36" i="1" s="1"/>
  <c r="AX6" i="24"/>
  <c r="AY36" i="1" s="1"/>
  <c r="AW6" i="24"/>
  <c r="AX36" i="1" s="1"/>
  <c r="AV6" i="24"/>
  <c r="AW36" i="1" s="1"/>
  <c r="AU6" i="24"/>
  <c r="AV36" i="1" s="1"/>
  <c r="AT6" i="24"/>
  <c r="AU36" i="1" s="1"/>
  <c r="AS6" i="24"/>
  <c r="AT36" i="1" s="1"/>
  <c r="AR6" i="24"/>
  <c r="AS36" i="1" s="1"/>
  <c r="AQ6" i="24"/>
  <c r="AR36" i="1" s="1"/>
  <c r="AP6" i="24"/>
  <c r="AQ36" i="1" s="1"/>
  <c r="AO6" i="24"/>
  <c r="AP36" i="1" s="1"/>
  <c r="AN6" i="24"/>
  <c r="AO36" i="1" s="1"/>
  <c r="AM6" i="24"/>
  <c r="AN36" i="1" s="1"/>
  <c r="AL6" i="24"/>
  <c r="AM36" i="1" s="1"/>
  <c r="AK6" i="24"/>
  <c r="AL36" i="1" s="1"/>
  <c r="AJ6" i="24"/>
  <c r="AK36" i="1" s="1"/>
  <c r="AI6" i="24"/>
  <c r="AJ36" i="1" s="1"/>
  <c r="AH6" i="24"/>
  <c r="AI36" i="1" s="1"/>
  <c r="AG6" i="24"/>
  <c r="AH36" i="1" s="1"/>
  <c r="AF6" i="24"/>
  <c r="AG36" i="1" s="1"/>
  <c r="AE6" i="24"/>
  <c r="AF36" i="1" s="1"/>
  <c r="AD6" i="24"/>
  <c r="AE36" i="1" s="1"/>
  <c r="AC6" i="24"/>
  <c r="AD36" i="1" s="1"/>
  <c r="F37" i="20" s="1"/>
  <c r="AB6" i="24"/>
  <c r="AC36" i="1" s="1"/>
  <c r="AA6" i="24"/>
  <c r="AB36" i="1" s="1"/>
  <c r="Z6" i="24"/>
  <c r="AA36" i="1" s="1"/>
  <c r="Y6" i="24"/>
  <c r="Z36" i="1" s="1"/>
  <c r="X6" i="24"/>
  <c r="Y36" i="1" s="1"/>
  <c r="W6" i="24"/>
  <c r="X36" i="1" s="1"/>
  <c r="V6" i="24"/>
  <c r="W36" i="1" s="1"/>
  <c r="U6" i="24"/>
  <c r="V36" i="1" s="1"/>
  <c r="T6" i="24"/>
  <c r="U36" i="1" s="1"/>
  <c r="S6" i="24"/>
  <c r="T36" i="1" s="1"/>
  <c r="R6" i="24"/>
  <c r="S36" i="1" s="1"/>
  <c r="Q6" i="24"/>
  <c r="R36" i="1" s="1"/>
  <c r="P6" i="24"/>
  <c r="Q36" i="1" s="1"/>
  <c r="O6" i="24"/>
  <c r="P36" i="1" s="1"/>
  <c r="N6" i="24"/>
  <c r="O36" i="1" s="1"/>
  <c r="M6" i="24"/>
  <c r="N36" i="1" s="1"/>
  <c r="L6" i="24"/>
  <c r="M36" i="1" s="1"/>
  <c r="K6" i="24"/>
  <c r="L36" i="1" s="1"/>
  <c r="J6" i="24"/>
  <c r="K36" i="1" s="1"/>
  <c r="I6" i="24"/>
  <c r="J36" i="1" s="1"/>
  <c r="H6" i="24"/>
  <c r="I36" i="1" s="1"/>
  <c r="G6" i="24"/>
  <c r="H36" i="1" s="1"/>
  <c r="F6" i="24"/>
  <c r="G36" i="1" s="1"/>
  <c r="E6" i="24"/>
  <c r="F36" i="1" s="1"/>
  <c r="D6" i="24"/>
  <c r="E36" i="1" s="1"/>
  <c r="C6" i="24"/>
  <c r="D36" i="1" s="1"/>
  <c r="DR8" i="24"/>
  <c r="DQ8" i="24"/>
  <c r="DP8" i="24"/>
  <c r="DO8" i="24"/>
  <c r="DN8" i="24"/>
  <c r="DM8" i="24"/>
  <c r="DL8" i="24"/>
  <c r="DK8" i="24"/>
  <c r="DJ8" i="24"/>
  <c r="DI8" i="24"/>
  <c r="DH8" i="24"/>
  <c r="DG8" i="24"/>
  <c r="DF8" i="24"/>
  <c r="DE8" i="24"/>
  <c r="DD8" i="24"/>
  <c r="DC8" i="24"/>
  <c r="DB8" i="24"/>
  <c r="DA8" i="24"/>
  <c r="CZ8" i="24"/>
  <c r="CY8" i="24"/>
  <c r="CX8" i="24"/>
  <c r="CW8" i="24"/>
  <c r="CX37" i="1" s="1"/>
  <c r="CV8" i="24"/>
  <c r="CU8" i="24"/>
  <c r="CT8" i="24"/>
  <c r="CS8" i="24"/>
  <c r="CT37" i="1" s="1"/>
  <c r="CR8" i="24"/>
  <c r="CQ8" i="24"/>
  <c r="CP8" i="24"/>
  <c r="CO8" i="24"/>
  <c r="CP37" i="1" s="1"/>
  <c r="CN8" i="24"/>
  <c r="CM8" i="24"/>
  <c r="CL8" i="24"/>
  <c r="CK8" i="24"/>
  <c r="CL37" i="1" s="1"/>
  <c r="CJ8" i="24"/>
  <c r="CI8" i="24"/>
  <c r="CH8" i="24"/>
  <c r="CG8" i="24"/>
  <c r="CH37" i="1" s="1"/>
  <c r="CF8" i="24"/>
  <c r="CE8" i="24"/>
  <c r="CD8" i="24"/>
  <c r="CC8" i="24"/>
  <c r="CD37" i="1" s="1"/>
  <c r="CB8" i="24"/>
  <c r="CA8" i="24"/>
  <c r="BZ8" i="24"/>
  <c r="BY8" i="24"/>
  <c r="BZ37" i="1" s="1"/>
  <c r="BX8" i="24"/>
  <c r="BW8" i="24"/>
  <c r="N8" i="24"/>
  <c r="M8" i="24"/>
  <c r="L8" i="24"/>
  <c r="K8" i="24"/>
  <c r="J8" i="24"/>
  <c r="I8" i="24"/>
  <c r="H8" i="24"/>
  <c r="G8" i="24"/>
  <c r="F8" i="24"/>
  <c r="E8" i="24"/>
  <c r="D8" i="24"/>
  <c r="DR7" i="24"/>
  <c r="DQ7" i="24"/>
  <c r="DP7" i="24"/>
  <c r="DQ17" i="1" s="1"/>
  <c r="DO7" i="24"/>
  <c r="DN7" i="24"/>
  <c r="DM7" i="24"/>
  <c r="DL7" i="24"/>
  <c r="DM17" i="1" s="1"/>
  <c r="DK7" i="24"/>
  <c r="DJ7" i="24"/>
  <c r="DI7" i="24"/>
  <c r="DH7" i="24"/>
  <c r="DI17" i="1" s="1"/>
  <c r="DG7" i="24"/>
  <c r="DF7" i="24"/>
  <c r="DE7" i="24"/>
  <c r="DD7" i="24"/>
  <c r="DE17" i="1" s="1"/>
  <c r="DC7" i="24"/>
  <c r="DB7" i="24"/>
  <c r="DA7" i="24"/>
  <c r="CZ7" i="24"/>
  <c r="DA17" i="1" s="1"/>
  <c r="CY7" i="24"/>
  <c r="CX7" i="24"/>
  <c r="CW7" i="24"/>
  <c r="CV7" i="24"/>
  <c r="CW17" i="1" s="1"/>
  <c r="CU7" i="24"/>
  <c r="CT7" i="24"/>
  <c r="CS7" i="24"/>
  <c r="CR7" i="24"/>
  <c r="CS39" i="1" s="1"/>
  <c r="CQ7" i="24"/>
  <c r="CP7" i="24"/>
  <c r="CO7" i="24"/>
  <c r="CN7" i="24"/>
  <c r="CO39" i="1" s="1"/>
  <c r="CM7" i="24"/>
  <c r="CL7" i="24"/>
  <c r="CK7" i="24"/>
  <c r="CJ7" i="24"/>
  <c r="CK39" i="1" s="1"/>
  <c r="CI7" i="24"/>
  <c r="CH7" i="24"/>
  <c r="CG7" i="24"/>
  <c r="CF7" i="24"/>
  <c r="CG39" i="1" s="1"/>
  <c r="CE7" i="24"/>
  <c r="CD7" i="24"/>
  <c r="CC7" i="24"/>
  <c r="CB7" i="24"/>
  <c r="CC39" i="1" s="1"/>
  <c r="CA7" i="24"/>
  <c r="BZ7" i="24"/>
  <c r="BY7" i="24"/>
  <c r="BX7" i="24"/>
  <c r="BY39" i="1" s="1"/>
  <c r="BW7" i="24"/>
  <c r="C8" i="24"/>
  <c r="R40" i="1"/>
  <c r="Q40" i="1"/>
  <c r="P40" i="1"/>
  <c r="R32" i="1"/>
  <c r="Q32" i="1"/>
  <c r="P32" i="1"/>
  <c r="R27" i="1"/>
  <c r="Q27" i="1"/>
  <c r="P27" i="1"/>
  <c r="R16" i="1"/>
  <c r="Q16" i="1"/>
  <c r="P16" i="1"/>
  <c r="D44" i="1"/>
  <c r="M40" i="1"/>
  <c r="L40" i="1"/>
  <c r="K40" i="1"/>
  <c r="J40" i="1"/>
  <c r="I40" i="1"/>
  <c r="H40" i="1"/>
  <c r="G40" i="1"/>
  <c r="F40" i="1"/>
  <c r="E40" i="1"/>
  <c r="D40" i="1"/>
  <c r="M32" i="1"/>
  <c r="L32" i="1"/>
  <c r="K32" i="1"/>
  <c r="J32" i="1"/>
  <c r="I32" i="1"/>
  <c r="H32" i="1"/>
  <c r="G32" i="1"/>
  <c r="F32" i="1"/>
  <c r="E32" i="1"/>
  <c r="D32" i="1"/>
  <c r="M27" i="1"/>
  <c r="L27" i="1"/>
  <c r="K27" i="1"/>
  <c r="J27" i="1"/>
  <c r="I27" i="1"/>
  <c r="H27" i="1"/>
  <c r="G27" i="1"/>
  <c r="F27" i="1"/>
  <c r="E27" i="1"/>
  <c r="D27" i="1"/>
  <c r="M16" i="1"/>
  <c r="L16" i="1"/>
  <c r="K16" i="1"/>
  <c r="J16" i="1"/>
  <c r="I16" i="1"/>
  <c r="H16" i="1"/>
  <c r="G16" i="1"/>
  <c r="F16" i="1"/>
  <c r="E16" i="1"/>
  <c r="D16" i="1"/>
  <c r="J12" i="1"/>
  <c r="I12" i="1"/>
  <c r="H12" i="1"/>
  <c r="G12" i="1"/>
  <c r="F12" i="1"/>
  <c r="E12" i="1"/>
  <c r="D12" i="1"/>
  <c r="J11" i="1"/>
  <c r="I11" i="1"/>
  <c r="H11" i="1"/>
  <c r="G11" i="1"/>
  <c r="F11" i="1"/>
  <c r="E11" i="1"/>
  <c r="D11" i="1"/>
  <c r="M10" i="1"/>
  <c r="L10" i="1"/>
  <c r="K10" i="1"/>
  <c r="J10" i="1"/>
  <c r="I10" i="1"/>
  <c r="H10" i="1"/>
  <c r="G10" i="1"/>
  <c r="F10" i="1"/>
  <c r="E10" i="1"/>
  <c r="D10" i="1"/>
  <c r="M9" i="1"/>
  <c r="L9" i="1"/>
  <c r="K9" i="1"/>
  <c r="J9" i="1"/>
  <c r="I9" i="1"/>
  <c r="H9" i="1"/>
  <c r="G9" i="1"/>
  <c r="F9" i="1"/>
  <c r="E9" i="1"/>
  <c r="D9" i="1"/>
  <c r="J9" i="44"/>
  <c r="I9" i="44"/>
  <c r="H9" i="44"/>
  <c r="G9" i="44"/>
  <c r="F9" i="44"/>
  <c r="J6" i="44"/>
  <c r="I6" i="44"/>
  <c r="H6" i="44"/>
  <c r="G6" i="44"/>
  <c r="F6" i="44"/>
  <c r="K5" i="44"/>
  <c r="E9" i="44"/>
  <c r="E6" i="44"/>
  <c r="W61" i="77"/>
  <c r="W62" i="77" s="1"/>
  <c r="W63" i="77" s="1"/>
  <c r="W64" i="77" s="1"/>
  <c r="W65" i="77" s="1"/>
  <c r="W66" i="77" s="1"/>
  <c r="W67" i="77" s="1"/>
  <c r="W68" i="77" s="1"/>
  <c r="W69" i="77" s="1"/>
  <c r="W70" i="77" s="1"/>
  <c r="W71" i="77" s="1"/>
  <c r="W72" i="77" s="1"/>
  <c r="W73" i="77" s="1"/>
  <c r="W74" i="77" s="1"/>
  <c r="W75" i="77" s="1"/>
  <c r="W76" i="77" s="1"/>
  <c r="W77" i="77" s="1"/>
  <c r="W78" i="77" s="1"/>
  <c r="W79" i="77" s="1"/>
  <c r="W80" i="77" s="1"/>
  <c r="W81" i="77" s="1"/>
  <c r="W82" i="77" s="1"/>
  <c r="W83" i="77" s="1"/>
  <c r="W84" i="77" s="1"/>
  <c r="W85" i="77" s="1"/>
  <c r="W86" i="77" s="1"/>
  <c r="W87" i="77" s="1"/>
  <c r="W88" i="77" s="1"/>
  <c r="W89" i="77" s="1"/>
  <c r="W90" i="77" s="1"/>
  <c r="W91" i="77" s="1"/>
  <c r="W92" i="77" s="1"/>
  <c r="W93" i="77" s="1"/>
  <c r="W94" i="77" s="1"/>
  <c r="W95" i="77" s="1"/>
  <c r="W96" i="77" s="1"/>
  <c r="W97" i="77" s="1"/>
  <c r="W98" i="77" s="1"/>
  <c r="W99" i="77" s="1"/>
  <c r="W100" i="77" s="1"/>
  <c r="W101" i="77" s="1"/>
  <c r="W102" i="77" s="1"/>
  <c r="W103" i="77" s="1"/>
  <c r="W104" i="77" s="1"/>
  <c r="W105" i="77" s="1"/>
  <c r="W106" i="77" s="1"/>
  <c r="W107" i="77" s="1"/>
  <c r="W108" i="77" s="1"/>
  <c r="W109" i="77" s="1"/>
  <c r="W110" i="77" s="1"/>
  <c r="W111" i="77" s="1"/>
  <c r="W112" i="77" s="1"/>
  <c r="W113" i="77" s="1"/>
  <c r="W114" i="77" s="1"/>
  <c r="W115" i="77" s="1"/>
  <c r="W116" i="77" s="1"/>
  <c r="W117" i="77" s="1"/>
  <c r="W118" i="77" s="1"/>
  <c r="W119" i="77" s="1"/>
  <c r="W120" i="77" s="1"/>
  <c r="W121" i="77" s="1"/>
  <c r="W122" i="77" s="1"/>
  <c r="W123" i="77" s="1"/>
  <c r="W124" i="77" s="1"/>
  <c r="W125" i="77" s="1"/>
  <c r="W126" i="77" s="1"/>
  <c r="W127" i="77" s="1"/>
  <c r="W128" i="77" s="1"/>
  <c r="W129" i="77" s="1"/>
  <c r="W130" i="77" s="1"/>
  <c r="W131" i="77" s="1"/>
  <c r="W132" i="77" s="1"/>
  <c r="W133" i="77" s="1"/>
  <c r="W134" i="77" s="1"/>
  <c r="W135" i="77" s="1"/>
  <c r="W136" i="77" s="1"/>
  <c r="W137" i="77" s="1"/>
  <c r="W138" i="77" s="1"/>
  <c r="W139" i="77" s="1"/>
  <c r="W140" i="77" s="1"/>
  <c r="W141" i="77" s="1"/>
  <c r="W142" i="77" s="1"/>
  <c r="W143" i="77" s="1"/>
  <c r="W144" i="77" s="1"/>
  <c r="W145" i="77" s="1"/>
  <c r="W146" i="77" s="1"/>
  <c r="W147" i="77" s="1"/>
  <c r="W148" i="77" s="1"/>
  <c r="W149" i="77" s="1"/>
  <c r="W150" i="77" s="1"/>
  <c r="W151" i="77" s="1"/>
  <c r="W152" i="77" s="1"/>
  <c r="W153" i="77" s="1"/>
  <c r="W154" i="77" s="1"/>
  <c r="W155" i="77" s="1"/>
  <c r="W156" i="77" s="1"/>
  <c r="W157" i="77" s="1"/>
  <c r="W158" i="77" s="1"/>
  <c r="W159" i="77" s="1"/>
  <c r="W160" i="77" s="1"/>
  <c r="W161" i="77" s="1"/>
  <c r="W162" i="77" s="1"/>
  <c r="W163" i="77" s="1"/>
  <c r="W164" i="77" s="1"/>
  <c r="W165" i="77" s="1"/>
  <c r="W166" i="77" s="1"/>
  <c r="W167" i="77" s="1"/>
  <c r="W168" i="77" s="1"/>
  <c r="W169" i="77" s="1"/>
  <c r="W170" i="77" s="1"/>
  <c r="W171" i="77" s="1"/>
  <c r="W172" i="77" s="1"/>
  <c r="W173" i="77" s="1"/>
  <c r="W174" i="77" s="1"/>
  <c r="W175" i="77" s="1"/>
  <c r="W176" i="77" s="1"/>
  <c r="W177" i="77" s="1"/>
  <c r="W178" i="77" s="1"/>
  <c r="W179" i="77" s="1"/>
  <c r="W180" i="77" s="1"/>
  <c r="W181" i="77" s="1"/>
  <c r="W182" i="77" s="1"/>
  <c r="W183" i="77" s="1"/>
  <c r="W184" i="77" s="1"/>
  <c r="W185" i="77" s="1"/>
  <c r="W186" i="77" s="1"/>
  <c r="W187" i="77" s="1"/>
  <c r="W188" i="77" s="1"/>
  <c r="W189" i="77" s="1"/>
  <c r="W190" i="77" s="1"/>
  <c r="W191" i="77" s="1"/>
  <c r="W192" i="77" s="1"/>
  <c r="W193" i="77" s="1"/>
  <c r="W194" i="77" s="1"/>
  <c r="W195" i="77" s="1"/>
  <c r="W196" i="77" s="1"/>
  <c r="W197" i="77" s="1"/>
  <c r="W198" i="77" s="1"/>
  <c r="W199" i="77" s="1"/>
  <c r="W200" i="77" s="1"/>
  <c r="W201" i="77" s="1"/>
  <c r="W202" i="77" s="1"/>
  <c r="W203" i="77" s="1"/>
  <c r="W204" i="77" s="1"/>
  <c r="W205" i="77" s="1"/>
  <c r="W206" i="77" s="1"/>
  <c r="W207" i="77" s="1"/>
  <c r="W208" i="77" s="1"/>
  <c r="W209" i="77" s="1"/>
  <c r="W210" i="77" s="1"/>
  <c r="W211" i="77" s="1"/>
  <c r="W212" i="77" s="1"/>
  <c r="W213" i="77" s="1"/>
  <c r="W214" i="77" s="1"/>
  <c r="W215" i="77" s="1"/>
  <c r="W216" i="77" s="1"/>
  <c r="W217" i="77" s="1"/>
  <c r="W218" i="77" s="1"/>
  <c r="W219" i="77" s="1"/>
  <c r="W220" i="77" s="1"/>
  <c r="W221" i="77" s="1"/>
  <c r="W222" i="77" s="1"/>
  <c r="W223" i="77" s="1"/>
  <c r="W224" i="77" s="1"/>
  <c r="W225" i="77" s="1"/>
  <c r="W226" i="77" s="1"/>
  <c r="W227" i="77" s="1"/>
  <c r="W228" i="77" s="1"/>
  <c r="W229" i="77" s="1"/>
  <c r="W230" i="77" s="1"/>
  <c r="W231" i="77" s="1"/>
  <c r="W232" i="77" s="1"/>
  <c r="W233" i="77" s="1"/>
  <c r="W234" i="77" s="1"/>
  <c r="W235" i="77" s="1"/>
  <c r="W236" i="77" s="1"/>
  <c r="W237" i="77" s="1"/>
  <c r="W238" i="77" s="1"/>
  <c r="W239" i="77" s="1"/>
  <c r="W240" i="77" s="1"/>
  <c r="W241" i="77" s="1"/>
  <c r="W242" i="77" s="1"/>
  <c r="W243" i="77" s="1"/>
  <c r="W244" i="77" s="1"/>
  <c r="W245" i="77" s="1"/>
  <c r="W246" i="77" s="1"/>
  <c r="W247" i="77" s="1"/>
  <c r="W248" i="77" s="1"/>
  <c r="W249" i="77" s="1"/>
  <c r="W250" i="77" s="1"/>
  <c r="W251" i="77" s="1"/>
  <c r="W252" i="77" s="1"/>
  <c r="W253" i="77" s="1"/>
  <c r="W254" i="77" s="1"/>
  <c r="W255" i="77" s="1"/>
  <c r="W256" i="77" s="1"/>
  <c r="W257" i="77" s="1"/>
  <c r="W258" i="77" s="1"/>
  <c r="W259" i="77" s="1"/>
  <c r="W260" i="77" s="1"/>
  <c r="W261" i="77" s="1"/>
  <c r="W262" i="77" s="1"/>
  <c r="W263" i="77" s="1"/>
  <c r="W264" i="77" s="1"/>
  <c r="W265" i="77" s="1"/>
  <c r="W266" i="77" s="1"/>
  <c r="W267" i="77" s="1"/>
  <c r="W268" i="77" s="1"/>
  <c r="W269" i="77" s="1"/>
  <c r="W270" i="77" s="1"/>
  <c r="W271" i="77" s="1"/>
  <c r="W272" i="77" s="1"/>
  <c r="W273" i="77" s="1"/>
  <c r="W274" i="77" s="1"/>
  <c r="W275" i="77" s="1"/>
  <c r="W276" i="77" s="1"/>
  <c r="W277" i="77" s="1"/>
  <c r="W278" i="77" s="1"/>
  <c r="W279" i="77" s="1"/>
  <c r="W280" i="77" s="1"/>
  <c r="W281" i="77" s="1"/>
  <c r="W282" i="77" s="1"/>
  <c r="W283" i="77" s="1"/>
  <c r="W284" i="77" s="1"/>
  <c r="W285" i="77" s="1"/>
  <c r="W286" i="77" s="1"/>
  <c r="W287" i="77" s="1"/>
  <c r="W288" i="77" s="1"/>
  <c r="W289" i="77" s="1"/>
  <c r="W290" i="77" s="1"/>
  <c r="W291" i="77" s="1"/>
  <c r="W292" i="77" s="1"/>
  <c r="W293" i="77" s="1"/>
  <c r="W294" i="77" s="1"/>
  <c r="W295" i="77" s="1"/>
  <c r="W296" i="77" s="1"/>
  <c r="W297" i="77" s="1"/>
  <c r="W298" i="77" s="1"/>
  <c r="W299" i="77" s="1"/>
  <c r="W300" i="77" s="1"/>
  <c r="W301" i="77" s="1"/>
  <c r="W302" i="77" s="1"/>
  <c r="W303" i="77" s="1"/>
  <c r="W304" i="77" s="1"/>
  <c r="W305" i="77" s="1"/>
  <c r="W306" i="77" s="1"/>
  <c r="W307" i="77" s="1"/>
  <c r="W308" i="77" s="1"/>
  <c r="W309" i="77" s="1"/>
  <c r="W310" i="77" s="1"/>
  <c r="W311" i="77" s="1"/>
  <c r="W312" i="77" s="1"/>
  <c r="W313" i="77" s="1"/>
  <c r="W314" i="77" s="1"/>
  <c r="W315" i="77" s="1"/>
  <c r="W316" i="77" s="1"/>
  <c r="W317" i="77" s="1"/>
  <c r="W318" i="77" s="1"/>
  <c r="W319" i="77" s="1"/>
  <c r="W320" i="77" s="1"/>
  <c r="W321" i="77" s="1"/>
  <c r="W322" i="77" s="1"/>
  <c r="W323" i="77" s="1"/>
  <c r="W324" i="77" s="1"/>
  <c r="W325" i="77" s="1"/>
  <c r="W326" i="77" s="1"/>
  <c r="W327" i="77" s="1"/>
  <c r="W328" i="77" s="1"/>
  <c r="W329" i="77" s="1"/>
  <c r="W330" i="77" s="1"/>
  <c r="W331" i="77" s="1"/>
  <c r="W332" i="77" s="1"/>
  <c r="W333" i="77" s="1"/>
  <c r="W334" i="77" s="1"/>
  <c r="W335" i="77" s="1"/>
  <c r="W336" i="77" s="1"/>
  <c r="W337" i="77" s="1"/>
  <c r="W338" i="77" s="1"/>
  <c r="W339" i="77" s="1"/>
  <c r="W340" i="77" s="1"/>
  <c r="W341" i="77" s="1"/>
  <c r="W342" i="77" s="1"/>
  <c r="W343" i="77" s="1"/>
  <c r="W344" i="77" s="1"/>
  <c r="W345" i="77" s="1"/>
  <c r="W346" i="77" s="1"/>
  <c r="W347" i="77" s="1"/>
  <c r="W348" i="77" s="1"/>
  <c r="W349" i="77" s="1"/>
  <c r="W350" i="77" s="1"/>
  <c r="W351" i="77" s="1"/>
  <c r="W352" i="77" s="1"/>
  <c r="W353" i="77" s="1"/>
  <c r="W354" i="77" s="1"/>
  <c r="W355" i="77" s="1"/>
  <c r="W356" i="77" s="1"/>
  <c r="W357" i="77" s="1"/>
  <c r="W358" i="77" s="1"/>
  <c r="W359" i="77" s="1"/>
  <c r="W360" i="77" s="1"/>
  <c r="W361" i="77" s="1"/>
  <c r="W362" i="77" s="1"/>
  <c r="W363" i="77" s="1"/>
  <c r="W364" i="77" s="1"/>
  <c r="W365" i="77" s="1"/>
  <c r="W366" i="77" s="1"/>
  <c r="W367" i="77" s="1"/>
  <c r="W368" i="77" s="1"/>
  <c r="W369" i="77" s="1"/>
  <c r="W370" i="77" s="1"/>
  <c r="W371" i="77" s="1"/>
  <c r="W372" i="77" s="1"/>
  <c r="W373" i="77" s="1"/>
  <c r="W374" i="77" s="1"/>
  <c r="W375" i="77" s="1"/>
  <c r="W376" i="77" s="1"/>
  <c r="W377" i="77" s="1"/>
  <c r="W378" i="77" s="1"/>
  <c r="W379" i="77" s="1"/>
  <c r="W380" i="77" s="1"/>
  <c r="W381" i="77" s="1"/>
  <c r="W382" i="77" s="1"/>
  <c r="W383" i="77" s="1"/>
  <c r="W384" i="77" s="1"/>
  <c r="W385" i="77" s="1"/>
  <c r="W386" i="77" s="1"/>
  <c r="W387" i="77" s="1"/>
  <c r="W388" i="77" s="1"/>
  <c r="W389" i="77" s="1"/>
  <c r="W390" i="77" s="1"/>
  <c r="W391" i="77" s="1"/>
  <c r="W392" i="77" s="1"/>
  <c r="W393" i="77" s="1"/>
  <c r="W394" i="77" s="1"/>
  <c r="W395" i="77" s="1"/>
  <c r="W396" i="77" s="1"/>
  <c r="W397" i="77" s="1"/>
  <c r="W398" i="77" s="1"/>
  <c r="W399" i="77" s="1"/>
  <c r="W400" i="77" s="1"/>
  <c r="W401" i="77" s="1"/>
  <c r="W402" i="77" s="1"/>
  <c r="W403" i="77" s="1"/>
  <c r="W404" i="77" s="1"/>
  <c r="W405" i="77" s="1"/>
  <c r="W406" i="77" s="1"/>
  <c r="W407" i="77" s="1"/>
  <c r="W408" i="77" s="1"/>
  <c r="W409" i="77" s="1"/>
  <c r="W410" i="77" s="1"/>
  <c r="W411" i="77" s="1"/>
  <c r="W412" i="77" s="1"/>
  <c r="W413" i="77" s="1"/>
  <c r="W414" i="77" s="1"/>
  <c r="W415" i="77" s="1"/>
  <c r="W416" i="77" s="1"/>
  <c r="W417" i="77" s="1"/>
  <c r="W418" i="77" s="1"/>
  <c r="W419" i="77" s="1"/>
  <c r="W420" i="77" s="1"/>
  <c r="W421" i="77" s="1"/>
  <c r="W422" i="77" s="1"/>
  <c r="W423" i="77" s="1"/>
  <c r="W424" i="77" s="1"/>
  <c r="W425" i="77" s="1"/>
  <c r="W426" i="77" s="1"/>
  <c r="W427" i="77" s="1"/>
  <c r="W428" i="77" s="1"/>
  <c r="W429" i="77" s="1"/>
  <c r="W430" i="77" s="1"/>
  <c r="W431" i="77" s="1"/>
  <c r="W432" i="77" s="1"/>
  <c r="W433" i="77" s="1"/>
  <c r="W434" i="77" s="1"/>
  <c r="W435" i="77" s="1"/>
  <c r="W436" i="77" s="1"/>
  <c r="W437" i="77" s="1"/>
  <c r="W438" i="77" s="1"/>
  <c r="W439" i="77" s="1"/>
  <c r="W440" i="77" s="1"/>
  <c r="W441" i="77" s="1"/>
  <c r="W442" i="77" s="1"/>
  <c r="W443" i="77" s="1"/>
  <c r="W444" i="77" s="1"/>
  <c r="W445" i="77" s="1"/>
  <c r="W446" i="77" s="1"/>
  <c r="W447" i="77" s="1"/>
  <c r="W448" i="77" s="1"/>
  <c r="W449" i="77" s="1"/>
  <c r="W450" i="77" s="1"/>
  <c r="W451" i="77" s="1"/>
  <c r="W452" i="77" s="1"/>
  <c r="W453" i="77" s="1"/>
  <c r="W454" i="77" s="1"/>
  <c r="W455" i="77" s="1"/>
  <c r="W456" i="77" s="1"/>
  <c r="W457" i="77" s="1"/>
  <c r="W458" i="77" s="1"/>
  <c r="W459" i="77" s="1"/>
  <c r="W460" i="77" s="1"/>
  <c r="W461" i="77" s="1"/>
  <c r="W462" i="77" s="1"/>
  <c r="W463" i="77" s="1"/>
  <c r="W464" i="77" s="1"/>
  <c r="W465" i="77" s="1"/>
  <c r="W466" i="77" s="1"/>
  <c r="W467" i="77" s="1"/>
  <c r="W468" i="77" s="1"/>
  <c r="W469" i="77" s="1"/>
  <c r="W470" i="77" s="1"/>
  <c r="W471" i="77" s="1"/>
  <c r="W472" i="77" s="1"/>
  <c r="W473" i="77" s="1"/>
  <c r="W474" i="77" s="1"/>
  <c r="W475" i="77" s="1"/>
  <c r="W476" i="77" s="1"/>
  <c r="W477" i="77" s="1"/>
  <c r="W478" i="77" s="1"/>
  <c r="W479" i="77" s="1"/>
  <c r="W480" i="77" s="1"/>
  <c r="W481" i="77" s="1"/>
  <c r="W482" i="77" s="1"/>
  <c r="W483" i="77" s="1"/>
  <c r="W484" i="77" s="1"/>
  <c r="W485" i="77" s="1"/>
  <c r="W486" i="77" s="1"/>
  <c r="W487" i="77" s="1"/>
  <c r="W488" i="77" s="1"/>
  <c r="W489" i="77" s="1"/>
  <c r="W490" i="77" s="1"/>
  <c r="W491" i="77" s="1"/>
  <c r="W492" i="77" s="1"/>
  <c r="W493" i="77" s="1"/>
  <c r="W494" i="77" s="1"/>
  <c r="W495" i="77" s="1"/>
  <c r="W496" i="77" s="1"/>
  <c r="W497" i="77" s="1"/>
  <c r="W498" i="77" s="1"/>
  <c r="W499" i="77" s="1"/>
  <c r="W500" i="77" s="1"/>
  <c r="W501" i="77" s="1"/>
  <c r="W502" i="77" s="1"/>
  <c r="W503" i="77" s="1"/>
  <c r="W504" i="77" s="1"/>
  <c r="W505" i="77" s="1"/>
  <c r="W506" i="77" s="1"/>
  <c r="W507" i="77" s="1"/>
  <c r="W508" i="77" s="1"/>
  <c r="W509" i="77" s="1"/>
  <c r="W510" i="77" s="1"/>
  <c r="W511" i="77" s="1"/>
  <c r="W512" i="77" s="1"/>
  <c r="W513" i="77" s="1"/>
  <c r="W514" i="77" s="1"/>
  <c r="W515" i="77" s="1"/>
  <c r="W516" i="77" s="1"/>
  <c r="W517" i="77" s="1"/>
  <c r="W518" i="77" s="1"/>
  <c r="W519" i="77" s="1"/>
  <c r="W520" i="77" s="1"/>
  <c r="W521" i="77" s="1"/>
  <c r="W522" i="77" s="1"/>
  <c r="W523" i="77" s="1"/>
  <c r="W524" i="77" s="1"/>
  <c r="W525" i="77" s="1"/>
  <c r="W526" i="77" s="1"/>
  <c r="W527" i="77" s="1"/>
  <c r="W528" i="77" s="1"/>
  <c r="W529" i="77" s="1"/>
  <c r="W530" i="77" s="1"/>
  <c r="W531" i="77" s="1"/>
  <c r="W532" i="77" s="1"/>
  <c r="W533" i="77" s="1"/>
  <c r="W534" i="77" s="1"/>
  <c r="W535" i="77" s="1"/>
  <c r="W536" i="77" s="1"/>
  <c r="W537" i="77" s="1"/>
  <c r="W538" i="77" s="1"/>
  <c r="W539" i="77" s="1"/>
  <c r="W540" i="77" s="1"/>
  <c r="W541" i="77" s="1"/>
  <c r="W542" i="77" s="1"/>
  <c r="W543" i="77" s="1"/>
  <c r="W544" i="77" s="1"/>
  <c r="W545" i="77" s="1"/>
  <c r="W546" i="77" s="1"/>
  <c r="W547" i="77" s="1"/>
  <c r="W548" i="77" s="1"/>
  <c r="W549" i="77" s="1"/>
  <c r="W550" i="77" s="1"/>
  <c r="W551" i="77" s="1"/>
  <c r="W552" i="77" s="1"/>
  <c r="W553" i="77" s="1"/>
  <c r="W554" i="77" s="1"/>
  <c r="W555" i="77" s="1"/>
  <c r="W556" i="77" s="1"/>
  <c r="W557" i="77" s="1"/>
  <c r="W558" i="77" s="1"/>
  <c r="W559" i="77" s="1"/>
  <c r="W560" i="77" s="1"/>
  <c r="W561" i="77" s="1"/>
  <c r="W562" i="77" s="1"/>
  <c r="W563" i="77" s="1"/>
  <c r="W564" i="77" s="1"/>
  <c r="W565" i="77" s="1"/>
  <c r="W566" i="77" s="1"/>
  <c r="W567" i="77" s="1"/>
  <c r="W568" i="77" s="1"/>
  <c r="W569" i="77" s="1"/>
  <c r="W570" i="77" s="1"/>
  <c r="W571" i="77" s="1"/>
  <c r="W572" i="77" s="1"/>
  <c r="W573" i="77" s="1"/>
  <c r="W574" i="77" s="1"/>
  <c r="W575" i="77" s="1"/>
  <c r="W576" i="77" s="1"/>
  <c r="W577" i="77" s="1"/>
  <c r="W578" i="77" s="1"/>
  <c r="W579" i="77" s="1"/>
  <c r="W580" i="77" s="1"/>
  <c r="W581" i="77" s="1"/>
  <c r="W582" i="77" s="1"/>
  <c r="W583" i="77" s="1"/>
  <c r="W584" i="77" s="1"/>
  <c r="W585" i="77" s="1"/>
  <c r="W586" i="77" s="1"/>
  <c r="W587" i="77" s="1"/>
  <c r="W588" i="77" s="1"/>
  <c r="W589" i="77" s="1"/>
  <c r="W590" i="77" s="1"/>
  <c r="W591" i="77" s="1"/>
  <c r="W592" i="77" s="1"/>
  <c r="W593" i="77" s="1"/>
  <c r="W594" i="77" s="1"/>
  <c r="W595" i="77" s="1"/>
  <c r="W596" i="77" s="1"/>
  <c r="W597" i="77" s="1"/>
  <c r="W598" i="77" s="1"/>
  <c r="W599" i="77" s="1"/>
  <c r="W600" i="77" s="1"/>
  <c r="W601" i="77" s="1"/>
  <c r="W602" i="77" s="1"/>
  <c r="W603" i="77" s="1"/>
  <c r="W604" i="77" s="1"/>
  <c r="W605" i="77" s="1"/>
  <c r="W606" i="77" s="1"/>
  <c r="W607" i="77" s="1"/>
  <c r="W608" i="77" s="1"/>
  <c r="W609" i="77" s="1"/>
  <c r="W610" i="77" s="1"/>
  <c r="W611" i="77" s="1"/>
  <c r="W612" i="77" s="1"/>
  <c r="W613" i="77" s="1"/>
  <c r="W614" i="77" s="1"/>
  <c r="W615" i="77" s="1"/>
  <c r="W616" i="77" s="1"/>
  <c r="W617" i="77" s="1"/>
  <c r="W618" i="77" s="1"/>
  <c r="W619" i="77" s="1"/>
  <c r="W620" i="77" s="1"/>
  <c r="W621" i="77" s="1"/>
  <c r="W622" i="77" s="1"/>
  <c r="W623" i="77" s="1"/>
  <c r="W624" i="77" s="1"/>
  <c r="W625" i="77" s="1"/>
  <c r="W626" i="77" s="1"/>
  <c r="W627" i="77" s="1"/>
  <c r="W628" i="77" s="1"/>
  <c r="W629" i="77" s="1"/>
  <c r="W630" i="77" s="1"/>
  <c r="W631" i="77" s="1"/>
  <c r="W632" i="77" s="1"/>
  <c r="W633" i="77" s="1"/>
  <c r="W634" i="77" s="1"/>
  <c r="W635" i="77" s="1"/>
  <c r="W636" i="77" s="1"/>
  <c r="W637" i="77" s="1"/>
  <c r="W638" i="77" s="1"/>
  <c r="W639" i="77" s="1"/>
  <c r="W640" i="77" s="1"/>
  <c r="W641" i="77" s="1"/>
  <c r="W642" i="77" s="1"/>
  <c r="W643" i="77" s="1"/>
  <c r="W644" i="77" s="1"/>
  <c r="W645" i="77" s="1"/>
  <c r="W646" i="77" s="1"/>
  <c r="W647" i="77" s="1"/>
  <c r="W648" i="77" s="1"/>
  <c r="W649" i="77" s="1"/>
  <c r="W650" i="77" s="1"/>
  <c r="W651" i="77" s="1"/>
  <c r="W652" i="77" s="1"/>
  <c r="W653" i="77" s="1"/>
  <c r="W654" i="77" s="1"/>
  <c r="W655" i="77" s="1"/>
  <c r="W656" i="77" s="1"/>
  <c r="W657" i="77" s="1"/>
  <c r="W658" i="77" s="1"/>
  <c r="W659" i="77" s="1"/>
  <c r="W660" i="77" s="1"/>
  <c r="W661" i="77" s="1"/>
  <c r="W662" i="77" s="1"/>
  <c r="W663" i="77" s="1"/>
  <c r="W664" i="77" s="1"/>
  <c r="W665" i="77" s="1"/>
  <c r="W666" i="77" s="1"/>
  <c r="W667" i="77" s="1"/>
  <c r="W668" i="77" s="1"/>
  <c r="W669" i="77" s="1"/>
  <c r="W670" i="77" s="1"/>
  <c r="W671" i="77" s="1"/>
  <c r="W672" i="77" s="1"/>
  <c r="W673" i="77" s="1"/>
  <c r="W674" i="77" s="1"/>
  <c r="W675" i="77" s="1"/>
  <c r="W676" i="77" s="1"/>
  <c r="W677" i="77" s="1"/>
  <c r="W678" i="77" s="1"/>
  <c r="W679" i="77" s="1"/>
  <c r="W680" i="77" s="1"/>
  <c r="W681" i="77" s="1"/>
  <c r="W682" i="77" s="1"/>
  <c r="W683" i="77" s="1"/>
  <c r="W684" i="77" s="1"/>
  <c r="W685" i="77" s="1"/>
  <c r="W686" i="77" s="1"/>
  <c r="W687" i="77" s="1"/>
  <c r="W688" i="77" s="1"/>
  <c r="W689" i="77" s="1"/>
  <c r="W690" i="77" s="1"/>
  <c r="W691" i="77" s="1"/>
  <c r="W692" i="77" s="1"/>
  <c r="W693" i="77" s="1"/>
  <c r="W694" i="77" s="1"/>
  <c r="W695" i="77" s="1"/>
  <c r="W696" i="77" s="1"/>
  <c r="W697" i="77" s="1"/>
  <c r="W698" i="77" s="1"/>
  <c r="W699" i="77" s="1"/>
  <c r="W700" i="77" s="1"/>
  <c r="W701" i="77" s="1"/>
  <c r="W702" i="77" s="1"/>
  <c r="W703" i="77" s="1"/>
  <c r="W704" i="77" s="1"/>
  <c r="W705" i="77" s="1"/>
  <c r="W706" i="77" s="1"/>
  <c r="W707" i="77" s="1"/>
  <c r="W708" i="77" s="1"/>
  <c r="W709" i="77" s="1"/>
  <c r="W710" i="77" s="1"/>
  <c r="W711" i="77" s="1"/>
  <c r="W712" i="77" s="1"/>
  <c r="W713" i="77" s="1"/>
  <c r="W714" i="77" s="1"/>
  <c r="W715" i="77" s="1"/>
  <c r="W716" i="77" s="1"/>
  <c r="W717" i="77" s="1"/>
  <c r="W718" i="77" s="1"/>
  <c r="W719" i="77" s="1"/>
  <c r="W720" i="77" s="1"/>
  <c r="W721" i="77" s="1"/>
  <c r="W722" i="77" s="1"/>
  <c r="W723" i="77" s="1"/>
  <c r="W724" i="77" s="1"/>
  <c r="W725" i="77" s="1"/>
  <c r="W726" i="77" s="1"/>
  <c r="W727" i="77" s="1"/>
  <c r="W728" i="77" s="1"/>
  <c r="W729" i="77" s="1"/>
  <c r="W730" i="77" s="1"/>
  <c r="W731" i="77" s="1"/>
  <c r="W732" i="77" s="1"/>
  <c r="W733" i="77" s="1"/>
  <c r="W734" i="77" s="1"/>
  <c r="W735" i="77" s="1"/>
  <c r="W736" i="77" s="1"/>
  <c r="W737" i="77" s="1"/>
  <c r="W738" i="77" s="1"/>
  <c r="W739" i="77" s="1"/>
  <c r="W740" i="77" s="1"/>
  <c r="W741" i="77" s="1"/>
  <c r="W742" i="77" s="1"/>
  <c r="W743" i="77" s="1"/>
  <c r="W744" i="77" s="1"/>
  <c r="W745" i="77" s="1"/>
  <c r="W746" i="77" s="1"/>
  <c r="W747" i="77" s="1"/>
  <c r="W748" i="77" s="1"/>
  <c r="W749" i="77" s="1"/>
  <c r="W750" i="77" s="1"/>
  <c r="W751" i="77" s="1"/>
  <c r="W752" i="77" s="1"/>
  <c r="W753" i="77" s="1"/>
  <c r="W754" i="77" s="1"/>
  <c r="W755" i="77" s="1"/>
  <c r="W756" i="77" s="1"/>
  <c r="W757" i="77" s="1"/>
  <c r="W758" i="77" s="1"/>
  <c r="W759" i="77" s="1"/>
  <c r="W760" i="77" s="1"/>
  <c r="W761" i="77" s="1"/>
  <c r="W762" i="77" s="1"/>
  <c r="W763" i="77" s="1"/>
  <c r="W764" i="77" s="1"/>
  <c r="W765" i="77" s="1"/>
  <c r="W766" i="77" s="1"/>
  <c r="W767" i="77" s="1"/>
  <c r="W768" i="77" s="1"/>
  <c r="W769" i="77" s="1"/>
  <c r="W770" i="77" s="1"/>
  <c r="W771" i="77" s="1"/>
  <c r="W772" i="77" s="1"/>
  <c r="W773" i="77" s="1"/>
  <c r="W774" i="77" s="1"/>
  <c r="W775" i="77" s="1"/>
  <c r="W776" i="77" s="1"/>
  <c r="W777" i="77" s="1"/>
  <c r="W778" i="77" s="1"/>
  <c r="W779" i="77" s="1"/>
  <c r="W780" i="77" s="1"/>
  <c r="W781" i="77" s="1"/>
  <c r="W782" i="77" s="1"/>
  <c r="W783" i="77" s="1"/>
  <c r="W784" i="77" s="1"/>
  <c r="W785" i="77" s="1"/>
  <c r="W786" i="77" s="1"/>
  <c r="W787" i="77" s="1"/>
  <c r="W788" i="77" s="1"/>
  <c r="W789" i="77" s="1"/>
  <c r="W790" i="77" s="1"/>
  <c r="W791" i="77" s="1"/>
  <c r="W792" i="77" s="1"/>
  <c r="W793" i="77" s="1"/>
  <c r="W794" i="77" s="1"/>
  <c r="W795" i="77" s="1"/>
  <c r="W796" i="77" s="1"/>
  <c r="W797" i="77" s="1"/>
  <c r="W798" i="77" s="1"/>
  <c r="W799" i="77" s="1"/>
  <c r="W800" i="77" s="1"/>
  <c r="W801" i="77" s="1"/>
  <c r="W802" i="77" s="1"/>
  <c r="W803" i="77" s="1"/>
  <c r="W804" i="77" s="1"/>
  <c r="W805" i="77" s="1"/>
  <c r="W806" i="77" s="1"/>
  <c r="W807" i="77" s="1"/>
  <c r="W808" i="77" s="1"/>
  <c r="W809" i="77" s="1"/>
  <c r="W810" i="77" s="1"/>
  <c r="W811" i="77" s="1"/>
  <c r="W812" i="77" s="1"/>
  <c r="W813" i="77" s="1"/>
  <c r="W814" i="77" s="1"/>
  <c r="W815" i="77" s="1"/>
  <c r="W816" i="77" s="1"/>
  <c r="W817" i="77" s="1"/>
  <c r="W818" i="77" s="1"/>
  <c r="W819" i="77" s="1"/>
  <c r="W820" i="77" s="1"/>
  <c r="W821" i="77" s="1"/>
  <c r="W822" i="77" s="1"/>
  <c r="W823" i="77" s="1"/>
  <c r="W824" i="77" s="1"/>
  <c r="W825" i="77" s="1"/>
  <c r="W826" i="77" s="1"/>
  <c r="W827" i="77" s="1"/>
  <c r="W828" i="77" s="1"/>
  <c r="W829" i="77" s="1"/>
  <c r="W830" i="77" s="1"/>
  <c r="W831" i="77" s="1"/>
  <c r="W832" i="77" s="1"/>
  <c r="W833" i="77" s="1"/>
  <c r="W834" i="77" s="1"/>
  <c r="W835" i="77" s="1"/>
  <c r="W836" i="77" s="1"/>
  <c r="W837" i="77" s="1"/>
  <c r="W838" i="77" s="1"/>
  <c r="W839" i="77" s="1"/>
  <c r="W840" i="77" s="1"/>
  <c r="W841" i="77" s="1"/>
  <c r="W842" i="77" s="1"/>
  <c r="W843" i="77" s="1"/>
  <c r="W844" i="77" s="1"/>
  <c r="W845" i="77" s="1"/>
  <c r="W846" i="77" s="1"/>
  <c r="W847" i="77" s="1"/>
  <c r="W848" i="77" s="1"/>
  <c r="W849" i="77" s="1"/>
  <c r="W850" i="77" s="1"/>
  <c r="W851" i="77" s="1"/>
  <c r="W852" i="77" s="1"/>
  <c r="W853" i="77" s="1"/>
  <c r="W854" i="77" s="1"/>
  <c r="W855" i="77" s="1"/>
  <c r="W856" i="77" s="1"/>
  <c r="W857" i="77" s="1"/>
  <c r="W858" i="77" s="1"/>
  <c r="W859" i="77" s="1"/>
  <c r="W860" i="77" s="1"/>
  <c r="W861" i="77" s="1"/>
  <c r="W862" i="77" s="1"/>
  <c r="W863" i="77" s="1"/>
  <c r="W864" i="77" s="1"/>
  <c r="W865" i="77" s="1"/>
  <c r="W866" i="77" s="1"/>
  <c r="W867" i="77" s="1"/>
  <c r="W868" i="77" s="1"/>
  <c r="W869" i="77" s="1"/>
  <c r="W870" i="77" s="1"/>
  <c r="W871" i="77" s="1"/>
  <c r="W872" i="77" s="1"/>
  <c r="W873" i="77" s="1"/>
  <c r="W874" i="77" s="1"/>
  <c r="W875" i="77" s="1"/>
  <c r="W876" i="77" s="1"/>
  <c r="W877" i="77" s="1"/>
  <c r="W878" i="77" s="1"/>
  <c r="W879" i="77" s="1"/>
  <c r="W880" i="77" s="1"/>
  <c r="W881" i="77" s="1"/>
  <c r="W882" i="77" s="1"/>
  <c r="W883" i="77" s="1"/>
  <c r="W884" i="77" s="1"/>
  <c r="W885" i="77" s="1"/>
  <c r="W886" i="77" s="1"/>
  <c r="W887" i="77" s="1"/>
  <c r="W888" i="77" s="1"/>
  <c r="W889" i="77" s="1"/>
  <c r="W890" i="77" s="1"/>
  <c r="W891" i="77" s="1"/>
  <c r="W892" i="77" s="1"/>
  <c r="W893" i="77" s="1"/>
  <c r="W894" i="77" s="1"/>
  <c r="W895" i="77" s="1"/>
  <c r="W896" i="77" s="1"/>
  <c r="W897" i="77" s="1"/>
  <c r="W898" i="77" s="1"/>
  <c r="W899" i="77" s="1"/>
  <c r="W900" i="77" s="1"/>
  <c r="W901" i="77" s="1"/>
  <c r="W902" i="77" s="1"/>
  <c r="W903" i="77" s="1"/>
  <c r="W904" i="77" s="1"/>
  <c r="W905" i="77" s="1"/>
  <c r="W906" i="77" s="1"/>
  <c r="W907" i="77" s="1"/>
  <c r="W908" i="77" s="1"/>
  <c r="W909" i="77" s="1"/>
  <c r="W910" i="77" s="1"/>
  <c r="W911" i="77" s="1"/>
  <c r="W912" i="77" s="1"/>
  <c r="W913" i="77" s="1"/>
  <c r="W914" i="77" s="1"/>
  <c r="W915" i="77" s="1"/>
  <c r="W916" i="77" s="1"/>
  <c r="W917" i="77" s="1"/>
  <c r="W918" i="77" s="1"/>
  <c r="W919" i="77" s="1"/>
  <c r="W920" i="77" s="1"/>
  <c r="W921" i="77" s="1"/>
  <c r="W922" i="77" s="1"/>
  <c r="W923" i="77" s="1"/>
  <c r="W924" i="77" s="1"/>
  <c r="W925" i="77" s="1"/>
  <c r="W926" i="77" s="1"/>
  <c r="W927" i="77" s="1"/>
  <c r="W928" i="77" s="1"/>
  <c r="W929" i="77" s="1"/>
  <c r="W930" i="77" s="1"/>
  <c r="W931" i="77" s="1"/>
  <c r="W932" i="77" s="1"/>
  <c r="W933" i="77" s="1"/>
  <c r="W934" i="77" s="1"/>
  <c r="W935" i="77" s="1"/>
  <c r="W936" i="77" s="1"/>
  <c r="W937" i="77" s="1"/>
  <c r="W938" i="77" s="1"/>
  <c r="W939" i="77" s="1"/>
  <c r="W940" i="77" s="1"/>
  <c r="W941" i="77" s="1"/>
  <c r="W942" i="77" s="1"/>
  <c r="W943" i="77" s="1"/>
  <c r="W944" i="77" s="1"/>
  <c r="W945" i="77" s="1"/>
  <c r="W946" i="77" s="1"/>
  <c r="W947" i="77" s="1"/>
  <c r="W948" i="77" s="1"/>
  <c r="W949" i="77" s="1"/>
  <c r="W950" i="77" s="1"/>
  <c r="W951" i="77" s="1"/>
  <c r="W952" i="77" s="1"/>
  <c r="W953" i="77" s="1"/>
  <c r="W954" i="77" s="1"/>
  <c r="W955" i="77" s="1"/>
  <c r="W956" i="77" s="1"/>
  <c r="W957" i="77" s="1"/>
  <c r="W958" i="77" s="1"/>
  <c r="W959" i="77" s="1"/>
  <c r="W960" i="77" s="1"/>
  <c r="W961" i="77" s="1"/>
  <c r="W962" i="77" s="1"/>
  <c r="W963" i="77" s="1"/>
  <c r="W964" i="77" s="1"/>
  <c r="W965" i="77" s="1"/>
  <c r="W966" i="77" s="1"/>
  <c r="W967" i="77" s="1"/>
  <c r="W968" i="77" s="1"/>
  <c r="W969" i="77" s="1"/>
  <c r="W970" i="77" s="1"/>
  <c r="W971" i="77" s="1"/>
  <c r="W972" i="77" s="1"/>
  <c r="W973" i="77" s="1"/>
  <c r="W974" i="77" s="1"/>
  <c r="W975" i="77" s="1"/>
  <c r="W976" i="77" s="1"/>
  <c r="W977" i="77" s="1"/>
  <c r="W978" i="77" s="1"/>
  <c r="W979" i="77" s="1"/>
  <c r="W980" i="77" s="1"/>
  <c r="W981" i="77" s="1"/>
  <c r="W982" i="77" s="1"/>
  <c r="W983" i="77" s="1"/>
  <c r="W984" i="77" s="1"/>
  <c r="W985" i="77" s="1"/>
  <c r="W986" i="77" s="1"/>
  <c r="W987" i="77" s="1"/>
  <c r="W988" i="77" s="1"/>
  <c r="W989" i="77" s="1"/>
  <c r="W990" i="77" s="1"/>
  <c r="W991" i="77" s="1"/>
  <c r="W992" i="77" s="1"/>
  <c r="W993" i="77" s="1"/>
  <c r="W994" i="77" s="1"/>
  <c r="W995" i="77" s="1"/>
  <c r="W996" i="77" s="1"/>
  <c r="W997" i="77" s="1"/>
  <c r="W998" i="77" s="1"/>
  <c r="W999" i="77" s="1"/>
  <c r="W1000" i="77" s="1"/>
  <c r="W1001" i="77" s="1"/>
  <c r="W1002" i="77" s="1"/>
  <c r="W1003" i="77" s="1"/>
  <c r="W1004" i="77" s="1"/>
  <c r="W1005" i="77" s="1"/>
  <c r="W1006" i="77" s="1"/>
  <c r="W1007" i="77" s="1"/>
  <c r="W1008" i="77" s="1"/>
  <c r="W1009" i="77" s="1"/>
  <c r="W1010" i="77" s="1"/>
  <c r="W1011" i="77" s="1"/>
  <c r="W1012" i="77" s="1"/>
  <c r="W1013" i="77" s="1"/>
  <c r="W1014" i="77" s="1"/>
  <c r="W1015" i="77" s="1"/>
  <c r="W1016" i="77" s="1"/>
  <c r="W1017" i="77" s="1"/>
  <c r="W1018" i="77" s="1"/>
  <c r="W1019" i="77" s="1"/>
  <c r="W1020" i="77" s="1"/>
  <c r="W1021" i="77" s="1"/>
  <c r="W1022" i="77" s="1"/>
  <c r="W1023" i="77" s="1"/>
  <c r="W1024" i="77" s="1"/>
  <c r="W1025" i="77" s="1"/>
  <c r="W1026" i="77" s="1"/>
  <c r="W1027" i="77" s="1"/>
  <c r="W1028" i="77" s="1"/>
  <c r="W1029" i="77" s="1"/>
  <c r="W1030" i="77" s="1"/>
  <c r="W1031" i="77" s="1"/>
  <c r="W1032" i="77" s="1"/>
  <c r="W1033" i="77" s="1"/>
  <c r="W1034" i="77" s="1"/>
  <c r="W1035" i="77" s="1"/>
  <c r="W1036" i="77" s="1"/>
  <c r="W1037" i="77" s="1"/>
  <c r="W1038" i="77" s="1"/>
  <c r="W1039" i="77" s="1"/>
  <c r="W1040" i="77" s="1"/>
  <c r="W1041" i="77" s="1"/>
  <c r="W1042" i="77" s="1"/>
  <c r="W1043" i="77" s="1"/>
  <c r="W1044" i="77" s="1"/>
  <c r="W1045" i="77" s="1"/>
  <c r="W1046" i="77" s="1"/>
  <c r="W1047" i="77" s="1"/>
  <c r="W1048" i="77" s="1"/>
  <c r="W1049" i="77" s="1"/>
  <c r="W1050" i="77" s="1"/>
  <c r="W1051" i="77" s="1"/>
  <c r="W1052" i="77" s="1"/>
  <c r="W1053" i="77" s="1"/>
  <c r="W1054" i="77" s="1"/>
  <c r="W1055" i="77" s="1"/>
  <c r="W1056" i="77" s="1"/>
  <c r="W1057" i="77" s="1"/>
  <c r="W1058" i="77" s="1"/>
  <c r="W1059" i="77" s="1"/>
  <c r="W1060" i="77" s="1"/>
  <c r="W1061" i="77" s="1"/>
  <c r="W1062" i="77" s="1"/>
  <c r="W1063" i="77" s="1"/>
  <c r="W1064" i="77" s="1"/>
  <c r="W1065" i="77" s="1"/>
  <c r="W1066" i="77" s="1"/>
  <c r="W1067" i="77" s="1"/>
  <c r="W1068" i="77" s="1"/>
  <c r="W1069" i="77" s="1"/>
  <c r="W1070" i="77" s="1"/>
  <c r="W1071" i="77" s="1"/>
  <c r="W1072" i="77" s="1"/>
  <c r="W1073" i="77" s="1"/>
  <c r="W1074" i="77" s="1"/>
  <c r="W1075" i="77" s="1"/>
  <c r="W1076" i="77" s="1"/>
  <c r="W1077" i="77" s="1"/>
  <c r="W1078" i="77" s="1"/>
  <c r="W1079" i="77" s="1"/>
  <c r="W1080" i="77" s="1"/>
  <c r="W1081" i="77" s="1"/>
  <c r="W1082" i="77" s="1"/>
  <c r="W1083" i="77" s="1"/>
  <c r="W1084" i="77" s="1"/>
  <c r="W1085" i="77" s="1"/>
  <c r="W1086" i="77" s="1"/>
  <c r="W1087" i="77" s="1"/>
  <c r="W1088" i="77" s="1"/>
  <c r="W1089" i="77" s="1"/>
  <c r="W1090" i="77" s="1"/>
  <c r="W1091" i="77" s="1"/>
  <c r="W1092" i="77" s="1"/>
  <c r="W1093" i="77" s="1"/>
  <c r="W1094" i="77" s="1"/>
  <c r="W1095" i="77" s="1"/>
  <c r="W1096" i="77" s="1"/>
  <c r="W1097" i="77" s="1"/>
  <c r="W1098" i="77" s="1"/>
  <c r="W1099" i="77" s="1"/>
  <c r="W1100" i="77" s="1"/>
  <c r="W1101" i="77" s="1"/>
  <c r="W1102" i="77" s="1"/>
  <c r="W1103" i="77" s="1"/>
  <c r="W1104" i="77" s="1"/>
  <c r="W1105" i="77" s="1"/>
  <c r="W1106" i="77" s="1"/>
  <c r="W1107" i="77" s="1"/>
  <c r="W1108" i="77" s="1"/>
  <c r="W1109" i="77" s="1"/>
  <c r="W1110" i="77" s="1"/>
  <c r="W1111" i="77" s="1"/>
  <c r="W1112" i="77" s="1"/>
  <c r="W1113" i="77" s="1"/>
  <c r="W1114" i="77" s="1"/>
  <c r="W1115" i="77" s="1"/>
  <c r="W1116" i="77" s="1"/>
  <c r="W1117" i="77" s="1"/>
  <c r="W1118" i="77" s="1"/>
  <c r="W1119" i="77" s="1"/>
  <c r="W1120" i="77" s="1"/>
  <c r="W1121" i="77" s="1"/>
  <c r="W1122" i="77" s="1"/>
  <c r="W1123" i="77" s="1"/>
  <c r="W1124" i="77" s="1"/>
  <c r="W1125" i="77" s="1"/>
  <c r="W1126" i="77" s="1"/>
  <c r="W1127" i="77" s="1"/>
  <c r="W1128" i="77" s="1"/>
  <c r="W1129" i="77" s="1"/>
  <c r="W1130" i="77" s="1"/>
  <c r="W1131" i="77" s="1"/>
  <c r="W1132" i="77" s="1"/>
  <c r="W1133" i="77" s="1"/>
  <c r="W1134" i="77" s="1"/>
  <c r="W1135" i="77" s="1"/>
  <c r="W1136" i="77" s="1"/>
  <c r="W1137" i="77" s="1"/>
  <c r="W1138" i="77" s="1"/>
  <c r="W1139" i="77" s="1"/>
  <c r="W1140" i="77" s="1"/>
  <c r="W1141" i="77" s="1"/>
  <c r="W1142" i="77" s="1"/>
  <c r="W1143" i="77" s="1"/>
  <c r="W1144" i="77" s="1"/>
  <c r="W1145" i="77" s="1"/>
  <c r="W1146" i="77" s="1"/>
  <c r="W1147" i="77" s="1"/>
  <c r="W1148" i="77" s="1"/>
  <c r="W1149" i="77" s="1"/>
  <c r="W1150" i="77" s="1"/>
  <c r="W1151" i="77" s="1"/>
  <c r="W1152" i="77" s="1"/>
  <c r="W1153" i="77" s="1"/>
  <c r="W1154" i="77" s="1"/>
  <c r="W1155" i="77" s="1"/>
  <c r="W1156" i="77" s="1"/>
  <c r="W1157" i="77" s="1"/>
  <c r="W1158" i="77" s="1"/>
  <c r="W1159" i="77" s="1"/>
  <c r="W1160" i="77" s="1"/>
  <c r="W1161" i="77" s="1"/>
  <c r="W1162" i="77" s="1"/>
  <c r="W1163" i="77" s="1"/>
  <c r="W1164" i="77" s="1"/>
  <c r="W1165" i="77" s="1"/>
  <c r="W1166" i="77" s="1"/>
  <c r="W1167" i="77" s="1"/>
  <c r="W1168" i="77" s="1"/>
  <c r="W1169" i="77" s="1"/>
  <c r="W1170" i="77" s="1"/>
  <c r="W1171" i="77" s="1"/>
  <c r="W1172" i="77" s="1"/>
  <c r="W1173" i="77" s="1"/>
  <c r="W1174" i="77" s="1"/>
  <c r="W1175" i="77" s="1"/>
  <c r="W1176" i="77" s="1"/>
  <c r="W1177" i="77" s="1"/>
  <c r="W1178" i="77" s="1"/>
  <c r="W1179" i="77" s="1"/>
  <c r="W1180" i="77" s="1"/>
  <c r="W1181" i="77" s="1"/>
  <c r="W1182" i="77" s="1"/>
  <c r="W1183" i="77" s="1"/>
  <c r="W1184" i="77" s="1"/>
  <c r="W1185" i="77" s="1"/>
  <c r="W1186" i="77" s="1"/>
  <c r="W1187" i="77" s="1"/>
  <c r="W1188" i="77" s="1"/>
  <c r="W1189" i="77" s="1"/>
  <c r="W1190" i="77" s="1"/>
  <c r="W1191" i="77" s="1"/>
  <c r="W1192" i="77" s="1"/>
  <c r="W1193" i="77" s="1"/>
  <c r="W1194" i="77" s="1"/>
  <c r="W1195" i="77" s="1"/>
  <c r="W1196" i="77" s="1"/>
  <c r="W1197" i="77" s="1"/>
  <c r="W1198" i="77" s="1"/>
  <c r="W1199" i="77" s="1"/>
  <c r="W1200" i="77" s="1"/>
  <c r="W1201" i="77" s="1"/>
  <c r="W1202" i="77" s="1"/>
  <c r="W1203" i="77" s="1"/>
  <c r="W1204" i="77" s="1"/>
  <c r="W1205" i="77" s="1"/>
  <c r="W1206" i="77" s="1"/>
  <c r="W1207" i="77" s="1"/>
  <c r="W1208" i="77" s="1"/>
  <c r="W1209" i="77" s="1"/>
  <c r="W1210" i="77" s="1"/>
  <c r="W1211" i="77" s="1"/>
  <c r="W1212" i="77" s="1"/>
  <c r="W1213" i="77" s="1"/>
  <c r="W1214" i="77" s="1"/>
  <c r="W1215" i="77" s="1"/>
  <c r="W1216" i="77" s="1"/>
  <c r="W1217" i="77" s="1"/>
  <c r="W1218" i="77" s="1"/>
  <c r="W1219" i="77" s="1"/>
  <c r="W1220" i="77" s="1"/>
  <c r="W1221" i="77" s="1"/>
  <c r="W1222" i="77" s="1"/>
  <c r="W1223" i="77" s="1"/>
  <c r="W1224" i="77" s="1"/>
  <c r="W1225" i="77" s="1"/>
  <c r="W1226" i="77" s="1"/>
  <c r="W1227" i="77" s="1"/>
  <c r="W1228" i="77" s="1"/>
  <c r="W1229" i="77" s="1"/>
  <c r="W1230" i="77" s="1"/>
  <c r="W1231" i="77" s="1"/>
  <c r="W1232" i="77" s="1"/>
  <c r="W1233" i="77" s="1"/>
  <c r="W1234" i="77" s="1"/>
  <c r="W1235" i="77" s="1"/>
  <c r="W1236" i="77" s="1"/>
  <c r="W1237" i="77" s="1"/>
  <c r="W1238" i="77" s="1"/>
  <c r="W1239" i="77" s="1"/>
  <c r="W1240" i="77" s="1"/>
  <c r="W1241" i="77" s="1"/>
  <c r="W1242" i="77" s="1"/>
  <c r="W1243" i="77" s="1"/>
  <c r="W1244" i="77" s="1"/>
  <c r="W1245" i="77" s="1"/>
  <c r="W1246" i="77" s="1"/>
  <c r="W1247" i="77" s="1"/>
  <c r="W1248" i="77" s="1"/>
  <c r="W1249" i="77" s="1"/>
  <c r="W1250" i="77" s="1"/>
  <c r="W1251" i="77" s="1"/>
  <c r="W1252" i="77" s="1"/>
  <c r="W1253" i="77" s="1"/>
  <c r="W1254" i="77" s="1"/>
  <c r="W1255" i="77" s="1"/>
  <c r="W1256" i="77" s="1"/>
  <c r="W1257" i="77" s="1"/>
  <c r="W1258" i="77" s="1"/>
  <c r="W1259" i="77" s="1"/>
  <c r="W1260" i="77" s="1"/>
  <c r="W1261" i="77" s="1"/>
  <c r="W1262" i="77" s="1"/>
  <c r="W1263" i="77" s="1"/>
  <c r="W1264" i="77" s="1"/>
  <c r="W1265" i="77" s="1"/>
  <c r="W1266" i="77" s="1"/>
  <c r="W1267" i="77" s="1"/>
  <c r="W1268" i="77" s="1"/>
  <c r="W1269" i="77" s="1"/>
  <c r="W1270" i="77" s="1"/>
  <c r="W1271" i="77" s="1"/>
  <c r="W1272" i="77" s="1"/>
  <c r="W1273" i="77" s="1"/>
  <c r="W1274" i="77" s="1"/>
  <c r="W1275" i="77" s="1"/>
  <c r="W1276" i="77" s="1"/>
  <c r="W1277" i="77" s="1"/>
  <c r="W1278" i="77" s="1"/>
  <c r="W1279" i="77" s="1"/>
  <c r="W1280" i="77" s="1"/>
  <c r="W1281" i="77" s="1"/>
  <c r="W1282" i="77" s="1"/>
  <c r="W1283" i="77" s="1"/>
  <c r="W1284" i="77" s="1"/>
  <c r="W1285" i="77" s="1"/>
  <c r="W1286" i="77" s="1"/>
  <c r="W1287" i="77" s="1"/>
  <c r="W1288" i="77" s="1"/>
  <c r="W1289" i="77" s="1"/>
  <c r="W1290" i="77" s="1"/>
  <c r="W1291" i="77" s="1"/>
  <c r="W1292" i="77" s="1"/>
  <c r="W1293" i="77" s="1"/>
  <c r="W1294" i="77" s="1"/>
  <c r="W1295" i="77" s="1"/>
  <c r="W1296" i="77" s="1"/>
  <c r="W1297" i="77" s="1"/>
  <c r="W1298" i="77" s="1"/>
  <c r="W1299" i="77" s="1"/>
  <c r="W1300" i="77" s="1"/>
  <c r="W1301" i="77" s="1"/>
  <c r="W1302" i="77" s="1"/>
  <c r="W1303" i="77" s="1"/>
  <c r="W1304" i="77" s="1"/>
  <c r="W1305" i="77" s="1"/>
  <c r="W1306" i="77" s="1"/>
  <c r="W1307" i="77" s="1"/>
  <c r="W1308" i="77" s="1"/>
  <c r="W1309" i="77" s="1"/>
  <c r="W1310" i="77" s="1"/>
  <c r="W1311" i="77" s="1"/>
  <c r="W1312" i="77" s="1"/>
  <c r="W1313" i="77" s="1"/>
  <c r="W1314" i="77" s="1"/>
  <c r="W1315" i="77" s="1"/>
  <c r="W1316" i="77" s="1"/>
  <c r="W1317" i="77" s="1"/>
  <c r="W1318" i="77" s="1"/>
  <c r="W1319" i="77" s="1"/>
  <c r="W1320" i="77" s="1"/>
  <c r="W1321" i="77" s="1"/>
  <c r="W1322" i="77" s="1"/>
  <c r="W1323" i="77" s="1"/>
  <c r="W1324" i="77" s="1"/>
  <c r="W1325" i="77" s="1"/>
  <c r="W1326" i="77" s="1"/>
  <c r="W1327" i="77" s="1"/>
  <c r="W1328" i="77" s="1"/>
  <c r="W1329" i="77" s="1"/>
  <c r="W1330" i="77" s="1"/>
  <c r="W1331" i="77" s="1"/>
  <c r="W1332" i="77" s="1"/>
  <c r="W1333" i="77" s="1"/>
  <c r="W1334" i="77" s="1"/>
  <c r="W1335" i="77" s="1"/>
  <c r="W1336" i="77" s="1"/>
  <c r="W1337" i="77" s="1"/>
  <c r="W1338" i="77" s="1"/>
  <c r="W1339" i="77" s="1"/>
  <c r="W1340" i="77" s="1"/>
  <c r="W1341" i="77" s="1"/>
  <c r="W1342" i="77" s="1"/>
  <c r="W1343" i="77" s="1"/>
  <c r="W1344" i="77" s="1"/>
  <c r="W1345" i="77" s="1"/>
  <c r="W1346" i="77" s="1"/>
  <c r="W1347" i="77" s="1"/>
  <c r="W1348" i="77" s="1"/>
  <c r="W1349" i="77" s="1"/>
  <c r="W1350" i="77" s="1"/>
  <c r="W1351" i="77" s="1"/>
  <c r="W1352" i="77" s="1"/>
  <c r="W1353" i="77" s="1"/>
  <c r="W1354" i="77" s="1"/>
  <c r="W1355" i="77" s="1"/>
  <c r="W1356" i="77" s="1"/>
  <c r="W1357" i="77" s="1"/>
  <c r="W1358" i="77" s="1"/>
  <c r="W1359" i="77" s="1"/>
  <c r="W1360" i="77" s="1"/>
  <c r="W1361" i="77" s="1"/>
  <c r="W1362" i="77" s="1"/>
  <c r="W1363" i="77" s="1"/>
  <c r="W1364" i="77" s="1"/>
  <c r="W1365" i="77" s="1"/>
  <c r="W1366" i="77" s="1"/>
  <c r="W1367" i="77" s="1"/>
  <c r="W1368" i="77" s="1"/>
  <c r="W1369" i="77" s="1"/>
  <c r="W1370" i="77" s="1"/>
  <c r="W1371" i="77" s="1"/>
  <c r="W1372" i="77" s="1"/>
  <c r="W1373" i="77" s="1"/>
  <c r="W1374" i="77" s="1"/>
  <c r="W1375" i="77" s="1"/>
  <c r="W1376" i="77" s="1"/>
  <c r="W1377" i="77" s="1"/>
  <c r="W1378" i="77" s="1"/>
  <c r="W1379" i="77" s="1"/>
  <c r="W1380" i="77" s="1"/>
  <c r="W1381" i="77" s="1"/>
  <c r="W1382" i="77" s="1"/>
  <c r="W1383" i="77" s="1"/>
  <c r="W1384" i="77" s="1"/>
  <c r="W1385" i="77" s="1"/>
  <c r="W1386" i="77" s="1"/>
  <c r="W1387" i="77" s="1"/>
  <c r="W1388" i="77" s="1"/>
  <c r="W1389" i="77" s="1"/>
  <c r="W1390" i="77" s="1"/>
  <c r="W1391" i="77" s="1"/>
  <c r="W1392" i="77" s="1"/>
  <c r="W1393" i="77" s="1"/>
  <c r="W1394" i="77" s="1"/>
  <c r="W1395" i="77" s="1"/>
  <c r="W1396" i="77" s="1"/>
  <c r="W1397" i="77" s="1"/>
  <c r="W1398" i="77" s="1"/>
  <c r="W1399" i="77" s="1"/>
  <c r="W1400" i="77" s="1"/>
  <c r="W1401" i="77" s="1"/>
  <c r="W1402" i="77" s="1"/>
  <c r="W1403" i="77" s="1"/>
  <c r="W1404" i="77" s="1"/>
  <c r="W1405" i="77" s="1"/>
  <c r="W1406" i="77" s="1"/>
  <c r="W1407" i="77" s="1"/>
  <c r="W1408" i="77" s="1"/>
  <c r="W1409" i="77" s="1"/>
  <c r="W1410" i="77" s="1"/>
  <c r="W1411" i="77" s="1"/>
  <c r="W1412" i="77" s="1"/>
  <c r="W1413" i="77" s="1"/>
  <c r="W1414" i="77" s="1"/>
  <c r="W1415" i="77" s="1"/>
  <c r="W1416" i="77" s="1"/>
  <c r="W1417" i="77" s="1"/>
  <c r="W1418" i="77" s="1"/>
  <c r="W1419" i="77" s="1"/>
  <c r="W1420" i="77" s="1"/>
  <c r="W1421" i="77" s="1"/>
  <c r="W1422" i="77" s="1"/>
  <c r="W1423" i="77" s="1"/>
  <c r="W1424" i="77" s="1"/>
  <c r="W1425" i="77" s="1"/>
  <c r="W1426" i="77" s="1"/>
  <c r="W1427" i="77" s="1"/>
  <c r="W1428" i="77" s="1"/>
  <c r="W1429" i="77" s="1"/>
  <c r="W1430" i="77" s="1"/>
  <c r="W1431" i="77" s="1"/>
  <c r="W1432" i="77" s="1"/>
  <c r="W1433" i="77" s="1"/>
  <c r="W1434" i="77" s="1"/>
  <c r="W1435" i="77" s="1"/>
  <c r="W1436" i="77" s="1"/>
  <c r="W1437" i="77" s="1"/>
  <c r="W1438" i="77" s="1"/>
  <c r="W1439" i="77" s="1"/>
  <c r="W1440" i="77" s="1"/>
  <c r="W1441" i="77" s="1"/>
  <c r="W1442" i="77" s="1"/>
  <c r="W1443" i="77" s="1"/>
  <c r="W1444" i="77" s="1"/>
  <c r="W1445" i="77" s="1"/>
  <c r="W1446" i="77" s="1"/>
  <c r="W1447" i="77" s="1"/>
  <c r="W1448" i="77" s="1"/>
  <c r="W1449" i="77" s="1"/>
  <c r="W1450" i="77" s="1"/>
  <c r="W1451" i="77" s="1"/>
  <c r="W1452" i="77" s="1"/>
  <c r="W1453" i="77" s="1"/>
  <c r="W1454" i="77" s="1"/>
  <c r="W1455" i="77" s="1"/>
  <c r="W1456" i="77" s="1"/>
  <c r="W1457" i="77" s="1"/>
  <c r="W1458" i="77" s="1"/>
  <c r="W1459" i="77" s="1"/>
  <c r="W1460" i="77" s="1"/>
  <c r="W1461" i="77" s="1"/>
  <c r="W1462" i="77" s="1"/>
  <c r="W1463" i="77" s="1"/>
  <c r="W1464" i="77" s="1"/>
  <c r="W1465" i="77" s="1"/>
  <c r="W1466" i="77" s="1"/>
  <c r="W1467" i="77" s="1"/>
  <c r="W1468" i="77" s="1"/>
  <c r="W1469" i="77" s="1"/>
  <c r="W1470" i="77" s="1"/>
  <c r="W1471" i="77" s="1"/>
  <c r="W1472" i="77" s="1"/>
  <c r="W1473" i="77" s="1"/>
  <c r="W1474" i="77" s="1"/>
  <c r="W1475" i="77" s="1"/>
  <c r="W1476" i="77" s="1"/>
  <c r="W1477" i="77" s="1"/>
  <c r="W1478" i="77" s="1"/>
  <c r="W1479" i="77" s="1"/>
  <c r="W1480" i="77" s="1"/>
  <c r="W1481" i="77" s="1"/>
  <c r="W1482" i="77" s="1"/>
  <c r="W1483" i="77" s="1"/>
  <c r="W1484" i="77" s="1"/>
  <c r="W1485" i="77" s="1"/>
  <c r="W1486" i="77" s="1"/>
  <c r="W1487" i="77" s="1"/>
  <c r="W1488" i="77" s="1"/>
  <c r="W1489" i="77" s="1"/>
  <c r="W1490" i="77" s="1"/>
  <c r="W1491" i="77" s="1"/>
  <c r="W1492" i="77" s="1"/>
  <c r="W1493" i="77" s="1"/>
  <c r="W1494" i="77" s="1"/>
  <c r="W1495" i="77" s="1"/>
  <c r="W1496" i="77" s="1"/>
  <c r="W1497" i="77" s="1"/>
  <c r="W1498" i="77" s="1"/>
  <c r="W1499" i="77" s="1"/>
  <c r="W1500" i="77" s="1"/>
  <c r="W1501" i="77" s="1"/>
  <c r="W1502" i="77" s="1"/>
  <c r="W1503" i="77" s="1"/>
  <c r="W1504" i="77" s="1"/>
  <c r="W1505" i="77" s="1"/>
  <c r="W1506" i="77" s="1"/>
  <c r="W1507" i="77" s="1"/>
  <c r="W1508" i="77" s="1"/>
  <c r="W1509" i="77" s="1"/>
  <c r="W1510" i="77" s="1"/>
  <c r="W1511" i="77" s="1"/>
  <c r="W1512" i="77" s="1"/>
  <c r="W1513" i="77" s="1"/>
  <c r="W1514" i="77" s="1"/>
  <c r="W1515" i="77" s="1"/>
  <c r="W1516" i="77" s="1"/>
  <c r="W1517" i="77" s="1"/>
  <c r="W1518" i="77" s="1"/>
  <c r="W1519" i="77" s="1"/>
  <c r="W1520" i="77" s="1"/>
  <c r="W1521" i="77" s="1"/>
  <c r="W1522" i="77" s="1"/>
  <c r="W1523" i="77" s="1"/>
  <c r="W1524" i="77" s="1"/>
  <c r="W1525" i="77" s="1"/>
  <c r="W1526" i="77" s="1"/>
  <c r="W1527" i="77" s="1"/>
  <c r="W1528" i="77" s="1"/>
  <c r="W1529" i="77" s="1"/>
  <c r="W1530" i="77" s="1"/>
  <c r="W1531" i="77" s="1"/>
  <c r="W1532" i="77" s="1"/>
  <c r="W1533" i="77" s="1"/>
  <c r="W1534" i="77" s="1"/>
  <c r="W1535" i="77" s="1"/>
  <c r="W1536" i="77" s="1"/>
  <c r="W1537" i="77" s="1"/>
  <c r="W1538" i="77" s="1"/>
  <c r="W1539" i="77" s="1"/>
  <c r="W1540" i="77" s="1"/>
  <c r="W1541" i="77" s="1"/>
  <c r="W1542" i="77" s="1"/>
  <c r="W1543" i="77" s="1"/>
  <c r="W1544" i="77" s="1"/>
  <c r="W1545" i="77" s="1"/>
  <c r="W1546" i="77" s="1"/>
  <c r="W1547" i="77" s="1"/>
  <c r="W1548" i="77" s="1"/>
  <c r="W1549" i="77" s="1"/>
  <c r="W1550" i="77" s="1"/>
  <c r="W1551" i="77" s="1"/>
  <c r="W1552" i="77" s="1"/>
  <c r="W1553" i="77" s="1"/>
  <c r="W1554" i="77" s="1"/>
  <c r="W1555" i="77" s="1"/>
  <c r="W1556" i="77" s="1"/>
  <c r="W1557" i="77" s="1"/>
  <c r="W1558" i="77" s="1"/>
  <c r="W1559" i="77" s="1"/>
  <c r="W1560" i="77" s="1"/>
  <c r="W1561" i="77" s="1"/>
  <c r="W1562" i="77" s="1"/>
  <c r="W1563" i="77" s="1"/>
  <c r="W1564" i="77" s="1"/>
  <c r="W1565" i="77" s="1"/>
  <c r="W1566" i="77" s="1"/>
  <c r="W1567" i="77" s="1"/>
  <c r="W1568" i="77" s="1"/>
  <c r="W1569" i="77" s="1"/>
  <c r="W1570" i="77" s="1"/>
  <c r="W1571" i="77" s="1"/>
  <c r="W1572" i="77" s="1"/>
  <c r="W1573" i="77" s="1"/>
  <c r="W1574" i="77" s="1"/>
  <c r="W1575" i="77" s="1"/>
  <c r="W1576" i="77" s="1"/>
  <c r="W1577" i="77" s="1"/>
  <c r="W1578" i="77" s="1"/>
  <c r="W1579" i="77" s="1"/>
  <c r="W1580" i="77" s="1"/>
  <c r="W1581" i="77" s="1"/>
  <c r="W1582" i="77" s="1"/>
  <c r="W1583" i="77" s="1"/>
  <c r="W1584" i="77" s="1"/>
  <c r="W1585" i="77" s="1"/>
  <c r="W1586" i="77" s="1"/>
  <c r="W1587" i="77" s="1"/>
  <c r="W1588" i="77" s="1"/>
  <c r="W1589" i="77" s="1"/>
  <c r="W1590" i="77" s="1"/>
  <c r="W1591" i="77" s="1"/>
  <c r="W1592" i="77" s="1"/>
  <c r="W1593" i="77" s="1"/>
  <c r="W1594" i="77" s="1"/>
  <c r="W1595" i="77" s="1"/>
  <c r="W1596" i="77" s="1"/>
  <c r="W1597" i="77" s="1"/>
  <c r="W1598" i="77" s="1"/>
  <c r="W1599" i="77" s="1"/>
  <c r="W1600" i="77" s="1"/>
  <c r="W1601" i="77" s="1"/>
  <c r="W1602" i="77" s="1"/>
  <c r="W1603" i="77" s="1"/>
  <c r="W1604" i="77" s="1"/>
  <c r="W1605" i="77" s="1"/>
  <c r="W1606" i="77" s="1"/>
  <c r="W1607" i="77" s="1"/>
  <c r="W1608" i="77" s="1"/>
  <c r="W1609" i="77" s="1"/>
  <c r="W1610" i="77" s="1"/>
  <c r="W1611" i="77" s="1"/>
  <c r="W1612" i="77" s="1"/>
  <c r="W1613" i="77" s="1"/>
  <c r="W1614" i="77" s="1"/>
  <c r="W1615" i="77" s="1"/>
  <c r="W1616" i="77" s="1"/>
  <c r="W1617" i="77" s="1"/>
  <c r="W1618" i="77" s="1"/>
  <c r="W1619" i="77" s="1"/>
  <c r="W1620" i="77" s="1"/>
  <c r="W1621" i="77" s="1"/>
  <c r="W1622" i="77" s="1"/>
  <c r="W1623" i="77" s="1"/>
  <c r="W1624" i="77" s="1"/>
  <c r="W1625" i="77" s="1"/>
  <c r="W1626" i="77" s="1"/>
  <c r="W1627" i="77" s="1"/>
  <c r="W1628" i="77" s="1"/>
  <c r="W1629" i="77" s="1"/>
  <c r="W1630" i="77" s="1"/>
  <c r="W1631" i="77" s="1"/>
  <c r="W1632" i="77" s="1"/>
  <c r="W1633" i="77" s="1"/>
  <c r="W1634" i="77" s="1"/>
  <c r="W1635" i="77" s="1"/>
  <c r="W1636" i="77" s="1"/>
  <c r="W1637" i="77" s="1"/>
  <c r="W1638" i="77" s="1"/>
  <c r="W1639" i="77" s="1"/>
  <c r="W1640" i="77" s="1"/>
  <c r="W1641" i="77" s="1"/>
  <c r="W1642" i="77" s="1"/>
  <c r="W1643" i="77" s="1"/>
  <c r="W1644" i="77" s="1"/>
  <c r="W1645" i="77" s="1"/>
  <c r="W1646" i="77" s="1"/>
  <c r="W1647" i="77" s="1"/>
  <c r="W1648" i="77" s="1"/>
  <c r="W1649" i="77" s="1"/>
  <c r="W1650" i="77" s="1"/>
  <c r="W1651" i="77" s="1"/>
  <c r="W1652" i="77" s="1"/>
  <c r="W1653" i="77" s="1"/>
  <c r="W1654" i="77" s="1"/>
  <c r="W1655" i="77" s="1"/>
  <c r="W1656" i="77" s="1"/>
  <c r="W1657" i="77" s="1"/>
  <c r="W1658" i="77" s="1"/>
  <c r="W1659" i="77" s="1"/>
  <c r="W1660" i="77" s="1"/>
  <c r="W1661" i="77" s="1"/>
  <c r="W1662" i="77" s="1"/>
  <c r="W1663" i="77" s="1"/>
  <c r="W1664" i="77" s="1"/>
  <c r="W1665" i="77" s="1"/>
  <c r="W1666" i="77" s="1"/>
  <c r="W1667" i="77" s="1"/>
  <c r="W1668" i="77" s="1"/>
  <c r="W1669" i="77" s="1"/>
  <c r="W1670" i="77" s="1"/>
  <c r="W1671" i="77" s="1"/>
  <c r="W1672" i="77" s="1"/>
  <c r="W1673" i="77" s="1"/>
  <c r="W1674" i="77" s="1"/>
  <c r="W1675" i="77" s="1"/>
  <c r="W1676" i="77" s="1"/>
  <c r="W1677" i="77" s="1"/>
  <c r="W1678" i="77" s="1"/>
  <c r="W1679" i="77" s="1"/>
  <c r="W1680" i="77" s="1"/>
  <c r="W1681" i="77" s="1"/>
  <c r="W1682" i="77" s="1"/>
  <c r="W1683" i="77" s="1"/>
  <c r="W1684" i="77" s="1"/>
  <c r="W1685" i="77" s="1"/>
  <c r="W1686" i="77" s="1"/>
  <c r="W1687" i="77" s="1"/>
  <c r="W1688" i="77" s="1"/>
  <c r="W1689" i="77" s="1"/>
  <c r="W1690" i="77" s="1"/>
  <c r="W1691" i="77" s="1"/>
  <c r="W1692" i="77" s="1"/>
  <c r="W1693" i="77" s="1"/>
  <c r="W1694" i="77" s="1"/>
  <c r="W1695" i="77" s="1"/>
  <c r="W1696" i="77" s="1"/>
  <c r="W1697" i="77" s="1"/>
  <c r="W1698" i="77" s="1"/>
  <c r="W1699" i="77" s="1"/>
  <c r="W1700" i="77" s="1"/>
  <c r="W1701" i="77" s="1"/>
  <c r="W1702" i="77" s="1"/>
  <c r="W1703" i="77" s="1"/>
  <c r="W1704" i="77" s="1"/>
  <c r="W1705" i="77" s="1"/>
  <c r="W1706" i="77" s="1"/>
  <c r="W1707" i="77" s="1"/>
  <c r="W1708" i="77" s="1"/>
  <c r="W1709" i="77" s="1"/>
  <c r="W1710" i="77" s="1"/>
  <c r="W1711" i="77" s="1"/>
  <c r="W1712" i="77" s="1"/>
  <c r="W1713" i="77" s="1"/>
  <c r="W1714" i="77" s="1"/>
  <c r="W1715" i="77" s="1"/>
  <c r="W1716" i="77" s="1"/>
  <c r="W1717" i="77" s="1"/>
  <c r="W1718" i="77" s="1"/>
  <c r="W1719" i="77" s="1"/>
  <c r="W1720" i="77" s="1"/>
  <c r="W1721" i="77" s="1"/>
  <c r="W1722" i="77" s="1"/>
  <c r="W1723" i="77" s="1"/>
  <c r="W1724" i="77" s="1"/>
  <c r="W1725" i="77" s="1"/>
  <c r="W1726" i="77" s="1"/>
  <c r="W1727" i="77" s="1"/>
  <c r="W1728" i="77" s="1"/>
  <c r="W1729" i="77" s="1"/>
  <c r="W1730" i="77" s="1"/>
  <c r="W1731" i="77" s="1"/>
  <c r="W1732" i="77" s="1"/>
  <c r="W1733" i="77" s="1"/>
  <c r="W1734" i="77" s="1"/>
  <c r="W1735" i="77" s="1"/>
  <c r="W1736" i="77" s="1"/>
  <c r="W1737" i="77" s="1"/>
  <c r="W1738" i="77" s="1"/>
  <c r="W1739" i="77" s="1"/>
  <c r="W1740" i="77" s="1"/>
  <c r="W1741" i="77" s="1"/>
  <c r="W1742" i="77" s="1"/>
  <c r="W1743" i="77" s="1"/>
  <c r="W1744" i="77" s="1"/>
  <c r="W1745" i="77" s="1"/>
  <c r="W1746" i="77" s="1"/>
  <c r="W1747" i="77" s="1"/>
  <c r="W1748" i="77" s="1"/>
  <c r="W1749" i="77" s="1"/>
  <c r="W1750" i="77" s="1"/>
  <c r="W1751" i="77" s="1"/>
  <c r="W1752" i="77" s="1"/>
  <c r="W1753" i="77" s="1"/>
  <c r="W1754" i="77" s="1"/>
  <c r="W1755" i="77" s="1"/>
  <c r="W1756" i="77" s="1"/>
  <c r="W1757" i="77" s="1"/>
  <c r="W1758" i="77" s="1"/>
  <c r="W1759" i="77" s="1"/>
  <c r="W1760" i="77" s="1"/>
  <c r="W1761" i="77" s="1"/>
  <c r="W1762" i="77" s="1"/>
  <c r="W1763" i="77" s="1"/>
  <c r="W1764" i="77" s="1"/>
  <c r="W1765" i="77" s="1"/>
  <c r="W1766" i="77" s="1"/>
  <c r="W1767" i="77" s="1"/>
  <c r="W1768" i="77" s="1"/>
  <c r="W1769" i="77" s="1"/>
  <c r="W1770" i="77" s="1"/>
  <c r="W1771" i="77" s="1"/>
  <c r="W1772" i="77" s="1"/>
  <c r="W1773" i="77" s="1"/>
  <c r="W1774" i="77" s="1"/>
  <c r="W1775" i="77" s="1"/>
  <c r="W1776" i="77" s="1"/>
  <c r="W1777" i="77" s="1"/>
  <c r="W1778" i="77" s="1"/>
  <c r="W1779" i="77" s="1"/>
  <c r="W1780" i="77" s="1"/>
  <c r="W1781" i="77" s="1"/>
  <c r="W1782" i="77" s="1"/>
  <c r="W1783" i="77" s="1"/>
  <c r="W1784" i="77" s="1"/>
  <c r="W1785" i="77" s="1"/>
  <c r="W1786" i="77" s="1"/>
  <c r="W1787" i="77" s="1"/>
  <c r="W1788" i="77" s="1"/>
  <c r="W1789" i="77" s="1"/>
  <c r="W1790" i="77" s="1"/>
  <c r="W1791" i="77" s="1"/>
  <c r="W1792" i="77" s="1"/>
  <c r="W1793" i="77" s="1"/>
  <c r="W1794" i="77" s="1"/>
  <c r="W1795" i="77" s="1"/>
  <c r="W1796" i="77" s="1"/>
  <c r="W1797" i="77" s="1"/>
  <c r="W1798" i="77" s="1"/>
  <c r="W1799" i="77" s="1"/>
  <c r="W1800" i="77" s="1"/>
  <c r="W1801" i="77" s="1"/>
  <c r="W1802" i="77" s="1"/>
  <c r="W1803" i="77" s="1"/>
  <c r="W1804" i="77" s="1"/>
  <c r="W1805" i="77" s="1"/>
  <c r="W1806" i="77" s="1"/>
  <c r="W1807" i="77" s="1"/>
  <c r="W1808" i="77" s="1"/>
  <c r="W1809" i="77" s="1"/>
  <c r="W1810" i="77" s="1"/>
  <c r="W1811" i="77" s="1"/>
  <c r="W1812" i="77" s="1"/>
  <c r="W1813" i="77" s="1"/>
  <c r="W1814" i="77" s="1"/>
  <c r="W1815" i="77" s="1"/>
  <c r="W1816" i="77" s="1"/>
  <c r="W1817" i="77" s="1"/>
  <c r="W1818" i="77" s="1"/>
  <c r="W1819" i="77" s="1"/>
  <c r="W1820" i="77" s="1"/>
  <c r="W1821" i="77" s="1"/>
  <c r="W1822" i="77" s="1"/>
  <c r="W1823" i="77" s="1"/>
  <c r="W1824" i="77" s="1"/>
  <c r="W1825" i="77" s="1"/>
  <c r="W1826" i="77" s="1"/>
  <c r="W1827" i="77" s="1"/>
  <c r="W1828" i="77" s="1"/>
  <c r="W1829" i="77" s="1"/>
  <c r="W1830" i="77" s="1"/>
  <c r="W1831" i="77" s="1"/>
  <c r="W1832" i="77" s="1"/>
  <c r="W1833" i="77" s="1"/>
  <c r="W1834" i="77" s="1"/>
  <c r="W1835" i="77" s="1"/>
  <c r="W1836" i="77" s="1"/>
  <c r="W1837" i="77" s="1"/>
  <c r="W1838" i="77" s="1"/>
  <c r="W1839" i="77" s="1"/>
  <c r="W1840" i="77" s="1"/>
  <c r="W1841" i="77" s="1"/>
  <c r="W1842" i="77" s="1"/>
  <c r="W1843" i="77" s="1"/>
  <c r="W1844" i="77" s="1"/>
  <c r="W1845" i="77" s="1"/>
  <c r="W1846" i="77" s="1"/>
  <c r="W1847" i="77" s="1"/>
  <c r="W1848" i="77" s="1"/>
  <c r="W1849" i="77" s="1"/>
  <c r="W1850" i="77" s="1"/>
  <c r="W1851" i="77" s="1"/>
  <c r="W1852" i="77" s="1"/>
  <c r="W1853" i="77" s="1"/>
  <c r="W1854" i="77" s="1"/>
  <c r="W1855" i="77" s="1"/>
  <c r="W1856" i="77" s="1"/>
  <c r="W1857" i="77" s="1"/>
  <c r="W1858" i="77" s="1"/>
  <c r="W1859" i="77" s="1"/>
  <c r="W1860" i="77" s="1"/>
  <c r="W1861" i="77" s="1"/>
  <c r="W1862" i="77" s="1"/>
  <c r="W1863" i="77" s="1"/>
  <c r="W1864" i="77" s="1"/>
  <c r="W1865" i="77" s="1"/>
  <c r="W1866" i="77" s="1"/>
  <c r="W1867" i="77" s="1"/>
  <c r="W1868" i="77" s="1"/>
  <c r="W1869" i="77" s="1"/>
  <c r="W1870" i="77" s="1"/>
  <c r="W1871" i="77" s="1"/>
  <c r="W1872" i="77" s="1"/>
  <c r="W1873" i="77" s="1"/>
  <c r="W1874" i="77" s="1"/>
  <c r="W1875" i="77" s="1"/>
  <c r="W1876" i="77" s="1"/>
  <c r="W1877" i="77" s="1"/>
  <c r="W1878" i="77" s="1"/>
  <c r="W1879" i="77" s="1"/>
  <c r="W1880" i="77" s="1"/>
  <c r="W1881" i="77" s="1"/>
  <c r="W1882" i="77" s="1"/>
  <c r="W1883" i="77" s="1"/>
  <c r="W1884" i="77" s="1"/>
  <c r="W1885" i="77" s="1"/>
  <c r="W1886" i="77" s="1"/>
  <c r="W1887" i="77" s="1"/>
  <c r="W1888" i="77" s="1"/>
  <c r="W1889" i="77" s="1"/>
  <c r="W1890" i="77" s="1"/>
  <c r="W1891" i="77" s="1"/>
  <c r="W1892" i="77" s="1"/>
  <c r="W1893" i="77" s="1"/>
  <c r="W1894" i="77" s="1"/>
  <c r="W1895" i="77" s="1"/>
  <c r="W1896" i="77" s="1"/>
  <c r="W1897" i="77" s="1"/>
  <c r="W1898" i="77" s="1"/>
  <c r="W1899" i="77" s="1"/>
  <c r="W1900" i="77" s="1"/>
  <c r="W1901" i="77" s="1"/>
  <c r="W1902" i="77" s="1"/>
  <c r="W1903" i="77" s="1"/>
  <c r="W1904" i="77" s="1"/>
  <c r="W1905" i="77" s="1"/>
  <c r="W1906" i="77" s="1"/>
  <c r="W1907" i="77" s="1"/>
  <c r="W1908" i="77" s="1"/>
  <c r="W1909" i="77" s="1"/>
  <c r="W1910" i="77" s="1"/>
  <c r="W1911" i="77" s="1"/>
  <c r="W1912" i="77" s="1"/>
  <c r="W1913" i="77" s="1"/>
  <c r="W1914" i="77" s="1"/>
  <c r="W1915" i="77" s="1"/>
  <c r="W1916" i="77" s="1"/>
  <c r="W1917" i="77" s="1"/>
  <c r="W1918" i="77" s="1"/>
  <c r="W1919" i="77" s="1"/>
  <c r="W1920" i="77" s="1"/>
  <c r="W1921" i="77" s="1"/>
  <c r="W1922" i="77" s="1"/>
  <c r="W1923" i="77" s="1"/>
  <c r="W1924" i="77" s="1"/>
  <c r="W1925" i="77" s="1"/>
  <c r="W1926" i="77" s="1"/>
  <c r="W1927" i="77" s="1"/>
  <c r="W1928" i="77" s="1"/>
  <c r="W1929" i="77" s="1"/>
  <c r="W1930" i="77" s="1"/>
  <c r="W1931" i="77" s="1"/>
  <c r="W1932" i="77" s="1"/>
  <c r="W1933" i="77" s="1"/>
  <c r="W1934" i="77" s="1"/>
  <c r="W1935" i="77" s="1"/>
  <c r="W1936" i="77" s="1"/>
  <c r="W1937" i="77" s="1"/>
  <c r="W1938" i="77" s="1"/>
  <c r="W1939" i="77" s="1"/>
  <c r="W1940" i="77" s="1"/>
  <c r="W1941" i="77" s="1"/>
  <c r="W1942" i="77" s="1"/>
  <c r="W1943" i="77" s="1"/>
  <c r="W1944" i="77" s="1"/>
  <c r="W1945" i="77" s="1"/>
  <c r="W1946" i="77" s="1"/>
  <c r="W1947" i="77" s="1"/>
  <c r="W1948" i="77" s="1"/>
  <c r="W1949" i="77" s="1"/>
  <c r="W1950" i="77" s="1"/>
  <c r="W1951" i="77" s="1"/>
  <c r="W1952" i="77" s="1"/>
  <c r="W1953" i="77" s="1"/>
  <c r="W1954" i="77" s="1"/>
  <c r="W1955" i="77" s="1"/>
  <c r="W1956" i="77" s="1"/>
  <c r="W1957" i="77" s="1"/>
  <c r="W1958" i="77" s="1"/>
  <c r="W1959" i="77" s="1"/>
  <c r="W1960" i="77" s="1"/>
  <c r="W1961" i="77" s="1"/>
  <c r="W1962" i="77" s="1"/>
  <c r="W1963" i="77" s="1"/>
  <c r="W1964" i="77" s="1"/>
  <c r="W1965" i="77" s="1"/>
  <c r="W1966" i="77" s="1"/>
  <c r="W1967" i="77" s="1"/>
  <c r="W1968" i="77" s="1"/>
  <c r="W1969" i="77" s="1"/>
  <c r="W1970" i="77" s="1"/>
  <c r="W1971" i="77" s="1"/>
  <c r="W1972" i="77" s="1"/>
  <c r="W1973" i="77" s="1"/>
  <c r="W1974" i="77" s="1"/>
  <c r="W1975" i="77" s="1"/>
  <c r="W1976" i="77" s="1"/>
  <c r="W1977" i="77" s="1"/>
  <c r="W1978" i="77" s="1"/>
  <c r="W1979" i="77" s="1"/>
  <c r="W1980" i="77" s="1"/>
  <c r="W1981" i="77" s="1"/>
  <c r="W1982" i="77" s="1"/>
  <c r="W1983" i="77" s="1"/>
  <c r="W1984" i="77" s="1"/>
  <c r="W1985" i="77" s="1"/>
  <c r="W1986" i="77" s="1"/>
  <c r="W1987" i="77" s="1"/>
  <c r="W1988" i="77" s="1"/>
  <c r="W1989" i="77" s="1"/>
  <c r="W1990" i="77" s="1"/>
  <c r="W1991" i="77" s="1"/>
  <c r="W1992" i="77" s="1"/>
  <c r="W1993" i="77" s="1"/>
  <c r="W1994" i="77" s="1"/>
  <c r="W1995" i="77" s="1"/>
  <c r="W1996" i="77" s="1"/>
  <c r="W1997" i="77" s="1"/>
  <c r="W1998" i="77" s="1"/>
  <c r="W1999" i="77" s="1"/>
  <c r="W2000" i="77" s="1"/>
  <c r="W2001" i="77" s="1"/>
  <c r="W2002" i="77" s="1"/>
  <c r="W2003" i="77" s="1"/>
  <c r="W2004" i="77" s="1"/>
  <c r="W2005" i="77" s="1"/>
  <c r="W2006" i="77" s="1"/>
  <c r="W2007" i="77" s="1"/>
  <c r="W2008" i="77" s="1"/>
  <c r="W2009" i="77" s="1"/>
  <c r="W2010" i="77" s="1"/>
  <c r="W2011" i="77" s="1"/>
  <c r="W2012" i="77" s="1"/>
  <c r="W2013" i="77" s="1"/>
  <c r="W2014" i="77" s="1"/>
  <c r="W2015" i="77" s="1"/>
  <c r="W2016" i="77" s="1"/>
  <c r="W2017" i="77" s="1"/>
  <c r="W2018" i="77" s="1"/>
  <c r="W2019" i="77" s="1"/>
  <c r="W2020" i="77" s="1"/>
  <c r="W2021" i="77" s="1"/>
  <c r="W2022" i="77" s="1"/>
  <c r="W2023" i="77" s="1"/>
  <c r="W2024" i="77" s="1"/>
  <c r="W2025" i="77" s="1"/>
  <c r="W2026" i="77" s="1"/>
  <c r="W2027" i="77" s="1"/>
  <c r="W2028" i="77" s="1"/>
  <c r="W2029" i="77" s="1"/>
  <c r="W2030" i="77" s="1"/>
  <c r="W2031" i="77" s="1"/>
  <c r="W2032" i="77" s="1"/>
  <c r="W2033" i="77" s="1"/>
  <c r="W2034" i="77" s="1"/>
  <c r="W2035" i="77" s="1"/>
  <c r="W2036" i="77" s="1"/>
  <c r="W2037" i="77" s="1"/>
  <c r="W2038" i="77" s="1"/>
  <c r="W2039" i="77" s="1"/>
  <c r="W2040" i="77" s="1"/>
  <c r="W2041" i="77" s="1"/>
  <c r="W2042" i="77" s="1"/>
  <c r="W2043" i="77" s="1"/>
  <c r="W2044" i="77" s="1"/>
  <c r="W2045" i="77" s="1"/>
  <c r="W2046" i="77" s="1"/>
  <c r="W2047" i="77" s="1"/>
  <c r="W2048" i="77" s="1"/>
  <c r="W2049" i="77" s="1"/>
  <c r="W2050" i="77" s="1"/>
  <c r="W2051" i="77" s="1"/>
  <c r="W2052" i="77" s="1"/>
  <c r="W2053" i="77" s="1"/>
  <c r="W2054" i="77" s="1"/>
  <c r="W2055" i="77" s="1"/>
  <c r="W2056" i="77" s="1"/>
  <c r="W2057" i="77" s="1"/>
  <c r="W2058" i="77" s="1"/>
  <c r="W2059" i="77" s="1"/>
  <c r="W2060" i="77" s="1"/>
  <c r="W2061" i="77" s="1"/>
  <c r="W2062" i="77" s="1"/>
  <c r="W2063" i="77" s="1"/>
  <c r="W2064" i="77" s="1"/>
  <c r="W2065" i="77" s="1"/>
  <c r="W2066" i="77" s="1"/>
  <c r="W2067" i="77" s="1"/>
  <c r="W2068" i="77" s="1"/>
  <c r="W2069" i="77" s="1"/>
  <c r="W2070" i="77" s="1"/>
  <c r="W2071" i="77" s="1"/>
  <c r="W2072" i="77" s="1"/>
  <c r="W2073" i="77" s="1"/>
  <c r="W2074" i="77" s="1"/>
  <c r="W2075" i="77" s="1"/>
  <c r="W2076" i="77" s="1"/>
  <c r="W2077" i="77" s="1"/>
  <c r="W2078" i="77" s="1"/>
  <c r="W2079" i="77" s="1"/>
  <c r="W2080" i="77" s="1"/>
  <c r="W2081" i="77" s="1"/>
  <c r="W2082" i="77" s="1"/>
  <c r="W2083" i="77" s="1"/>
  <c r="W2084" i="77" s="1"/>
  <c r="W2085" i="77" s="1"/>
  <c r="W2086" i="77" s="1"/>
  <c r="W2087" i="77" s="1"/>
  <c r="W2088" i="77" s="1"/>
  <c r="W2089" i="77" s="1"/>
  <c r="W2090" i="77" s="1"/>
  <c r="W2091" i="77" s="1"/>
  <c r="W2092" i="77" s="1"/>
  <c r="W2093" i="77" s="1"/>
  <c r="W2094" i="77" s="1"/>
  <c r="W2095" i="77" s="1"/>
  <c r="W2096" i="77" s="1"/>
  <c r="W2097" i="77" s="1"/>
  <c r="W2098" i="77" s="1"/>
  <c r="W2099" i="77" s="1"/>
  <c r="W2100" i="77" s="1"/>
  <c r="W2101" i="77" s="1"/>
  <c r="W2102" i="77" s="1"/>
  <c r="W2103" i="77" s="1"/>
  <c r="W2104" i="77" s="1"/>
  <c r="W2105" i="77" s="1"/>
  <c r="W2106" i="77" s="1"/>
  <c r="W2107" i="77" s="1"/>
  <c r="W2108" i="77" s="1"/>
  <c r="W2109" i="77" s="1"/>
  <c r="W2110" i="77" s="1"/>
  <c r="W2111" i="77" s="1"/>
  <c r="W2112" i="77" s="1"/>
  <c r="W2113" i="77" s="1"/>
  <c r="W2114" i="77" s="1"/>
  <c r="W2115" i="77" s="1"/>
  <c r="W2116" i="77" s="1"/>
  <c r="W2117" i="77" s="1"/>
  <c r="W2118" i="77" s="1"/>
  <c r="W2119" i="77" s="1"/>
  <c r="W2120" i="77" s="1"/>
  <c r="W2121" i="77" s="1"/>
  <c r="W2122" i="77" s="1"/>
  <c r="W2123" i="77" s="1"/>
  <c r="W2124" i="77" s="1"/>
  <c r="W2125" i="77" s="1"/>
  <c r="W2126" i="77" s="1"/>
  <c r="W2127" i="77" s="1"/>
  <c r="W2128" i="77" s="1"/>
  <c r="W2129" i="77" s="1"/>
  <c r="W2130" i="77" s="1"/>
  <c r="W2131" i="77" s="1"/>
  <c r="W2132" i="77" s="1"/>
  <c r="W2133" i="77" s="1"/>
  <c r="W2134" i="77" s="1"/>
  <c r="W2135" i="77" s="1"/>
  <c r="W2136" i="77" s="1"/>
  <c r="W2137" i="77" s="1"/>
  <c r="W2138" i="77" s="1"/>
  <c r="W2139" i="77" s="1"/>
  <c r="W2140" i="77" s="1"/>
  <c r="W2141" i="77" s="1"/>
  <c r="W2142" i="77" s="1"/>
  <c r="W2143" i="77" s="1"/>
  <c r="W2144" i="77" s="1"/>
  <c r="W2145" i="77" s="1"/>
  <c r="W2146" i="77" s="1"/>
  <c r="W2147" i="77" s="1"/>
  <c r="W2148" i="77" s="1"/>
  <c r="W2149" i="77" s="1"/>
  <c r="W2150" i="77" s="1"/>
  <c r="W2151" i="77" s="1"/>
  <c r="W2152" i="77" s="1"/>
  <c r="W2153" i="77" s="1"/>
  <c r="W2154" i="77" s="1"/>
  <c r="W2155" i="77" s="1"/>
  <c r="W2156" i="77" s="1"/>
  <c r="W2157" i="77" s="1"/>
  <c r="W2158" i="77" s="1"/>
  <c r="W2159" i="77" s="1"/>
  <c r="W2160" i="77" s="1"/>
  <c r="W2161" i="77" s="1"/>
  <c r="W2162" i="77" s="1"/>
  <c r="W2163" i="77" s="1"/>
  <c r="W2164" i="77" s="1"/>
  <c r="W2165" i="77" s="1"/>
  <c r="W2166" i="77" s="1"/>
  <c r="W2167" i="77" s="1"/>
  <c r="W2168" i="77" s="1"/>
  <c r="W2169" i="77" s="1"/>
  <c r="W2170" i="77" s="1"/>
  <c r="W2171" i="77" s="1"/>
  <c r="W2172" i="77" s="1"/>
  <c r="W2173" i="77" s="1"/>
  <c r="W2174" i="77" s="1"/>
  <c r="W2175" i="77" s="1"/>
  <c r="W2176" i="77" s="1"/>
  <c r="W2177" i="77" s="1"/>
  <c r="W2178" i="77" s="1"/>
  <c r="W2179" i="77" s="1"/>
  <c r="W2180" i="77" s="1"/>
  <c r="W2181" i="77" s="1"/>
  <c r="W2182" i="77" s="1"/>
  <c r="W2183" i="77" s="1"/>
  <c r="W2184" i="77" s="1"/>
  <c r="W2185" i="77" s="1"/>
  <c r="W2186" i="77" s="1"/>
  <c r="W2187" i="77" s="1"/>
  <c r="W2188" i="77" s="1"/>
  <c r="W2189" i="77" s="1"/>
  <c r="W2190" i="77" s="1"/>
  <c r="W2191" i="77" s="1"/>
  <c r="W2192" i="77" s="1"/>
  <c r="W2193" i="77" s="1"/>
  <c r="W2194" i="77" s="1"/>
  <c r="W2195" i="77" s="1"/>
  <c r="W2196" i="77" s="1"/>
  <c r="W2197" i="77" s="1"/>
  <c r="W2198" i="77" s="1"/>
  <c r="W2199" i="77" s="1"/>
  <c r="W2200" i="77" s="1"/>
  <c r="W2201" i="77" s="1"/>
  <c r="W2202" i="77" s="1"/>
  <c r="W2203" i="77" s="1"/>
  <c r="W2204" i="77" s="1"/>
  <c r="W2205" i="77" s="1"/>
  <c r="W2206" i="77" s="1"/>
  <c r="W2207" i="77" s="1"/>
  <c r="W2208" i="77" s="1"/>
  <c r="W2209" i="77" s="1"/>
  <c r="W2210" i="77" s="1"/>
  <c r="W2211" i="77" s="1"/>
  <c r="W2212" i="77" s="1"/>
  <c r="W2213" i="77" s="1"/>
  <c r="W2214" i="77" s="1"/>
  <c r="W2215" i="77" s="1"/>
  <c r="W2216" i="77" s="1"/>
  <c r="W2217" i="77" s="1"/>
  <c r="W2218" i="77" s="1"/>
  <c r="W2219" i="77" s="1"/>
  <c r="W2220" i="77" s="1"/>
  <c r="W2221" i="77" s="1"/>
  <c r="W2222" i="77" s="1"/>
  <c r="W2223" i="77" s="1"/>
  <c r="W2224" i="77" s="1"/>
  <c r="W2225" i="77" s="1"/>
  <c r="W2226" i="77" s="1"/>
  <c r="W2227" i="77" s="1"/>
  <c r="W2228" i="77" s="1"/>
  <c r="W2229" i="77" s="1"/>
  <c r="W2230" i="77" s="1"/>
  <c r="W2231" i="77" s="1"/>
  <c r="W2232" i="77" s="1"/>
  <c r="W2233" i="77" s="1"/>
  <c r="W2234" i="77" s="1"/>
  <c r="W2235" i="77" s="1"/>
  <c r="W2236" i="77" s="1"/>
  <c r="W2237" i="77" s="1"/>
  <c r="W2238" i="77" s="1"/>
  <c r="W2239" i="77" s="1"/>
  <c r="W2240" i="77" s="1"/>
  <c r="W2241" i="77" s="1"/>
  <c r="W2242" i="77" s="1"/>
  <c r="W2243" i="77" s="1"/>
  <c r="W2244" i="77" s="1"/>
  <c r="W2245" i="77" s="1"/>
  <c r="W2246" i="77" s="1"/>
  <c r="W2247" i="77" s="1"/>
  <c r="W2248" i="77" s="1"/>
  <c r="W2249" i="77" s="1"/>
  <c r="W2250" i="77" s="1"/>
  <c r="W2251" i="77" s="1"/>
  <c r="W2252" i="77" s="1"/>
  <c r="W2253" i="77" s="1"/>
  <c r="W2254" i="77" s="1"/>
  <c r="W2255" i="77" s="1"/>
  <c r="W2256" i="77" s="1"/>
  <c r="W2257" i="77" s="1"/>
  <c r="W2258" i="77" s="1"/>
  <c r="W2259" i="77" s="1"/>
  <c r="W2260" i="77" s="1"/>
  <c r="W2261" i="77" s="1"/>
  <c r="W2262" i="77" s="1"/>
  <c r="W2263" i="77" s="1"/>
  <c r="W2264" i="77" s="1"/>
  <c r="W2265" i="77" s="1"/>
  <c r="W2266" i="77" s="1"/>
  <c r="W2267" i="77" s="1"/>
  <c r="W2268" i="77" s="1"/>
  <c r="W2269" i="77" s="1"/>
  <c r="W2270" i="77" s="1"/>
  <c r="W2271" i="77" s="1"/>
  <c r="W2272" i="77" s="1"/>
  <c r="W2273" i="77" s="1"/>
  <c r="W2274" i="77" s="1"/>
  <c r="W2275" i="77" s="1"/>
  <c r="W2276" i="77" s="1"/>
  <c r="W2277" i="77" s="1"/>
  <c r="W2278" i="77" s="1"/>
  <c r="W2279" i="77" s="1"/>
  <c r="W2280" i="77" s="1"/>
  <c r="W2281" i="77" s="1"/>
  <c r="W2282" i="77" s="1"/>
  <c r="W2283" i="77" s="1"/>
  <c r="W2284" i="77" s="1"/>
  <c r="W2285" i="77" s="1"/>
  <c r="W2286" i="77" s="1"/>
  <c r="W2287" i="77" s="1"/>
  <c r="W2288" i="77" s="1"/>
  <c r="W2289" i="77" s="1"/>
  <c r="W2290" i="77" s="1"/>
  <c r="W2291" i="77" s="1"/>
  <c r="W2292" i="77" s="1"/>
  <c r="W2293" i="77" s="1"/>
  <c r="W2294" i="77" s="1"/>
  <c r="W2295" i="77" s="1"/>
  <c r="W2296" i="77" s="1"/>
  <c r="W2297" i="77" s="1"/>
  <c r="W2298" i="77" s="1"/>
  <c r="W2299" i="77" s="1"/>
  <c r="W2300" i="77" s="1"/>
  <c r="W2301" i="77" s="1"/>
  <c r="W2302" i="77" s="1"/>
  <c r="W2303" i="77" s="1"/>
  <c r="W2304" i="77" s="1"/>
  <c r="W2305" i="77" s="1"/>
  <c r="W2306" i="77" s="1"/>
  <c r="W2307" i="77" s="1"/>
  <c r="W2308" i="77" s="1"/>
  <c r="W2309" i="77" s="1"/>
  <c r="W2310" i="77" s="1"/>
  <c r="W2311" i="77" s="1"/>
  <c r="W2312" i="77" s="1"/>
  <c r="W2313" i="77" s="1"/>
  <c r="W2314" i="77" s="1"/>
  <c r="W2315" i="77" s="1"/>
  <c r="W2316" i="77" s="1"/>
  <c r="W2317" i="77" s="1"/>
  <c r="W2318" i="77" s="1"/>
  <c r="W2319" i="77" s="1"/>
  <c r="W2320" i="77" s="1"/>
  <c r="W2321" i="77" s="1"/>
  <c r="W2322" i="77" s="1"/>
  <c r="W2323" i="77" s="1"/>
  <c r="W2324" i="77" s="1"/>
  <c r="W2325" i="77" s="1"/>
  <c r="W2326" i="77" s="1"/>
  <c r="W2327" i="77" s="1"/>
  <c r="W2328" i="77" s="1"/>
  <c r="W2329" i="77" s="1"/>
  <c r="W2330" i="77" s="1"/>
  <c r="W2331" i="77" s="1"/>
  <c r="W2332" i="77" s="1"/>
  <c r="W2333" i="77" s="1"/>
  <c r="W2334" i="77" s="1"/>
  <c r="W2335" i="77" s="1"/>
  <c r="W2336" i="77" s="1"/>
  <c r="W2337" i="77" s="1"/>
  <c r="W2338" i="77" s="1"/>
  <c r="W2339" i="77" s="1"/>
  <c r="W2340" i="77" s="1"/>
  <c r="W2341" i="77" s="1"/>
  <c r="W2342" i="77" s="1"/>
  <c r="W2343" i="77" s="1"/>
  <c r="W2344" i="77" s="1"/>
  <c r="W2345" i="77" s="1"/>
  <c r="W2346" i="77" s="1"/>
  <c r="W2347" i="77" s="1"/>
  <c r="W2348" i="77" s="1"/>
  <c r="W2349" i="77" s="1"/>
  <c r="W2350" i="77" s="1"/>
  <c r="W2351" i="77" s="1"/>
  <c r="W2352" i="77" s="1"/>
  <c r="W2353" i="77" s="1"/>
  <c r="W2354" i="77" s="1"/>
  <c r="W2355" i="77" s="1"/>
  <c r="W2356" i="77" s="1"/>
  <c r="W2357" i="77" s="1"/>
  <c r="W2358" i="77" s="1"/>
  <c r="W2359" i="77" s="1"/>
  <c r="W2360" i="77" s="1"/>
  <c r="W2361" i="77" s="1"/>
  <c r="W2362" i="77" s="1"/>
  <c r="W2363" i="77" s="1"/>
  <c r="W2364" i="77" s="1"/>
  <c r="W2365" i="77" s="1"/>
  <c r="W2366" i="77" s="1"/>
  <c r="W2367" i="77" s="1"/>
  <c r="W2368" i="77" s="1"/>
  <c r="W2369" i="77" s="1"/>
  <c r="W2370" i="77" s="1"/>
  <c r="W2371" i="77" s="1"/>
  <c r="W2372" i="77" s="1"/>
  <c r="W2373" i="77" s="1"/>
  <c r="W2374" i="77" s="1"/>
  <c r="W2375" i="77" s="1"/>
  <c r="W2376" i="77" s="1"/>
  <c r="W2377" i="77" s="1"/>
  <c r="W2378" i="77" s="1"/>
  <c r="W2379" i="77" s="1"/>
  <c r="W2380" i="77" s="1"/>
  <c r="W2381" i="77" s="1"/>
  <c r="W2382" i="77" s="1"/>
  <c r="W2383" i="77" s="1"/>
  <c r="W2384" i="77" s="1"/>
  <c r="W2385" i="77" s="1"/>
  <c r="W2386" i="77" s="1"/>
  <c r="W2387" i="77" s="1"/>
  <c r="W2388" i="77" s="1"/>
  <c r="W2389" i="77" s="1"/>
  <c r="W2390" i="77" s="1"/>
  <c r="W2391" i="77" s="1"/>
  <c r="W2392" i="77" s="1"/>
  <c r="W2393" i="77" s="1"/>
  <c r="W2394" i="77" s="1"/>
  <c r="W2395" i="77" s="1"/>
  <c r="W2396" i="77" s="1"/>
  <c r="W2397" i="77" s="1"/>
  <c r="W2398" i="77" s="1"/>
  <c r="W2399" i="77" s="1"/>
  <c r="W2400" i="77" s="1"/>
  <c r="W2401" i="77" s="1"/>
  <c r="W2402" i="77" s="1"/>
  <c r="W2403" i="77" s="1"/>
  <c r="W2404" i="77" s="1"/>
  <c r="W2405" i="77" s="1"/>
  <c r="W2406" i="77" s="1"/>
  <c r="W2407" i="77" s="1"/>
  <c r="W2408" i="77" s="1"/>
  <c r="W2409" i="77" s="1"/>
  <c r="W2410" i="77" s="1"/>
  <c r="W2411" i="77" s="1"/>
  <c r="W2412" i="77" s="1"/>
  <c r="W2413" i="77" s="1"/>
  <c r="W2414" i="77" s="1"/>
  <c r="W2415" i="77" s="1"/>
  <c r="W2416" i="77" s="1"/>
  <c r="W2417" i="77" s="1"/>
  <c r="W2418" i="77" s="1"/>
  <c r="W2419" i="77" s="1"/>
  <c r="W2420" i="77" s="1"/>
  <c r="W2421" i="77" s="1"/>
  <c r="W2422" i="77" s="1"/>
  <c r="W2423" i="77" s="1"/>
  <c r="W2424" i="77" s="1"/>
  <c r="W2425" i="77" s="1"/>
  <c r="W2426" i="77" s="1"/>
  <c r="W2427" i="77" s="1"/>
  <c r="W2428" i="77" s="1"/>
  <c r="W2429" i="77" s="1"/>
  <c r="W2430" i="77" s="1"/>
  <c r="W2431" i="77" s="1"/>
  <c r="W2432" i="77" s="1"/>
  <c r="W2433" i="77" s="1"/>
  <c r="W2434" i="77" s="1"/>
  <c r="W2435" i="77" s="1"/>
  <c r="W2436" i="77" s="1"/>
  <c r="W2437" i="77" s="1"/>
  <c r="W2438" i="77" s="1"/>
  <c r="W2439" i="77" s="1"/>
  <c r="W2440" i="77" s="1"/>
  <c r="W2441" i="77" s="1"/>
  <c r="W2442" i="77" s="1"/>
  <c r="W2443" i="77" s="1"/>
  <c r="W2444" i="77" s="1"/>
  <c r="W2445" i="77" s="1"/>
  <c r="W2446" i="77" s="1"/>
  <c r="W2447" i="77" s="1"/>
  <c r="W2448" i="77" s="1"/>
  <c r="W2449" i="77" s="1"/>
  <c r="W2450" i="77" s="1"/>
  <c r="W2451" i="77" s="1"/>
  <c r="W2452" i="77" s="1"/>
  <c r="W2453" i="77" s="1"/>
  <c r="W2454" i="77" s="1"/>
  <c r="W2455" i="77" s="1"/>
  <c r="W2456" i="77" s="1"/>
  <c r="W2457" i="77" s="1"/>
  <c r="W2458" i="77" s="1"/>
  <c r="W2459" i="77" s="1"/>
  <c r="W2460" i="77" s="1"/>
  <c r="W2461" i="77" s="1"/>
  <c r="W2462" i="77" s="1"/>
  <c r="W2463" i="77" s="1"/>
  <c r="W2464" i="77" s="1"/>
  <c r="W2465" i="77" s="1"/>
  <c r="W2466" i="77" s="1"/>
  <c r="W2467" i="77" s="1"/>
  <c r="W2468" i="77" s="1"/>
  <c r="W2469" i="77" s="1"/>
  <c r="W2470" i="77" s="1"/>
  <c r="W2471" i="77" s="1"/>
  <c r="W2472" i="77" s="1"/>
  <c r="W2473" i="77" s="1"/>
  <c r="W2474" i="77" s="1"/>
  <c r="W2475" i="77" s="1"/>
  <c r="W2476" i="77" s="1"/>
  <c r="W2477" i="77" s="1"/>
  <c r="W2478" i="77" s="1"/>
  <c r="W2479" i="77" s="1"/>
  <c r="W2480" i="77" s="1"/>
  <c r="W2481" i="77" s="1"/>
  <c r="W2482" i="77" s="1"/>
  <c r="W2483" i="77" s="1"/>
  <c r="W2484" i="77" s="1"/>
  <c r="W2485" i="77" s="1"/>
  <c r="W2486" i="77" s="1"/>
  <c r="W2487" i="77" s="1"/>
  <c r="W2488" i="77" s="1"/>
  <c r="W2489" i="77" s="1"/>
  <c r="W2490" i="77" s="1"/>
  <c r="W2491" i="77" s="1"/>
  <c r="W2492" i="77" s="1"/>
  <c r="W2493" i="77" s="1"/>
  <c r="W2494" i="77" s="1"/>
  <c r="W2495" i="77" s="1"/>
  <c r="W2496" i="77" s="1"/>
  <c r="W2497" i="77" s="1"/>
  <c r="W2498" i="77" s="1"/>
  <c r="W2499" i="77" s="1"/>
  <c r="W2500" i="77" s="1"/>
  <c r="W2501" i="77" s="1"/>
  <c r="W2502" i="77" s="1"/>
  <c r="W2503" i="77" s="1"/>
  <c r="W2504" i="77" s="1"/>
  <c r="W2505" i="77" s="1"/>
  <c r="W2506" i="77" s="1"/>
  <c r="W2507" i="77" s="1"/>
  <c r="W2508" i="77" s="1"/>
  <c r="W2509" i="77" s="1"/>
  <c r="W2510" i="77" s="1"/>
  <c r="W2511" i="77" s="1"/>
  <c r="W2512" i="77" s="1"/>
  <c r="W2513" i="77" s="1"/>
  <c r="W2514" i="77" s="1"/>
  <c r="W2515" i="77" s="1"/>
  <c r="W2516" i="77" s="1"/>
  <c r="W2517" i="77" s="1"/>
  <c r="W2518" i="77" s="1"/>
  <c r="W2519" i="77" s="1"/>
  <c r="W2520" i="77" s="1"/>
  <c r="W2521" i="77" s="1"/>
  <c r="W2522" i="77" s="1"/>
  <c r="W2523" i="77" s="1"/>
  <c r="W2524" i="77" s="1"/>
  <c r="W2525" i="77" s="1"/>
  <c r="W2526" i="77" s="1"/>
  <c r="W2527" i="77" s="1"/>
  <c r="W2528" i="77" s="1"/>
  <c r="W2529" i="77" s="1"/>
  <c r="W2530" i="77" s="1"/>
  <c r="W2531" i="77" s="1"/>
  <c r="W2532" i="77" s="1"/>
  <c r="W2533" i="77" s="1"/>
  <c r="W2534" i="77" s="1"/>
  <c r="W2535" i="77" s="1"/>
  <c r="W2536" i="77" s="1"/>
  <c r="W2537" i="77" s="1"/>
  <c r="W2538" i="77" s="1"/>
  <c r="W2539" i="77" s="1"/>
  <c r="W2540" i="77" s="1"/>
  <c r="W2541" i="77" s="1"/>
  <c r="W2542" i="77" s="1"/>
  <c r="W2543" i="77" s="1"/>
  <c r="W2544" i="77" s="1"/>
  <c r="W2545" i="77" s="1"/>
  <c r="W2546" i="77" s="1"/>
  <c r="W2547" i="77" s="1"/>
  <c r="W2548" i="77" s="1"/>
  <c r="W2549" i="77" s="1"/>
  <c r="W2550" i="77" s="1"/>
  <c r="W2551" i="77" s="1"/>
  <c r="W2552" i="77" s="1"/>
  <c r="W2553" i="77" s="1"/>
  <c r="W2554" i="77" s="1"/>
  <c r="W2555" i="77" s="1"/>
  <c r="W2556" i="77" s="1"/>
  <c r="W2557" i="77" s="1"/>
  <c r="W2558" i="77" s="1"/>
  <c r="W2559" i="77" s="1"/>
  <c r="W2560" i="77" s="1"/>
  <c r="W2561" i="77" s="1"/>
  <c r="W2562" i="77" s="1"/>
  <c r="W2563" i="77" s="1"/>
  <c r="W2564" i="77" s="1"/>
  <c r="W2565" i="77" s="1"/>
  <c r="W2566" i="77" s="1"/>
  <c r="W2567" i="77" s="1"/>
  <c r="W2568" i="77" s="1"/>
  <c r="W2569" i="77" s="1"/>
  <c r="W2570" i="77" s="1"/>
  <c r="W2571" i="77" s="1"/>
  <c r="W2572" i="77" s="1"/>
  <c r="W2573" i="77" s="1"/>
  <c r="W2574" i="77" s="1"/>
  <c r="W2575" i="77" s="1"/>
  <c r="W2576" i="77" s="1"/>
  <c r="W2577" i="77" s="1"/>
  <c r="W2578" i="77" s="1"/>
  <c r="W2579" i="77" s="1"/>
  <c r="W2580" i="77" s="1"/>
  <c r="W2581" i="77" s="1"/>
  <c r="W2582" i="77" s="1"/>
  <c r="W2583" i="77" s="1"/>
  <c r="W2584" i="77" s="1"/>
  <c r="W2585" i="77" s="1"/>
  <c r="W2586" i="77" s="1"/>
  <c r="W2587" i="77" s="1"/>
  <c r="W2588" i="77" s="1"/>
  <c r="W2589" i="77" s="1"/>
  <c r="W2590" i="77" s="1"/>
  <c r="W2591" i="77" s="1"/>
  <c r="W2592" i="77" s="1"/>
  <c r="W2593" i="77" s="1"/>
  <c r="W2594" i="77" s="1"/>
  <c r="W2595" i="77" s="1"/>
  <c r="W2596" i="77" s="1"/>
  <c r="W2597" i="77" s="1"/>
  <c r="W2598" i="77" s="1"/>
  <c r="W2599" i="77" s="1"/>
  <c r="W2600" i="77" s="1"/>
  <c r="W2601" i="77" s="1"/>
  <c r="W2602" i="77" s="1"/>
  <c r="W2603" i="77" s="1"/>
  <c r="W2604" i="77" s="1"/>
  <c r="W2605" i="77" s="1"/>
  <c r="W2606" i="77" s="1"/>
  <c r="W2607" i="77" s="1"/>
  <c r="W2608" i="77" s="1"/>
  <c r="W2609" i="77" s="1"/>
  <c r="W2610" i="77" s="1"/>
  <c r="W2611" i="77" s="1"/>
  <c r="W2612" i="77" s="1"/>
  <c r="W2613" i="77" s="1"/>
  <c r="W2614" i="77" s="1"/>
  <c r="W2615" i="77" s="1"/>
  <c r="W2616" i="77" s="1"/>
  <c r="W2617" i="77" s="1"/>
  <c r="W2618" i="77" s="1"/>
  <c r="W2619" i="77" s="1"/>
  <c r="W2620" i="77" s="1"/>
  <c r="W2621" i="77" s="1"/>
  <c r="W2622" i="77" s="1"/>
  <c r="W2623" i="77" s="1"/>
  <c r="W2624" i="77" s="1"/>
  <c r="W2625" i="77" s="1"/>
  <c r="W2626" i="77" s="1"/>
  <c r="W2627" i="77" s="1"/>
  <c r="W2628" i="77" s="1"/>
  <c r="W2629" i="77" s="1"/>
  <c r="W2630" i="77" s="1"/>
  <c r="W2631" i="77" s="1"/>
  <c r="W2632" i="77" s="1"/>
  <c r="W2633" i="77" s="1"/>
  <c r="W2634" i="77" s="1"/>
  <c r="W2635" i="77" s="1"/>
  <c r="W2636" i="77" s="1"/>
  <c r="W2637" i="77" s="1"/>
  <c r="W2638" i="77" s="1"/>
  <c r="W2639" i="77" s="1"/>
  <c r="W2640" i="77" s="1"/>
  <c r="W2641" i="77" s="1"/>
  <c r="W2642" i="77" s="1"/>
  <c r="W2643" i="77" s="1"/>
  <c r="W2644" i="77" s="1"/>
  <c r="W2645" i="77" s="1"/>
  <c r="W2646" i="77" s="1"/>
  <c r="W2647" i="77" s="1"/>
  <c r="W2648" i="77" s="1"/>
  <c r="W2649" i="77" s="1"/>
  <c r="W2650" i="77" s="1"/>
  <c r="W2651" i="77" s="1"/>
  <c r="W2652" i="77" s="1"/>
  <c r="W2653" i="77" s="1"/>
  <c r="W2654" i="77" s="1"/>
  <c r="W2655" i="77" s="1"/>
  <c r="W2656" i="77" s="1"/>
  <c r="W2657" i="77" s="1"/>
  <c r="W2658" i="77" s="1"/>
  <c r="W2659" i="77" s="1"/>
  <c r="W2660" i="77" s="1"/>
  <c r="W2661" i="77" s="1"/>
  <c r="W2662" i="77" s="1"/>
  <c r="W2663" i="77" s="1"/>
  <c r="W2664" i="77" s="1"/>
  <c r="W2665" i="77" s="1"/>
  <c r="W2666" i="77" s="1"/>
  <c r="W2667" i="77" s="1"/>
  <c r="W2668" i="77" s="1"/>
  <c r="W2669" i="77" s="1"/>
  <c r="W2670" i="77" s="1"/>
  <c r="W2671" i="77" s="1"/>
  <c r="W2672" i="77" s="1"/>
  <c r="W2673" i="77" s="1"/>
  <c r="W2674" i="77" s="1"/>
  <c r="W2675" i="77" s="1"/>
  <c r="W2676" i="77" s="1"/>
  <c r="W2677" i="77" s="1"/>
  <c r="W2678" i="77" s="1"/>
  <c r="W2679" i="77" s="1"/>
  <c r="W2680" i="77" s="1"/>
  <c r="W2681" i="77" s="1"/>
  <c r="W2682" i="77" s="1"/>
  <c r="W2683" i="77" s="1"/>
  <c r="W2684" i="77" s="1"/>
  <c r="W2685" i="77" s="1"/>
  <c r="W2686" i="77" s="1"/>
  <c r="W2687" i="77" s="1"/>
  <c r="W2688" i="77" s="1"/>
  <c r="W2689" i="77" s="1"/>
  <c r="W2690" i="77" s="1"/>
  <c r="W2691" i="77" s="1"/>
  <c r="W2692" i="77" s="1"/>
  <c r="W2693" i="77" s="1"/>
  <c r="W2694" i="77" s="1"/>
  <c r="W2695" i="77" s="1"/>
  <c r="W2696" i="77" s="1"/>
  <c r="W2697" i="77" s="1"/>
  <c r="W2698" i="77" s="1"/>
  <c r="W2699" i="77" s="1"/>
  <c r="W2700" i="77" s="1"/>
  <c r="W2701" i="77" s="1"/>
  <c r="W2702" i="77" s="1"/>
  <c r="W2703" i="77" s="1"/>
  <c r="W2704" i="77" s="1"/>
  <c r="W2705" i="77" s="1"/>
  <c r="W2706" i="77" s="1"/>
  <c r="W2707" i="77" s="1"/>
  <c r="W2708" i="77" s="1"/>
  <c r="W2709" i="77" s="1"/>
  <c r="W2710" i="77" s="1"/>
  <c r="W2711" i="77" s="1"/>
  <c r="W2712" i="77" s="1"/>
  <c r="W2713" i="77" s="1"/>
  <c r="W2714" i="77" s="1"/>
  <c r="W2715" i="77" s="1"/>
  <c r="W2716" i="77" s="1"/>
  <c r="W2717" i="77" s="1"/>
  <c r="W2718" i="77" s="1"/>
  <c r="W2719" i="77" s="1"/>
  <c r="W2720" i="77" s="1"/>
  <c r="W2721" i="77" s="1"/>
  <c r="W2722" i="77" s="1"/>
  <c r="W2723" i="77" s="1"/>
  <c r="W2724" i="77" s="1"/>
  <c r="W2725" i="77" s="1"/>
  <c r="W2726" i="77" s="1"/>
  <c r="W2727" i="77" s="1"/>
  <c r="W2728" i="77" s="1"/>
  <c r="W2729" i="77" s="1"/>
  <c r="W2730" i="77" s="1"/>
  <c r="W2731" i="77" s="1"/>
  <c r="W2732" i="77" s="1"/>
  <c r="W2733" i="77" s="1"/>
  <c r="W2734" i="77" s="1"/>
  <c r="W2735" i="77" s="1"/>
  <c r="W2736" i="77" s="1"/>
  <c r="W2737" i="77" s="1"/>
  <c r="W2738" i="77" s="1"/>
  <c r="W2739" i="77" s="1"/>
  <c r="W2740" i="77" s="1"/>
  <c r="W2741" i="77" s="1"/>
  <c r="W2742" i="77" s="1"/>
  <c r="W2743" i="77" s="1"/>
  <c r="W2744" i="77" s="1"/>
  <c r="W2745" i="77" s="1"/>
  <c r="W2746" i="77" s="1"/>
  <c r="W2747" i="77" s="1"/>
  <c r="W2748" i="77" s="1"/>
  <c r="W2749" i="77" s="1"/>
  <c r="W2750" i="77" s="1"/>
  <c r="W2751" i="77" s="1"/>
  <c r="W2752" i="77" s="1"/>
  <c r="W2753" i="77" s="1"/>
  <c r="W2754" i="77" s="1"/>
  <c r="W2755" i="77" s="1"/>
  <c r="W2756" i="77" s="1"/>
  <c r="W2757" i="77" s="1"/>
  <c r="W2758" i="77" s="1"/>
  <c r="W2759" i="77" s="1"/>
  <c r="W2760" i="77" s="1"/>
  <c r="W2761" i="77" s="1"/>
  <c r="W2762" i="77" s="1"/>
  <c r="W2763" i="77" s="1"/>
  <c r="W2764" i="77" s="1"/>
  <c r="W2765" i="77" s="1"/>
  <c r="W2766" i="77" s="1"/>
  <c r="W2767" i="77" s="1"/>
  <c r="W2768" i="77" s="1"/>
  <c r="W2769" i="77" s="1"/>
  <c r="W2770" i="77" s="1"/>
  <c r="W2771" i="77" s="1"/>
  <c r="W2772" i="77" s="1"/>
  <c r="W2773" i="77" s="1"/>
  <c r="W2774" i="77" s="1"/>
  <c r="W2775" i="77" s="1"/>
  <c r="W2776" i="77" s="1"/>
  <c r="W2777" i="77" s="1"/>
  <c r="W2778" i="77" s="1"/>
  <c r="W2779" i="77" s="1"/>
  <c r="W2780" i="77" s="1"/>
  <c r="W2781" i="77" s="1"/>
  <c r="W2782" i="77" s="1"/>
  <c r="W2783" i="77" s="1"/>
  <c r="W2784" i="77" s="1"/>
  <c r="W2785" i="77" s="1"/>
  <c r="W2786" i="77" s="1"/>
  <c r="W2787" i="77" s="1"/>
  <c r="W2788" i="77" s="1"/>
  <c r="W2789" i="77" s="1"/>
  <c r="W2790" i="77" s="1"/>
  <c r="W2791" i="77" s="1"/>
  <c r="W2792" i="77" s="1"/>
  <c r="W2793" i="77" s="1"/>
  <c r="W2794" i="77" s="1"/>
  <c r="W2795" i="77" s="1"/>
  <c r="W2796" i="77" s="1"/>
  <c r="W2797" i="77" s="1"/>
  <c r="W2798" i="77" s="1"/>
  <c r="W2799" i="77" s="1"/>
  <c r="W2800" i="77" s="1"/>
  <c r="W2801" i="77" s="1"/>
  <c r="W2802" i="77" s="1"/>
  <c r="W2803" i="77" s="1"/>
  <c r="W2804" i="77" s="1"/>
  <c r="W2805" i="77" s="1"/>
  <c r="W2806" i="77" s="1"/>
  <c r="W2807" i="77" s="1"/>
  <c r="W2808" i="77" s="1"/>
  <c r="W2809" i="77" s="1"/>
  <c r="W2810" i="77" s="1"/>
  <c r="W2811" i="77" s="1"/>
  <c r="W2812" i="77" s="1"/>
  <c r="W2813" i="77" s="1"/>
  <c r="W2814" i="77" s="1"/>
  <c r="W2815" i="77" s="1"/>
  <c r="W2816" i="77" s="1"/>
  <c r="W2817" i="77" s="1"/>
  <c r="W2818" i="77" s="1"/>
  <c r="W2819" i="77" s="1"/>
  <c r="W2820" i="77" s="1"/>
  <c r="W2821" i="77" s="1"/>
  <c r="W2822" i="77" s="1"/>
  <c r="W2823" i="77" s="1"/>
  <c r="W2824" i="77" s="1"/>
  <c r="W2825" i="77" s="1"/>
  <c r="W2826" i="77" s="1"/>
  <c r="W2827" i="77" s="1"/>
  <c r="W2828" i="77" s="1"/>
  <c r="W2829" i="77" s="1"/>
  <c r="W2830" i="77" s="1"/>
  <c r="W2831" i="77" s="1"/>
  <c r="W2832" i="77" s="1"/>
  <c r="W2833" i="77" s="1"/>
  <c r="W2834" i="77" s="1"/>
  <c r="W2835" i="77" s="1"/>
  <c r="W2836" i="77" s="1"/>
  <c r="W2837" i="77" s="1"/>
  <c r="W2838" i="77" s="1"/>
  <c r="W2839" i="77" s="1"/>
  <c r="W2840" i="77" s="1"/>
  <c r="W2841" i="77" s="1"/>
  <c r="W2842" i="77" s="1"/>
  <c r="W2843" i="77" s="1"/>
  <c r="W2844" i="77" s="1"/>
  <c r="W2845" i="77" s="1"/>
  <c r="W2846" i="77" s="1"/>
  <c r="W2847" i="77" s="1"/>
  <c r="W2848" i="77" s="1"/>
  <c r="W2849" i="77" s="1"/>
  <c r="W2850" i="77" s="1"/>
  <c r="W2851" i="77" s="1"/>
  <c r="W2852" i="77" s="1"/>
  <c r="W2853" i="77" s="1"/>
  <c r="W2854" i="77" s="1"/>
  <c r="W2855" i="77" s="1"/>
  <c r="W2856" i="77" s="1"/>
  <c r="W2857" i="77" s="1"/>
  <c r="W2858" i="77" s="1"/>
  <c r="W2859" i="77" s="1"/>
  <c r="W2860" i="77" s="1"/>
  <c r="W2861" i="77" s="1"/>
  <c r="W2862" i="77" s="1"/>
  <c r="W2863" i="77" s="1"/>
  <c r="W2864" i="77" s="1"/>
  <c r="W2865" i="77" s="1"/>
  <c r="W2866" i="77" s="1"/>
  <c r="W2867" i="77" s="1"/>
  <c r="W2868" i="77" s="1"/>
  <c r="W2869" i="77" s="1"/>
  <c r="W2870" i="77" s="1"/>
  <c r="W2871" i="77" s="1"/>
  <c r="W2872" i="77" s="1"/>
  <c r="W2873" i="77" s="1"/>
  <c r="W2874" i="77" s="1"/>
  <c r="W2875" i="77" s="1"/>
  <c r="W2876" i="77" s="1"/>
  <c r="W2877" i="77" s="1"/>
  <c r="W2878" i="77" s="1"/>
  <c r="W2879" i="77" s="1"/>
  <c r="W2880" i="77" s="1"/>
  <c r="W2881" i="77" s="1"/>
  <c r="W2882" i="77" s="1"/>
  <c r="W2883" i="77" s="1"/>
  <c r="W2884" i="77" s="1"/>
  <c r="W2885" i="77" s="1"/>
  <c r="W2886" i="77" s="1"/>
  <c r="W2887" i="77" s="1"/>
  <c r="W2888" i="77" s="1"/>
  <c r="W2889" i="77" s="1"/>
  <c r="W2890" i="77" s="1"/>
  <c r="W2891" i="77" s="1"/>
  <c r="W2892" i="77" s="1"/>
  <c r="W2893" i="77" s="1"/>
  <c r="W2894" i="77" s="1"/>
  <c r="W2895" i="77" s="1"/>
  <c r="W2896" i="77" s="1"/>
  <c r="W2897" i="77" s="1"/>
  <c r="W2898" i="77" s="1"/>
  <c r="W2899" i="77" s="1"/>
  <c r="W2900" i="77" s="1"/>
  <c r="W2901" i="77" s="1"/>
  <c r="W2902" i="77" s="1"/>
  <c r="W2903" i="77" s="1"/>
  <c r="W2904" i="77" s="1"/>
  <c r="W2905" i="77" s="1"/>
  <c r="W2906" i="77" s="1"/>
  <c r="W2907" i="77" s="1"/>
  <c r="W2908" i="77" s="1"/>
  <c r="W2909" i="77" s="1"/>
  <c r="W2910" i="77" s="1"/>
  <c r="W2911" i="77" s="1"/>
  <c r="W2912" i="77" s="1"/>
  <c r="W2913" i="77" s="1"/>
  <c r="W2914" i="77" s="1"/>
  <c r="W2915" i="77" s="1"/>
  <c r="W2916" i="77" s="1"/>
  <c r="W2917" i="77" s="1"/>
  <c r="W2918" i="77" s="1"/>
  <c r="W2919" i="77" s="1"/>
  <c r="W2920" i="77" s="1"/>
  <c r="W2921" i="77" s="1"/>
  <c r="W2922" i="77" s="1"/>
  <c r="W2923" i="77" s="1"/>
  <c r="W2924" i="77" s="1"/>
  <c r="W2925" i="77" s="1"/>
  <c r="W2926" i="77" s="1"/>
  <c r="W2927" i="77" s="1"/>
  <c r="W2928" i="77" s="1"/>
  <c r="W2929" i="77" s="1"/>
  <c r="W2930" i="77" s="1"/>
  <c r="W2931" i="77" s="1"/>
  <c r="W2932" i="77" s="1"/>
  <c r="W2933" i="77" s="1"/>
  <c r="W2934" i="77" s="1"/>
  <c r="W2935" i="77" s="1"/>
  <c r="W2936" i="77" s="1"/>
  <c r="W2937" i="77" s="1"/>
  <c r="W2938" i="77" s="1"/>
  <c r="W2939" i="77" s="1"/>
  <c r="W2940" i="77" s="1"/>
  <c r="W2941" i="77" s="1"/>
  <c r="W2942" i="77" s="1"/>
  <c r="W2943" i="77" s="1"/>
  <c r="W2944" i="77" s="1"/>
  <c r="W2945" i="77" s="1"/>
  <c r="W2946" i="77" s="1"/>
  <c r="W2947" i="77" s="1"/>
  <c r="W2948" i="77" s="1"/>
  <c r="W2949" i="77" s="1"/>
  <c r="W2950" i="77" s="1"/>
  <c r="W2951" i="77" s="1"/>
  <c r="W2952" i="77" s="1"/>
  <c r="W2953" i="77" s="1"/>
  <c r="W2954" i="77" s="1"/>
  <c r="W2955" i="77" s="1"/>
  <c r="W2956" i="77" s="1"/>
  <c r="W2957" i="77" s="1"/>
  <c r="W2958" i="77" s="1"/>
  <c r="W2959" i="77" s="1"/>
  <c r="W2960" i="77" s="1"/>
  <c r="W2961" i="77" s="1"/>
  <c r="W2962" i="77" s="1"/>
  <c r="W2963" i="77" s="1"/>
  <c r="W2964" i="77" s="1"/>
  <c r="W2965" i="77" s="1"/>
  <c r="W2966" i="77" s="1"/>
  <c r="W2967" i="77" s="1"/>
  <c r="W2968" i="77" s="1"/>
  <c r="W2969" i="77" s="1"/>
  <c r="W2970" i="77" s="1"/>
  <c r="W2971" i="77" s="1"/>
  <c r="W2972" i="77" s="1"/>
  <c r="W2973" i="77" s="1"/>
  <c r="W2974" i="77" s="1"/>
  <c r="W2975" i="77" s="1"/>
  <c r="W2976" i="77" s="1"/>
  <c r="W2977" i="77" s="1"/>
  <c r="W2978" i="77" s="1"/>
  <c r="W2979" i="77" s="1"/>
  <c r="W2980" i="77" s="1"/>
  <c r="W2981" i="77" s="1"/>
  <c r="W2982" i="77" s="1"/>
  <c r="W2983" i="77" s="1"/>
  <c r="W2984" i="77" s="1"/>
  <c r="W2985" i="77" s="1"/>
  <c r="W2986" i="77" s="1"/>
  <c r="W2987" i="77" s="1"/>
  <c r="W2988" i="77" s="1"/>
  <c r="W2989" i="77" s="1"/>
  <c r="W2990" i="77" s="1"/>
  <c r="W2991" i="77" s="1"/>
  <c r="W2992" i="77" s="1"/>
  <c r="W2993" i="77" s="1"/>
  <c r="W2994" i="77" s="1"/>
  <c r="W2995" i="77" s="1"/>
  <c r="W2996" i="77" s="1"/>
  <c r="W2997" i="77" s="1"/>
  <c r="W2998" i="77" s="1"/>
  <c r="W2999" i="77" s="1"/>
  <c r="W3000" i="77" s="1"/>
  <c r="W3001" i="77" s="1"/>
  <c r="W3002" i="77" s="1"/>
  <c r="W3003" i="77" s="1"/>
  <c r="W3004" i="77" s="1"/>
  <c r="W3005" i="77" s="1"/>
  <c r="W3006" i="77" s="1"/>
  <c r="W3007" i="77" s="1"/>
  <c r="W3008" i="77" s="1"/>
  <c r="W3009" i="77" s="1"/>
  <c r="W3010" i="77" s="1"/>
  <c r="W3011" i="77" s="1"/>
  <c r="W3012" i="77" s="1"/>
  <c r="W3013" i="77" s="1"/>
  <c r="W3014" i="77" s="1"/>
  <c r="W3015" i="77" s="1"/>
  <c r="W3016" i="77" s="1"/>
  <c r="W3017" i="77" s="1"/>
  <c r="W3018" i="77" s="1"/>
  <c r="W3019" i="77" s="1"/>
  <c r="W3020" i="77" s="1"/>
  <c r="W3021" i="77" s="1"/>
  <c r="W3022" i="77" s="1"/>
  <c r="W3023" i="77" s="1"/>
  <c r="W3024" i="77" s="1"/>
  <c r="W3025" i="77" s="1"/>
  <c r="W3026" i="77" s="1"/>
  <c r="W3027" i="77" s="1"/>
  <c r="W3028" i="77" s="1"/>
  <c r="W3029" i="77" s="1"/>
  <c r="W3030" i="77" s="1"/>
  <c r="W3031" i="77" s="1"/>
  <c r="W3032" i="77" s="1"/>
  <c r="W3033" i="77" s="1"/>
  <c r="W3034" i="77" s="1"/>
  <c r="W3035" i="77" s="1"/>
  <c r="W3036" i="77" s="1"/>
  <c r="W3037" i="77" s="1"/>
  <c r="W3038" i="77" s="1"/>
  <c r="W3039" i="77" s="1"/>
  <c r="W3040" i="77" s="1"/>
  <c r="W3041" i="77" s="1"/>
  <c r="W3042" i="77" s="1"/>
  <c r="W3043" i="77" s="1"/>
  <c r="W3044" i="77" s="1"/>
  <c r="W3045" i="77" s="1"/>
  <c r="W3046" i="77" s="1"/>
  <c r="W3047" i="77" s="1"/>
  <c r="W3048" i="77" s="1"/>
  <c r="W3049" i="77" s="1"/>
  <c r="W3050" i="77" s="1"/>
  <c r="W3051" i="77" s="1"/>
  <c r="W3052" i="77" s="1"/>
  <c r="W3053" i="77" s="1"/>
  <c r="W3054" i="77" s="1"/>
  <c r="W3055" i="77" s="1"/>
  <c r="W3056" i="77" s="1"/>
  <c r="W3057" i="77" s="1"/>
  <c r="W3058" i="77" s="1"/>
  <c r="W3059" i="77" s="1"/>
  <c r="W3060" i="77" s="1"/>
  <c r="W3061" i="77" s="1"/>
  <c r="W3062" i="77" s="1"/>
  <c r="W3063" i="77" s="1"/>
  <c r="W3064" i="77" s="1"/>
  <c r="W3065" i="77" s="1"/>
  <c r="W3066" i="77" s="1"/>
  <c r="W3067" i="77" s="1"/>
  <c r="W3068" i="77" s="1"/>
  <c r="W3069" i="77" s="1"/>
  <c r="W3070" i="77" s="1"/>
  <c r="W3071" i="77" s="1"/>
  <c r="W3072" i="77" s="1"/>
  <c r="W3073" i="77" s="1"/>
  <c r="W3074" i="77" s="1"/>
  <c r="W3075" i="77" s="1"/>
  <c r="W3076" i="77" s="1"/>
  <c r="W3077" i="77" s="1"/>
  <c r="W3078" i="77" s="1"/>
  <c r="W3079" i="77" s="1"/>
  <c r="W3080" i="77" s="1"/>
  <c r="W3081" i="77" s="1"/>
  <c r="W3082" i="77" s="1"/>
  <c r="W3083" i="77" s="1"/>
  <c r="W3084" i="77" s="1"/>
  <c r="W3085" i="77" s="1"/>
  <c r="W3086" i="77" s="1"/>
  <c r="W3087" i="77" s="1"/>
  <c r="W3088" i="77" s="1"/>
  <c r="W3089" i="77" s="1"/>
  <c r="W3090" i="77" s="1"/>
  <c r="W3091" i="77" s="1"/>
  <c r="W3092" i="77" s="1"/>
  <c r="W3093" i="77" s="1"/>
  <c r="W3094" i="77" s="1"/>
  <c r="W3095" i="77" s="1"/>
  <c r="W3096" i="77" s="1"/>
  <c r="W3097" i="77" s="1"/>
  <c r="W3098" i="77" s="1"/>
  <c r="W3099" i="77" s="1"/>
  <c r="W3100" i="77" s="1"/>
  <c r="W3101" i="77" s="1"/>
  <c r="W3102" i="77" s="1"/>
  <c r="W3103" i="77" s="1"/>
  <c r="W3104" i="77" s="1"/>
  <c r="W3105" i="77" s="1"/>
  <c r="W3106" i="77" s="1"/>
  <c r="W3107" i="77" s="1"/>
  <c r="W3108" i="77" s="1"/>
  <c r="W3109" i="77" s="1"/>
  <c r="W3110" i="77" s="1"/>
  <c r="W3111" i="77" s="1"/>
  <c r="W3112" i="77" s="1"/>
  <c r="W3113" i="77" s="1"/>
  <c r="W3114" i="77" s="1"/>
  <c r="W3115" i="77" s="1"/>
  <c r="W3116" i="77" s="1"/>
  <c r="W3117" i="77" s="1"/>
  <c r="W3118" i="77" s="1"/>
  <c r="W3119" i="77" s="1"/>
  <c r="W3120" i="77" s="1"/>
  <c r="W3121" i="77" s="1"/>
  <c r="W3122" i="77" s="1"/>
  <c r="W3123" i="77" s="1"/>
  <c r="W3124" i="77" s="1"/>
  <c r="W3125" i="77" s="1"/>
  <c r="W3126" i="77" s="1"/>
  <c r="W3127" i="77" s="1"/>
  <c r="W3128" i="77" s="1"/>
  <c r="W3129" i="77" s="1"/>
  <c r="W3130" i="77" s="1"/>
  <c r="W3131" i="77" s="1"/>
  <c r="W3132" i="77" s="1"/>
  <c r="W3133" i="77" s="1"/>
  <c r="W3134" i="77" s="1"/>
  <c r="W3135" i="77" s="1"/>
  <c r="W3136" i="77" s="1"/>
  <c r="W3137" i="77" s="1"/>
  <c r="W3138" i="77" s="1"/>
  <c r="W3139" i="77" s="1"/>
  <c r="W3140" i="77" s="1"/>
  <c r="W3141" i="77" s="1"/>
  <c r="W3142" i="77" s="1"/>
  <c r="W3143" i="77" s="1"/>
  <c r="W3144" i="77" s="1"/>
  <c r="W3145" i="77" s="1"/>
  <c r="W3146" i="77" s="1"/>
  <c r="W3147" i="77" s="1"/>
  <c r="W3148" i="77" s="1"/>
  <c r="W3149" i="77" s="1"/>
  <c r="W3150" i="77" s="1"/>
  <c r="W3151" i="77" s="1"/>
  <c r="W3152" i="77" s="1"/>
  <c r="W3153" i="77" s="1"/>
  <c r="W3154" i="77" s="1"/>
  <c r="W3155" i="77" s="1"/>
  <c r="W3156" i="77" s="1"/>
  <c r="W3157" i="77" s="1"/>
  <c r="W3158" i="77" s="1"/>
  <c r="W3159" i="77" s="1"/>
  <c r="W3160" i="77" s="1"/>
  <c r="W3161" i="77" s="1"/>
  <c r="W3162" i="77" s="1"/>
  <c r="W3163" i="77" s="1"/>
  <c r="W3164" i="77" s="1"/>
  <c r="W3165" i="77" s="1"/>
  <c r="W3166" i="77" s="1"/>
  <c r="W3167" i="77" s="1"/>
  <c r="W3168" i="77" s="1"/>
  <c r="W3169" i="77" s="1"/>
  <c r="W3170" i="77" s="1"/>
  <c r="W3171" i="77" s="1"/>
  <c r="W3172" i="77" s="1"/>
  <c r="W3173" i="77" s="1"/>
  <c r="W3174" i="77" s="1"/>
  <c r="W3175" i="77" s="1"/>
  <c r="W3176" i="77" s="1"/>
  <c r="W3177" i="77" s="1"/>
  <c r="W3178" i="77" s="1"/>
  <c r="W3179" i="77" s="1"/>
  <c r="W3180" i="77" s="1"/>
  <c r="W3181" i="77" s="1"/>
  <c r="W3182" i="77" s="1"/>
  <c r="W3183" i="77" s="1"/>
  <c r="W3184" i="77" s="1"/>
  <c r="W3185" i="77" s="1"/>
  <c r="W3186" i="77" s="1"/>
  <c r="W3187" i="77" s="1"/>
  <c r="W3188" i="77" s="1"/>
  <c r="W3189" i="77" s="1"/>
  <c r="W3190" i="77" s="1"/>
  <c r="W3191" i="77" s="1"/>
  <c r="W3192" i="77" s="1"/>
  <c r="W3193" i="77" s="1"/>
  <c r="W3194" i="77" s="1"/>
  <c r="W3195" i="77" s="1"/>
  <c r="W3196" i="77" s="1"/>
  <c r="W3197" i="77" s="1"/>
  <c r="W3198" i="77" s="1"/>
  <c r="W3199" i="77" s="1"/>
  <c r="W3200" i="77" s="1"/>
  <c r="W3201" i="77" s="1"/>
  <c r="W3202" i="77" s="1"/>
  <c r="W3203" i="77" s="1"/>
  <c r="W3204" i="77" s="1"/>
  <c r="W3205" i="77" s="1"/>
  <c r="W3206" i="77" s="1"/>
  <c r="W3207" i="77" s="1"/>
  <c r="W3208" i="77" s="1"/>
  <c r="W3209" i="77" s="1"/>
  <c r="W3210" i="77" s="1"/>
  <c r="W3211" i="77" s="1"/>
  <c r="W3212" i="77" s="1"/>
  <c r="W3213" i="77" s="1"/>
  <c r="W3214" i="77" s="1"/>
  <c r="W3215" i="77" s="1"/>
  <c r="W3216" i="77" s="1"/>
  <c r="W3217" i="77" s="1"/>
  <c r="W3218" i="77" s="1"/>
  <c r="W3219" i="77" s="1"/>
  <c r="W3220" i="77" s="1"/>
  <c r="W3221" i="77" s="1"/>
  <c r="W3222" i="77" s="1"/>
  <c r="W3223" i="77" s="1"/>
  <c r="W3224" i="77" s="1"/>
  <c r="W3225" i="77" s="1"/>
  <c r="W3226" i="77" s="1"/>
  <c r="W3227" i="77" s="1"/>
  <c r="W3228" i="77" s="1"/>
  <c r="W3229" i="77" s="1"/>
  <c r="W3230" i="77" s="1"/>
  <c r="W3231" i="77" s="1"/>
  <c r="W3232" i="77" s="1"/>
  <c r="W3233" i="77" s="1"/>
  <c r="W3234" i="77" s="1"/>
  <c r="W3235" i="77" s="1"/>
  <c r="W3236" i="77" s="1"/>
  <c r="W3237" i="77" s="1"/>
  <c r="W3238" i="77" s="1"/>
  <c r="W3239" i="77" s="1"/>
  <c r="W3240" i="77" s="1"/>
  <c r="W3241" i="77" s="1"/>
  <c r="W3242" i="77" s="1"/>
  <c r="W3243" i="77" s="1"/>
  <c r="W3244" i="77" s="1"/>
  <c r="W3245" i="77" s="1"/>
  <c r="W3246" i="77" s="1"/>
  <c r="W3247" i="77" s="1"/>
  <c r="W3248" i="77" s="1"/>
  <c r="W3249" i="77" s="1"/>
  <c r="W3250" i="77" s="1"/>
  <c r="W3251" i="77" s="1"/>
  <c r="W3252" i="77" s="1"/>
  <c r="W3253" i="77" s="1"/>
  <c r="W3254" i="77" s="1"/>
  <c r="W3255" i="77" s="1"/>
  <c r="W3256" i="77" s="1"/>
  <c r="W3257" i="77" s="1"/>
  <c r="W3258" i="77" s="1"/>
  <c r="W3259" i="77" s="1"/>
  <c r="W3260" i="77" s="1"/>
  <c r="W3261" i="77" s="1"/>
  <c r="W3262" i="77" s="1"/>
  <c r="W3263" i="77" s="1"/>
  <c r="W3264" i="77" s="1"/>
  <c r="W3265" i="77" s="1"/>
  <c r="W3266" i="77" s="1"/>
  <c r="W3267" i="77" s="1"/>
  <c r="W3268" i="77" s="1"/>
  <c r="W3269" i="77" s="1"/>
  <c r="W3270" i="77" s="1"/>
  <c r="W3271" i="77" s="1"/>
  <c r="W3272" i="77" s="1"/>
  <c r="W3273" i="77" s="1"/>
  <c r="W3274" i="77" s="1"/>
  <c r="W3275" i="77" s="1"/>
  <c r="W3276" i="77" s="1"/>
  <c r="W3277" i="77" s="1"/>
  <c r="W3278" i="77" s="1"/>
  <c r="W3279" i="77" s="1"/>
  <c r="W3280" i="77" s="1"/>
  <c r="W3281" i="77" s="1"/>
  <c r="W3282" i="77" s="1"/>
  <c r="W3283" i="77" s="1"/>
  <c r="W3284" i="77" s="1"/>
  <c r="W3285" i="77" s="1"/>
  <c r="W3286" i="77" s="1"/>
  <c r="W3287" i="77" s="1"/>
  <c r="W3288" i="77" s="1"/>
  <c r="W3289" i="77" s="1"/>
  <c r="W3290" i="77" s="1"/>
  <c r="W3291" i="77" s="1"/>
  <c r="W3292" i="77" s="1"/>
  <c r="W3293" i="77" s="1"/>
  <c r="W3294" i="77" s="1"/>
  <c r="W3295" i="77" s="1"/>
  <c r="W3296" i="77" s="1"/>
  <c r="W3297" i="77" s="1"/>
  <c r="W3298" i="77" s="1"/>
  <c r="W3299" i="77" s="1"/>
  <c r="W3300" i="77" s="1"/>
  <c r="W3301" i="77" s="1"/>
  <c r="W3302" i="77" s="1"/>
  <c r="W3303" i="77" s="1"/>
  <c r="W3304" i="77" s="1"/>
  <c r="W3305" i="77" s="1"/>
  <c r="W3306" i="77" s="1"/>
  <c r="W3307" i="77" s="1"/>
  <c r="W3308" i="77" s="1"/>
  <c r="W3309" i="77" s="1"/>
  <c r="W3310" i="77" s="1"/>
  <c r="W3311" i="77" s="1"/>
  <c r="W3312" i="77" s="1"/>
  <c r="W3313" i="77" s="1"/>
  <c r="W3314" i="77" s="1"/>
  <c r="W3315" i="77" s="1"/>
  <c r="W3316" i="77" s="1"/>
  <c r="W3317" i="77" s="1"/>
  <c r="W3318" i="77" s="1"/>
  <c r="W3319" i="77" s="1"/>
  <c r="W3320" i="77" s="1"/>
  <c r="W3321" i="77" s="1"/>
  <c r="W3322" i="77" s="1"/>
  <c r="W3323" i="77" s="1"/>
  <c r="W3324" i="77" s="1"/>
  <c r="W3325" i="77" s="1"/>
  <c r="W3326" i="77" s="1"/>
  <c r="W3327" i="77" s="1"/>
  <c r="W3328" i="77" s="1"/>
  <c r="W3329" i="77" s="1"/>
  <c r="W3330" i="77" s="1"/>
  <c r="W3331" i="77" s="1"/>
  <c r="W3332" i="77" s="1"/>
  <c r="W3333" i="77" s="1"/>
  <c r="W3334" i="77" s="1"/>
  <c r="W3335" i="77" s="1"/>
  <c r="W3336" i="77" s="1"/>
  <c r="W3337" i="77" s="1"/>
  <c r="W3338" i="77" s="1"/>
  <c r="W3339" i="77" s="1"/>
  <c r="W3340" i="77" s="1"/>
  <c r="W3341" i="77" s="1"/>
  <c r="W3342" i="77" s="1"/>
  <c r="W3343" i="77" s="1"/>
  <c r="W3344" i="77" s="1"/>
  <c r="W3345" i="77" s="1"/>
  <c r="W3346" i="77" s="1"/>
  <c r="W3347" i="77" s="1"/>
  <c r="W3348" i="77" s="1"/>
  <c r="W3349" i="77" s="1"/>
  <c r="W3350" i="77" s="1"/>
  <c r="W3351" i="77" s="1"/>
  <c r="W3352" i="77" s="1"/>
  <c r="W3353" i="77" s="1"/>
  <c r="W3354" i="77" s="1"/>
  <c r="W3355" i="77" s="1"/>
  <c r="W3356" i="77" s="1"/>
  <c r="W3357" i="77" s="1"/>
  <c r="W3358" i="77" s="1"/>
  <c r="W3359" i="77" s="1"/>
  <c r="W3360" i="77" s="1"/>
  <c r="W3361" i="77" s="1"/>
  <c r="W3362" i="77" s="1"/>
  <c r="W3363" i="77" s="1"/>
  <c r="W3364" i="77" s="1"/>
  <c r="W3365" i="77" s="1"/>
  <c r="W3366" i="77" s="1"/>
  <c r="W3367" i="77" s="1"/>
  <c r="W3368" i="77" s="1"/>
  <c r="W3369" i="77" s="1"/>
  <c r="W3370" i="77" s="1"/>
  <c r="W3371" i="77" s="1"/>
  <c r="W3372" i="77" s="1"/>
  <c r="W3373" i="77" s="1"/>
  <c r="W3374" i="77" s="1"/>
  <c r="W3375" i="77" s="1"/>
  <c r="W3376" i="77" s="1"/>
  <c r="W3377" i="77" s="1"/>
  <c r="W3378" i="77" s="1"/>
  <c r="W3379" i="77" s="1"/>
  <c r="W3380" i="77" s="1"/>
  <c r="W3381" i="77" s="1"/>
  <c r="W3382" i="77" s="1"/>
  <c r="W3383" i="77" s="1"/>
  <c r="W3384" i="77" s="1"/>
  <c r="W3385" i="77" s="1"/>
  <c r="W3386" i="77" s="1"/>
  <c r="W3387" i="77" s="1"/>
  <c r="W3388" i="77" s="1"/>
  <c r="W3389" i="77" s="1"/>
  <c r="W3390" i="77" s="1"/>
  <c r="W3391" i="77" s="1"/>
  <c r="W3392" i="77" s="1"/>
  <c r="W3393" i="77" s="1"/>
  <c r="W3394" i="77" s="1"/>
  <c r="W3395" i="77" s="1"/>
  <c r="W3396" i="77" s="1"/>
  <c r="W3397" i="77" s="1"/>
  <c r="W3398" i="77" s="1"/>
  <c r="W3399" i="77" s="1"/>
  <c r="W3400" i="77" s="1"/>
  <c r="W3401" i="77" s="1"/>
  <c r="W3402" i="77" s="1"/>
  <c r="W3403" i="77" s="1"/>
  <c r="W3404" i="77" s="1"/>
  <c r="W3405" i="77" s="1"/>
  <c r="W3406" i="77" s="1"/>
  <c r="W3407" i="77" s="1"/>
  <c r="W3408" i="77" s="1"/>
  <c r="W3409" i="77" s="1"/>
  <c r="W3410" i="77" s="1"/>
  <c r="W3411" i="77" s="1"/>
  <c r="W3412" i="77" s="1"/>
  <c r="W3413" i="77" s="1"/>
  <c r="W3414" i="77" s="1"/>
  <c r="W3415" i="77" s="1"/>
  <c r="W3416" i="77" s="1"/>
  <c r="W3417" i="77" s="1"/>
  <c r="W3418" i="77" s="1"/>
  <c r="W3419" i="77" s="1"/>
  <c r="W3420" i="77" s="1"/>
  <c r="W3421" i="77" s="1"/>
  <c r="W3422" i="77" s="1"/>
  <c r="W3423" i="77" s="1"/>
  <c r="W3424" i="77" s="1"/>
  <c r="W3425" i="77" s="1"/>
  <c r="W3426" i="77" s="1"/>
  <c r="W3427" i="77" s="1"/>
  <c r="W3428" i="77" s="1"/>
  <c r="W3429" i="77" s="1"/>
  <c r="W3430" i="77" s="1"/>
  <c r="W3431" i="77" s="1"/>
  <c r="W3432" i="77" s="1"/>
  <c r="W3433" i="77" s="1"/>
  <c r="W3434" i="77" s="1"/>
  <c r="W3435" i="77" s="1"/>
  <c r="W3436" i="77" s="1"/>
  <c r="W3437" i="77" s="1"/>
  <c r="W3438" i="77" s="1"/>
  <c r="W3439" i="77" s="1"/>
  <c r="W3440" i="77" s="1"/>
  <c r="W3441" i="77" s="1"/>
  <c r="W3442" i="77" s="1"/>
  <c r="W3443" i="77" s="1"/>
  <c r="W3444" i="77" s="1"/>
  <c r="W3445" i="77" s="1"/>
  <c r="W3446" i="77" s="1"/>
  <c r="W3447" i="77" s="1"/>
  <c r="W3448" i="77" s="1"/>
  <c r="W3449" i="77" s="1"/>
  <c r="W3450" i="77" s="1"/>
  <c r="W3451" i="77" s="1"/>
  <c r="W3452" i="77" s="1"/>
  <c r="W3453" i="77" s="1"/>
  <c r="W3454" i="77" s="1"/>
  <c r="W3455" i="77" s="1"/>
  <c r="W3456" i="77" s="1"/>
  <c r="W3457" i="77" s="1"/>
  <c r="W3458" i="77" s="1"/>
  <c r="W3459" i="77" s="1"/>
  <c r="W3460" i="77" s="1"/>
  <c r="W3461" i="77" s="1"/>
  <c r="W3462" i="77" s="1"/>
  <c r="W3463" i="77" s="1"/>
  <c r="W3464" i="77" s="1"/>
  <c r="W3465" i="77" s="1"/>
  <c r="W3466" i="77" s="1"/>
  <c r="W3467" i="77" s="1"/>
  <c r="W3468" i="77" s="1"/>
  <c r="W3469" i="77" s="1"/>
  <c r="W3470" i="77" s="1"/>
  <c r="W3471" i="77" s="1"/>
  <c r="W3472" i="77" s="1"/>
  <c r="W3473" i="77" s="1"/>
  <c r="W3474" i="77" s="1"/>
  <c r="W3475" i="77" s="1"/>
  <c r="W3476" i="77" s="1"/>
  <c r="W3477" i="77" s="1"/>
  <c r="W3478" i="77" s="1"/>
  <c r="W3479" i="77" s="1"/>
  <c r="W3480" i="77" s="1"/>
  <c r="W3481" i="77" s="1"/>
  <c r="W3482" i="77" s="1"/>
  <c r="W3483" i="77" s="1"/>
  <c r="W3484" i="77" s="1"/>
  <c r="W3485" i="77" s="1"/>
  <c r="W3486" i="77" s="1"/>
  <c r="W3487" i="77" s="1"/>
  <c r="W3488" i="77" s="1"/>
  <c r="W3489" i="77" s="1"/>
  <c r="W3490" i="77" s="1"/>
  <c r="W3491" i="77" s="1"/>
  <c r="W3492" i="77" s="1"/>
  <c r="W3493" i="77" s="1"/>
  <c r="W3494" i="77" s="1"/>
  <c r="W3495" i="77" s="1"/>
  <c r="W3496" i="77" s="1"/>
  <c r="W3497" i="77" s="1"/>
  <c r="W3498" i="77" s="1"/>
  <c r="W3499" i="77" s="1"/>
  <c r="W3500" i="77" s="1"/>
  <c r="W3501" i="77" s="1"/>
  <c r="W3502" i="77" s="1"/>
  <c r="W3503" i="77" s="1"/>
  <c r="W3504" i="77" s="1"/>
  <c r="W3505" i="77" s="1"/>
  <c r="W3506" i="77" s="1"/>
  <c r="W3507" i="77" s="1"/>
  <c r="W3508" i="77" s="1"/>
  <c r="W3509" i="77" s="1"/>
  <c r="W3510" i="77" s="1"/>
  <c r="W3511" i="77" s="1"/>
  <c r="W3512" i="77" s="1"/>
  <c r="W3513" i="77" s="1"/>
  <c r="W3514" i="77" s="1"/>
  <c r="W3515" i="77" s="1"/>
  <c r="W3516" i="77" s="1"/>
  <c r="W3517" i="77" s="1"/>
  <c r="W3518" i="77" s="1"/>
  <c r="W3519" i="77" s="1"/>
  <c r="W3520" i="77" s="1"/>
  <c r="W3521" i="77" s="1"/>
  <c r="W3522" i="77" s="1"/>
  <c r="W3523" i="77" s="1"/>
  <c r="W3524" i="77" s="1"/>
  <c r="W3525" i="77" s="1"/>
  <c r="W3526" i="77" s="1"/>
  <c r="W3527" i="77" s="1"/>
  <c r="W3528" i="77" s="1"/>
  <c r="W3529" i="77" s="1"/>
  <c r="W3530" i="77" s="1"/>
  <c r="W3531" i="77" s="1"/>
  <c r="W3532" i="77" s="1"/>
  <c r="W3533" i="77" s="1"/>
  <c r="W3534" i="77" s="1"/>
  <c r="W3535" i="77" s="1"/>
  <c r="W3536" i="77" s="1"/>
  <c r="W3537" i="77" s="1"/>
  <c r="W3538" i="77" s="1"/>
  <c r="W3539" i="77" s="1"/>
  <c r="W3540" i="77" s="1"/>
  <c r="W3541" i="77" s="1"/>
  <c r="W3542" i="77" s="1"/>
  <c r="W3543" i="77" s="1"/>
  <c r="W3544" i="77" s="1"/>
  <c r="W3545" i="77" s="1"/>
  <c r="W3546" i="77" s="1"/>
  <c r="W3547" i="77" s="1"/>
  <c r="W3548" i="77" s="1"/>
  <c r="W3549" i="77" s="1"/>
  <c r="W3550" i="77" s="1"/>
  <c r="W3551" i="77" s="1"/>
  <c r="W3552" i="77" s="1"/>
  <c r="W3553" i="77" s="1"/>
  <c r="W3554" i="77" s="1"/>
  <c r="W3555" i="77" s="1"/>
  <c r="W3556" i="77" s="1"/>
  <c r="W3557" i="77" s="1"/>
  <c r="W3558" i="77" s="1"/>
  <c r="W3559" i="77" s="1"/>
  <c r="W3560" i="77" s="1"/>
  <c r="W3561" i="77" s="1"/>
  <c r="W3562" i="77" s="1"/>
  <c r="W3563" i="77" s="1"/>
  <c r="W3564" i="77" s="1"/>
  <c r="W3565" i="77" s="1"/>
  <c r="W3566" i="77" s="1"/>
  <c r="W3567" i="77" s="1"/>
  <c r="W3568" i="77" s="1"/>
  <c r="W3569" i="77" s="1"/>
  <c r="W3570" i="77" s="1"/>
  <c r="W3571" i="77" s="1"/>
  <c r="W3572" i="77" s="1"/>
  <c r="W3573" i="77" s="1"/>
  <c r="W3574" i="77" s="1"/>
  <c r="W3575" i="77" s="1"/>
  <c r="W3576" i="77" s="1"/>
  <c r="W3577" i="77" s="1"/>
  <c r="W3578" i="77" s="1"/>
  <c r="W3579" i="77" s="1"/>
  <c r="W3580" i="77" s="1"/>
  <c r="W3581" i="77" s="1"/>
  <c r="W3582" i="77" s="1"/>
  <c r="W3583" i="77" s="1"/>
  <c r="W3584" i="77" s="1"/>
  <c r="W3585" i="77" s="1"/>
  <c r="W3586" i="77" s="1"/>
  <c r="W3587" i="77" s="1"/>
  <c r="W3588" i="77" s="1"/>
  <c r="W3589" i="77" s="1"/>
  <c r="W3590" i="77" s="1"/>
  <c r="W3591" i="77" s="1"/>
  <c r="W3592" i="77" s="1"/>
  <c r="W3593" i="77" s="1"/>
  <c r="W3594" i="77" s="1"/>
  <c r="W3595" i="77" s="1"/>
  <c r="W3596" i="77" s="1"/>
  <c r="W3597" i="77" s="1"/>
  <c r="W3598" i="77" s="1"/>
  <c r="W3599" i="77" s="1"/>
  <c r="W3600" i="77" s="1"/>
  <c r="W3601" i="77" s="1"/>
  <c r="W3602" i="77" s="1"/>
  <c r="W3603" i="77" s="1"/>
  <c r="W3604" i="77" s="1"/>
  <c r="W3605" i="77" s="1"/>
  <c r="W3606" i="77" s="1"/>
  <c r="W3607" i="77" s="1"/>
  <c r="W3608" i="77" s="1"/>
  <c r="W3609" i="77" s="1"/>
  <c r="W3610" i="77" s="1"/>
  <c r="W3611" i="77" s="1"/>
  <c r="W3612" i="77" s="1"/>
  <c r="W3613" i="77" s="1"/>
  <c r="W3614" i="77" s="1"/>
  <c r="W3615" i="77" s="1"/>
  <c r="W3616" i="77" s="1"/>
  <c r="W3617" i="77" s="1"/>
  <c r="W3618" i="77" s="1"/>
  <c r="W3619" i="77" s="1"/>
  <c r="W3620" i="77" s="1"/>
  <c r="W3621" i="77" s="1"/>
  <c r="W3622" i="77" s="1"/>
  <c r="W3623" i="77" s="1"/>
  <c r="W3624" i="77" s="1"/>
  <c r="W3625" i="77" s="1"/>
  <c r="W3626" i="77" s="1"/>
  <c r="W3627" i="77" s="1"/>
  <c r="W3628" i="77" s="1"/>
  <c r="W3629" i="77" s="1"/>
  <c r="W3630" i="77" s="1"/>
  <c r="W3631" i="77" s="1"/>
  <c r="W3632" i="77" s="1"/>
  <c r="W3633" i="77" s="1"/>
  <c r="W3634" i="77" s="1"/>
  <c r="W3635" i="77" s="1"/>
  <c r="W3636" i="77" s="1"/>
  <c r="W3637" i="77" s="1"/>
  <c r="W3638" i="77" s="1"/>
  <c r="W3639" i="77" s="1"/>
  <c r="W3640" i="77" s="1"/>
  <c r="W3641" i="77" s="1"/>
  <c r="W3642" i="77" s="1"/>
  <c r="W3643" i="77" s="1"/>
  <c r="W3644" i="77" s="1"/>
  <c r="W3645" i="77" s="1"/>
  <c r="W3646" i="77" s="1"/>
  <c r="W3647" i="77" s="1"/>
  <c r="W3648" i="77" s="1"/>
  <c r="W3649" i="77" s="1"/>
  <c r="W3650" i="77" s="1"/>
  <c r="W3651" i="77" s="1"/>
  <c r="W3652" i="77" s="1"/>
  <c r="W3653" i="77" s="1"/>
  <c r="W3654" i="77" s="1"/>
  <c r="W3655" i="77" s="1"/>
  <c r="W3656" i="77" s="1"/>
  <c r="W3657" i="77" s="1"/>
  <c r="W3658" i="77" s="1"/>
  <c r="W3659" i="77" s="1"/>
  <c r="W3660" i="77" s="1"/>
  <c r="W3661" i="77" s="1"/>
  <c r="W3662" i="77" s="1"/>
  <c r="W3663" i="77" s="1"/>
  <c r="W3664" i="77" s="1"/>
  <c r="W3665" i="77" s="1"/>
  <c r="W3666" i="77" s="1"/>
  <c r="W3667" i="77" s="1"/>
  <c r="W3668" i="77" s="1"/>
  <c r="W3669" i="77" s="1"/>
  <c r="W3670" i="77" s="1"/>
  <c r="W3671" i="77" s="1"/>
  <c r="W3672" i="77" s="1"/>
  <c r="W3673" i="77" s="1"/>
  <c r="W3674" i="77" s="1"/>
  <c r="W3675" i="77" s="1"/>
  <c r="W3676" i="77" s="1"/>
  <c r="W3677" i="77" s="1"/>
  <c r="W3678" i="77" s="1"/>
  <c r="W3679" i="77" s="1"/>
  <c r="W3680" i="77" s="1"/>
  <c r="W3681" i="77" s="1"/>
  <c r="W3682" i="77" s="1"/>
  <c r="W3683" i="77" s="1"/>
  <c r="W3684" i="77" s="1"/>
  <c r="W3685" i="77" s="1"/>
  <c r="W3686" i="77" s="1"/>
  <c r="W3687" i="77" s="1"/>
  <c r="W3688" i="77" s="1"/>
  <c r="W3689" i="77" s="1"/>
  <c r="W3690" i="77" s="1"/>
  <c r="W3691" i="77" s="1"/>
  <c r="W3692" i="77" s="1"/>
  <c r="W3693" i="77" s="1"/>
  <c r="W3694" i="77" s="1"/>
  <c r="W3695" i="77" s="1"/>
  <c r="W3696" i="77" s="1"/>
  <c r="W3697" i="77" s="1"/>
  <c r="W3698" i="77" s="1"/>
  <c r="W3699" i="77" s="1"/>
  <c r="W3700" i="77" s="1"/>
  <c r="W3701" i="77" s="1"/>
  <c r="W3702" i="77" s="1"/>
  <c r="W3703" i="77" s="1"/>
  <c r="W3704" i="77" s="1"/>
  <c r="W3705" i="77" s="1"/>
  <c r="W3706" i="77" s="1"/>
  <c r="W3707" i="77" s="1"/>
  <c r="W3708" i="77" s="1"/>
  <c r="W3709" i="77" s="1"/>
  <c r="W3710" i="77" s="1"/>
  <c r="W3711" i="77" s="1"/>
  <c r="W3712" i="77" s="1"/>
  <c r="W3713" i="77" s="1"/>
  <c r="W3714" i="77" s="1"/>
  <c r="W3715" i="77" s="1"/>
  <c r="W3716" i="77" s="1"/>
  <c r="W3717" i="77" s="1"/>
  <c r="W3718" i="77" s="1"/>
  <c r="W3719" i="77" s="1"/>
  <c r="W3720" i="77" s="1"/>
  <c r="W3721" i="77" s="1"/>
  <c r="W3722" i="77" s="1"/>
  <c r="W3723" i="77" s="1"/>
  <c r="W3724" i="77" s="1"/>
  <c r="W3725" i="77" s="1"/>
  <c r="W3726" i="77" s="1"/>
  <c r="W3727" i="77" s="1"/>
  <c r="W3728" i="77" s="1"/>
  <c r="W3729" i="77" s="1"/>
  <c r="W3730" i="77" s="1"/>
  <c r="W3731" i="77" s="1"/>
  <c r="W3732" i="77" s="1"/>
  <c r="W3733" i="77" s="1"/>
  <c r="W3734" i="77" s="1"/>
  <c r="W3735" i="77" s="1"/>
  <c r="W3736" i="77" s="1"/>
  <c r="W3737" i="77" s="1"/>
  <c r="W3738" i="77" s="1"/>
  <c r="W3739" i="77" s="1"/>
  <c r="W3740" i="77" s="1"/>
  <c r="W3741" i="77" s="1"/>
  <c r="W3742" i="77" s="1"/>
  <c r="W3743" i="77" s="1"/>
  <c r="W3744" i="77" s="1"/>
  <c r="W3745" i="77" s="1"/>
  <c r="W3746" i="77" s="1"/>
  <c r="W3747" i="77" s="1"/>
  <c r="W3748" i="77" s="1"/>
  <c r="W3749" i="77" s="1"/>
  <c r="W3750" i="77" s="1"/>
  <c r="W3751" i="77" s="1"/>
  <c r="W3752" i="77" s="1"/>
  <c r="W3753" i="77" s="1"/>
  <c r="W3754" i="77" s="1"/>
  <c r="W3755" i="77" s="1"/>
  <c r="W3756" i="77" s="1"/>
  <c r="W3757" i="77" s="1"/>
  <c r="W3758" i="77" s="1"/>
  <c r="W3759" i="77" s="1"/>
  <c r="W3760" i="77" s="1"/>
  <c r="W3761" i="77" s="1"/>
  <c r="W3762" i="77" s="1"/>
  <c r="W3763" i="77" s="1"/>
  <c r="W3764" i="77" s="1"/>
  <c r="W3765" i="77" s="1"/>
  <c r="W3766" i="77" s="1"/>
  <c r="W3767" i="77" s="1"/>
  <c r="W3768" i="77" s="1"/>
  <c r="W3769" i="77" s="1"/>
  <c r="W3770" i="77" s="1"/>
  <c r="W3771" i="77" s="1"/>
  <c r="W3772" i="77" s="1"/>
  <c r="W3773" i="77" s="1"/>
  <c r="W3774" i="77" s="1"/>
  <c r="W3775" i="77" s="1"/>
  <c r="W3776" i="77" s="1"/>
  <c r="W3777" i="77" s="1"/>
  <c r="W3778" i="77" s="1"/>
  <c r="W3779" i="77" s="1"/>
  <c r="W3780" i="77" s="1"/>
  <c r="W3781" i="77" s="1"/>
  <c r="W3782" i="77" s="1"/>
  <c r="W3783" i="77" s="1"/>
  <c r="W3784" i="77" s="1"/>
  <c r="W3785" i="77" s="1"/>
  <c r="W3786" i="77" s="1"/>
  <c r="W3787" i="77" s="1"/>
  <c r="W3788" i="77" s="1"/>
  <c r="W3789" i="77" s="1"/>
  <c r="W3790" i="77" s="1"/>
  <c r="W3791" i="77" s="1"/>
  <c r="W3792" i="77" s="1"/>
  <c r="W3793" i="77" s="1"/>
  <c r="W3794" i="77" s="1"/>
  <c r="W3795" i="77" s="1"/>
  <c r="W3796" i="77" s="1"/>
  <c r="W3797" i="77" s="1"/>
  <c r="W3798" i="77" s="1"/>
  <c r="W3799" i="77" s="1"/>
  <c r="W3800" i="77" s="1"/>
  <c r="W3801" i="77" s="1"/>
  <c r="W3802" i="77" s="1"/>
  <c r="W3803" i="77" s="1"/>
  <c r="W3804" i="77" s="1"/>
  <c r="W3805" i="77" s="1"/>
  <c r="W3806" i="77" s="1"/>
  <c r="W3807" i="77" s="1"/>
  <c r="W3808" i="77" s="1"/>
  <c r="W3809" i="77" s="1"/>
  <c r="W3810" i="77" s="1"/>
  <c r="W3811" i="77" s="1"/>
  <c r="W3812" i="77" s="1"/>
  <c r="W3813" i="77" s="1"/>
  <c r="W3814" i="77" s="1"/>
  <c r="W3815" i="77" s="1"/>
  <c r="W3816" i="77" s="1"/>
  <c r="W3817" i="77" s="1"/>
  <c r="W3818" i="77" s="1"/>
  <c r="W3819" i="77" s="1"/>
  <c r="W3820" i="77" s="1"/>
  <c r="W3821" i="77" s="1"/>
  <c r="W3822" i="77" s="1"/>
  <c r="W3823" i="77" s="1"/>
  <c r="W3824" i="77" s="1"/>
  <c r="W3825" i="77" s="1"/>
  <c r="W3826" i="77" s="1"/>
  <c r="W3827" i="77" s="1"/>
  <c r="W3828" i="77" s="1"/>
  <c r="W3829" i="77" s="1"/>
  <c r="W3830" i="77" s="1"/>
  <c r="W3831" i="77" s="1"/>
  <c r="W3832" i="77" s="1"/>
  <c r="W3833" i="77" s="1"/>
  <c r="W3834" i="77" s="1"/>
  <c r="W3835" i="77" s="1"/>
  <c r="W3836" i="77" s="1"/>
  <c r="W3837" i="77" s="1"/>
  <c r="W3838" i="77" s="1"/>
  <c r="W3839" i="77" s="1"/>
  <c r="W3840" i="77" s="1"/>
  <c r="W3841" i="77" s="1"/>
  <c r="W3842" i="77" s="1"/>
  <c r="W3843" i="77" s="1"/>
  <c r="W3844" i="77" s="1"/>
  <c r="W3845" i="77" s="1"/>
  <c r="W3846" i="77" s="1"/>
  <c r="W3847" i="77" s="1"/>
  <c r="W3848" i="77" s="1"/>
  <c r="W3849" i="77" s="1"/>
  <c r="W3850" i="77" s="1"/>
  <c r="W3851" i="77" s="1"/>
  <c r="W3852" i="77" s="1"/>
  <c r="W3853" i="77" s="1"/>
  <c r="W3854" i="77" s="1"/>
  <c r="W3855" i="77" s="1"/>
  <c r="W3856" i="77" s="1"/>
  <c r="W3857" i="77" s="1"/>
  <c r="W3858" i="77" s="1"/>
  <c r="W3859" i="77" s="1"/>
  <c r="W3860" i="77" s="1"/>
  <c r="W3861" i="77" s="1"/>
  <c r="W3862" i="77" s="1"/>
  <c r="W3863" i="77" s="1"/>
  <c r="W3864" i="77" s="1"/>
  <c r="W3865" i="77" s="1"/>
  <c r="W3866" i="77" s="1"/>
  <c r="W3867" i="77" s="1"/>
  <c r="W3868" i="77" s="1"/>
  <c r="W3869" i="77" s="1"/>
  <c r="W3870" i="77" s="1"/>
  <c r="W3871" i="77" s="1"/>
  <c r="W3872" i="77" s="1"/>
  <c r="W3873" i="77" s="1"/>
  <c r="W3874" i="77" s="1"/>
  <c r="W3875" i="77" s="1"/>
  <c r="W3876" i="77" s="1"/>
  <c r="W3877" i="77" s="1"/>
  <c r="W3878" i="77" s="1"/>
  <c r="W3879" i="77" s="1"/>
  <c r="W3880" i="77" s="1"/>
  <c r="W3881" i="77" s="1"/>
  <c r="W3882" i="77" s="1"/>
  <c r="W3883" i="77" s="1"/>
  <c r="W3884" i="77" s="1"/>
  <c r="W3885" i="77" s="1"/>
  <c r="W3886" i="77" s="1"/>
  <c r="W3887" i="77" s="1"/>
  <c r="W3888" i="77" s="1"/>
  <c r="W3889" i="77" s="1"/>
  <c r="W3890" i="77" s="1"/>
  <c r="W3891" i="77" s="1"/>
  <c r="W3892" i="77" s="1"/>
  <c r="W3893" i="77" s="1"/>
  <c r="W3894" i="77" s="1"/>
  <c r="W3895" i="77" s="1"/>
  <c r="W3896" i="77" s="1"/>
  <c r="W3897" i="77" s="1"/>
  <c r="W3898" i="77" s="1"/>
  <c r="W3899" i="77" s="1"/>
  <c r="W3900" i="77" s="1"/>
  <c r="W3901" i="77" s="1"/>
  <c r="W3902" i="77" s="1"/>
  <c r="W3903" i="77" s="1"/>
  <c r="W3904" i="77" s="1"/>
  <c r="W3905" i="77" s="1"/>
  <c r="W3906" i="77" s="1"/>
  <c r="W3907" i="77" s="1"/>
  <c r="W3908" i="77" s="1"/>
  <c r="W3909" i="77" s="1"/>
  <c r="W3910" i="77" s="1"/>
  <c r="W3911" i="77" s="1"/>
  <c r="W3912" i="77" s="1"/>
  <c r="W3913" i="77" s="1"/>
  <c r="W3914" i="77" s="1"/>
  <c r="W3915" i="77" s="1"/>
  <c r="W3916" i="77" s="1"/>
  <c r="W3917" i="77" s="1"/>
  <c r="W3918" i="77" s="1"/>
  <c r="W3919" i="77" s="1"/>
  <c r="W3920" i="77" s="1"/>
  <c r="W3921" i="77" s="1"/>
  <c r="W3922" i="77" s="1"/>
  <c r="W3923" i="77" s="1"/>
  <c r="W3924" i="77" s="1"/>
  <c r="W3925" i="77" s="1"/>
  <c r="W3926" i="77" s="1"/>
  <c r="W3927" i="77" s="1"/>
  <c r="W3928" i="77" s="1"/>
  <c r="W3929" i="77" s="1"/>
  <c r="W3930" i="77" s="1"/>
  <c r="W3931" i="77" s="1"/>
  <c r="W3932" i="77" s="1"/>
  <c r="W3933" i="77" s="1"/>
  <c r="W3934" i="77" s="1"/>
  <c r="W3935" i="77" s="1"/>
  <c r="W3936" i="77" s="1"/>
  <c r="W3937" i="77" s="1"/>
  <c r="W3938" i="77" s="1"/>
  <c r="W3939" i="77" s="1"/>
  <c r="W3940" i="77" s="1"/>
  <c r="W3941" i="77" s="1"/>
  <c r="W3942" i="77" s="1"/>
  <c r="W3943" i="77" s="1"/>
  <c r="W3944" i="77" s="1"/>
  <c r="W3945" i="77" s="1"/>
  <c r="W3946" i="77" s="1"/>
  <c r="W3947" i="77" s="1"/>
  <c r="W3948" i="77" s="1"/>
  <c r="W3949" i="77" s="1"/>
  <c r="W3950" i="77" s="1"/>
  <c r="W3951" i="77" s="1"/>
  <c r="W3952" i="77" s="1"/>
  <c r="W3953" i="77" s="1"/>
  <c r="W3954" i="77" s="1"/>
  <c r="W3955" i="77" s="1"/>
  <c r="W3956" i="77" s="1"/>
  <c r="W3957" i="77" s="1"/>
  <c r="W3958" i="77" s="1"/>
  <c r="W3959" i="77" s="1"/>
  <c r="W3960" i="77" s="1"/>
  <c r="W3961" i="77" s="1"/>
  <c r="W3962" i="77" s="1"/>
  <c r="W3963" i="77" s="1"/>
  <c r="W3964" i="77" s="1"/>
  <c r="W3965" i="77" s="1"/>
  <c r="W3966" i="77" s="1"/>
  <c r="W3967" i="77" s="1"/>
  <c r="W3968" i="77" s="1"/>
  <c r="W3969" i="77" s="1"/>
  <c r="W3970" i="77" s="1"/>
  <c r="W3971" i="77" s="1"/>
  <c r="W3972" i="77" s="1"/>
  <c r="W3973" i="77" s="1"/>
  <c r="W3974" i="77" s="1"/>
  <c r="W3975" i="77" s="1"/>
  <c r="W3976" i="77" s="1"/>
  <c r="W3977" i="77" s="1"/>
  <c r="W3978" i="77" s="1"/>
  <c r="W3979" i="77" s="1"/>
  <c r="W3980" i="77" s="1"/>
  <c r="W3981" i="77" s="1"/>
  <c r="W3982" i="77" s="1"/>
  <c r="W3983" i="77" s="1"/>
  <c r="W3984" i="77" s="1"/>
  <c r="W3985" i="77" s="1"/>
  <c r="W3986" i="77" s="1"/>
  <c r="W3987" i="77" s="1"/>
  <c r="W3988" i="77" s="1"/>
  <c r="W3989" i="77" s="1"/>
  <c r="W3990" i="77" s="1"/>
  <c r="W3991" i="77" s="1"/>
  <c r="W3992" i="77" s="1"/>
  <c r="W3993" i="77" s="1"/>
  <c r="W3994" i="77" s="1"/>
  <c r="W3995" i="77" s="1"/>
  <c r="W3996" i="77" s="1"/>
  <c r="W3997" i="77" s="1"/>
  <c r="W3998" i="77" s="1"/>
  <c r="W3999" i="77" s="1"/>
  <c r="W4000" i="77" s="1"/>
  <c r="W4001" i="77" s="1"/>
  <c r="W4002" i="77" s="1"/>
  <c r="W4003" i="77" s="1"/>
  <c r="W4004" i="77" s="1"/>
  <c r="W4005" i="77" s="1"/>
  <c r="W4006" i="77" s="1"/>
  <c r="W4007" i="77" s="1"/>
  <c r="W4008" i="77" s="1"/>
  <c r="W4009" i="77" s="1"/>
  <c r="W4010" i="77" s="1"/>
  <c r="W4011" i="77" s="1"/>
  <c r="W4012" i="77" s="1"/>
  <c r="W4013" i="77" s="1"/>
  <c r="W4014" i="77" s="1"/>
  <c r="W4015" i="77" s="1"/>
  <c r="W4016" i="77" s="1"/>
  <c r="W4017" i="77" s="1"/>
  <c r="W4018" i="77" s="1"/>
  <c r="W4019" i="77" s="1"/>
  <c r="W4020" i="77" s="1"/>
  <c r="W4021" i="77" s="1"/>
  <c r="W4022" i="77" s="1"/>
  <c r="W4023" i="77" s="1"/>
  <c r="W4024" i="77" s="1"/>
  <c r="W4025" i="77" s="1"/>
  <c r="W4026" i="77" s="1"/>
  <c r="W4027" i="77" s="1"/>
  <c r="W4028" i="77" s="1"/>
  <c r="W4029" i="77" s="1"/>
  <c r="W4030" i="77" s="1"/>
  <c r="W4031" i="77" s="1"/>
  <c r="W4032" i="77" s="1"/>
  <c r="W4033" i="77" s="1"/>
  <c r="W4034" i="77" s="1"/>
  <c r="W4035" i="77" s="1"/>
  <c r="W4036" i="77" s="1"/>
  <c r="W4037" i="77" s="1"/>
  <c r="W4038" i="77" s="1"/>
  <c r="W4039" i="77" s="1"/>
  <c r="W4040" i="77" s="1"/>
  <c r="W4041" i="77" s="1"/>
  <c r="W4042" i="77" s="1"/>
  <c r="W4043" i="77" s="1"/>
  <c r="W4044" i="77" s="1"/>
  <c r="W4045" i="77" s="1"/>
  <c r="W4046" i="77" s="1"/>
  <c r="W4047" i="77" s="1"/>
  <c r="W4048" i="77" s="1"/>
  <c r="W4049" i="77" s="1"/>
  <c r="W4050" i="77" s="1"/>
  <c r="W4051" i="77" s="1"/>
  <c r="W4052" i="77" s="1"/>
  <c r="W4053" i="77" s="1"/>
  <c r="W4054" i="77" s="1"/>
  <c r="W4055" i="77" s="1"/>
  <c r="W4056" i="77" s="1"/>
  <c r="W4057" i="77" s="1"/>
  <c r="W4058" i="77" s="1"/>
  <c r="W4059" i="77" s="1"/>
  <c r="W4060" i="77" s="1"/>
  <c r="W4061" i="77" s="1"/>
  <c r="W4062" i="77" s="1"/>
  <c r="W4063" i="77" s="1"/>
  <c r="W4064" i="77" s="1"/>
  <c r="W4065" i="77" s="1"/>
  <c r="W4066" i="77" s="1"/>
  <c r="W4067" i="77" s="1"/>
  <c r="W4068" i="77" s="1"/>
  <c r="W4069" i="77" s="1"/>
  <c r="W4070" i="77" s="1"/>
  <c r="W4071" i="77" s="1"/>
  <c r="W4072" i="77" s="1"/>
  <c r="W4073" i="77" s="1"/>
  <c r="W4074" i="77" s="1"/>
  <c r="W4075" i="77" s="1"/>
  <c r="W4076" i="77" s="1"/>
  <c r="W4077" i="77" s="1"/>
  <c r="W4078" i="77" s="1"/>
  <c r="W4079" i="77" s="1"/>
  <c r="W4080" i="77" s="1"/>
  <c r="W4081" i="77" s="1"/>
  <c r="W4082" i="77" s="1"/>
  <c r="W4083" i="77" s="1"/>
  <c r="W4084" i="77" s="1"/>
  <c r="W4085" i="77" s="1"/>
  <c r="W4086" i="77" s="1"/>
  <c r="W4087" i="77" s="1"/>
  <c r="W4088" i="77" s="1"/>
  <c r="W4089" i="77" s="1"/>
  <c r="W4090" i="77" s="1"/>
  <c r="W4091" i="77" s="1"/>
  <c r="W4092" i="77" s="1"/>
  <c r="W4093" i="77" s="1"/>
  <c r="W4094" i="77" s="1"/>
  <c r="W4095" i="77" s="1"/>
  <c r="W4096" i="77" s="1"/>
  <c r="W4097" i="77" s="1"/>
  <c r="W4098" i="77" s="1"/>
  <c r="W4099" i="77" s="1"/>
  <c r="W4100" i="77" s="1"/>
  <c r="W4101" i="77" s="1"/>
  <c r="W4102" i="77" s="1"/>
  <c r="W4103" i="77" s="1"/>
  <c r="W4104" i="77" s="1"/>
  <c r="W4105" i="77" s="1"/>
  <c r="W4106" i="77" s="1"/>
  <c r="W4107" i="77" s="1"/>
  <c r="W4108" i="77" s="1"/>
  <c r="W4109" i="77" s="1"/>
  <c r="W4110" i="77" s="1"/>
  <c r="W4111" i="77" s="1"/>
  <c r="W4112" i="77" s="1"/>
  <c r="W4113" i="77" s="1"/>
  <c r="W4114" i="77" s="1"/>
  <c r="W4115" i="77" s="1"/>
  <c r="W4116" i="77" s="1"/>
  <c r="W4117" i="77" s="1"/>
  <c r="W4118" i="77" s="1"/>
  <c r="W4119" i="77" s="1"/>
  <c r="W4120" i="77" s="1"/>
  <c r="W4121" i="77" s="1"/>
  <c r="W4122" i="77" s="1"/>
  <c r="W4123" i="77" s="1"/>
  <c r="W4124" i="77" s="1"/>
  <c r="W4125" i="77" s="1"/>
  <c r="W4126" i="77" s="1"/>
  <c r="W4127" i="77" s="1"/>
  <c r="W4128" i="77" s="1"/>
  <c r="W4129" i="77" s="1"/>
  <c r="W4130" i="77" s="1"/>
  <c r="W4131" i="77" s="1"/>
  <c r="W4132" i="77" s="1"/>
  <c r="W4133" i="77" s="1"/>
  <c r="W4134" i="77" s="1"/>
  <c r="W4135" i="77" s="1"/>
  <c r="W4136" i="77" s="1"/>
  <c r="W4137" i="77" s="1"/>
  <c r="W4138" i="77" s="1"/>
  <c r="W4139" i="77" s="1"/>
  <c r="W4140" i="77" s="1"/>
  <c r="W4141" i="77" s="1"/>
  <c r="W4142" i="77" s="1"/>
  <c r="W4143" i="77" s="1"/>
  <c r="W4144" i="77" s="1"/>
  <c r="W4145" i="77" s="1"/>
  <c r="W4146" i="77" s="1"/>
  <c r="W4147" i="77" s="1"/>
  <c r="W4148" i="77" s="1"/>
  <c r="W4149" i="77" s="1"/>
  <c r="W4150" i="77" s="1"/>
  <c r="W4151" i="77" s="1"/>
  <c r="W4152" i="77" s="1"/>
  <c r="W4153" i="77" s="1"/>
  <c r="W4154" i="77" s="1"/>
  <c r="W4155" i="77" s="1"/>
  <c r="W4156" i="77" s="1"/>
  <c r="W4157" i="77" s="1"/>
  <c r="W4158" i="77" s="1"/>
  <c r="W4159" i="77" s="1"/>
  <c r="W4160" i="77" s="1"/>
  <c r="W4161" i="77" s="1"/>
  <c r="W4162" i="77" s="1"/>
  <c r="W4163" i="77" s="1"/>
  <c r="W4164" i="77" s="1"/>
  <c r="W4165" i="77" s="1"/>
  <c r="W4166" i="77" s="1"/>
  <c r="W4167" i="77" s="1"/>
  <c r="W4168" i="77" s="1"/>
  <c r="W4169" i="77" s="1"/>
  <c r="W4170" i="77" s="1"/>
  <c r="W4171" i="77" s="1"/>
  <c r="W4172" i="77" s="1"/>
  <c r="W4173" i="77" s="1"/>
  <c r="W4174" i="77" s="1"/>
  <c r="W4175" i="77" s="1"/>
  <c r="W4176" i="77" s="1"/>
  <c r="W4177" i="77" s="1"/>
  <c r="W4178" i="77" s="1"/>
  <c r="W4179" i="77" s="1"/>
  <c r="W4180" i="77" s="1"/>
  <c r="W4181" i="77" s="1"/>
  <c r="W4182" i="77" s="1"/>
  <c r="W4183" i="77" s="1"/>
  <c r="W4184" i="77" s="1"/>
  <c r="W4185" i="77" s="1"/>
  <c r="W4186" i="77" s="1"/>
  <c r="W4187" i="77" s="1"/>
  <c r="W4188" i="77" s="1"/>
  <c r="W4189" i="77" s="1"/>
  <c r="W4190" i="77" s="1"/>
  <c r="W4191" i="77" s="1"/>
  <c r="W4192" i="77" s="1"/>
  <c r="W4193" i="77" s="1"/>
  <c r="W4194" i="77" s="1"/>
  <c r="W4195" i="77" s="1"/>
  <c r="W4196" i="77" s="1"/>
  <c r="W4197" i="77" s="1"/>
  <c r="W4198" i="77" s="1"/>
  <c r="W4199" i="77" s="1"/>
  <c r="W4200" i="77" s="1"/>
  <c r="W4201" i="77" s="1"/>
  <c r="W4202" i="77" s="1"/>
  <c r="W4203" i="77" s="1"/>
  <c r="W4204" i="77" s="1"/>
  <c r="W4205" i="77" s="1"/>
  <c r="W4206" i="77" s="1"/>
  <c r="W4207" i="77" s="1"/>
  <c r="W4208" i="77" s="1"/>
  <c r="W4209" i="77" s="1"/>
  <c r="W4210" i="77" s="1"/>
  <c r="W4211" i="77" s="1"/>
  <c r="W4212" i="77" s="1"/>
  <c r="W4213" i="77" s="1"/>
  <c r="W4214" i="77" s="1"/>
  <c r="W4215" i="77" s="1"/>
  <c r="W4216" i="77" s="1"/>
  <c r="W4217" i="77" s="1"/>
  <c r="W4218" i="77" s="1"/>
  <c r="W4219" i="77" s="1"/>
  <c r="W4220" i="77" s="1"/>
  <c r="W4221" i="77" s="1"/>
  <c r="W4222" i="77" s="1"/>
  <c r="W4223" i="77" s="1"/>
  <c r="W4224" i="77" s="1"/>
  <c r="W4225" i="77" s="1"/>
  <c r="W4226" i="77" s="1"/>
  <c r="W4227" i="77" s="1"/>
  <c r="W4228" i="77" s="1"/>
  <c r="W4229" i="77" s="1"/>
  <c r="W4230" i="77" s="1"/>
  <c r="W4231" i="77" s="1"/>
  <c r="W4232" i="77" s="1"/>
  <c r="W4233" i="77" s="1"/>
  <c r="W4234" i="77" s="1"/>
  <c r="W4235" i="77" s="1"/>
  <c r="W4236" i="77" s="1"/>
  <c r="W4237" i="77" s="1"/>
  <c r="W4238" i="77" s="1"/>
  <c r="W4239" i="77" s="1"/>
  <c r="W4240" i="77" s="1"/>
  <c r="W4241" i="77" s="1"/>
  <c r="W4242" i="77" s="1"/>
  <c r="W4243" i="77" s="1"/>
  <c r="W4244" i="77" s="1"/>
  <c r="W4245" i="77" s="1"/>
  <c r="W4246" i="77" s="1"/>
  <c r="W4247" i="77" s="1"/>
  <c r="W4248" i="77" s="1"/>
  <c r="W4249" i="77" s="1"/>
  <c r="W4250" i="77" s="1"/>
  <c r="W4251" i="77" s="1"/>
  <c r="W4252" i="77" s="1"/>
  <c r="W4253" i="77" s="1"/>
  <c r="W4254" i="77" s="1"/>
  <c r="W4255" i="77" s="1"/>
  <c r="W4256" i="77" s="1"/>
  <c r="W4257" i="77" s="1"/>
  <c r="W4258" i="77" s="1"/>
  <c r="W4259" i="77" s="1"/>
  <c r="W4260" i="77" s="1"/>
  <c r="W4261" i="77" s="1"/>
  <c r="W4262" i="77" s="1"/>
  <c r="W4263" i="77" s="1"/>
  <c r="W4264" i="77" s="1"/>
  <c r="W4265" i="77" s="1"/>
  <c r="W4266" i="77" s="1"/>
  <c r="W4267" i="77" s="1"/>
  <c r="W4268" i="77" s="1"/>
  <c r="W4269" i="77" s="1"/>
  <c r="W4270" i="77" s="1"/>
  <c r="W4271" i="77" s="1"/>
  <c r="W4272" i="77" s="1"/>
  <c r="W4273" i="77" s="1"/>
  <c r="W4274" i="77" s="1"/>
  <c r="W4275" i="77" s="1"/>
  <c r="W4276" i="77" s="1"/>
  <c r="W4277" i="77" s="1"/>
  <c r="W4278" i="77" s="1"/>
  <c r="W4279" i="77" s="1"/>
  <c r="W4280" i="77" s="1"/>
  <c r="W4281" i="77" s="1"/>
  <c r="W4282" i="77" s="1"/>
  <c r="W4283" i="77" s="1"/>
  <c r="W4284" i="77" s="1"/>
  <c r="W4285" i="77" s="1"/>
  <c r="W4286" i="77" s="1"/>
  <c r="W4287" i="77" s="1"/>
  <c r="W4288" i="77" s="1"/>
  <c r="W4289" i="77" s="1"/>
  <c r="W4290" i="77" s="1"/>
  <c r="W4291" i="77" s="1"/>
  <c r="W4292" i="77" s="1"/>
  <c r="W4293" i="77" s="1"/>
  <c r="W4294" i="77" s="1"/>
  <c r="W4295" i="77" s="1"/>
  <c r="W4296" i="77" s="1"/>
  <c r="W4297" i="77" s="1"/>
  <c r="W4298" i="77" s="1"/>
  <c r="W4299" i="77" s="1"/>
  <c r="W4300" i="77" s="1"/>
  <c r="W4301" i="77" s="1"/>
  <c r="W4302" i="77" s="1"/>
  <c r="W4303" i="77" s="1"/>
  <c r="W4304" i="77" s="1"/>
  <c r="W4305" i="77" s="1"/>
  <c r="W4306" i="77" s="1"/>
  <c r="W4307" i="77" s="1"/>
  <c r="W4308" i="77" s="1"/>
  <c r="W4309" i="77" s="1"/>
  <c r="W4310" i="77" s="1"/>
  <c r="W4311" i="77" s="1"/>
  <c r="W4312" i="77" s="1"/>
  <c r="W4313" i="77" s="1"/>
  <c r="W4314" i="77" s="1"/>
  <c r="W4315" i="77" s="1"/>
  <c r="W4316" i="77" s="1"/>
  <c r="W4317" i="77" s="1"/>
  <c r="W4318" i="77" s="1"/>
  <c r="W4319" i="77" s="1"/>
  <c r="W4320" i="77" s="1"/>
  <c r="W4321" i="77" s="1"/>
  <c r="W4322" i="77" s="1"/>
  <c r="W4323" i="77" s="1"/>
  <c r="W4324" i="77" s="1"/>
  <c r="W4325" i="77" s="1"/>
  <c r="W4326" i="77" s="1"/>
  <c r="W4327" i="77" s="1"/>
  <c r="W4328" i="77" s="1"/>
  <c r="W4329" i="77" s="1"/>
  <c r="W4330" i="77" s="1"/>
  <c r="W4331" i="77" s="1"/>
  <c r="W4332" i="77" s="1"/>
  <c r="W4333" i="77" s="1"/>
  <c r="W4334" i="77" s="1"/>
  <c r="W4335" i="77" s="1"/>
  <c r="W4336" i="77" s="1"/>
  <c r="W4337" i="77" s="1"/>
  <c r="W4338" i="77" s="1"/>
  <c r="W4339" i="77" s="1"/>
  <c r="W4340" i="77" s="1"/>
  <c r="W4341" i="77" s="1"/>
  <c r="W4342" i="77" s="1"/>
  <c r="W4343" i="77" s="1"/>
  <c r="W4344" i="77" s="1"/>
  <c r="W4345" i="77" s="1"/>
  <c r="W4346" i="77" s="1"/>
  <c r="W4347" i="77" s="1"/>
  <c r="W4348" i="77" s="1"/>
  <c r="W4349" i="77" s="1"/>
  <c r="W4350" i="77" s="1"/>
  <c r="W4351" i="77" s="1"/>
  <c r="W4352" i="77" s="1"/>
  <c r="W4353" i="77" s="1"/>
  <c r="W4354" i="77" s="1"/>
  <c r="W4355" i="77" s="1"/>
  <c r="W4356" i="77" s="1"/>
  <c r="W4357" i="77" s="1"/>
  <c r="W4358" i="77" s="1"/>
  <c r="W4359" i="77" s="1"/>
  <c r="W4360" i="77" s="1"/>
  <c r="W4361" i="77" s="1"/>
  <c r="W4362" i="77" s="1"/>
  <c r="W4363" i="77" s="1"/>
  <c r="W4364" i="77" s="1"/>
  <c r="W4365" i="77" s="1"/>
  <c r="W4366" i="77" s="1"/>
  <c r="W4367" i="77" s="1"/>
  <c r="W4368" i="77" s="1"/>
  <c r="W4369" i="77" s="1"/>
  <c r="W4370" i="77" s="1"/>
  <c r="W4371" i="77" s="1"/>
  <c r="W4372" i="77" s="1"/>
  <c r="W4373" i="77" s="1"/>
  <c r="W4374" i="77" s="1"/>
  <c r="W4375" i="77" s="1"/>
  <c r="W4376" i="77" s="1"/>
  <c r="W4377" i="77" s="1"/>
  <c r="W4378" i="77" s="1"/>
  <c r="W4379" i="77" s="1"/>
  <c r="W4380" i="77" s="1"/>
  <c r="W4381" i="77" s="1"/>
  <c r="W4382" i="77" s="1"/>
  <c r="W4383" i="77" s="1"/>
  <c r="W4384" i="77" s="1"/>
  <c r="W4385" i="77" s="1"/>
  <c r="W4386" i="77" s="1"/>
  <c r="W4387" i="77" s="1"/>
  <c r="W4388" i="77" s="1"/>
  <c r="W4389" i="77" s="1"/>
  <c r="W4390" i="77" s="1"/>
  <c r="W4391" i="77" s="1"/>
  <c r="W4392" i="77" s="1"/>
  <c r="W4393" i="77" s="1"/>
  <c r="W4394" i="77" s="1"/>
  <c r="W4395" i="77" s="1"/>
  <c r="W4396" i="77" s="1"/>
  <c r="W4397" i="77" s="1"/>
  <c r="W4398" i="77" s="1"/>
  <c r="W4399" i="77" s="1"/>
  <c r="W4400" i="77" s="1"/>
  <c r="W4401" i="77" s="1"/>
  <c r="W4402" i="77" s="1"/>
  <c r="W4403" i="77" s="1"/>
  <c r="W4404" i="77" s="1"/>
  <c r="W4405" i="77" s="1"/>
  <c r="W4406" i="77" s="1"/>
  <c r="W4407" i="77" s="1"/>
  <c r="W4408" i="77" s="1"/>
  <c r="W4409" i="77" s="1"/>
  <c r="W4410" i="77" s="1"/>
  <c r="W4411" i="77" s="1"/>
  <c r="W4412" i="77" s="1"/>
  <c r="W4413" i="77" s="1"/>
  <c r="W4414" i="77" s="1"/>
  <c r="W4415" i="77" s="1"/>
  <c r="W4416" i="77" s="1"/>
  <c r="W4417" i="77" s="1"/>
  <c r="W4418" i="77" s="1"/>
  <c r="W4419" i="77" s="1"/>
  <c r="W4420" i="77" s="1"/>
  <c r="W4421" i="77" s="1"/>
  <c r="W4422" i="77" s="1"/>
  <c r="W4423" i="77" s="1"/>
  <c r="W4424" i="77" s="1"/>
  <c r="W4425" i="77" s="1"/>
  <c r="W4426" i="77" s="1"/>
  <c r="W4427" i="77" s="1"/>
  <c r="W4428" i="77" s="1"/>
  <c r="W4429" i="77" s="1"/>
  <c r="W4430" i="77" s="1"/>
  <c r="W4431" i="77" s="1"/>
  <c r="W4432" i="77" s="1"/>
  <c r="W4433" i="77" s="1"/>
  <c r="W4434" i="77" s="1"/>
  <c r="W4435" i="77" s="1"/>
  <c r="W4436" i="77" s="1"/>
  <c r="W4437" i="77" s="1"/>
  <c r="W4438" i="77" s="1"/>
  <c r="W4439" i="77" s="1"/>
  <c r="W4440" i="77" s="1"/>
  <c r="W4441" i="77" s="1"/>
  <c r="W4442" i="77" s="1"/>
  <c r="W4443" i="77" s="1"/>
  <c r="W4444" i="77" s="1"/>
  <c r="W4445" i="77" s="1"/>
  <c r="W4446" i="77" s="1"/>
  <c r="W4447" i="77" s="1"/>
  <c r="W4448" i="77" s="1"/>
  <c r="W4449" i="77" s="1"/>
  <c r="W4450" i="77" s="1"/>
  <c r="W4451" i="77" s="1"/>
  <c r="W4452" i="77" s="1"/>
  <c r="W4453" i="77" s="1"/>
  <c r="W4454" i="77" s="1"/>
  <c r="W4455" i="77" s="1"/>
  <c r="W4456" i="77" s="1"/>
  <c r="W4457" i="77" s="1"/>
  <c r="W4458" i="77" s="1"/>
  <c r="W4459" i="77" s="1"/>
  <c r="W4460" i="77" s="1"/>
  <c r="W4461" i="77" s="1"/>
  <c r="W4462" i="77" s="1"/>
  <c r="W4463" i="77" s="1"/>
  <c r="W4464" i="77" s="1"/>
  <c r="W4465" i="77" s="1"/>
  <c r="W4466" i="77" s="1"/>
  <c r="W4467" i="77" s="1"/>
  <c r="W4468" i="77" s="1"/>
  <c r="W4469" i="77" s="1"/>
  <c r="W4470" i="77" s="1"/>
  <c r="W4471" i="77" s="1"/>
  <c r="W4472" i="77" s="1"/>
  <c r="W4473" i="77" s="1"/>
  <c r="W4474" i="77" s="1"/>
  <c r="W4475" i="77" s="1"/>
  <c r="W4476" i="77" s="1"/>
  <c r="W4477" i="77" s="1"/>
  <c r="W4478" i="77" s="1"/>
  <c r="W4479" i="77" s="1"/>
  <c r="W4480" i="77" s="1"/>
  <c r="W4481" i="77" s="1"/>
  <c r="W4482" i="77" s="1"/>
  <c r="W4483" i="77" s="1"/>
  <c r="W4484" i="77" s="1"/>
  <c r="W4485" i="77" s="1"/>
  <c r="W4486" i="77" s="1"/>
  <c r="W4487" i="77" s="1"/>
  <c r="W4488" i="77" s="1"/>
  <c r="W4489" i="77" s="1"/>
  <c r="W4490" i="77" s="1"/>
  <c r="W4491" i="77" s="1"/>
  <c r="W4492" i="77" s="1"/>
  <c r="W4493" i="77" s="1"/>
  <c r="W4494" i="77" s="1"/>
  <c r="W4495" i="77" s="1"/>
  <c r="W4496" i="77" s="1"/>
  <c r="W4497" i="77" s="1"/>
  <c r="W4498" i="77" s="1"/>
  <c r="W4499" i="77" s="1"/>
  <c r="W4500" i="77" s="1"/>
  <c r="W4501" i="77" s="1"/>
  <c r="W4502" i="77" s="1"/>
  <c r="W4503" i="77" s="1"/>
  <c r="W4504" i="77" s="1"/>
  <c r="W4505" i="77" s="1"/>
  <c r="W4506" i="77" s="1"/>
  <c r="W4507" i="77" s="1"/>
  <c r="W4508" i="77" s="1"/>
  <c r="W4509" i="77" s="1"/>
  <c r="W4510" i="77" s="1"/>
  <c r="W4511" i="77" s="1"/>
  <c r="W4512" i="77" s="1"/>
  <c r="W4513" i="77" s="1"/>
  <c r="W4514" i="77" s="1"/>
  <c r="W4515" i="77" s="1"/>
  <c r="W4516" i="77" s="1"/>
  <c r="W4517" i="77" s="1"/>
  <c r="W4518" i="77" s="1"/>
  <c r="W4519" i="77" s="1"/>
  <c r="W4520" i="77" s="1"/>
  <c r="W4521" i="77" s="1"/>
  <c r="W4522" i="77" s="1"/>
  <c r="W4523" i="77" s="1"/>
  <c r="W4524" i="77" s="1"/>
  <c r="W4525" i="77" s="1"/>
  <c r="W4526" i="77" s="1"/>
  <c r="W4527" i="77" s="1"/>
  <c r="W4528" i="77" s="1"/>
  <c r="W4529" i="77" s="1"/>
  <c r="W4530" i="77" s="1"/>
  <c r="W4531" i="77" s="1"/>
  <c r="W4532" i="77" s="1"/>
  <c r="W4533" i="77" s="1"/>
  <c r="W4534" i="77" s="1"/>
  <c r="W4535" i="77" s="1"/>
  <c r="W4536" i="77" s="1"/>
  <c r="W4537" i="77" s="1"/>
  <c r="W4538" i="77" s="1"/>
  <c r="W4539" i="77" s="1"/>
  <c r="W4540" i="77" s="1"/>
  <c r="W4541" i="77" s="1"/>
  <c r="W4542" i="77" s="1"/>
  <c r="W4543" i="77" s="1"/>
  <c r="W4544" i="77" s="1"/>
  <c r="W4545" i="77" s="1"/>
  <c r="W4546" i="77" s="1"/>
  <c r="W4547" i="77" s="1"/>
  <c r="W4548" i="77" s="1"/>
  <c r="W4549" i="77" s="1"/>
  <c r="W4550" i="77" s="1"/>
  <c r="W4551" i="77" s="1"/>
  <c r="W4552" i="77" s="1"/>
  <c r="W4553" i="77" s="1"/>
  <c r="W4554" i="77" s="1"/>
  <c r="W4555" i="77" s="1"/>
  <c r="W4556" i="77" s="1"/>
  <c r="W4557" i="77" s="1"/>
  <c r="W4558" i="77" s="1"/>
  <c r="W4559" i="77" s="1"/>
  <c r="W4560" i="77" s="1"/>
  <c r="W4561" i="77" s="1"/>
  <c r="W4562" i="77" s="1"/>
  <c r="W4563" i="77" s="1"/>
  <c r="W4564" i="77" s="1"/>
  <c r="W4565" i="77" s="1"/>
  <c r="W4566" i="77" s="1"/>
  <c r="W4567" i="77" s="1"/>
  <c r="W4568" i="77" s="1"/>
  <c r="W4569" i="77" s="1"/>
  <c r="W4570" i="77" s="1"/>
  <c r="W4571" i="77" s="1"/>
  <c r="W4572" i="77" s="1"/>
  <c r="W4573" i="77" s="1"/>
  <c r="W4574" i="77" s="1"/>
  <c r="W4575" i="77" s="1"/>
  <c r="W4576" i="77" s="1"/>
  <c r="W4577" i="77" s="1"/>
  <c r="W4578" i="77" s="1"/>
  <c r="W4579" i="77" s="1"/>
  <c r="W4580" i="77" s="1"/>
  <c r="W4581" i="77" s="1"/>
  <c r="W4582" i="77" s="1"/>
  <c r="W4583" i="77" s="1"/>
  <c r="W4584" i="77" s="1"/>
  <c r="W4585" i="77" s="1"/>
  <c r="W4586" i="77" s="1"/>
  <c r="W4587" i="77" s="1"/>
  <c r="W4588" i="77" s="1"/>
  <c r="W4589" i="77" s="1"/>
  <c r="W4590" i="77" s="1"/>
  <c r="W4591" i="77" s="1"/>
  <c r="W4592" i="77" s="1"/>
  <c r="W4593" i="77" s="1"/>
  <c r="W4594" i="77" s="1"/>
  <c r="W4595" i="77" s="1"/>
  <c r="W4596" i="77" s="1"/>
  <c r="W4597" i="77" s="1"/>
  <c r="W4598" i="77" s="1"/>
  <c r="W4599" i="77" s="1"/>
  <c r="W4600" i="77" s="1"/>
  <c r="W4601" i="77" s="1"/>
  <c r="W4602" i="77" s="1"/>
  <c r="W4603" i="77" s="1"/>
  <c r="W4604" i="77" s="1"/>
  <c r="W4605" i="77" s="1"/>
  <c r="W4606" i="77" s="1"/>
  <c r="W4607" i="77" s="1"/>
  <c r="W4608" i="77" s="1"/>
  <c r="W4609" i="77" s="1"/>
  <c r="W4610" i="77" s="1"/>
  <c r="W4611" i="77" s="1"/>
  <c r="W4612" i="77" s="1"/>
  <c r="W4613" i="77" s="1"/>
  <c r="W4614" i="77" s="1"/>
  <c r="W4615" i="77" s="1"/>
  <c r="W4616" i="77" s="1"/>
  <c r="W4617" i="77" s="1"/>
  <c r="W4618" i="77" s="1"/>
  <c r="W4619" i="77" s="1"/>
  <c r="W4620" i="77" s="1"/>
  <c r="W4621" i="77" s="1"/>
  <c r="W4622" i="77" s="1"/>
  <c r="W4623" i="77" s="1"/>
  <c r="W4624" i="77" s="1"/>
  <c r="W4625" i="77" s="1"/>
  <c r="W4626" i="77" s="1"/>
  <c r="W4627" i="77" s="1"/>
  <c r="W4628" i="77" s="1"/>
  <c r="W4629" i="77" s="1"/>
  <c r="W4630" i="77" s="1"/>
  <c r="W4631" i="77" s="1"/>
  <c r="W4632" i="77" s="1"/>
  <c r="W4633" i="77" s="1"/>
  <c r="W4634" i="77" s="1"/>
  <c r="W4635" i="77" s="1"/>
  <c r="W4636" i="77" s="1"/>
  <c r="W4637" i="77" s="1"/>
  <c r="W4638" i="77" s="1"/>
  <c r="W4639" i="77" s="1"/>
  <c r="W4640" i="77" s="1"/>
  <c r="W4641" i="77" s="1"/>
  <c r="W4642" i="77" s="1"/>
  <c r="W4643" i="77" s="1"/>
  <c r="W4644" i="77" s="1"/>
  <c r="W4645" i="77" s="1"/>
  <c r="W4646" i="77" s="1"/>
  <c r="W4647" i="77" s="1"/>
  <c r="W4648" i="77" s="1"/>
  <c r="W4649" i="77" s="1"/>
  <c r="W4650" i="77" s="1"/>
  <c r="W4651" i="77" s="1"/>
  <c r="W4652" i="77" s="1"/>
  <c r="W4653" i="77" s="1"/>
  <c r="W4654" i="77" s="1"/>
  <c r="W4655" i="77" s="1"/>
  <c r="W4656" i="77" s="1"/>
  <c r="W4657" i="77" s="1"/>
  <c r="W4658" i="77" s="1"/>
  <c r="W4659" i="77" s="1"/>
  <c r="W4660" i="77" s="1"/>
  <c r="W4661" i="77" s="1"/>
  <c r="W4662" i="77" s="1"/>
  <c r="W4663" i="77" s="1"/>
  <c r="W4664" i="77" s="1"/>
  <c r="W4665" i="77" s="1"/>
  <c r="W4666" i="77" s="1"/>
  <c r="W4667" i="77" s="1"/>
  <c r="W4668" i="77" s="1"/>
  <c r="W4669" i="77" s="1"/>
  <c r="W4670" i="77" s="1"/>
  <c r="W4671" i="77" s="1"/>
  <c r="W4672" i="77" s="1"/>
  <c r="W4673" i="77" s="1"/>
  <c r="W4674" i="77" s="1"/>
  <c r="W4675" i="77" s="1"/>
  <c r="W4676" i="77" s="1"/>
  <c r="W4677" i="77" s="1"/>
  <c r="W4678" i="77" s="1"/>
  <c r="W4679" i="77" s="1"/>
  <c r="W4680" i="77" s="1"/>
  <c r="W4681" i="77" s="1"/>
  <c r="W4682" i="77" s="1"/>
  <c r="W4683" i="77" s="1"/>
  <c r="W4684" i="77" s="1"/>
  <c r="W4685" i="77" s="1"/>
  <c r="W4686" i="77" s="1"/>
  <c r="W4687" i="77" s="1"/>
  <c r="W4688" i="77" s="1"/>
  <c r="W4689" i="77" s="1"/>
  <c r="W4690" i="77" s="1"/>
  <c r="W4691" i="77" s="1"/>
  <c r="W4692" i="77" s="1"/>
  <c r="W4693" i="77" s="1"/>
  <c r="W4694" i="77" s="1"/>
  <c r="W4695" i="77" s="1"/>
  <c r="W4696" i="77" s="1"/>
  <c r="W4697" i="77" s="1"/>
  <c r="W4698" i="77" s="1"/>
  <c r="W4699" i="77" s="1"/>
  <c r="W4700" i="77" s="1"/>
  <c r="W4701" i="77" s="1"/>
  <c r="W4702" i="77" s="1"/>
  <c r="W4703" i="77" s="1"/>
  <c r="W4704" i="77" s="1"/>
  <c r="W4705" i="77" s="1"/>
  <c r="W4706" i="77" s="1"/>
  <c r="W4707" i="77" s="1"/>
  <c r="W4708" i="77" s="1"/>
  <c r="W4709" i="77" s="1"/>
  <c r="W4710" i="77" s="1"/>
  <c r="W4711" i="77" s="1"/>
  <c r="W4712" i="77" s="1"/>
  <c r="W4713" i="77" s="1"/>
  <c r="W4714" i="77" s="1"/>
  <c r="W4715" i="77" s="1"/>
  <c r="W4716" i="77" s="1"/>
  <c r="W4717" i="77" s="1"/>
  <c r="W4718" i="77" s="1"/>
  <c r="W4719" i="77" s="1"/>
  <c r="W4720" i="77" s="1"/>
  <c r="W4721" i="77" s="1"/>
  <c r="W4722" i="77" s="1"/>
  <c r="W4723" i="77" s="1"/>
  <c r="W4724" i="77" s="1"/>
  <c r="W4725" i="77" s="1"/>
  <c r="W4726" i="77" s="1"/>
  <c r="W4727" i="77" s="1"/>
  <c r="W4728" i="77" s="1"/>
  <c r="W4729" i="77" s="1"/>
  <c r="W4730" i="77" s="1"/>
  <c r="W4731" i="77" s="1"/>
  <c r="W4732" i="77" s="1"/>
  <c r="W4733" i="77" s="1"/>
  <c r="W4734" i="77" s="1"/>
  <c r="W4735" i="77" s="1"/>
  <c r="W4736" i="77" s="1"/>
  <c r="W4737" i="77" s="1"/>
  <c r="W4738" i="77" s="1"/>
  <c r="W4739" i="77" s="1"/>
  <c r="W4740" i="77" s="1"/>
  <c r="W4741" i="77" s="1"/>
  <c r="W4742" i="77" s="1"/>
  <c r="W4743" i="77" s="1"/>
  <c r="W4744" i="77" s="1"/>
  <c r="W4745" i="77" s="1"/>
  <c r="W4746" i="77" s="1"/>
  <c r="W4747" i="77" s="1"/>
  <c r="W4748" i="77" s="1"/>
  <c r="W4749" i="77" s="1"/>
  <c r="W4750" i="77" s="1"/>
  <c r="W4751" i="77" s="1"/>
  <c r="W4752" i="77" s="1"/>
  <c r="W4753" i="77" s="1"/>
  <c r="W4754" i="77" s="1"/>
  <c r="W4755" i="77" s="1"/>
  <c r="W4756" i="77" s="1"/>
  <c r="W4757" i="77" s="1"/>
  <c r="W4758" i="77" s="1"/>
  <c r="W4759" i="77" s="1"/>
  <c r="W4760" i="77" s="1"/>
  <c r="W4761" i="77" s="1"/>
  <c r="W4762" i="77" s="1"/>
  <c r="W4763" i="77" s="1"/>
  <c r="W4764" i="77" s="1"/>
  <c r="W4765" i="77" s="1"/>
  <c r="W4766" i="77" s="1"/>
  <c r="W4767" i="77" s="1"/>
  <c r="W4768" i="77" s="1"/>
  <c r="W4769" i="77" s="1"/>
  <c r="W4770" i="77" s="1"/>
  <c r="W4771" i="77" s="1"/>
  <c r="W4772" i="77" s="1"/>
  <c r="W4773" i="77" s="1"/>
  <c r="W4774" i="77" s="1"/>
  <c r="W4775" i="77" s="1"/>
  <c r="W4776" i="77" s="1"/>
  <c r="W4777" i="77" s="1"/>
  <c r="W4778" i="77" s="1"/>
  <c r="W4779" i="77" s="1"/>
  <c r="W4780" i="77" s="1"/>
  <c r="W4781" i="77" s="1"/>
  <c r="W4782" i="77" s="1"/>
  <c r="W4783" i="77" s="1"/>
  <c r="W4784" i="77" s="1"/>
  <c r="W4785" i="77" s="1"/>
  <c r="W4786" i="77" s="1"/>
  <c r="W4787" i="77" s="1"/>
  <c r="W4788" i="77" s="1"/>
  <c r="W4789" i="77" s="1"/>
  <c r="W4790" i="77" s="1"/>
  <c r="W4791" i="77" s="1"/>
  <c r="W4792" i="77" s="1"/>
  <c r="W4793" i="77" s="1"/>
  <c r="W4794" i="77" s="1"/>
  <c r="W4795" i="77" s="1"/>
  <c r="W4796" i="77" s="1"/>
  <c r="W4797" i="77" s="1"/>
  <c r="W4798" i="77" s="1"/>
  <c r="W4799" i="77" s="1"/>
  <c r="W4800" i="77" s="1"/>
  <c r="W4801" i="77" s="1"/>
  <c r="W4802" i="77" s="1"/>
  <c r="W4803" i="77" s="1"/>
  <c r="W4804" i="77" s="1"/>
  <c r="W4805" i="77" s="1"/>
  <c r="W4806" i="77" s="1"/>
  <c r="W4807" i="77" s="1"/>
  <c r="W4808" i="77" s="1"/>
  <c r="W4809" i="77" s="1"/>
  <c r="W4810" i="77" s="1"/>
  <c r="W4811" i="77" s="1"/>
  <c r="W4812" i="77" s="1"/>
  <c r="W4813" i="77" s="1"/>
  <c r="W4814" i="77" s="1"/>
  <c r="W4815" i="77" s="1"/>
  <c r="W4816" i="77" s="1"/>
  <c r="W4817" i="77" s="1"/>
  <c r="W4818" i="77" s="1"/>
  <c r="W4819" i="77" s="1"/>
  <c r="W4820" i="77" s="1"/>
  <c r="W4821" i="77" s="1"/>
  <c r="W4822" i="77" s="1"/>
  <c r="W4823" i="77" s="1"/>
  <c r="W4824" i="77" s="1"/>
  <c r="W4825" i="77" s="1"/>
  <c r="W4826" i="77" s="1"/>
  <c r="W4827" i="77" s="1"/>
  <c r="W4828" i="77" s="1"/>
  <c r="W4829" i="77" s="1"/>
  <c r="W4830" i="77" s="1"/>
  <c r="W4831" i="77" s="1"/>
  <c r="W4832" i="77" s="1"/>
  <c r="W4833" i="77" s="1"/>
  <c r="W4834" i="77" s="1"/>
  <c r="W4835" i="77" s="1"/>
  <c r="W4836" i="77" s="1"/>
  <c r="W4837" i="77" s="1"/>
  <c r="W4838" i="77" s="1"/>
  <c r="W4839" i="77" s="1"/>
  <c r="W4840" i="77" s="1"/>
  <c r="W4841" i="77" s="1"/>
  <c r="W4842" i="77" s="1"/>
  <c r="W4843" i="77" s="1"/>
  <c r="W4844" i="77" s="1"/>
  <c r="W4845" i="77" s="1"/>
  <c r="W4846" i="77" s="1"/>
  <c r="W4847" i="77" s="1"/>
  <c r="W4848" i="77" s="1"/>
  <c r="W4849" i="77" s="1"/>
  <c r="W4850" i="77" s="1"/>
  <c r="W4851" i="77" s="1"/>
  <c r="W4852" i="77" s="1"/>
  <c r="W4853" i="77" s="1"/>
  <c r="W4854" i="77" s="1"/>
  <c r="W4855" i="77" s="1"/>
  <c r="W4856" i="77" s="1"/>
  <c r="W4857" i="77" s="1"/>
  <c r="W4858" i="77" s="1"/>
  <c r="W4859" i="77" s="1"/>
  <c r="W4860" i="77" s="1"/>
  <c r="W4861" i="77" s="1"/>
  <c r="W4862" i="77" s="1"/>
  <c r="W4863" i="77" s="1"/>
  <c r="W4864" i="77" s="1"/>
  <c r="W4865" i="77" s="1"/>
  <c r="W4866" i="77" s="1"/>
  <c r="W4867" i="77" s="1"/>
  <c r="W4868" i="77" s="1"/>
  <c r="W4869" i="77" s="1"/>
  <c r="W4870" i="77" s="1"/>
  <c r="W4871" i="77" s="1"/>
  <c r="W4872" i="77" s="1"/>
  <c r="W4873" i="77" s="1"/>
  <c r="W4874" i="77" s="1"/>
  <c r="W4875" i="77" s="1"/>
  <c r="W4876" i="77" s="1"/>
  <c r="W4877" i="77" s="1"/>
  <c r="W4878" i="77" s="1"/>
  <c r="W4879" i="77" s="1"/>
  <c r="W4880" i="77" s="1"/>
  <c r="W4881" i="77" s="1"/>
  <c r="W4882" i="77" s="1"/>
  <c r="W4883" i="77" s="1"/>
  <c r="W4884" i="77" s="1"/>
  <c r="W4885" i="77" s="1"/>
  <c r="W4886" i="77" s="1"/>
  <c r="W4887" i="77" s="1"/>
  <c r="W4888" i="77" s="1"/>
  <c r="W4889" i="77" s="1"/>
  <c r="W4890" i="77" s="1"/>
  <c r="W4891" i="77" s="1"/>
  <c r="W4892" i="77" s="1"/>
  <c r="W4893" i="77" s="1"/>
  <c r="W4894" i="77" s="1"/>
  <c r="W4895" i="77" s="1"/>
  <c r="W4896" i="77" s="1"/>
  <c r="W4897" i="77" s="1"/>
  <c r="W4898" i="77" s="1"/>
  <c r="W4899" i="77" s="1"/>
  <c r="W4900" i="77" s="1"/>
  <c r="W4901" i="77" s="1"/>
  <c r="W4902" i="77" s="1"/>
  <c r="W4903" i="77" s="1"/>
  <c r="W4904" i="77" s="1"/>
  <c r="W4905" i="77" s="1"/>
  <c r="W4906" i="77" s="1"/>
  <c r="W4907" i="77" s="1"/>
  <c r="W4908" i="77" s="1"/>
  <c r="W4909" i="77" s="1"/>
  <c r="W4910" i="77" s="1"/>
  <c r="W4911" i="77" s="1"/>
  <c r="W4912" i="77" s="1"/>
  <c r="W4913" i="77" s="1"/>
  <c r="W4914" i="77" s="1"/>
  <c r="W4915" i="77" s="1"/>
  <c r="W4916" i="77" s="1"/>
  <c r="W4917" i="77" s="1"/>
  <c r="W4918" i="77" s="1"/>
  <c r="W4919" i="77" s="1"/>
  <c r="W4920" i="77" s="1"/>
  <c r="W4921" i="77" s="1"/>
  <c r="W4922" i="77" s="1"/>
  <c r="W4923" i="77" s="1"/>
  <c r="W4924" i="77" s="1"/>
  <c r="W4925" i="77" s="1"/>
  <c r="W4926" i="77" s="1"/>
  <c r="W4927" i="77" s="1"/>
  <c r="W4928" i="77" s="1"/>
  <c r="W4929" i="77" s="1"/>
  <c r="W4930" i="77" s="1"/>
  <c r="W4931" i="77" s="1"/>
  <c r="W4932" i="77" s="1"/>
  <c r="W4933" i="77" s="1"/>
  <c r="W4934" i="77" s="1"/>
  <c r="W4935" i="77" s="1"/>
  <c r="W4936" i="77" s="1"/>
  <c r="W4937" i="77" s="1"/>
  <c r="W4938" i="77" s="1"/>
  <c r="W4939" i="77" s="1"/>
  <c r="W4940" i="77" s="1"/>
  <c r="W4941" i="77" s="1"/>
  <c r="W4942" i="77" s="1"/>
  <c r="W4943" i="77" s="1"/>
  <c r="W4944" i="77" s="1"/>
  <c r="W4945" i="77" s="1"/>
  <c r="W4946" i="77" s="1"/>
  <c r="W4947" i="77" s="1"/>
  <c r="W4948" i="77" s="1"/>
  <c r="W4949" i="77" s="1"/>
  <c r="W4950" i="77" s="1"/>
  <c r="W4951" i="77" s="1"/>
  <c r="W4952" i="77" s="1"/>
  <c r="W4953" i="77" s="1"/>
  <c r="W4954" i="77" s="1"/>
  <c r="W4955" i="77" s="1"/>
  <c r="W4956" i="77" s="1"/>
  <c r="W4957" i="77" s="1"/>
  <c r="W4958" i="77" s="1"/>
  <c r="W4959" i="77" s="1"/>
  <c r="W4960" i="77" s="1"/>
  <c r="W4961" i="77" s="1"/>
  <c r="W4962" i="77" s="1"/>
  <c r="W4963" i="77" s="1"/>
  <c r="W4964" i="77" s="1"/>
  <c r="W4965" i="77" s="1"/>
  <c r="W4966" i="77" s="1"/>
  <c r="W4967" i="77" s="1"/>
  <c r="W4968" i="77" s="1"/>
  <c r="W4969" i="77" s="1"/>
  <c r="W4970" i="77" s="1"/>
  <c r="W4971" i="77" s="1"/>
  <c r="W4972" i="77" s="1"/>
  <c r="W4973" i="77" s="1"/>
  <c r="W4974" i="77" s="1"/>
  <c r="W4975" i="77" s="1"/>
  <c r="W4976" i="77" s="1"/>
  <c r="W4977" i="77" s="1"/>
  <c r="W4978" i="77" s="1"/>
  <c r="W4979" i="77" s="1"/>
  <c r="W4980" i="77" s="1"/>
  <c r="W4981" i="77" s="1"/>
  <c r="W4982" i="77" s="1"/>
  <c r="W4983" i="77" s="1"/>
  <c r="W4984" i="77" s="1"/>
  <c r="W4985" i="77" s="1"/>
  <c r="W4986" i="77" s="1"/>
  <c r="W4987" i="77" s="1"/>
  <c r="W4988" i="77" s="1"/>
  <c r="W4989" i="77" s="1"/>
  <c r="W4990" i="77" s="1"/>
  <c r="W4991" i="77" s="1"/>
  <c r="W4992" i="77" s="1"/>
  <c r="W4993" i="77" s="1"/>
  <c r="W4994" i="77" s="1"/>
  <c r="W4995" i="77" s="1"/>
  <c r="W4996" i="77" s="1"/>
  <c r="W4997" i="77" s="1"/>
  <c r="W4998" i="77" s="1"/>
  <c r="W4999" i="77" s="1"/>
  <c r="W5000" i="77" s="1"/>
  <c r="W5001" i="77" s="1"/>
  <c r="W5002" i="77" s="1"/>
  <c r="W5003" i="77" s="1"/>
  <c r="W5004" i="77" s="1"/>
  <c r="W5005" i="77" s="1"/>
  <c r="W5006" i="77" s="1"/>
  <c r="W5007" i="77" s="1"/>
  <c r="W5008" i="77" s="1"/>
  <c r="W5009" i="77" s="1"/>
  <c r="W5010" i="77" s="1"/>
  <c r="W5011" i="77" s="1"/>
  <c r="W5012" i="77" s="1"/>
  <c r="W5013" i="77" s="1"/>
  <c r="W5014" i="77" s="1"/>
  <c r="W5015" i="77" s="1"/>
  <c r="W5016" i="77" s="1"/>
  <c r="W5017" i="77" s="1"/>
  <c r="W5018" i="77" s="1"/>
  <c r="W5019" i="77" s="1"/>
  <c r="W5020" i="77" s="1"/>
  <c r="W5021" i="77" s="1"/>
  <c r="W5022" i="77" s="1"/>
  <c r="W5023" i="77" s="1"/>
  <c r="W5024" i="77" s="1"/>
  <c r="W5025" i="77" s="1"/>
  <c r="W5026" i="77" s="1"/>
  <c r="W5027" i="77" s="1"/>
  <c r="W5028" i="77" s="1"/>
  <c r="W5029" i="77" s="1"/>
  <c r="W5030" i="77" s="1"/>
  <c r="W5031" i="77" s="1"/>
  <c r="W5032" i="77" s="1"/>
  <c r="W5033" i="77" s="1"/>
  <c r="W5034" i="77" s="1"/>
  <c r="W5035" i="77" s="1"/>
  <c r="W5036" i="77" s="1"/>
  <c r="W5037" i="77" s="1"/>
  <c r="W5038" i="77" s="1"/>
  <c r="W5039" i="77" s="1"/>
  <c r="W5040" i="77" s="1"/>
  <c r="W5041" i="77" s="1"/>
  <c r="W5042" i="77" s="1"/>
  <c r="W5043" i="77" s="1"/>
  <c r="W5044" i="77" s="1"/>
  <c r="W5045" i="77" s="1"/>
  <c r="W5046" i="77" s="1"/>
  <c r="W5047" i="77" s="1"/>
  <c r="W5048" i="77" s="1"/>
  <c r="W5049" i="77" s="1"/>
  <c r="W5050" i="77" s="1"/>
  <c r="W5051" i="77" s="1"/>
  <c r="W5052" i="77" s="1"/>
  <c r="W5053" i="77" s="1"/>
  <c r="W5054" i="77" s="1"/>
  <c r="W5055" i="77" s="1"/>
  <c r="W5056" i="77" s="1"/>
  <c r="W5057" i="77" s="1"/>
  <c r="W5058" i="77" s="1"/>
  <c r="W5059" i="77" s="1"/>
  <c r="W5060" i="77" s="1"/>
  <c r="W5061" i="77" s="1"/>
  <c r="W5062" i="77" s="1"/>
  <c r="W5063" i="77" s="1"/>
  <c r="W5064" i="77" s="1"/>
  <c r="W5065" i="77" s="1"/>
  <c r="W5066" i="77" s="1"/>
  <c r="W5067" i="77" s="1"/>
  <c r="W5068" i="77" s="1"/>
  <c r="W5069" i="77" s="1"/>
  <c r="W5070" i="77" s="1"/>
  <c r="W5071" i="77" s="1"/>
  <c r="W5072" i="77" s="1"/>
  <c r="W5073" i="77" s="1"/>
  <c r="W5074" i="77" s="1"/>
  <c r="W5075" i="77" s="1"/>
  <c r="W5076" i="77" s="1"/>
  <c r="W5077" i="77" s="1"/>
  <c r="W5078" i="77" s="1"/>
  <c r="W5079" i="77" s="1"/>
  <c r="W5080" i="77" s="1"/>
  <c r="W5081" i="77" s="1"/>
  <c r="W5082" i="77" s="1"/>
  <c r="W5083" i="77" s="1"/>
  <c r="W5084" i="77" s="1"/>
  <c r="W5085" i="77" s="1"/>
  <c r="W5086" i="77" s="1"/>
  <c r="W5087" i="77" s="1"/>
  <c r="W5088" i="77" s="1"/>
  <c r="W5089" i="77" s="1"/>
  <c r="W5090" i="77" s="1"/>
  <c r="W5091" i="77" s="1"/>
  <c r="W5092" i="77" s="1"/>
  <c r="W5093" i="77" s="1"/>
  <c r="W5094" i="77" s="1"/>
  <c r="W5095" i="77" s="1"/>
  <c r="W5096" i="77" s="1"/>
  <c r="W5097" i="77" s="1"/>
  <c r="W5098" i="77" s="1"/>
  <c r="W5099" i="77" s="1"/>
  <c r="W5100" i="77" s="1"/>
  <c r="W5101" i="77" s="1"/>
  <c r="W5102" i="77" s="1"/>
  <c r="W5103" i="77" s="1"/>
  <c r="W5104" i="77" s="1"/>
  <c r="W5105" i="77" s="1"/>
  <c r="W5106" i="77" s="1"/>
  <c r="W5107" i="77" s="1"/>
  <c r="W5108" i="77" s="1"/>
  <c r="W5109" i="77" s="1"/>
  <c r="W5110" i="77" s="1"/>
  <c r="W5111" i="77" s="1"/>
  <c r="W5112" i="77" s="1"/>
  <c r="W5113" i="77" s="1"/>
  <c r="W5114" i="77" s="1"/>
  <c r="W5115" i="77" s="1"/>
  <c r="W5116" i="77" s="1"/>
  <c r="W5117" i="77" s="1"/>
  <c r="W5118" i="77" s="1"/>
  <c r="W5119" i="77" s="1"/>
  <c r="W5120" i="77" s="1"/>
  <c r="W5121" i="77" s="1"/>
  <c r="W5122" i="77" s="1"/>
  <c r="W5123" i="77" s="1"/>
  <c r="W5124" i="77" s="1"/>
  <c r="W5125" i="77" s="1"/>
  <c r="W5126" i="77" s="1"/>
  <c r="W5127" i="77" s="1"/>
  <c r="W5128" i="77" s="1"/>
  <c r="W5129" i="77" s="1"/>
  <c r="W5130" i="77" s="1"/>
  <c r="W5131" i="77" s="1"/>
  <c r="W5132" i="77" s="1"/>
  <c r="W5133" i="77" s="1"/>
  <c r="W5134" i="77" s="1"/>
  <c r="W5135" i="77" s="1"/>
  <c r="W5136" i="77" s="1"/>
  <c r="W5137" i="77" s="1"/>
  <c r="W5138" i="77" s="1"/>
  <c r="W5139" i="77" s="1"/>
  <c r="W5140" i="77" s="1"/>
  <c r="W5141" i="77" s="1"/>
  <c r="W5142" i="77" s="1"/>
  <c r="W5143" i="77" s="1"/>
  <c r="W5144" i="77" s="1"/>
  <c r="W5145" i="77" s="1"/>
  <c r="W5146" i="77" s="1"/>
  <c r="W5147" i="77" s="1"/>
  <c r="W5148" i="77" s="1"/>
  <c r="W5149" i="77" s="1"/>
  <c r="W5150" i="77" s="1"/>
  <c r="W5151" i="77" s="1"/>
  <c r="W5152" i="77" s="1"/>
  <c r="W5153" i="77" s="1"/>
  <c r="W5154" i="77" s="1"/>
  <c r="W5155" i="77" s="1"/>
  <c r="W5156" i="77" s="1"/>
  <c r="W5157" i="77" s="1"/>
  <c r="W5158" i="77" s="1"/>
  <c r="W5159" i="77" s="1"/>
  <c r="W5160" i="77" s="1"/>
  <c r="W5161" i="77" s="1"/>
  <c r="W5162" i="77" s="1"/>
  <c r="W5163" i="77" s="1"/>
  <c r="W5164" i="77" s="1"/>
  <c r="W5165" i="77" s="1"/>
  <c r="W5166" i="77" s="1"/>
  <c r="W5167" i="77" s="1"/>
  <c r="W5168" i="77" s="1"/>
  <c r="W5169" i="77" s="1"/>
  <c r="W5170" i="77" s="1"/>
  <c r="W5171" i="77" s="1"/>
  <c r="W5172" i="77" s="1"/>
  <c r="W5173" i="77" s="1"/>
  <c r="W5174" i="77" s="1"/>
  <c r="W5175" i="77" s="1"/>
  <c r="W5176" i="77" s="1"/>
  <c r="W5177" i="77" s="1"/>
  <c r="W5178" i="77" s="1"/>
  <c r="W5179" i="77" s="1"/>
  <c r="W5180" i="77" s="1"/>
  <c r="W5181" i="77" s="1"/>
  <c r="W5182" i="77" s="1"/>
  <c r="W5183" i="77" s="1"/>
  <c r="W5184" i="77" s="1"/>
  <c r="W5185" i="77" s="1"/>
  <c r="W5186" i="77" s="1"/>
  <c r="W5187" i="77" s="1"/>
  <c r="W5188" i="77" s="1"/>
  <c r="W5189" i="77" s="1"/>
  <c r="W5190" i="77" s="1"/>
  <c r="W5191" i="77" s="1"/>
  <c r="W5192" i="77" s="1"/>
  <c r="W5193" i="77" s="1"/>
  <c r="W5194" i="77" s="1"/>
  <c r="W5195" i="77" s="1"/>
  <c r="W5196" i="77" s="1"/>
  <c r="W5197" i="77" s="1"/>
  <c r="W5198" i="77" s="1"/>
  <c r="W5199" i="77" s="1"/>
  <c r="W5200" i="77" s="1"/>
  <c r="W5201" i="77" s="1"/>
  <c r="W5202" i="77" s="1"/>
  <c r="W5203" i="77" s="1"/>
  <c r="W5204" i="77" s="1"/>
  <c r="W5205" i="77" s="1"/>
  <c r="W5206" i="77" s="1"/>
  <c r="W5207" i="77" s="1"/>
  <c r="W5208" i="77" s="1"/>
  <c r="W5209" i="77" s="1"/>
  <c r="W5210" i="77" s="1"/>
  <c r="W5211" i="77" s="1"/>
  <c r="W5212" i="77" s="1"/>
  <c r="W5213" i="77" s="1"/>
  <c r="W5214" i="77" s="1"/>
  <c r="W5215" i="77" s="1"/>
  <c r="W5216" i="77" s="1"/>
  <c r="W5217" i="77" s="1"/>
  <c r="W5218" i="77" s="1"/>
  <c r="W5219" i="77" s="1"/>
  <c r="W5220" i="77" s="1"/>
  <c r="W5221" i="77" s="1"/>
  <c r="W5222" i="77" s="1"/>
  <c r="W5223" i="77" s="1"/>
  <c r="W5224" i="77" s="1"/>
  <c r="W5225" i="77" s="1"/>
  <c r="W5226" i="77" s="1"/>
  <c r="W5227" i="77" s="1"/>
  <c r="W5228" i="77" s="1"/>
  <c r="W5229" i="77" s="1"/>
  <c r="W5230" i="77" s="1"/>
  <c r="W5231" i="77" s="1"/>
  <c r="W5232" i="77" s="1"/>
  <c r="W5233" i="77" s="1"/>
  <c r="W5234" i="77" s="1"/>
  <c r="W5235" i="77" s="1"/>
  <c r="W5236" i="77" s="1"/>
  <c r="W5237" i="77" s="1"/>
  <c r="W5238" i="77" s="1"/>
  <c r="W5239" i="77" s="1"/>
  <c r="W5240" i="77" s="1"/>
  <c r="W5241" i="77" s="1"/>
  <c r="W5242" i="77" s="1"/>
  <c r="W5243" i="77" s="1"/>
  <c r="W5244" i="77" s="1"/>
  <c r="W5245" i="77" s="1"/>
  <c r="W5246" i="77" s="1"/>
  <c r="W5247" i="77" s="1"/>
  <c r="W5248" i="77" s="1"/>
  <c r="W5249" i="77" s="1"/>
  <c r="W5250" i="77" s="1"/>
  <c r="W5251" i="77" s="1"/>
  <c r="W5252" i="77" s="1"/>
  <c r="W5253" i="77" s="1"/>
  <c r="W5254" i="77" s="1"/>
  <c r="W5255" i="77" s="1"/>
  <c r="W5256" i="77" s="1"/>
  <c r="W5257" i="77" s="1"/>
  <c r="W5258" i="77" s="1"/>
  <c r="W5259" i="77" s="1"/>
  <c r="W5260" i="77" s="1"/>
  <c r="W5261" i="77" s="1"/>
  <c r="W5262" i="77" s="1"/>
  <c r="W5263" i="77" s="1"/>
  <c r="W5264" i="77" s="1"/>
  <c r="W5265" i="77" s="1"/>
  <c r="W5266" i="77" s="1"/>
  <c r="W5267" i="77" s="1"/>
  <c r="W5268" i="77" s="1"/>
  <c r="W5269" i="77" s="1"/>
  <c r="W5270" i="77" s="1"/>
  <c r="W5271" i="77" s="1"/>
  <c r="W5272" i="77" s="1"/>
  <c r="W5273" i="77" s="1"/>
  <c r="W5274" i="77" s="1"/>
  <c r="W5275" i="77" s="1"/>
  <c r="W5276" i="77" s="1"/>
  <c r="W5277" i="77" s="1"/>
  <c r="W5278" i="77" s="1"/>
  <c r="W5279" i="77" s="1"/>
  <c r="W5280" i="77" s="1"/>
  <c r="W5281" i="77" s="1"/>
  <c r="W5282" i="77" s="1"/>
  <c r="W5283" i="77" s="1"/>
  <c r="W5284" i="77" s="1"/>
  <c r="W5285" i="77" s="1"/>
  <c r="W5286" i="77" s="1"/>
  <c r="W5287" i="77" s="1"/>
  <c r="W5288" i="77" s="1"/>
  <c r="W5289" i="77" s="1"/>
  <c r="W5290" i="77" s="1"/>
  <c r="W5291" i="77" s="1"/>
  <c r="W5292" i="77" s="1"/>
  <c r="W5293" i="77" s="1"/>
  <c r="W5294" i="77" s="1"/>
  <c r="W5295" i="77" s="1"/>
  <c r="W5296" i="77" s="1"/>
  <c r="W5297" i="77" s="1"/>
  <c r="W5298" i="77" s="1"/>
  <c r="W5299" i="77" s="1"/>
  <c r="W5300" i="77" s="1"/>
  <c r="W5301" i="77" s="1"/>
  <c r="W5302" i="77" s="1"/>
  <c r="W5303" i="77" s="1"/>
  <c r="W5304" i="77" s="1"/>
  <c r="W5305" i="77" s="1"/>
  <c r="W5306" i="77" s="1"/>
  <c r="W5307" i="77" s="1"/>
  <c r="W5308" i="77" s="1"/>
  <c r="W5309" i="77" s="1"/>
  <c r="W5310" i="77" s="1"/>
  <c r="W5311" i="77" s="1"/>
  <c r="W5312" i="77" s="1"/>
  <c r="W5313" i="77" s="1"/>
  <c r="W5314" i="77" s="1"/>
  <c r="W5315" i="77" s="1"/>
  <c r="W5316" i="77" s="1"/>
  <c r="W5317" i="77" s="1"/>
  <c r="W5318" i="77" s="1"/>
  <c r="W5319" i="77" s="1"/>
  <c r="W5320" i="77" s="1"/>
  <c r="W5321" i="77" s="1"/>
  <c r="W5322" i="77" s="1"/>
  <c r="W5323" i="77" s="1"/>
  <c r="W5324" i="77" s="1"/>
  <c r="W5325" i="77" s="1"/>
  <c r="W5326" i="77" s="1"/>
  <c r="W5327" i="77" s="1"/>
  <c r="W5328" i="77" s="1"/>
  <c r="W5329" i="77" s="1"/>
  <c r="W5330" i="77" s="1"/>
  <c r="W5331" i="77" s="1"/>
  <c r="W5332" i="77" s="1"/>
  <c r="W5333" i="77" s="1"/>
  <c r="W5334" i="77" s="1"/>
  <c r="W5335" i="77" s="1"/>
  <c r="W5336" i="77" s="1"/>
  <c r="W5337" i="77" s="1"/>
  <c r="W5338" i="77" s="1"/>
  <c r="W5339" i="77" s="1"/>
  <c r="W5340" i="77" s="1"/>
  <c r="W5341" i="77" s="1"/>
  <c r="W5342" i="77" s="1"/>
  <c r="W5343" i="77" s="1"/>
  <c r="W5344" i="77" s="1"/>
  <c r="W5345" i="77" s="1"/>
  <c r="W5346" i="77" s="1"/>
  <c r="W5347" i="77" s="1"/>
  <c r="W5348" i="77" s="1"/>
  <c r="W5349" i="77" s="1"/>
  <c r="W5350" i="77" s="1"/>
  <c r="W5351" i="77" s="1"/>
  <c r="W5352" i="77" s="1"/>
  <c r="W5353" i="77" s="1"/>
  <c r="W5354" i="77" s="1"/>
  <c r="W5355" i="77" s="1"/>
  <c r="W5356" i="77" s="1"/>
  <c r="W5357" i="77" s="1"/>
  <c r="W5358" i="77" s="1"/>
  <c r="W5359" i="77" s="1"/>
  <c r="W5360" i="77" s="1"/>
  <c r="W5361" i="77" s="1"/>
  <c r="W5362" i="77" s="1"/>
  <c r="W5363" i="77" s="1"/>
  <c r="W5364" i="77" s="1"/>
  <c r="W5365" i="77" s="1"/>
  <c r="W5366" i="77" s="1"/>
  <c r="W5367" i="77" s="1"/>
  <c r="W5368" i="77" s="1"/>
  <c r="W5369" i="77" s="1"/>
  <c r="W5370" i="77" s="1"/>
  <c r="W5371" i="77" s="1"/>
  <c r="W5372" i="77" s="1"/>
  <c r="W5373" i="77" s="1"/>
  <c r="W5374" i="77" s="1"/>
  <c r="W5375" i="77" s="1"/>
  <c r="W5376" i="77" s="1"/>
  <c r="W5377" i="77" s="1"/>
  <c r="W5378" i="77" s="1"/>
  <c r="W5379" i="77" s="1"/>
  <c r="W5380" i="77" s="1"/>
  <c r="W5381" i="77" s="1"/>
  <c r="W5382" i="77" s="1"/>
  <c r="W5383" i="77" s="1"/>
  <c r="W5384" i="77" s="1"/>
  <c r="W5385" i="77" s="1"/>
  <c r="W5386" i="77" s="1"/>
  <c r="W5387" i="77" s="1"/>
  <c r="W5388" i="77" s="1"/>
  <c r="W5389" i="77" s="1"/>
  <c r="W5390" i="77" s="1"/>
  <c r="W5391" i="77" s="1"/>
  <c r="W5392" i="77" s="1"/>
  <c r="W5393" i="77" s="1"/>
  <c r="W5394" i="77" s="1"/>
  <c r="W5395" i="77" s="1"/>
  <c r="W5396" i="77" s="1"/>
  <c r="W5397" i="77" s="1"/>
  <c r="W5398" i="77" s="1"/>
  <c r="W5399" i="77" s="1"/>
  <c r="W5400" i="77" s="1"/>
  <c r="W5401" i="77" s="1"/>
  <c r="W5402" i="77" s="1"/>
  <c r="W5403" i="77" s="1"/>
  <c r="W5404" i="77" s="1"/>
  <c r="W5405" i="77" s="1"/>
  <c r="W5406" i="77" s="1"/>
  <c r="W5407" i="77" s="1"/>
  <c r="W5408" i="77" s="1"/>
  <c r="W5409" i="77" s="1"/>
  <c r="W5410" i="77" s="1"/>
  <c r="W5411" i="77" s="1"/>
  <c r="W5412" i="77" s="1"/>
  <c r="W5413" i="77" s="1"/>
  <c r="W5414" i="77" s="1"/>
  <c r="W5415" i="77" s="1"/>
  <c r="W5416" i="77" s="1"/>
  <c r="W5417" i="77" s="1"/>
  <c r="W5418" i="77" s="1"/>
  <c r="W5419" i="77" s="1"/>
  <c r="W5420" i="77" s="1"/>
  <c r="W5421" i="77" s="1"/>
  <c r="W5422" i="77" s="1"/>
  <c r="W5423" i="77" s="1"/>
  <c r="W5424" i="77" s="1"/>
  <c r="W5425" i="77" s="1"/>
  <c r="W5426" i="77" s="1"/>
  <c r="W5427" i="77" s="1"/>
  <c r="W5428" i="77" s="1"/>
  <c r="W5429" i="77" s="1"/>
  <c r="W5430" i="77" s="1"/>
  <c r="W5431" i="77" s="1"/>
  <c r="W5432" i="77" s="1"/>
  <c r="W5433" i="77" s="1"/>
  <c r="W5434" i="77" s="1"/>
  <c r="W5435" i="77" s="1"/>
  <c r="W5436" i="77" s="1"/>
  <c r="W5437" i="77" s="1"/>
  <c r="W5438" i="77" s="1"/>
  <c r="W5439" i="77" s="1"/>
  <c r="W5440" i="77" s="1"/>
  <c r="W5441" i="77" s="1"/>
  <c r="W5442" i="77" s="1"/>
  <c r="W5443" i="77" s="1"/>
  <c r="W5444" i="77" s="1"/>
  <c r="W5445" i="77" s="1"/>
  <c r="W5446" i="77" s="1"/>
  <c r="W5447" i="77" s="1"/>
  <c r="W5448" i="77" s="1"/>
  <c r="W5449" i="77" s="1"/>
  <c r="W5450" i="77" s="1"/>
  <c r="W5451" i="77" s="1"/>
  <c r="W5452" i="77" s="1"/>
  <c r="W5453" i="77" s="1"/>
  <c r="W5454" i="77" s="1"/>
  <c r="W5455" i="77" s="1"/>
  <c r="W5456" i="77" s="1"/>
  <c r="W5457" i="77" s="1"/>
  <c r="W5458" i="77" s="1"/>
  <c r="W5459" i="77" s="1"/>
  <c r="W5460" i="77" s="1"/>
  <c r="W5461" i="77" s="1"/>
  <c r="W5462" i="77" s="1"/>
  <c r="W5463" i="77" s="1"/>
  <c r="W5464" i="77" s="1"/>
  <c r="W5465" i="77" s="1"/>
  <c r="W5466" i="77" s="1"/>
  <c r="W5467" i="77" s="1"/>
  <c r="W5468" i="77" s="1"/>
  <c r="W5469" i="77" s="1"/>
  <c r="W5470" i="77" s="1"/>
  <c r="W5471" i="77" s="1"/>
  <c r="W5472" i="77" s="1"/>
  <c r="W5473" i="77" s="1"/>
  <c r="W5474" i="77" s="1"/>
  <c r="W5475" i="77" s="1"/>
  <c r="W5476" i="77" s="1"/>
  <c r="W5477" i="77" s="1"/>
  <c r="W5478" i="77" s="1"/>
  <c r="W5479" i="77" s="1"/>
  <c r="W5480" i="77" s="1"/>
  <c r="W5481" i="77" s="1"/>
  <c r="W5482" i="77" s="1"/>
  <c r="W5483" i="77" s="1"/>
  <c r="W5484" i="77" s="1"/>
  <c r="W5485" i="77" s="1"/>
  <c r="W5486" i="77" s="1"/>
  <c r="W5487" i="77" s="1"/>
  <c r="W5488" i="77" s="1"/>
  <c r="W5489" i="77" s="1"/>
  <c r="W5490" i="77" s="1"/>
  <c r="W5491" i="77" s="1"/>
  <c r="W5492" i="77" s="1"/>
  <c r="W5493" i="77" s="1"/>
  <c r="W5494" i="77" s="1"/>
  <c r="W5495" i="77" s="1"/>
  <c r="W5496" i="77" s="1"/>
  <c r="W5497" i="77" s="1"/>
  <c r="W5498" i="77" s="1"/>
  <c r="W5499" i="77" s="1"/>
  <c r="W5500" i="77" s="1"/>
  <c r="W5501" i="77" s="1"/>
  <c r="W5502" i="77" s="1"/>
  <c r="W5503" i="77" s="1"/>
  <c r="W5504" i="77" s="1"/>
  <c r="W5505" i="77" s="1"/>
  <c r="W5506" i="77" s="1"/>
  <c r="W5507" i="77" s="1"/>
  <c r="W5508" i="77" s="1"/>
  <c r="W5509" i="77" s="1"/>
  <c r="W5510" i="77" s="1"/>
  <c r="W5511" i="77" s="1"/>
  <c r="W5512" i="77" s="1"/>
  <c r="W5513" i="77" s="1"/>
  <c r="W5514" i="77" s="1"/>
  <c r="W5515" i="77" s="1"/>
  <c r="W5516" i="77" s="1"/>
  <c r="W5517" i="77" s="1"/>
  <c r="W5518" i="77" s="1"/>
  <c r="W5519" i="77" s="1"/>
  <c r="W5520" i="77" s="1"/>
  <c r="W5521" i="77" s="1"/>
  <c r="W5522" i="77" s="1"/>
  <c r="W5523" i="77" s="1"/>
  <c r="W5524" i="77" s="1"/>
  <c r="W5525" i="77" s="1"/>
  <c r="W5526" i="77" s="1"/>
  <c r="W5527" i="77" s="1"/>
  <c r="W5528" i="77" s="1"/>
  <c r="W5529" i="77" s="1"/>
  <c r="W5530" i="77" s="1"/>
  <c r="W5531" i="77" s="1"/>
  <c r="W5532" i="77" s="1"/>
  <c r="W5533" i="77" s="1"/>
  <c r="W5534" i="77" s="1"/>
  <c r="W5535" i="77" s="1"/>
  <c r="W5536" i="77" s="1"/>
  <c r="W5537" i="77" s="1"/>
  <c r="W5538" i="77" s="1"/>
  <c r="W5539" i="77" s="1"/>
  <c r="W5540" i="77" s="1"/>
  <c r="W5541" i="77" s="1"/>
  <c r="W5542" i="77" s="1"/>
  <c r="W5543" i="77" s="1"/>
  <c r="W5544" i="77" s="1"/>
  <c r="W5545" i="77" s="1"/>
  <c r="W5546" i="77" s="1"/>
  <c r="W5547" i="77" s="1"/>
  <c r="W5548" i="77" s="1"/>
  <c r="W5549" i="77" s="1"/>
  <c r="W5550" i="77" s="1"/>
  <c r="W5551" i="77" s="1"/>
  <c r="W5552" i="77" s="1"/>
  <c r="W5553" i="77" s="1"/>
  <c r="W5554" i="77" s="1"/>
  <c r="W5555" i="77" s="1"/>
  <c r="W5556" i="77" s="1"/>
  <c r="W5557" i="77" s="1"/>
  <c r="W5558" i="77" s="1"/>
  <c r="W5559" i="77" s="1"/>
  <c r="W5560" i="77" s="1"/>
  <c r="W5561" i="77" s="1"/>
  <c r="W5562" i="77" s="1"/>
  <c r="W5563" i="77" s="1"/>
  <c r="W5564" i="77" s="1"/>
  <c r="W5565" i="77" s="1"/>
  <c r="W5566" i="77" s="1"/>
  <c r="W5567" i="77" s="1"/>
  <c r="W5568" i="77" s="1"/>
  <c r="W5569" i="77" s="1"/>
  <c r="W5570" i="77" s="1"/>
  <c r="W5571" i="77" s="1"/>
  <c r="W5572" i="77" s="1"/>
  <c r="W5573" i="77" s="1"/>
  <c r="W5574" i="77" s="1"/>
  <c r="W5575" i="77" s="1"/>
  <c r="W5576" i="77" s="1"/>
  <c r="W5577" i="77" s="1"/>
  <c r="W5578" i="77" s="1"/>
  <c r="W5579" i="77" s="1"/>
  <c r="W5580" i="77" s="1"/>
  <c r="W5581" i="77" s="1"/>
  <c r="W5582" i="77" s="1"/>
  <c r="W5583" i="77" s="1"/>
  <c r="W5584" i="77" s="1"/>
  <c r="W5585" i="77" s="1"/>
  <c r="W5586" i="77" s="1"/>
  <c r="W5587" i="77" s="1"/>
  <c r="W5588" i="77" s="1"/>
  <c r="W5589" i="77" s="1"/>
  <c r="W5590" i="77" s="1"/>
  <c r="W5591" i="77" s="1"/>
  <c r="W5592" i="77" s="1"/>
  <c r="W5593" i="77" s="1"/>
  <c r="W5594" i="77" s="1"/>
  <c r="W5595" i="77" s="1"/>
  <c r="W5596" i="77" s="1"/>
  <c r="W5597" i="77" s="1"/>
  <c r="W5598" i="77" s="1"/>
  <c r="W5599" i="77" s="1"/>
  <c r="W5600" i="77" s="1"/>
  <c r="W5601" i="77" s="1"/>
  <c r="W5602" i="77" s="1"/>
  <c r="W5603" i="77" s="1"/>
  <c r="W5604" i="77" s="1"/>
  <c r="W5605" i="77" s="1"/>
  <c r="W5606" i="77" s="1"/>
  <c r="W5607" i="77" s="1"/>
  <c r="W5608" i="77" s="1"/>
  <c r="W5609" i="77" s="1"/>
  <c r="W5610" i="77" s="1"/>
  <c r="W5611" i="77" s="1"/>
  <c r="W5612" i="77" s="1"/>
  <c r="W5613" i="77" s="1"/>
  <c r="W5614" i="77" s="1"/>
  <c r="W5615" i="77" s="1"/>
  <c r="W5616" i="77" s="1"/>
  <c r="W5617" i="77" s="1"/>
  <c r="W5618" i="77" s="1"/>
  <c r="W5619" i="77" s="1"/>
  <c r="W5620" i="77" s="1"/>
  <c r="W5621" i="77" s="1"/>
  <c r="W5622" i="77" s="1"/>
  <c r="W5623" i="77" s="1"/>
  <c r="W5624" i="77" s="1"/>
  <c r="W5625" i="77" s="1"/>
  <c r="W5626" i="77" s="1"/>
  <c r="W5627" i="77" s="1"/>
  <c r="W5628" i="77" s="1"/>
  <c r="W5629" i="77" s="1"/>
  <c r="W5630" i="77" s="1"/>
  <c r="W5631" i="77" s="1"/>
  <c r="W5632" i="77" s="1"/>
  <c r="W5633" i="77" s="1"/>
  <c r="W5634" i="77" s="1"/>
  <c r="W5635" i="77" s="1"/>
  <c r="W5636" i="77" s="1"/>
  <c r="W5637" i="77" s="1"/>
  <c r="W5638" i="77" s="1"/>
  <c r="W5639" i="77" s="1"/>
  <c r="W5640" i="77" s="1"/>
  <c r="W5641" i="77" s="1"/>
  <c r="W5642" i="77" s="1"/>
  <c r="W5643" i="77" s="1"/>
  <c r="W5644" i="77" s="1"/>
  <c r="W5645" i="77" s="1"/>
  <c r="W5646" i="77" s="1"/>
  <c r="W5647" i="77" s="1"/>
  <c r="W5648" i="77" s="1"/>
  <c r="W5649" i="77" s="1"/>
  <c r="W5650" i="77" s="1"/>
  <c r="W5651" i="77" s="1"/>
  <c r="W5652" i="77" s="1"/>
  <c r="W5653" i="77" s="1"/>
  <c r="W5654" i="77" s="1"/>
  <c r="W5655" i="77" s="1"/>
  <c r="W5656" i="77" s="1"/>
  <c r="W5657" i="77" s="1"/>
  <c r="W5658" i="77" s="1"/>
  <c r="W5659" i="77" s="1"/>
  <c r="W5660" i="77" s="1"/>
  <c r="W5661" i="77" s="1"/>
  <c r="W5662" i="77" s="1"/>
  <c r="W5663" i="77" s="1"/>
  <c r="W5664" i="77" s="1"/>
  <c r="W5665" i="77" s="1"/>
  <c r="W5666" i="77" s="1"/>
  <c r="W5667" i="77" s="1"/>
  <c r="W5668" i="77" s="1"/>
  <c r="W5669" i="77" s="1"/>
  <c r="W5670" i="77" s="1"/>
  <c r="W5671" i="77" s="1"/>
  <c r="W5672" i="77" s="1"/>
  <c r="W5673" i="77" s="1"/>
  <c r="W5674" i="77" s="1"/>
  <c r="W5675" i="77" s="1"/>
  <c r="W5676" i="77" s="1"/>
  <c r="W5677" i="77" s="1"/>
  <c r="W5678" i="77" s="1"/>
  <c r="W5679" i="77" s="1"/>
  <c r="W5680" i="77" s="1"/>
  <c r="W5681" i="77" s="1"/>
  <c r="W5682" i="77" s="1"/>
  <c r="W5683" i="77" s="1"/>
  <c r="W5684" i="77" s="1"/>
  <c r="W5685" i="77" s="1"/>
  <c r="W5686" i="77" s="1"/>
  <c r="W5687" i="77" s="1"/>
  <c r="W5688" i="77" s="1"/>
  <c r="W5689" i="77" s="1"/>
  <c r="W5690" i="77" s="1"/>
  <c r="W5691" i="77" s="1"/>
  <c r="W5692" i="77" s="1"/>
  <c r="W5693" i="77" s="1"/>
  <c r="W5694" i="77" s="1"/>
  <c r="W5695" i="77" s="1"/>
  <c r="W5696" i="77" s="1"/>
  <c r="W5697" i="77" s="1"/>
  <c r="W5698" i="77" s="1"/>
  <c r="W5699" i="77" s="1"/>
  <c r="W5700" i="77" s="1"/>
  <c r="W5701" i="77" s="1"/>
  <c r="W5702" i="77" s="1"/>
  <c r="W5703" i="77" s="1"/>
  <c r="W5704" i="77" s="1"/>
  <c r="W5705" i="77" s="1"/>
  <c r="W5706" i="77" s="1"/>
  <c r="W5707" i="77" s="1"/>
  <c r="W5708" i="77" s="1"/>
  <c r="W5709" i="77" s="1"/>
  <c r="W5710" i="77" s="1"/>
  <c r="W5711" i="77" s="1"/>
  <c r="W5712" i="77" s="1"/>
  <c r="W5713" i="77" s="1"/>
  <c r="W5714" i="77" s="1"/>
  <c r="W5715" i="77" s="1"/>
  <c r="W5716" i="77" s="1"/>
  <c r="W5717" i="77" s="1"/>
  <c r="W5718" i="77" s="1"/>
  <c r="W5719" i="77" s="1"/>
  <c r="W5720" i="77" s="1"/>
  <c r="W5721" i="77" s="1"/>
  <c r="W5722" i="77" s="1"/>
  <c r="W5723" i="77" s="1"/>
  <c r="W5724" i="77" s="1"/>
  <c r="W5725" i="77" s="1"/>
  <c r="W5726" i="77" s="1"/>
  <c r="W5727" i="77" s="1"/>
  <c r="W5728" i="77" s="1"/>
  <c r="W5729" i="77" s="1"/>
  <c r="W5730" i="77" s="1"/>
  <c r="W5731" i="77" s="1"/>
  <c r="W5732" i="77" s="1"/>
  <c r="W5733" i="77" s="1"/>
  <c r="W5734" i="77" s="1"/>
  <c r="W5735" i="77" s="1"/>
  <c r="W5736" i="77" s="1"/>
  <c r="W5737" i="77" s="1"/>
  <c r="W5738" i="77" s="1"/>
  <c r="W5739" i="77" s="1"/>
  <c r="W5740" i="77" s="1"/>
  <c r="W5741" i="77" s="1"/>
  <c r="W5742" i="77" s="1"/>
  <c r="W5743" i="77" s="1"/>
  <c r="W5744" i="77" s="1"/>
  <c r="W5745" i="77" s="1"/>
  <c r="W5746" i="77" s="1"/>
  <c r="W5747" i="77" s="1"/>
  <c r="W5748" i="77" s="1"/>
  <c r="W5749" i="77" s="1"/>
  <c r="W5750" i="77" s="1"/>
  <c r="W5751" i="77" s="1"/>
  <c r="W5752" i="77" s="1"/>
  <c r="W5753" i="77" s="1"/>
  <c r="W5754" i="77" s="1"/>
  <c r="W5755" i="77" s="1"/>
  <c r="W5756" i="77" s="1"/>
  <c r="W5757" i="77" s="1"/>
  <c r="W5758" i="77" s="1"/>
  <c r="W5759" i="77" s="1"/>
  <c r="W5760" i="77" s="1"/>
  <c r="W5761" i="77" s="1"/>
  <c r="W5762" i="77" s="1"/>
  <c r="W5763" i="77" s="1"/>
  <c r="W5764" i="77" s="1"/>
  <c r="W5765" i="77" s="1"/>
  <c r="W5766" i="77" s="1"/>
  <c r="W5767" i="77" s="1"/>
  <c r="W5768" i="77" s="1"/>
  <c r="W5769" i="77" s="1"/>
  <c r="W5770" i="77" s="1"/>
  <c r="W5771" i="77" s="1"/>
  <c r="W5772" i="77" s="1"/>
  <c r="W5773" i="77" s="1"/>
  <c r="W5774" i="77" s="1"/>
  <c r="W5775" i="77" s="1"/>
  <c r="W5776" i="77" s="1"/>
  <c r="W5777" i="77" s="1"/>
  <c r="W5778" i="77" s="1"/>
  <c r="W5779" i="77" s="1"/>
  <c r="W5780" i="77" s="1"/>
  <c r="W5781" i="77" s="1"/>
  <c r="W5782" i="77" s="1"/>
  <c r="W5783" i="77" s="1"/>
  <c r="W5784" i="77" s="1"/>
  <c r="W5785" i="77" s="1"/>
  <c r="W5786" i="77" s="1"/>
  <c r="W5787" i="77" s="1"/>
  <c r="W5788" i="77" s="1"/>
  <c r="W5789" i="77" s="1"/>
  <c r="W5790" i="77" s="1"/>
  <c r="W5791" i="77" s="1"/>
  <c r="W5792" i="77" s="1"/>
  <c r="W5793" i="77" s="1"/>
  <c r="W5794" i="77" s="1"/>
  <c r="W5795" i="77" s="1"/>
  <c r="W5796" i="77" s="1"/>
  <c r="W5797" i="77" s="1"/>
  <c r="W5798" i="77" s="1"/>
  <c r="W5799" i="77" s="1"/>
  <c r="W5800" i="77" s="1"/>
  <c r="W5801" i="77" s="1"/>
  <c r="W5802" i="77" s="1"/>
  <c r="W5803" i="77" s="1"/>
  <c r="W5804" i="77" s="1"/>
  <c r="W5805" i="77" s="1"/>
  <c r="W5806" i="77" s="1"/>
  <c r="W5807" i="77" s="1"/>
  <c r="W5808" i="77" s="1"/>
  <c r="W5809" i="77" s="1"/>
  <c r="W5810" i="77" s="1"/>
  <c r="W5811" i="77" s="1"/>
  <c r="W5812" i="77" s="1"/>
  <c r="W5813" i="77" s="1"/>
  <c r="W5814" i="77" s="1"/>
  <c r="W5815" i="77" s="1"/>
  <c r="W5816" i="77" s="1"/>
  <c r="W5817" i="77" s="1"/>
  <c r="W5818" i="77" s="1"/>
  <c r="W5819" i="77" s="1"/>
  <c r="W5820" i="77" s="1"/>
  <c r="W5821" i="77" s="1"/>
  <c r="W5822" i="77" s="1"/>
  <c r="W5823" i="77" s="1"/>
  <c r="W5824" i="77" s="1"/>
  <c r="W5825" i="77" s="1"/>
  <c r="W5826" i="77" s="1"/>
  <c r="W5827" i="77" s="1"/>
  <c r="W5828" i="77" s="1"/>
  <c r="W5829" i="77" s="1"/>
  <c r="W5830" i="77" s="1"/>
  <c r="W5831" i="77" s="1"/>
  <c r="W5832" i="77" s="1"/>
  <c r="W5833" i="77" s="1"/>
  <c r="W5834" i="77" s="1"/>
  <c r="W5835" i="77" s="1"/>
  <c r="W5836" i="77" s="1"/>
  <c r="W5837" i="77" s="1"/>
  <c r="W5838" i="77" s="1"/>
  <c r="W5839" i="77" s="1"/>
  <c r="W5840" i="77" s="1"/>
  <c r="W5841" i="77" s="1"/>
  <c r="W5842" i="77" s="1"/>
  <c r="W5843" i="77" s="1"/>
  <c r="W5844" i="77" s="1"/>
  <c r="W5845" i="77" s="1"/>
  <c r="W5846" i="77" s="1"/>
  <c r="W5847" i="77" s="1"/>
  <c r="W5848" i="77" s="1"/>
  <c r="W5849" i="77" s="1"/>
  <c r="W5850" i="77" s="1"/>
  <c r="W5851" i="77" s="1"/>
  <c r="W5852" i="77" s="1"/>
  <c r="W5853" i="77" s="1"/>
  <c r="W5854" i="77" s="1"/>
  <c r="W5855" i="77" s="1"/>
  <c r="W5856" i="77" s="1"/>
  <c r="W5857" i="77" s="1"/>
  <c r="W5858" i="77" s="1"/>
  <c r="W5859" i="77" s="1"/>
  <c r="W5860" i="77" s="1"/>
  <c r="W5861" i="77" s="1"/>
  <c r="W5862" i="77" s="1"/>
  <c r="W5863" i="77" s="1"/>
  <c r="W5864" i="77" s="1"/>
  <c r="W5865" i="77" s="1"/>
  <c r="W5866" i="77" s="1"/>
  <c r="W5867" i="77" s="1"/>
  <c r="W5868" i="77" s="1"/>
  <c r="W5869" i="77" s="1"/>
  <c r="W5870" i="77" s="1"/>
  <c r="W5871" i="77" s="1"/>
  <c r="W5872" i="77" s="1"/>
  <c r="W5873" i="77" s="1"/>
  <c r="W5874" i="77" s="1"/>
  <c r="W5875" i="77" s="1"/>
  <c r="W5876" i="77" s="1"/>
  <c r="W5877" i="77" s="1"/>
  <c r="W5878" i="77" s="1"/>
  <c r="W5879" i="77" s="1"/>
  <c r="W5880" i="77" s="1"/>
  <c r="W5881" i="77" s="1"/>
  <c r="W5882" i="77" s="1"/>
  <c r="W5883" i="77" s="1"/>
  <c r="W5884" i="77" s="1"/>
  <c r="W5885" i="77" s="1"/>
  <c r="W5886" i="77" s="1"/>
  <c r="W5887" i="77" s="1"/>
  <c r="W5888" i="77" s="1"/>
  <c r="W5889" i="77" s="1"/>
  <c r="W5890" i="77" s="1"/>
  <c r="W5891" i="77" s="1"/>
  <c r="W5892" i="77" s="1"/>
  <c r="W5893" i="77" s="1"/>
  <c r="W5894" i="77" s="1"/>
  <c r="W5895" i="77" s="1"/>
  <c r="W5896" i="77" s="1"/>
  <c r="W5897" i="77" s="1"/>
  <c r="W5898" i="77" s="1"/>
  <c r="W5899" i="77" s="1"/>
  <c r="W5900" i="77" s="1"/>
  <c r="W5901" i="77" s="1"/>
  <c r="W5902" i="77" s="1"/>
  <c r="W5903" i="77" s="1"/>
  <c r="W5904" i="77" s="1"/>
  <c r="W5905" i="77" s="1"/>
  <c r="W5906" i="77" s="1"/>
  <c r="W5907" i="77" s="1"/>
  <c r="W5908" i="77" s="1"/>
  <c r="W5909" i="77" s="1"/>
  <c r="W5910" i="77" s="1"/>
  <c r="W5911" i="77" s="1"/>
  <c r="W5912" i="77" s="1"/>
  <c r="W5913" i="77" s="1"/>
  <c r="W5914" i="77" s="1"/>
  <c r="W5915" i="77" s="1"/>
  <c r="W5916" i="77" s="1"/>
  <c r="W5917" i="77" s="1"/>
  <c r="W5918" i="77" s="1"/>
  <c r="W5919" i="77" s="1"/>
  <c r="W5920" i="77" s="1"/>
  <c r="W5921" i="77" s="1"/>
  <c r="W5922" i="77" s="1"/>
  <c r="W5923" i="77" s="1"/>
  <c r="W5924" i="77" s="1"/>
  <c r="W5925" i="77" s="1"/>
  <c r="W5926" i="77" s="1"/>
  <c r="W5927" i="77" s="1"/>
  <c r="W5928" i="77" s="1"/>
  <c r="W5929" i="77" s="1"/>
  <c r="W5930" i="77" s="1"/>
  <c r="W5931" i="77" s="1"/>
  <c r="W5932" i="77" s="1"/>
  <c r="W5933" i="77" s="1"/>
  <c r="W5934" i="77" s="1"/>
  <c r="W5935" i="77" s="1"/>
  <c r="W5936" i="77" s="1"/>
  <c r="W5937" i="77" s="1"/>
  <c r="W5938" i="77" s="1"/>
  <c r="W5939" i="77" s="1"/>
  <c r="W5940" i="77" s="1"/>
  <c r="W5941" i="77" s="1"/>
  <c r="W5942" i="77" s="1"/>
  <c r="W5943" i="77" s="1"/>
  <c r="W5944" i="77" s="1"/>
  <c r="W5945" i="77" s="1"/>
  <c r="W5946" i="77" s="1"/>
  <c r="W5947" i="77" s="1"/>
  <c r="W5948" i="77" s="1"/>
  <c r="W5949" i="77" s="1"/>
  <c r="W5950" i="77" s="1"/>
  <c r="W5951" i="77" s="1"/>
  <c r="W5952" i="77" s="1"/>
  <c r="W5953" i="77" s="1"/>
  <c r="W5954" i="77" s="1"/>
  <c r="W5955" i="77" s="1"/>
  <c r="W5956" i="77" s="1"/>
  <c r="W5957" i="77" s="1"/>
  <c r="W5958" i="77" s="1"/>
  <c r="W5959" i="77" s="1"/>
  <c r="W5960" i="77" s="1"/>
  <c r="W5961" i="77" s="1"/>
  <c r="W5962" i="77" s="1"/>
  <c r="W5963" i="77" s="1"/>
  <c r="W5964" i="77" s="1"/>
  <c r="W5965" i="77" s="1"/>
  <c r="W5966" i="77" s="1"/>
  <c r="W5967" i="77" s="1"/>
  <c r="W5968" i="77" s="1"/>
  <c r="W5969" i="77" s="1"/>
  <c r="W5970" i="77" s="1"/>
  <c r="W5971" i="77" s="1"/>
  <c r="W5972" i="77" s="1"/>
  <c r="W5973" i="77" s="1"/>
  <c r="W5974" i="77" s="1"/>
  <c r="W5975" i="77" s="1"/>
  <c r="W5976" i="77" s="1"/>
  <c r="W5977" i="77" s="1"/>
  <c r="W5978" i="77" s="1"/>
  <c r="W5979" i="77" s="1"/>
  <c r="W5980" i="77" s="1"/>
  <c r="W5981" i="77" s="1"/>
  <c r="W5982" i="77" s="1"/>
  <c r="W5983" i="77" s="1"/>
  <c r="W5984" i="77" s="1"/>
  <c r="W5985" i="77" s="1"/>
  <c r="W5986" i="77" s="1"/>
  <c r="W5987" i="77" s="1"/>
  <c r="W5988" i="77" s="1"/>
  <c r="W5989" i="77" s="1"/>
  <c r="W5990" i="77" s="1"/>
  <c r="W5991" i="77" s="1"/>
  <c r="W5992" i="77" s="1"/>
  <c r="W5993" i="77" s="1"/>
  <c r="W5994" i="77" s="1"/>
  <c r="W5995" i="77" s="1"/>
  <c r="W5996" i="77" s="1"/>
  <c r="W5997" i="77" s="1"/>
  <c r="W5998" i="77" s="1"/>
  <c r="W5999" i="77" s="1"/>
  <c r="W6000" i="77" s="1"/>
  <c r="W6001" i="77" s="1"/>
  <c r="W6002" i="77" s="1"/>
  <c r="W6003" i="77" s="1"/>
  <c r="W6004" i="77" s="1"/>
  <c r="W6005" i="77" s="1"/>
  <c r="W6006" i="77" s="1"/>
  <c r="W6007" i="77" s="1"/>
  <c r="W6008" i="77" s="1"/>
  <c r="W6009" i="77" s="1"/>
  <c r="W6010" i="77" s="1"/>
  <c r="W6011" i="77" s="1"/>
  <c r="W6012" i="77" s="1"/>
  <c r="W6013" i="77" s="1"/>
  <c r="W6014" i="77" s="1"/>
  <c r="W6015" i="77" s="1"/>
  <c r="W6016" i="77" s="1"/>
  <c r="W6017" i="77" s="1"/>
  <c r="W6018" i="77" s="1"/>
  <c r="W6019" i="77" s="1"/>
  <c r="W6020" i="77" s="1"/>
  <c r="W6021" i="77" s="1"/>
  <c r="W6022" i="77" s="1"/>
  <c r="W6023" i="77" s="1"/>
  <c r="W6024" i="77" s="1"/>
  <c r="W6025" i="77" s="1"/>
  <c r="W6026" i="77" s="1"/>
  <c r="W6027" i="77" s="1"/>
  <c r="W6028" i="77" s="1"/>
  <c r="W6029" i="77" s="1"/>
  <c r="W6030" i="77" s="1"/>
  <c r="W6031" i="77" s="1"/>
  <c r="W6032" i="77" s="1"/>
  <c r="W6033" i="77" s="1"/>
  <c r="W6034" i="77" s="1"/>
  <c r="W6035" i="77" s="1"/>
  <c r="W6036" i="77" s="1"/>
  <c r="W6037" i="77" s="1"/>
  <c r="W6038" i="77" s="1"/>
  <c r="W6039" i="77" s="1"/>
  <c r="W6040" i="77" s="1"/>
  <c r="W6041" i="77" s="1"/>
  <c r="W6042" i="77" s="1"/>
  <c r="W6043" i="77" s="1"/>
  <c r="W6044" i="77" s="1"/>
  <c r="W6045" i="77" s="1"/>
  <c r="W6046" i="77" s="1"/>
  <c r="W6047" i="77" s="1"/>
  <c r="W6048" i="77" s="1"/>
  <c r="W6049" i="77" s="1"/>
  <c r="W6050" i="77" s="1"/>
  <c r="W6051" i="77" s="1"/>
  <c r="W6052" i="77" s="1"/>
  <c r="W6053" i="77" s="1"/>
  <c r="W6054" i="77" s="1"/>
  <c r="W6055" i="77" s="1"/>
  <c r="W6056" i="77" s="1"/>
  <c r="W6057" i="77" s="1"/>
  <c r="W6058" i="77" s="1"/>
  <c r="W6059" i="77" s="1"/>
  <c r="W6060" i="77" s="1"/>
  <c r="W6061" i="77" s="1"/>
  <c r="W6062" i="77" s="1"/>
  <c r="W6063" i="77" s="1"/>
  <c r="W6064" i="77" s="1"/>
  <c r="W6065" i="77" s="1"/>
  <c r="W6066" i="77" s="1"/>
  <c r="W6067" i="77" s="1"/>
  <c r="W6068" i="77" s="1"/>
  <c r="W6069" i="77" s="1"/>
  <c r="W6070" i="77" s="1"/>
  <c r="W6071" i="77" s="1"/>
  <c r="W6072" i="77" s="1"/>
  <c r="W6073" i="77" s="1"/>
  <c r="W6074" i="77" s="1"/>
  <c r="W6075" i="77" s="1"/>
  <c r="W6076" i="77" s="1"/>
  <c r="W6077" i="77" s="1"/>
  <c r="W6078" i="77" s="1"/>
  <c r="W6079" i="77" s="1"/>
  <c r="W6080" i="77" s="1"/>
  <c r="W6081" i="77" s="1"/>
  <c r="W6082" i="77" s="1"/>
  <c r="W6083" i="77" s="1"/>
  <c r="W6084" i="77" s="1"/>
  <c r="W6085" i="77" s="1"/>
  <c r="W6086" i="77" s="1"/>
  <c r="W6087" i="77" s="1"/>
  <c r="W6088" i="77" s="1"/>
  <c r="W6089" i="77" s="1"/>
  <c r="W6090" i="77" s="1"/>
  <c r="W6091" i="77" s="1"/>
  <c r="W6092" i="77" s="1"/>
  <c r="W6093" i="77" s="1"/>
  <c r="W6094" i="77" s="1"/>
  <c r="W6095" i="77" s="1"/>
  <c r="W6096" i="77" s="1"/>
  <c r="W6097" i="77" s="1"/>
  <c r="W6098" i="77" s="1"/>
  <c r="W6099" i="77" s="1"/>
  <c r="W6100" i="77" s="1"/>
  <c r="W6101" i="77" s="1"/>
  <c r="W6102" i="77" s="1"/>
  <c r="W6103" i="77" s="1"/>
  <c r="W6104" i="77" s="1"/>
  <c r="W6105" i="77" s="1"/>
  <c r="W6106" i="77" s="1"/>
  <c r="W6107" i="77" s="1"/>
  <c r="W6108" i="77" s="1"/>
  <c r="W6109" i="77" s="1"/>
  <c r="W6110" i="77" s="1"/>
  <c r="W6111" i="77" s="1"/>
  <c r="W6112" i="77" s="1"/>
  <c r="W6113" i="77" s="1"/>
  <c r="W6114" i="77" s="1"/>
  <c r="W6115" i="77" s="1"/>
  <c r="W6116" i="77" s="1"/>
  <c r="W6117" i="77" s="1"/>
  <c r="W6118" i="77" s="1"/>
  <c r="W6119" i="77" s="1"/>
  <c r="W6120" i="77" s="1"/>
  <c r="W6121" i="77" s="1"/>
  <c r="W6122" i="77" s="1"/>
  <c r="W6123" i="77" s="1"/>
  <c r="W6124" i="77" s="1"/>
  <c r="W6125" i="77" s="1"/>
  <c r="W6126" i="77" s="1"/>
  <c r="W6127" i="77" s="1"/>
  <c r="W6128" i="77" s="1"/>
  <c r="W6129" i="77" s="1"/>
  <c r="W6130" i="77" s="1"/>
  <c r="W6131" i="77" s="1"/>
  <c r="W6132" i="77" s="1"/>
  <c r="W6133" i="77" s="1"/>
  <c r="W6134" i="77" s="1"/>
  <c r="W6135" i="77" s="1"/>
  <c r="W6136" i="77" s="1"/>
  <c r="W6137" i="77" s="1"/>
  <c r="W6138" i="77" s="1"/>
  <c r="W6139" i="77" s="1"/>
  <c r="W6140" i="77" s="1"/>
  <c r="W6141" i="77" s="1"/>
  <c r="W6142" i="77" s="1"/>
  <c r="W6143" i="77" s="1"/>
  <c r="W6144" i="77" s="1"/>
  <c r="W6145" i="77" s="1"/>
  <c r="W6146" i="77" s="1"/>
  <c r="W6147" i="77" s="1"/>
  <c r="W6148" i="77" s="1"/>
  <c r="W6149" i="77" s="1"/>
  <c r="W6150" i="77" s="1"/>
  <c r="W6151" i="77" s="1"/>
  <c r="W6152" i="77" s="1"/>
  <c r="W6153" i="77" s="1"/>
  <c r="W6154" i="77" s="1"/>
  <c r="W6155" i="77" s="1"/>
  <c r="W6156" i="77" s="1"/>
  <c r="W6157" i="77" s="1"/>
  <c r="W6158" i="77" s="1"/>
  <c r="W6159" i="77" s="1"/>
  <c r="W6160" i="77" s="1"/>
  <c r="W6161" i="77" s="1"/>
  <c r="W6162" i="77" s="1"/>
  <c r="W6163" i="77" s="1"/>
  <c r="W6164" i="77" s="1"/>
  <c r="W6165" i="77" s="1"/>
  <c r="W6166" i="77" s="1"/>
  <c r="W6167" i="77" s="1"/>
  <c r="W6168" i="77" s="1"/>
  <c r="W6169" i="77" s="1"/>
  <c r="W6170" i="77" s="1"/>
  <c r="W6171" i="77" s="1"/>
  <c r="W6172" i="77" s="1"/>
  <c r="W6173" i="77" s="1"/>
  <c r="W6174" i="77" s="1"/>
  <c r="W6175" i="77" s="1"/>
  <c r="W6176" i="77" s="1"/>
  <c r="W6177" i="77" s="1"/>
  <c r="W6178" i="77" s="1"/>
  <c r="W6179" i="77" s="1"/>
  <c r="W6180" i="77" s="1"/>
  <c r="W6181" i="77" s="1"/>
  <c r="W6182" i="77" s="1"/>
  <c r="W6183" i="77" s="1"/>
  <c r="W6184" i="77" s="1"/>
  <c r="W6185" i="77" s="1"/>
  <c r="W6186" i="77" s="1"/>
  <c r="W6187" i="77" s="1"/>
  <c r="W6188" i="77" s="1"/>
  <c r="W6189" i="77" s="1"/>
  <c r="W6190" i="77" s="1"/>
  <c r="W6191" i="77" s="1"/>
  <c r="W6192" i="77" s="1"/>
  <c r="W6193" i="77" s="1"/>
  <c r="W6194" i="77" s="1"/>
  <c r="W6195" i="77" s="1"/>
  <c r="W6196" i="77" s="1"/>
  <c r="W6197" i="77" s="1"/>
  <c r="W6198" i="77" s="1"/>
  <c r="W6199" i="77" s="1"/>
  <c r="W6200" i="77" s="1"/>
  <c r="W6201" i="77" s="1"/>
  <c r="W6202" i="77" s="1"/>
  <c r="W6203" i="77" s="1"/>
  <c r="W6204" i="77" s="1"/>
  <c r="W6205" i="77" s="1"/>
  <c r="W6206" i="77" s="1"/>
  <c r="W6207" i="77" s="1"/>
  <c r="W6208" i="77" s="1"/>
  <c r="W6209" i="77" s="1"/>
  <c r="W6210" i="77" s="1"/>
  <c r="W6211" i="77" s="1"/>
  <c r="W6212" i="77" s="1"/>
  <c r="W6213" i="77" s="1"/>
  <c r="W6214" i="77" s="1"/>
  <c r="W6215" i="77" s="1"/>
  <c r="W6216" i="77" s="1"/>
  <c r="W6217" i="77" s="1"/>
  <c r="W6218" i="77" s="1"/>
  <c r="W6219" i="77" s="1"/>
  <c r="W6220" i="77" s="1"/>
  <c r="W6221" i="77" s="1"/>
  <c r="W6222" i="77" s="1"/>
  <c r="W6223" i="77" s="1"/>
  <c r="W6224" i="77" s="1"/>
  <c r="W6225" i="77" s="1"/>
  <c r="W6226" i="77" s="1"/>
  <c r="W6227" i="77" s="1"/>
  <c r="W6228" i="77" s="1"/>
  <c r="W6229" i="77" s="1"/>
  <c r="W6230" i="77" s="1"/>
  <c r="W6231" i="77" s="1"/>
  <c r="W6232" i="77" s="1"/>
  <c r="W6233" i="77" s="1"/>
  <c r="W6234" i="77" s="1"/>
  <c r="W6235" i="77" s="1"/>
  <c r="W6236" i="77" s="1"/>
  <c r="W6237" i="77" s="1"/>
  <c r="W6238" i="77" s="1"/>
  <c r="W6239" i="77" s="1"/>
  <c r="W6240" i="77" s="1"/>
  <c r="W6241" i="77" s="1"/>
  <c r="W6242" i="77" s="1"/>
  <c r="W6243" i="77" s="1"/>
  <c r="W6244" i="77" s="1"/>
  <c r="W6245" i="77" s="1"/>
  <c r="W6246" i="77" s="1"/>
  <c r="W6247" i="77" s="1"/>
  <c r="W6248" i="77" s="1"/>
  <c r="W6249" i="77" s="1"/>
  <c r="W6250" i="77" s="1"/>
  <c r="W6251" i="77" s="1"/>
  <c r="W6252" i="77" s="1"/>
  <c r="W6253" i="77" s="1"/>
  <c r="W6254" i="77" s="1"/>
  <c r="W6255" i="77" s="1"/>
  <c r="W6256" i="77" s="1"/>
  <c r="W6257" i="77" s="1"/>
  <c r="W6258" i="77" s="1"/>
  <c r="W6259" i="77" s="1"/>
  <c r="W6260" i="77" s="1"/>
  <c r="W6261" i="77" s="1"/>
  <c r="W6262" i="77" s="1"/>
  <c r="W6263" i="77" s="1"/>
  <c r="W6264" i="77" s="1"/>
  <c r="W6265" i="77" s="1"/>
  <c r="W6266" i="77" s="1"/>
  <c r="W6267" i="77" s="1"/>
  <c r="W6268" i="77" s="1"/>
  <c r="W6269" i="77" s="1"/>
  <c r="W6270" i="77" s="1"/>
  <c r="W6271" i="77" s="1"/>
  <c r="W6272" i="77" s="1"/>
  <c r="W6273" i="77" s="1"/>
  <c r="W6274" i="77" s="1"/>
  <c r="W6275" i="77" s="1"/>
  <c r="W6276" i="77" s="1"/>
  <c r="W6277" i="77" s="1"/>
  <c r="W6278" i="77" s="1"/>
  <c r="W6279" i="77" s="1"/>
  <c r="W6280" i="77" s="1"/>
  <c r="W6281" i="77" s="1"/>
  <c r="W6282" i="77" s="1"/>
  <c r="W6283" i="77" s="1"/>
  <c r="W6284" i="77" s="1"/>
  <c r="W6285" i="77" s="1"/>
  <c r="W6286" i="77" s="1"/>
  <c r="W6287" i="77" s="1"/>
  <c r="W6288" i="77" s="1"/>
  <c r="W6289" i="77" s="1"/>
  <c r="W6290" i="77" s="1"/>
  <c r="W6291" i="77" s="1"/>
  <c r="W6292" i="77" s="1"/>
  <c r="W6293" i="77" s="1"/>
  <c r="W6294" i="77" s="1"/>
  <c r="W6295" i="77" s="1"/>
  <c r="W6296" i="77" s="1"/>
  <c r="W6297" i="77" s="1"/>
  <c r="W6298" i="77" s="1"/>
  <c r="W6299" i="77" s="1"/>
  <c r="W6300" i="77" s="1"/>
  <c r="W6301" i="77" s="1"/>
  <c r="W6302" i="77" s="1"/>
  <c r="W6303" i="77" s="1"/>
  <c r="W6304" i="77" s="1"/>
  <c r="W6305" i="77" s="1"/>
  <c r="W6306" i="77" s="1"/>
  <c r="W6307" i="77" s="1"/>
  <c r="W6308" i="77" s="1"/>
  <c r="W6309" i="77" s="1"/>
  <c r="W6310" i="77" s="1"/>
  <c r="W6311" i="77" s="1"/>
  <c r="W6312" i="77" s="1"/>
  <c r="W6313" i="77" s="1"/>
  <c r="W6314" i="77" s="1"/>
  <c r="W6315" i="77" s="1"/>
  <c r="W6316" i="77" s="1"/>
  <c r="W6317" i="77" s="1"/>
  <c r="W6318" i="77" s="1"/>
  <c r="W6319" i="77" s="1"/>
  <c r="W6320" i="77" s="1"/>
  <c r="W6321" i="77" s="1"/>
  <c r="W6322" i="77" s="1"/>
  <c r="W6323" i="77" s="1"/>
  <c r="W6324" i="77" s="1"/>
  <c r="W6325" i="77" s="1"/>
  <c r="W6326" i="77" s="1"/>
  <c r="W6327" i="77" s="1"/>
  <c r="W6328" i="77" s="1"/>
  <c r="W6329" i="77" s="1"/>
  <c r="W6330" i="77" s="1"/>
  <c r="W6331" i="77" s="1"/>
  <c r="W6332" i="77" s="1"/>
  <c r="W6333" i="77" s="1"/>
  <c r="W6334" i="77" s="1"/>
  <c r="W6335" i="77" s="1"/>
  <c r="W6336" i="77" s="1"/>
  <c r="W6337" i="77" s="1"/>
  <c r="W6338" i="77" s="1"/>
  <c r="W6339" i="77" s="1"/>
  <c r="W6340" i="77" s="1"/>
  <c r="W6341" i="77" s="1"/>
  <c r="W6342" i="77" s="1"/>
  <c r="W6343" i="77" s="1"/>
  <c r="W6344" i="77" s="1"/>
  <c r="W6345" i="77" s="1"/>
  <c r="W6346" i="77" s="1"/>
  <c r="W6347" i="77" s="1"/>
  <c r="W6348" i="77" s="1"/>
  <c r="W6349" i="77" s="1"/>
  <c r="W6350" i="77" s="1"/>
  <c r="W6351" i="77" s="1"/>
  <c r="W6352" i="77" s="1"/>
  <c r="W6353" i="77" s="1"/>
  <c r="W6354" i="77" s="1"/>
  <c r="W6355" i="77" s="1"/>
  <c r="W6356" i="77" s="1"/>
  <c r="W6357" i="77" s="1"/>
  <c r="W6358" i="77" s="1"/>
  <c r="W6359" i="77" s="1"/>
  <c r="W6360" i="77" s="1"/>
  <c r="W6361" i="77" s="1"/>
  <c r="W6362" i="77" s="1"/>
  <c r="W6363" i="77" s="1"/>
  <c r="W6364" i="77" s="1"/>
  <c r="W6365" i="77" s="1"/>
  <c r="W6366" i="77" s="1"/>
  <c r="W6367" i="77" s="1"/>
  <c r="W6368" i="77" s="1"/>
  <c r="W6369" i="77" s="1"/>
  <c r="W6370" i="77" s="1"/>
  <c r="W6371" i="77" s="1"/>
  <c r="W6372" i="77" s="1"/>
  <c r="W6373" i="77" s="1"/>
  <c r="W6374" i="77" s="1"/>
  <c r="W6375" i="77" s="1"/>
  <c r="W6376" i="77" s="1"/>
  <c r="W6377" i="77" s="1"/>
  <c r="W6378" i="77" s="1"/>
  <c r="W6379" i="77" s="1"/>
  <c r="W6380" i="77" s="1"/>
  <c r="W6381" i="77" s="1"/>
  <c r="W6382" i="77" s="1"/>
  <c r="W6383" i="77" s="1"/>
  <c r="W6384" i="77" s="1"/>
  <c r="W6385" i="77" s="1"/>
  <c r="W6386" i="77" s="1"/>
  <c r="W6387" i="77" s="1"/>
  <c r="W6388" i="77" s="1"/>
  <c r="W6389" i="77" s="1"/>
  <c r="W6390" i="77" s="1"/>
  <c r="W6391" i="77" s="1"/>
  <c r="W6392" i="77" s="1"/>
  <c r="W6393" i="77" s="1"/>
  <c r="W6394" i="77" s="1"/>
  <c r="W6395" i="77" s="1"/>
  <c r="W6396" i="77" s="1"/>
  <c r="W6397" i="77" s="1"/>
  <c r="W6398" i="77" s="1"/>
  <c r="W6399" i="77" s="1"/>
  <c r="W6400" i="77" s="1"/>
  <c r="W6401" i="77" s="1"/>
  <c r="W6402" i="77" s="1"/>
  <c r="W6403" i="77" s="1"/>
  <c r="W6404" i="77" s="1"/>
  <c r="W6405" i="77" s="1"/>
  <c r="W6406" i="77" s="1"/>
  <c r="W6407" i="77" s="1"/>
  <c r="W6408" i="77" s="1"/>
  <c r="W6409" i="77" s="1"/>
  <c r="W6410" i="77" s="1"/>
  <c r="W6411" i="77" s="1"/>
  <c r="W6412" i="77" s="1"/>
  <c r="W6413" i="77" s="1"/>
  <c r="W6414" i="77" s="1"/>
  <c r="W6415" i="77" s="1"/>
  <c r="W6416" i="77" s="1"/>
  <c r="W6417" i="77" s="1"/>
  <c r="W6418" i="77" s="1"/>
  <c r="W6419" i="77" s="1"/>
  <c r="W6420" i="77" s="1"/>
  <c r="W6421" i="77" s="1"/>
  <c r="W6422" i="77" s="1"/>
  <c r="W6423" i="77" s="1"/>
  <c r="W6424" i="77" s="1"/>
  <c r="W6425" i="77" s="1"/>
  <c r="W6426" i="77" s="1"/>
  <c r="W6427" i="77" s="1"/>
  <c r="W6428" i="77" s="1"/>
  <c r="W6429" i="77" s="1"/>
  <c r="W6430" i="77" s="1"/>
  <c r="W6431" i="77" s="1"/>
  <c r="W6432" i="77" s="1"/>
  <c r="W6433" i="77" s="1"/>
  <c r="W6434" i="77" s="1"/>
  <c r="W6435" i="77" s="1"/>
  <c r="W6436" i="77" s="1"/>
  <c r="W6437" i="77" s="1"/>
  <c r="W6438" i="77" s="1"/>
  <c r="W6439" i="77" s="1"/>
  <c r="W6440" i="77" s="1"/>
  <c r="W6441" i="77" s="1"/>
  <c r="W6442" i="77" s="1"/>
  <c r="W6443" i="77" s="1"/>
  <c r="W6444" i="77" s="1"/>
  <c r="W6445" i="77" s="1"/>
  <c r="W6446" i="77" s="1"/>
  <c r="W6447" i="77" s="1"/>
  <c r="W6448" i="77" s="1"/>
  <c r="W6449" i="77" s="1"/>
  <c r="W6450" i="77" s="1"/>
  <c r="W6451" i="77" s="1"/>
  <c r="W6452" i="77" s="1"/>
  <c r="W6453" i="77" s="1"/>
  <c r="W6454" i="77" s="1"/>
  <c r="W6455" i="77" s="1"/>
  <c r="W6456" i="77" s="1"/>
  <c r="W6457" i="77" s="1"/>
  <c r="W6458" i="77" s="1"/>
  <c r="W6459" i="77" s="1"/>
  <c r="W6460" i="77" s="1"/>
  <c r="W6461" i="77" s="1"/>
  <c r="W6462" i="77" s="1"/>
  <c r="W6463" i="77" s="1"/>
  <c r="W6464" i="77" s="1"/>
  <c r="W6465" i="77" s="1"/>
  <c r="W6466" i="77" s="1"/>
  <c r="W6467" i="77" s="1"/>
  <c r="W6468" i="77" s="1"/>
  <c r="W6469" i="77" s="1"/>
  <c r="W6470" i="77" s="1"/>
  <c r="W6471" i="77" s="1"/>
  <c r="W6472" i="77" s="1"/>
  <c r="W6473" i="77" s="1"/>
  <c r="W6474" i="77" s="1"/>
  <c r="W6475" i="77" s="1"/>
  <c r="W6476" i="77" s="1"/>
  <c r="W6477" i="77" s="1"/>
  <c r="W6478" i="77" s="1"/>
  <c r="W6479" i="77" s="1"/>
  <c r="W6480" i="77" s="1"/>
  <c r="W6481" i="77" s="1"/>
  <c r="W6482" i="77" s="1"/>
  <c r="W6483" i="77" s="1"/>
  <c r="W6484" i="77" s="1"/>
  <c r="W6485" i="77" s="1"/>
  <c r="W6486" i="77" s="1"/>
  <c r="W6487" i="77" s="1"/>
  <c r="W6488" i="77" s="1"/>
  <c r="W6489" i="77" s="1"/>
  <c r="W6490" i="77" s="1"/>
  <c r="W6491" i="77" s="1"/>
  <c r="W6492" i="77" s="1"/>
  <c r="W6493" i="77" s="1"/>
  <c r="W6494" i="77" s="1"/>
  <c r="W6495" i="77" s="1"/>
  <c r="W6496" i="77" s="1"/>
  <c r="W6497" i="77" s="1"/>
  <c r="W6498" i="77" s="1"/>
  <c r="W6499" i="77" s="1"/>
  <c r="W6500" i="77" s="1"/>
  <c r="W6501" i="77" s="1"/>
  <c r="W6502" i="77" s="1"/>
  <c r="W6503" i="77" s="1"/>
  <c r="W6504" i="77" s="1"/>
  <c r="W6505" i="77" s="1"/>
  <c r="W6506" i="77" s="1"/>
  <c r="W6507" i="77" s="1"/>
  <c r="W6508" i="77" s="1"/>
  <c r="W6509" i="77" s="1"/>
  <c r="T44" i="75"/>
  <c r="S44" i="75"/>
  <c r="R44" i="75"/>
  <c r="Q44" i="75"/>
  <c r="P44" i="75"/>
  <c r="O44" i="75"/>
  <c r="N44" i="75"/>
  <c r="M44" i="75"/>
  <c r="L44" i="75"/>
  <c r="K44" i="75"/>
  <c r="J44" i="75"/>
  <c r="I44" i="75"/>
  <c r="H44" i="75"/>
  <c r="G44" i="75"/>
  <c r="F44" i="75"/>
  <c r="T42" i="75"/>
  <c r="S42" i="75"/>
  <c r="R42" i="75"/>
  <c r="Q42" i="75"/>
  <c r="P42" i="75"/>
  <c r="O42" i="75"/>
  <c r="N42" i="75"/>
  <c r="M42" i="75"/>
  <c r="L42" i="75"/>
  <c r="K42" i="75"/>
  <c r="J42" i="75"/>
  <c r="I42" i="75"/>
  <c r="H42" i="75"/>
  <c r="G42" i="75"/>
  <c r="F42" i="75"/>
  <c r="E42" i="75"/>
  <c r="E44" i="75" s="1"/>
  <c r="T33" i="75"/>
  <c r="S33" i="75"/>
  <c r="R33" i="75"/>
  <c r="Q33" i="75"/>
  <c r="P33" i="75"/>
  <c r="O33" i="75"/>
  <c r="N33" i="75"/>
  <c r="M33" i="75"/>
  <c r="L33" i="75"/>
  <c r="K33" i="75"/>
  <c r="K35" i="75" s="1"/>
  <c r="J33" i="75"/>
  <c r="I33" i="75"/>
  <c r="H33" i="75"/>
  <c r="G33" i="75"/>
  <c r="F33" i="75"/>
  <c r="T28" i="75"/>
  <c r="S28" i="75"/>
  <c r="R28" i="75"/>
  <c r="Q28" i="75"/>
  <c r="P28" i="75"/>
  <c r="O28" i="75"/>
  <c r="N28" i="75"/>
  <c r="M28" i="75"/>
  <c r="L28" i="75"/>
  <c r="K28" i="75"/>
  <c r="J28" i="75"/>
  <c r="I28" i="75"/>
  <c r="H28" i="75"/>
  <c r="G28" i="75"/>
  <c r="F28" i="75"/>
  <c r="E28" i="75"/>
  <c r="R45" i="74"/>
  <c r="Q45" i="74"/>
  <c r="P45" i="74"/>
  <c r="O45" i="74"/>
  <c r="N45" i="74"/>
  <c r="M45" i="74"/>
  <c r="L45" i="74"/>
  <c r="K45" i="74"/>
  <c r="J45" i="74"/>
  <c r="I45" i="74"/>
  <c r="H45" i="74"/>
  <c r="G45" i="74"/>
  <c r="F45" i="74"/>
  <c r="R43" i="74"/>
  <c r="Q43" i="74"/>
  <c r="P43" i="74"/>
  <c r="O43" i="74"/>
  <c r="N43" i="74"/>
  <c r="M43" i="74"/>
  <c r="L43" i="74"/>
  <c r="K43" i="74"/>
  <c r="J43" i="74"/>
  <c r="I43" i="74"/>
  <c r="H43" i="74"/>
  <c r="G43" i="74"/>
  <c r="F43" i="74"/>
  <c r="E43" i="74"/>
  <c r="E45" i="74" s="1"/>
  <c r="R34" i="74"/>
  <c r="R36" i="74" s="1"/>
  <c r="Q34" i="74"/>
  <c r="P34" i="74"/>
  <c r="O34" i="74"/>
  <c r="N34" i="74"/>
  <c r="N36" i="74" s="1"/>
  <c r="M34" i="74"/>
  <c r="M36" i="74" s="1"/>
  <c r="L34" i="74"/>
  <c r="K34" i="74"/>
  <c r="J34" i="74"/>
  <c r="I34" i="74"/>
  <c r="H34" i="74"/>
  <c r="G34" i="74"/>
  <c r="F34" i="74"/>
  <c r="E34" i="74"/>
  <c r="R29" i="74"/>
  <c r="Q29" i="74"/>
  <c r="P29" i="74"/>
  <c r="O29" i="74"/>
  <c r="N29" i="74"/>
  <c r="M29" i="74"/>
  <c r="L29" i="74"/>
  <c r="K29" i="74"/>
  <c r="J29" i="74"/>
  <c r="I29" i="74"/>
  <c r="H29" i="74"/>
  <c r="G29" i="74"/>
  <c r="F29" i="74"/>
  <c r="E29" i="74"/>
  <c r="J121" i="72"/>
  <c r="J5" i="44" s="1"/>
  <c r="I121" i="72"/>
  <c r="I5" i="44" s="1"/>
  <c r="H121" i="72"/>
  <c r="G121" i="72"/>
  <c r="G5" i="44" s="1"/>
  <c r="F121" i="72"/>
  <c r="F5" i="44" s="1"/>
  <c r="E121" i="72"/>
  <c r="E5" i="44" s="1"/>
  <c r="AN121" i="72"/>
  <c r="AM121" i="72"/>
  <c r="AK121" i="72"/>
  <c r="AH121" i="72"/>
  <c r="AG121" i="72"/>
  <c r="AE121" i="72"/>
  <c r="AD121" i="72"/>
  <c r="AC121" i="72"/>
  <c r="P92" i="72"/>
  <c r="P10" i="44" s="1"/>
  <c r="O92" i="72"/>
  <c r="O10" i="44" s="1"/>
  <c r="N92" i="72"/>
  <c r="N10" i="44" s="1"/>
  <c r="M92" i="72"/>
  <c r="M10" i="44" s="1"/>
  <c r="L92" i="72"/>
  <c r="L10" i="44" s="1"/>
  <c r="K92" i="72"/>
  <c r="K10" i="44" s="1"/>
  <c r="L44" i="72"/>
  <c r="L6" i="44" s="1"/>
  <c r="K44" i="72"/>
  <c r="K6" i="44" s="1"/>
  <c r="BA113" i="72"/>
  <c r="F16" i="62"/>
  <c r="O14" i="24"/>
  <c r="O17" i="24" s="1"/>
  <c r="O16" i="24"/>
  <c r="O7" i="24" s="1"/>
  <c r="B15" i="24"/>
  <c r="P17" i="24" s="1"/>
  <c r="P8" i="24" s="1"/>
  <c r="Q37" i="1" s="1"/>
  <c r="F18" i="65"/>
  <c r="F20" i="65" s="1"/>
  <c r="E20" i="65"/>
  <c r="D20" i="65"/>
  <c r="F12" i="65"/>
  <c r="F8" i="65"/>
  <c r="W53" i="22"/>
  <c r="V53" i="22"/>
  <c r="W52" i="22"/>
  <c r="V52" i="22"/>
  <c r="W51" i="22"/>
  <c r="V51" i="22"/>
  <c r="W50" i="22"/>
  <c r="V50" i="22"/>
  <c r="W49" i="22"/>
  <c r="V49" i="22"/>
  <c r="W48" i="22"/>
  <c r="V48" i="22"/>
  <c r="W47" i="22"/>
  <c r="V47" i="22"/>
  <c r="W46" i="22"/>
  <c r="V46" i="22"/>
  <c r="W45" i="22"/>
  <c r="W44" i="22"/>
  <c r="W43" i="22"/>
  <c r="O37" i="1"/>
  <c r="N37" i="1"/>
  <c r="M37" i="1"/>
  <c r="L37" i="1"/>
  <c r="K37" i="1"/>
  <c r="J37" i="1"/>
  <c r="I37" i="1"/>
  <c r="H37" i="1"/>
  <c r="G37" i="1"/>
  <c r="F37" i="1"/>
  <c r="E37" i="1"/>
  <c r="D37" i="1"/>
  <c r="D38" i="20" s="1"/>
  <c r="DS39" i="1"/>
  <c r="DR17" i="1"/>
  <c r="DP39" i="1"/>
  <c r="DO39" i="1"/>
  <c r="DN17" i="1"/>
  <c r="DL39" i="1"/>
  <c r="DK39" i="1"/>
  <c r="DJ17" i="1"/>
  <c r="DH39" i="1"/>
  <c r="DG39" i="1"/>
  <c r="DF17" i="1"/>
  <c r="DD39" i="1"/>
  <c r="DC39" i="1"/>
  <c r="DB17" i="1"/>
  <c r="CZ39" i="1"/>
  <c r="CY39" i="1"/>
  <c r="CX17" i="1"/>
  <c r="CV39" i="1"/>
  <c r="BV14" i="24"/>
  <c r="BU14" i="24"/>
  <c r="BT14" i="24"/>
  <c r="BS14" i="24"/>
  <c r="BR14" i="24"/>
  <c r="BQ14" i="24"/>
  <c r="BP14" i="24"/>
  <c r="BO14" i="24"/>
  <c r="BN14" i="24"/>
  <c r="BM14" i="24"/>
  <c r="BL14" i="24"/>
  <c r="BK14" i="24"/>
  <c r="BJ14" i="24"/>
  <c r="BI14" i="24"/>
  <c r="BH14" i="24"/>
  <c r="BG14" i="24"/>
  <c r="BF14" i="24"/>
  <c r="BE14" i="24"/>
  <c r="BD14" i="24"/>
  <c r="BC14" i="24"/>
  <c r="BB14" i="24"/>
  <c r="BA14" i="24"/>
  <c r="AZ14" i="24"/>
  <c r="AY14" i="24"/>
  <c r="AX14" i="24"/>
  <c r="AW14" i="24"/>
  <c r="AV14" i="24"/>
  <c r="AU14" i="24"/>
  <c r="AT14" i="24"/>
  <c r="AS14" i="24"/>
  <c r="AR14" i="24"/>
  <c r="AQ14" i="24"/>
  <c r="AP14" i="24"/>
  <c r="AO14" i="24"/>
  <c r="AN14" i="24"/>
  <c r="AM14" i="24"/>
  <c r="AL14" i="24"/>
  <c r="AK14" i="24"/>
  <c r="AJ14" i="24"/>
  <c r="AI14" i="24"/>
  <c r="AH14" i="24"/>
  <c r="AG14" i="24"/>
  <c r="AF14" i="24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Q13" i="24"/>
  <c r="R13" i="24" s="1"/>
  <c r="S13" i="24" s="1"/>
  <c r="T13" i="24" s="1"/>
  <c r="U13" i="24" s="1"/>
  <c r="V13" i="24" s="1"/>
  <c r="W13" i="24" s="1"/>
  <c r="X13" i="24" s="1"/>
  <c r="Y13" i="24" s="1"/>
  <c r="Z13" i="24" s="1"/>
  <c r="AA13" i="24" s="1"/>
  <c r="AB13" i="24" s="1"/>
  <c r="AC13" i="24" s="1"/>
  <c r="AD13" i="24" s="1"/>
  <c r="AE13" i="24" s="1"/>
  <c r="AF13" i="24" s="1"/>
  <c r="AG13" i="24" s="1"/>
  <c r="AH13" i="24" s="1"/>
  <c r="AI13" i="24" s="1"/>
  <c r="AJ13" i="24" s="1"/>
  <c r="AK13" i="24" s="1"/>
  <c r="AL13" i="24" s="1"/>
  <c r="AM13" i="24" s="1"/>
  <c r="AN13" i="24" s="1"/>
  <c r="AO13" i="24" s="1"/>
  <c r="AP13" i="24" s="1"/>
  <c r="AQ13" i="24" s="1"/>
  <c r="AR13" i="24" s="1"/>
  <c r="AS13" i="24" s="1"/>
  <c r="AT13" i="24" s="1"/>
  <c r="AU13" i="24" s="1"/>
  <c r="AV13" i="24" s="1"/>
  <c r="AW13" i="24" s="1"/>
  <c r="AX13" i="24" s="1"/>
  <c r="AY13" i="24" s="1"/>
  <c r="AZ13" i="24" s="1"/>
  <c r="BA13" i="24" s="1"/>
  <c r="BB13" i="24" s="1"/>
  <c r="BC13" i="24" s="1"/>
  <c r="BD13" i="24" s="1"/>
  <c r="BE13" i="24" s="1"/>
  <c r="BF13" i="24" s="1"/>
  <c r="BG13" i="24" s="1"/>
  <c r="BH13" i="24" s="1"/>
  <c r="BI13" i="24" s="1"/>
  <c r="BJ13" i="24" s="1"/>
  <c r="BK13" i="24" s="1"/>
  <c r="BL13" i="24" s="1"/>
  <c r="BM13" i="24" s="1"/>
  <c r="BN13" i="24" s="1"/>
  <c r="BO13" i="24" s="1"/>
  <c r="BP13" i="24" s="1"/>
  <c r="BQ13" i="24" s="1"/>
  <c r="BR13" i="24" s="1"/>
  <c r="BS13" i="24" s="1"/>
  <c r="BT13" i="24" s="1"/>
  <c r="BU13" i="24" s="1"/>
  <c r="BV13" i="24" s="1"/>
  <c r="CY17" i="1"/>
  <c r="DC17" i="1"/>
  <c r="DG17" i="1"/>
  <c r="DK17" i="1"/>
  <c r="DO17" i="1"/>
  <c r="DS17" i="1"/>
  <c r="CW39" i="1"/>
  <c r="DM39" i="1"/>
  <c r="CV17" i="1"/>
  <c r="CZ17" i="1"/>
  <c r="DD17" i="1"/>
  <c r="DH17" i="1"/>
  <c r="DL17" i="1"/>
  <c r="DP17" i="1"/>
  <c r="CX39" i="1"/>
  <c r="DB39" i="1"/>
  <c r="DF39" i="1"/>
  <c r="DJ39" i="1"/>
  <c r="DN39" i="1"/>
  <c r="DR39" i="1"/>
  <c r="D39" i="20"/>
  <c r="O40" i="1"/>
  <c r="N40" i="1"/>
  <c r="O32" i="1"/>
  <c r="N32" i="1"/>
  <c r="O19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F14" i="20" s="1"/>
  <c r="AB16" i="1"/>
  <c r="AA16" i="1"/>
  <c r="Z16" i="1"/>
  <c r="Y16" i="1"/>
  <c r="X16" i="1"/>
  <c r="W16" i="1"/>
  <c r="V16" i="1"/>
  <c r="U16" i="1"/>
  <c r="T16" i="1"/>
  <c r="S16" i="1"/>
  <c r="O16" i="1"/>
  <c r="N16" i="1"/>
  <c r="D17" i="20"/>
  <c r="D28" i="20" s="1"/>
  <c r="D6" i="16"/>
  <c r="M13" i="69"/>
  <c r="N13" i="69" s="1"/>
  <c r="M19" i="69"/>
  <c r="N19" i="69" s="1"/>
  <c r="M18" i="69"/>
  <c r="N18" i="69" s="1"/>
  <c r="M16" i="69"/>
  <c r="N16" i="69" s="1"/>
  <c r="Q16" i="69" s="1"/>
  <c r="M15" i="69"/>
  <c r="N15" i="69" s="1"/>
  <c r="M14" i="69"/>
  <c r="N14" i="69" s="1"/>
  <c r="Q14" i="69" s="1"/>
  <c r="P39" i="1"/>
  <c r="P17" i="1"/>
  <c r="K8" i="69"/>
  <c r="M8" i="69" s="1"/>
  <c r="N8" i="69" s="1"/>
  <c r="K7" i="69"/>
  <c r="M7" i="69" s="1"/>
  <c r="N7" i="69" s="1"/>
  <c r="Q7" i="69" s="1"/>
  <c r="K6" i="69"/>
  <c r="M6" i="69" s="1"/>
  <c r="N6" i="69" s="1"/>
  <c r="Q6" i="69" s="1"/>
  <c r="K5" i="69"/>
  <c r="M5" i="69" s="1"/>
  <c r="N5" i="69" s="1"/>
  <c r="BM20" i="13"/>
  <c r="DI20" i="13"/>
  <c r="CK20" i="13"/>
  <c r="BY20" i="13"/>
  <c r="I59" i="47"/>
  <c r="J59" i="47" s="1"/>
  <c r="E20" i="47" s="1"/>
  <c r="I58" i="47"/>
  <c r="J58" i="47" s="1"/>
  <c r="I57" i="47"/>
  <c r="J57" i="47" s="1"/>
  <c r="I56" i="47"/>
  <c r="J56" i="47" s="1"/>
  <c r="E42" i="47" s="1"/>
  <c r="I55" i="47"/>
  <c r="J55" i="47" s="1"/>
  <c r="E41" i="47" s="1"/>
  <c r="AI41" i="47" s="1"/>
  <c r="I54" i="47"/>
  <c r="J54" i="47" s="1"/>
  <c r="I53" i="47"/>
  <c r="J53" i="47" s="1"/>
  <c r="E22" i="47" s="1"/>
  <c r="I52" i="47"/>
  <c r="J52" i="47" s="1"/>
  <c r="E10" i="47" s="1"/>
  <c r="AB10" i="47" s="1"/>
  <c r="I51" i="47"/>
  <c r="J51" i="47" s="1"/>
  <c r="E9" i="47" s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O9" i="1"/>
  <c r="N9" i="1"/>
  <c r="N27" i="1"/>
  <c r="D4" i="16"/>
  <c r="D5" i="16"/>
  <c r="U52" i="47"/>
  <c r="V52" i="47" s="1"/>
  <c r="E15" i="65"/>
  <c r="E27" i="65" s="1"/>
  <c r="D15" i="65"/>
  <c r="D27" i="65" s="1"/>
  <c r="F10" i="65"/>
  <c r="W69" i="22"/>
  <c r="V69" i="22"/>
  <c r="W68" i="22"/>
  <c r="V68" i="22"/>
  <c r="W67" i="22"/>
  <c r="V67" i="22"/>
  <c r="W66" i="22"/>
  <c r="V66" i="22"/>
  <c r="W65" i="22"/>
  <c r="V65" i="22"/>
  <c r="W64" i="22"/>
  <c r="V64" i="22"/>
  <c r="W63" i="22"/>
  <c r="V63" i="22"/>
  <c r="W62" i="22"/>
  <c r="V62" i="22"/>
  <c r="W61" i="22"/>
  <c r="V61" i="22"/>
  <c r="W60" i="22"/>
  <c r="V60" i="22"/>
  <c r="W59" i="22"/>
  <c r="V59" i="22"/>
  <c r="W58" i="22"/>
  <c r="V58" i="22"/>
  <c r="W57" i="22"/>
  <c r="V57" i="22"/>
  <c r="W56" i="22"/>
  <c r="V56" i="22"/>
  <c r="W55" i="22"/>
  <c r="V55" i="22"/>
  <c r="W54" i="22"/>
  <c r="V54" i="22"/>
  <c r="F60" i="22"/>
  <c r="F59" i="22"/>
  <c r="F58" i="22"/>
  <c r="F57" i="22"/>
  <c r="F56" i="22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1" i="22"/>
  <c r="W76" i="22"/>
  <c r="V76" i="22"/>
  <c r="W75" i="22"/>
  <c r="V75" i="22"/>
  <c r="W74" i="22"/>
  <c r="V74" i="22"/>
  <c r="W73" i="22"/>
  <c r="V73" i="22"/>
  <c r="W72" i="22"/>
  <c r="V72" i="22"/>
  <c r="W71" i="22"/>
  <c r="V71" i="22"/>
  <c r="W70" i="22"/>
  <c r="V70" i="22"/>
  <c r="W35" i="22"/>
  <c r="W34" i="22"/>
  <c r="W36" i="22"/>
  <c r="W29" i="22"/>
  <c r="V29" i="22"/>
  <c r="W30" i="22"/>
  <c r="W31" i="22"/>
  <c r="W32" i="22"/>
  <c r="W42" i="22"/>
  <c r="W41" i="22"/>
  <c r="W40" i="22"/>
  <c r="W39" i="22"/>
  <c r="W38" i="22"/>
  <c r="W37" i="22"/>
  <c r="W33" i="22"/>
  <c r="E14" i="47"/>
  <c r="AQ14" i="47" s="1"/>
  <c r="U53" i="47"/>
  <c r="V53" i="47" s="1"/>
  <c r="U54" i="47"/>
  <c r="V54" i="47" s="1"/>
  <c r="U58" i="47"/>
  <c r="V58" i="47" s="1"/>
  <c r="U57" i="47"/>
  <c r="V57" i="47" s="1"/>
  <c r="U56" i="47"/>
  <c r="V56" i="47" s="1"/>
  <c r="U55" i="47"/>
  <c r="V55" i="47" s="1"/>
  <c r="U51" i="47"/>
  <c r="V51" i="47" s="1"/>
  <c r="E12" i="47"/>
  <c r="Y12" i="47" s="1"/>
  <c r="U59" i="47"/>
  <c r="V59" i="47" s="1"/>
  <c r="W28" i="22"/>
  <c r="V28" i="22"/>
  <c r="AA10" i="58"/>
  <c r="AB40" i="1" s="1"/>
  <c r="AA40" i="1"/>
  <c r="S40" i="1"/>
  <c r="T40" i="1"/>
  <c r="U40" i="1"/>
  <c r="V40" i="1"/>
  <c r="W40" i="1"/>
  <c r="X40" i="1"/>
  <c r="Y40" i="1"/>
  <c r="Z40" i="1"/>
  <c r="DR27" i="1"/>
  <c r="DQ27" i="1"/>
  <c r="DP27" i="1"/>
  <c r="DO27" i="1"/>
  <c r="DN27" i="1"/>
  <c r="DL27" i="1"/>
  <c r="DK27" i="1"/>
  <c r="DJ27" i="1"/>
  <c r="DI27" i="1"/>
  <c r="DH27" i="1"/>
  <c r="DF27" i="1"/>
  <c r="DE27" i="1"/>
  <c r="DD27" i="1"/>
  <c r="DC27" i="1"/>
  <c r="DB27" i="1"/>
  <c r="CZ27" i="1"/>
  <c r="CY27" i="1"/>
  <c r="CX27" i="1"/>
  <c r="CW27" i="1"/>
  <c r="CV27" i="1"/>
  <c r="CT27" i="1"/>
  <c r="CS27" i="1"/>
  <c r="CR27" i="1"/>
  <c r="CQ27" i="1"/>
  <c r="CP27" i="1"/>
  <c r="CN27" i="1"/>
  <c r="CM27" i="1"/>
  <c r="CL27" i="1"/>
  <c r="CK27" i="1"/>
  <c r="CJ27" i="1"/>
  <c r="CH27" i="1"/>
  <c r="CG27" i="1"/>
  <c r="CF27" i="1"/>
  <c r="CE27" i="1"/>
  <c r="CD27" i="1"/>
  <c r="CB27" i="1"/>
  <c r="CA27" i="1"/>
  <c r="BZ27" i="1"/>
  <c r="BY27" i="1"/>
  <c r="BX27" i="1"/>
  <c r="BV27" i="1"/>
  <c r="BU27" i="1"/>
  <c r="BT27" i="1"/>
  <c r="BS27" i="1"/>
  <c r="BR27" i="1"/>
  <c r="BP27" i="1"/>
  <c r="BO27" i="1"/>
  <c r="BN27" i="1"/>
  <c r="BM27" i="1"/>
  <c r="BL27" i="1"/>
  <c r="BJ27" i="1"/>
  <c r="BI27" i="1"/>
  <c r="BH27" i="1"/>
  <c r="BG27" i="1"/>
  <c r="BF27" i="1"/>
  <c r="BD27" i="1"/>
  <c r="BC27" i="1"/>
  <c r="BB27" i="1"/>
  <c r="BA27" i="1"/>
  <c r="AZ27" i="1"/>
  <c r="AX27" i="1"/>
  <c r="AW27" i="1"/>
  <c r="AV27" i="1"/>
  <c r="AU27" i="1"/>
  <c r="AT27" i="1"/>
  <c r="AR27" i="1"/>
  <c r="AQ27" i="1"/>
  <c r="AP27" i="1"/>
  <c r="AO27" i="1"/>
  <c r="AN27" i="1"/>
  <c r="AL27" i="1"/>
  <c r="AK27" i="1"/>
  <c r="AJ27" i="1"/>
  <c r="AI27" i="1"/>
  <c r="AH27" i="1"/>
  <c r="AF27" i="1"/>
  <c r="AE27" i="1"/>
  <c r="AD27" i="1"/>
  <c r="AC27" i="1"/>
  <c r="AB27" i="1"/>
  <c r="Z27" i="1"/>
  <c r="Y27" i="1"/>
  <c r="X27" i="1"/>
  <c r="W27" i="1"/>
  <c r="V27" i="1"/>
  <c r="T27" i="1"/>
  <c r="S27" i="1"/>
  <c r="E39" i="20"/>
  <c r="S32" i="1"/>
  <c r="T32" i="1"/>
  <c r="U32" i="1"/>
  <c r="V32" i="1"/>
  <c r="W32" i="1"/>
  <c r="X32" i="1"/>
  <c r="Y32" i="1"/>
  <c r="Z32" i="1"/>
  <c r="AA32" i="1"/>
  <c r="F39" i="20"/>
  <c r="AB32" i="1"/>
  <c r="AC32" i="1"/>
  <c r="AD32" i="1"/>
  <c r="AE32" i="1"/>
  <c r="AF32" i="1"/>
  <c r="AG32" i="1"/>
  <c r="AH32" i="1"/>
  <c r="AI32" i="1"/>
  <c r="AJ32" i="1"/>
  <c r="AK32" i="1"/>
  <c r="AL32" i="1"/>
  <c r="AM32" i="1"/>
  <c r="G39" i="20"/>
  <c r="AN32" i="1"/>
  <c r="AO32" i="1"/>
  <c r="AP32" i="1"/>
  <c r="AQ32" i="1"/>
  <c r="AR32" i="1"/>
  <c r="AS32" i="1"/>
  <c r="AT32" i="1"/>
  <c r="AU32" i="1"/>
  <c r="AV32" i="1"/>
  <c r="AW32" i="1"/>
  <c r="AX32" i="1"/>
  <c r="AY32" i="1"/>
  <c r="H39" i="20"/>
  <c r="AZ32" i="1"/>
  <c r="BA32" i="1"/>
  <c r="BB32" i="1"/>
  <c r="BC32" i="1"/>
  <c r="BD32" i="1"/>
  <c r="BE32" i="1"/>
  <c r="BF32" i="1"/>
  <c r="BG32" i="1"/>
  <c r="BH32" i="1"/>
  <c r="BI32" i="1"/>
  <c r="BJ32" i="1"/>
  <c r="BK32" i="1"/>
  <c r="I39" i="20"/>
  <c r="BL32" i="1"/>
  <c r="BM32" i="1"/>
  <c r="BN32" i="1"/>
  <c r="BO32" i="1"/>
  <c r="BP32" i="1"/>
  <c r="BQ32" i="1"/>
  <c r="BR32" i="1"/>
  <c r="BS32" i="1"/>
  <c r="BT32" i="1"/>
  <c r="BU32" i="1"/>
  <c r="BV32" i="1"/>
  <c r="BW32" i="1"/>
  <c r="J39" i="20"/>
  <c r="BX32" i="1"/>
  <c r="BY32" i="1"/>
  <c r="BZ32" i="1"/>
  <c r="CA32" i="1"/>
  <c r="CB32" i="1"/>
  <c r="CC32" i="1"/>
  <c r="CD32" i="1"/>
  <c r="CE32" i="1"/>
  <c r="CF32" i="1"/>
  <c r="CG32" i="1"/>
  <c r="CH32" i="1"/>
  <c r="CI32" i="1"/>
  <c r="K39" i="20"/>
  <c r="CJ32" i="1"/>
  <c r="CK32" i="1"/>
  <c r="CL32" i="1"/>
  <c r="CM32" i="1"/>
  <c r="CN32" i="1"/>
  <c r="CO32" i="1"/>
  <c r="CP32" i="1"/>
  <c r="CQ32" i="1"/>
  <c r="CR32" i="1"/>
  <c r="CS32" i="1"/>
  <c r="CT32" i="1"/>
  <c r="CU32" i="1"/>
  <c r="L39" i="20"/>
  <c r="CV32" i="1"/>
  <c r="CW32" i="1"/>
  <c r="CX32" i="1"/>
  <c r="CY32" i="1"/>
  <c r="CZ32" i="1"/>
  <c r="DA32" i="1"/>
  <c r="DB32" i="1"/>
  <c r="DC32" i="1"/>
  <c r="DD32" i="1"/>
  <c r="DE32" i="1"/>
  <c r="DF32" i="1"/>
  <c r="DG32" i="1"/>
  <c r="M39" i="20"/>
  <c r="DH32" i="1"/>
  <c r="DI32" i="1"/>
  <c r="DJ32" i="1"/>
  <c r="DK32" i="1"/>
  <c r="DL32" i="1"/>
  <c r="DM32" i="1"/>
  <c r="DN32" i="1"/>
  <c r="DO32" i="1"/>
  <c r="DP32" i="1"/>
  <c r="DQ32" i="1"/>
  <c r="DR32" i="1"/>
  <c r="DS32" i="1"/>
  <c r="F40" i="22"/>
  <c r="F39" i="22"/>
  <c r="F38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G19" i="22"/>
  <c r="G57" i="22" s="1"/>
  <c r="D25" i="23"/>
  <c r="L37" i="23"/>
  <c r="K37" i="23"/>
  <c r="J37" i="23"/>
  <c r="I37" i="23"/>
  <c r="H37" i="23"/>
  <c r="G37" i="23"/>
  <c r="F37" i="23"/>
  <c r="E37" i="23"/>
  <c r="D37" i="23"/>
  <c r="L33" i="23"/>
  <c r="L36" i="23" s="1"/>
  <c r="K33" i="23"/>
  <c r="K36" i="23"/>
  <c r="J33" i="23"/>
  <c r="J36" i="23" s="1"/>
  <c r="I33" i="23"/>
  <c r="I36" i="23" s="1"/>
  <c r="H33" i="23"/>
  <c r="H36" i="23" s="1"/>
  <c r="G33" i="23"/>
  <c r="G36" i="23"/>
  <c r="F33" i="23"/>
  <c r="F36" i="23" s="1"/>
  <c r="E33" i="23"/>
  <c r="E36" i="23" s="1"/>
  <c r="D33" i="23"/>
  <c r="D36" i="23" s="1"/>
  <c r="O12" i="22"/>
  <c r="H12" i="22"/>
  <c r="G43" i="22"/>
  <c r="G45" i="22"/>
  <c r="G50" i="22"/>
  <c r="G42" i="22"/>
  <c r="G41" i="22"/>
  <c r="V31" i="22"/>
  <c r="G32" i="22"/>
  <c r="G39" i="22"/>
  <c r="G30" i="22"/>
  <c r="AA43" i="60"/>
  <c r="W43" i="60"/>
  <c r="Z43" i="60"/>
  <c r="AA8" i="18"/>
  <c r="W8" i="18"/>
  <c r="Z8" i="18"/>
  <c r="V8" i="18"/>
  <c r="R8" i="18"/>
  <c r="X8" i="18"/>
  <c r="Y8" i="18"/>
  <c r="T8" i="18"/>
  <c r="G37" i="20"/>
  <c r="M37" i="20"/>
  <c r="V32" i="22"/>
  <c r="G47" i="22"/>
  <c r="V30" i="22"/>
  <c r="G33" i="22"/>
  <c r="E23" i="47"/>
  <c r="AE8" i="18"/>
  <c r="AL8" i="18"/>
  <c r="AC8" i="18"/>
  <c r="AJ8" i="18"/>
  <c r="AB8" i="18"/>
  <c r="J47" i="47"/>
  <c r="W44" i="60"/>
  <c r="W31" i="18"/>
  <c r="V44" i="60"/>
  <c r="V43" i="60"/>
  <c r="AC10" i="47"/>
  <c r="AH10" i="47"/>
  <c r="AH16" i="18"/>
  <c r="AK26" i="18"/>
  <c r="H47" i="47"/>
  <c r="I47" i="47"/>
  <c r="G47" i="47"/>
  <c r="L47" i="47"/>
  <c r="F47" i="47"/>
  <c r="K47" i="47"/>
  <c r="AH11" i="18"/>
  <c r="AH22" i="18"/>
  <c r="AH28" i="18"/>
  <c r="AH17" i="18"/>
  <c r="AL43" i="60"/>
  <c r="AK19" i="18"/>
  <c r="AK21" i="18"/>
  <c r="AK27" i="18"/>
  <c r="AK13" i="18"/>
  <c r="AK20" i="18"/>
  <c r="AK15" i="18"/>
  <c r="CV37" i="1"/>
  <c r="CW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O27" i="1"/>
  <c r="E37" i="20"/>
  <c r="BX37" i="1"/>
  <c r="BX39" i="1"/>
  <c r="BX17" i="1"/>
  <c r="BY37" i="1"/>
  <c r="BZ39" i="1"/>
  <c r="BZ17" i="1"/>
  <c r="CA37" i="1"/>
  <c r="CA39" i="1"/>
  <c r="CA17" i="1"/>
  <c r="CB37" i="1"/>
  <c r="CB39" i="1"/>
  <c r="CB17" i="1"/>
  <c r="CC37" i="1"/>
  <c r="CD39" i="1"/>
  <c r="CD17" i="1"/>
  <c r="CE37" i="1"/>
  <c r="CE39" i="1"/>
  <c r="CE17" i="1"/>
  <c r="CF37" i="1"/>
  <c r="CF39" i="1"/>
  <c r="CF17" i="1"/>
  <c r="CG37" i="1"/>
  <c r="CH39" i="1"/>
  <c r="CH17" i="1"/>
  <c r="CI17" i="1"/>
  <c r="CI39" i="1"/>
  <c r="CI37" i="1"/>
  <c r="CJ37" i="1"/>
  <c r="CJ39" i="1"/>
  <c r="CJ17" i="1"/>
  <c r="CK37" i="1"/>
  <c r="CL39" i="1"/>
  <c r="CL17" i="1"/>
  <c r="CM37" i="1"/>
  <c r="CM17" i="1"/>
  <c r="CM39" i="1"/>
  <c r="CN37" i="1"/>
  <c r="CN39" i="1"/>
  <c r="CN17" i="1"/>
  <c r="CO37" i="1"/>
  <c r="CP39" i="1"/>
  <c r="CP17" i="1"/>
  <c r="CQ37" i="1"/>
  <c r="CQ39" i="1"/>
  <c r="CQ17" i="1"/>
  <c r="CR37" i="1"/>
  <c r="CR39" i="1"/>
  <c r="CR17" i="1"/>
  <c r="CS37" i="1"/>
  <c r="CT39" i="1"/>
  <c r="CT17" i="1"/>
  <c r="CU37" i="1"/>
  <c r="CU39" i="1"/>
  <c r="CU17" i="1"/>
  <c r="N10" i="1"/>
  <c r="O10" i="1"/>
  <c r="AL10" i="47" l="1"/>
  <c r="AZ10" i="47"/>
  <c r="U10" i="47"/>
  <c r="X10" i="47"/>
  <c r="L14" i="20"/>
  <c r="D41" i="20"/>
  <c r="K37" i="20"/>
  <c r="L37" i="20"/>
  <c r="AM10" i="47"/>
  <c r="AO10" i="47"/>
  <c r="C11" i="24"/>
  <c r="C16" i="24" s="1"/>
  <c r="AR10" i="47"/>
  <c r="Z10" i="47"/>
  <c r="J14" i="20"/>
  <c r="CS17" i="1"/>
  <c r="CO17" i="1"/>
  <c r="K15" i="20" s="1"/>
  <c r="CK17" i="1"/>
  <c r="CG17" i="1"/>
  <c r="CC17" i="1"/>
  <c r="BY17" i="1"/>
  <c r="J15" i="20" s="1"/>
  <c r="AN10" i="47"/>
  <c r="AA10" i="47"/>
  <c r="W10" i="47"/>
  <c r="V10" i="47"/>
  <c r="Y10" i="47"/>
  <c r="G46" i="22"/>
  <c r="G38" i="22"/>
  <c r="G29" i="22"/>
  <c r="G44" i="22"/>
  <c r="G51" i="22"/>
  <c r="G54" i="22"/>
  <c r="DE39" i="1"/>
  <c r="DI39" i="1"/>
  <c r="AF10" i="47"/>
  <c r="S10" i="47"/>
  <c r="T10" i="47"/>
  <c r="G40" i="22"/>
  <c r="G56" i="22"/>
  <c r="G35" i="22"/>
  <c r="G37" i="22"/>
  <c r="G53" i="22"/>
  <c r="G60" i="22"/>
  <c r="F15" i="65"/>
  <c r="F27" i="65" s="1"/>
  <c r="F30" i="65" s="1"/>
  <c r="C53" i="20" s="1"/>
  <c r="D14" i="20"/>
  <c r="I14" i="20"/>
  <c r="K14" i="20"/>
  <c r="M14" i="20"/>
  <c r="DQ39" i="1"/>
  <c r="M40" i="20" s="1"/>
  <c r="DA39" i="1"/>
  <c r="L40" i="20" s="1"/>
  <c r="V26" i="22"/>
  <c r="V25" i="22"/>
  <c r="B31" i="22" s="1"/>
  <c r="E38" i="47"/>
  <c r="AI38" i="47" s="1"/>
  <c r="E39" i="47"/>
  <c r="P15" i="24"/>
  <c r="P16" i="24" s="1"/>
  <c r="P7" i="24" s="1"/>
  <c r="L15" i="20"/>
  <c r="M15" i="20"/>
  <c r="J40" i="20"/>
  <c r="L38" i="20"/>
  <c r="X42" i="47"/>
  <c r="V42" i="47"/>
  <c r="S42" i="47"/>
  <c r="U42" i="47"/>
  <c r="W42" i="47"/>
  <c r="AA42" i="47"/>
  <c r="AB42" i="47"/>
  <c r="T42" i="47"/>
  <c r="Z42" i="47"/>
  <c r="AC42" i="47"/>
  <c r="Y42" i="47"/>
  <c r="AJ42" i="47"/>
  <c r="AH42" i="47"/>
  <c r="AM42" i="47"/>
  <c r="AL42" i="47"/>
  <c r="AT42" i="47"/>
  <c r="AF42" i="47"/>
  <c r="AD42" i="47"/>
  <c r="AN42" i="47"/>
  <c r="AK42" i="47"/>
  <c r="AI42" i="47"/>
  <c r="AO42" i="47"/>
  <c r="AG42" i="47"/>
  <c r="AE42" i="47"/>
  <c r="BB42" i="47"/>
  <c r="AP42" i="47"/>
  <c r="AS42" i="47"/>
  <c r="AX42" i="47"/>
  <c r="AQ42" i="47"/>
  <c r="AW42" i="47"/>
  <c r="AZ42" i="47"/>
  <c r="BA42" i="47"/>
  <c r="AU42" i="47"/>
  <c r="AY42" i="47"/>
  <c r="AV42" i="47"/>
  <c r="BL42" i="47"/>
  <c r="AR42" i="47"/>
  <c r="BX42" i="47"/>
  <c r="BP42" i="47"/>
  <c r="BK42" i="47"/>
  <c r="BF42" i="47"/>
  <c r="BT42" i="47"/>
  <c r="BQ42" i="47"/>
  <c r="BH42" i="47"/>
  <c r="BJ42" i="47"/>
  <c r="BR42" i="47"/>
  <c r="BI42" i="47"/>
  <c r="BV42" i="47"/>
  <c r="BY42" i="47"/>
  <c r="BG42" i="47"/>
  <c r="BD42" i="47"/>
  <c r="BS42" i="47"/>
  <c r="BU42" i="47"/>
  <c r="BN42" i="47"/>
  <c r="BC42" i="47"/>
  <c r="BW42" i="47"/>
  <c r="BM42" i="47"/>
  <c r="BO42" i="47"/>
  <c r="BE42" i="47"/>
  <c r="CK42" i="47"/>
  <c r="CI42" i="47"/>
  <c r="CC42" i="47"/>
  <c r="CB42" i="47"/>
  <c r="CE42" i="47"/>
  <c r="CG42" i="47"/>
  <c r="CH42" i="47"/>
  <c r="CJ42" i="47"/>
  <c r="CA42" i="47"/>
  <c r="BZ42" i="47"/>
  <c r="CF42" i="47"/>
  <c r="CD42" i="47"/>
  <c r="CO42" i="47"/>
  <c r="CL42" i="47"/>
  <c r="CS42" i="47"/>
  <c r="CP42" i="47"/>
  <c r="CN42" i="47"/>
  <c r="CT42" i="47"/>
  <c r="CR42" i="47"/>
  <c r="CV42" i="47"/>
  <c r="CW42" i="47"/>
  <c r="CU42" i="47"/>
  <c r="CQ42" i="47"/>
  <c r="CM42" i="47"/>
  <c r="DD42" i="47"/>
  <c r="DF42" i="47"/>
  <c r="DI42" i="47"/>
  <c r="CY42" i="47"/>
  <c r="DC42" i="47"/>
  <c r="DH42" i="47"/>
  <c r="CZ42" i="47"/>
  <c r="DE42" i="47"/>
  <c r="DA42" i="47"/>
  <c r="DG42" i="47"/>
  <c r="CX42" i="47"/>
  <c r="DB42" i="47"/>
  <c r="DQ42" i="47"/>
  <c r="DJ42" i="47"/>
  <c r="DT42" i="47"/>
  <c r="DS42" i="47"/>
  <c r="DO42" i="47"/>
  <c r="DL42" i="47"/>
  <c r="DM42" i="47"/>
  <c r="DP42" i="47"/>
  <c r="DK42" i="47"/>
  <c r="DN42" i="47"/>
  <c r="DU42" i="47"/>
  <c r="DR42" i="47"/>
  <c r="E14" i="20"/>
  <c r="G14" i="20"/>
  <c r="H14" i="20"/>
  <c r="C7" i="24"/>
  <c r="D39" i="1" s="1"/>
  <c r="C18" i="24"/>
  <c r="D11" i="24" s="1"/>
  <c r="D16" i="24" s="1"/>
  <c r="D7" i="24" s="1"/>
  <c r="Q39" i="1"/>
  <c r="Q41" i="1" s="1"/>
  <c r="Q17" i="1"/>
  <c r="K40" i="20"/>
  <c r="K38" i="20"/>
  <c r="P18" i="24"/>
  <c r="Q15" i="24" s="1"/>
  <c r="Q16" i="24" s="1"/>
  <c r="M38" i="20"/>
  <c r="J38" i="20"/>
  <c r="AE5" i="72"/>
  <c r="S6" i="72"/>
  <c r="L12" i="44"/>
  <c r="L11" i="44"/>
  <c r="L14" i="44" s="1"/>
  <c r="L13" i="44"/>
  <c r="L17" i="44" s="1"/>
  <c r="P12" i="44"/>
  <c r="P11" i="44"/>
  <c r="P14" i="44" s="1"/>
  <c r="P13" i="44"/>
  <c r="P17" i="44" s="1"/>
  <c r="M13" i="44"/>
  <c r="M17" i="44" s="1"/>
  <c r="M12" i="44"/>
  <c r="M11" i="44"/>
  <c r="M14" i="44" s="1"/>
  <c r="N13" i="44"/>
  <c r="N17" i="44" s="1"/>
  <c r="N11" i="44"/>
  <c r="N14" i="44" s="1"/>
  <c r="N12" i="44"/>
  <c r="K11" i="44"/>
  <c r="K14" i="44" s="1"/>
  <c r="K13" i="44"/>
  <c r="K17" i="44" s="1"/>
  <c r="K12" i="44"/>
  <c r="O11" i="44"/>
  <c r="O14" i="44" s="1"/>
  <c r="O13" i="44"/>
  <c r="O17" i="44" s="1"/>
  <c r="O12" i="44"/>
  <c r="AV112" i="72"/>
  <c r="D62" i="74"/>
  <c r="D63" i="74" s="1"/>
  <c r="D55" i="74" s="1"/>
  <c r="D53" i="74" s="1"/>
  <c r="D54" i="74" s="1"/>
  <c r="Q36" i="74"/>
  <c r="K36" i="74"/>
  <c r="P36" i="74"/>
  <c r="L36" i="74"/>
  <c r="L35" i="75"/>
  <c r="P35" i="75"/>
  <c r="H35" i="75"/>
  <c r="D17" i="1"/>
  <c r="H19" i="22"/>
  <c r="G52" i="22"/>
  <c r="G55" i="22"/>
  <c r="G58" i="22"/>
  <c r="G49" i="22"/>
  <c r="G36" i="22"/>
  <c r="G31" i="22"/>
  <c r="G59" i="22"/>
  <c r="G48" i="22"/>
  <c r="G34" i="22"/>
  <c r="E41" i="20"/>
  <c r="D37" i="20"/>
  <c r="O18" i="24"/>
  <c r="O8" i="24"/>
  <c r="P37" i="1" s="1"/>
  <c r="G36" i="74"/>
  <c r="O36" i="74"/>
  <c r="I36" i="74"/>
  <c r="F36" i="74"/>
  <c r="G35" i="75"/>
  <c r="H36" i="74"/>
  <c r="E36" i="74"/>
  <c r="F35" i="75"/>
  <c r="S35" i="75"/>
  <c r="O35" i="75"/>
  <c r="J36" i="74"/>
  <c r="S41" i="47"/>
  <c r="B50" i="22"/>
  <c r="D8" i="20"/>
  <c r="BC113" i="72"/>
  <c r="BL113" i="72"/>
  <c r="BH113" i="72"/>
  <c r="BT114" i="72" s="1"/>
  <c r="CF115" i="72" s="1"/>
  <c r="CR116" i="72" s="1"/>
  <c r="DD117" i="72" s="1"/>
  <c r="DP118" i="72" s="1"/>
  <c r="AR112" i="72"/>
  <c r="BD113" i="72"/>
  <c r="BP114" i="72" s="1"/>
  <c r="CB115" i="72" s="1"/>
  <c r="CN116" i="72" s="1"/>
  <c r="CZ117" i="72" s="1"/>
  <c r="DL118" i="72" s="1"/>
  <c r="AZ112" i="72"/>
  <c r="AX112" i="72"/>
  <c r="BE113" i="72"/>
  <c r="BQ114" i="72" s="1"/>
  <c r="CC115" i="72" s="1"/>
  <c r="CO116" i="72" s="1"/>
  <c r="DA117" i="72" s="1"/>
  <c r="DM118" i="72" s="1"/>
  <c r="E36" i="47"/>
  <c r="AI36" i="47" s="1"/>
  <c r="E19" i="47"/>
  <c r="E27" i="47"/>
  <c r="E32" i="47"/>
  <c r="AS14" i="47"/>
  <c r="AR14" i="47"/>
  <c r="X38" i="47"/>
  <c r="AU112" i="72"/>
  <c r="BK113" i="72"/>
  <c r="AQ112" i="72"/>
  <c r="BB113" i="72"/>
  <c r="BN114" i="72" s="1"/>
  <c r="BZ115" i="72" s="1"/>
  <c r="CL116" i="72" s="1"/>
  <c r="CX117" i="72" s="1"/>
  <c r="DJ118" i="72" s="1"/>
  <c r="BG113" i="72"/>
  <c r="BS114" i="72" s="1"/>
  <c r="CE115" i="72" s="1"/>
  <c r="CQ116" i="72" s="1"/>
  <c r="DC117" i="72" s="1"/>
  <c r="DO118" i="72" s="1"/>
  <c r="AB36" i="60"/>
  <c r="AB42" i="60"/>
  <c r="AJ36" i="60"/>
  <c r="AJ42" i="60"/>
  <c r="AF36" i="60"/>
  <c r="AF42" i="60"/>
  <c r="BM114" i="72"/>
  <c r="BY115" i="72" s="1"/>
  <c r="CK116" i="72" s="1"/>
  <c r="CW117" i="72" s="1"/>
  <c r="DI118" i="72" s="1"/>
  <c r="BI113" i="72"/>
  <c r="BU114" i="72" s="1"/>
  <c r="CG115" i="72" s="1"/>
  <c r="CS116" i="72" s="1"/>
  <c r="DE117" i="72" s="1"/>
  <c r="DQ118" i="72" s="1"/>
  <c r="AW112" i="72"/>
  <c r="AL36" i="60"/>
  <c r="AL42" i="60"/>
  <c r="BJ113" i="72"/>
  <c r="BV114" i="72" s="1"/>
  <c r="CH115" i="72" s="1"/>
  <c r="CT116" i="72" s="1"/>
  <c r="DF117" i="72" s="1"/>
  <c r="DR118" i="72" s="1"/>
  <c r="AT112" i="72"/>
  <c r="AO112" i="72"/>
  <c r="AO121" i="72" s="1"/>
  <c r="AM36" i="60"/>
  <c r="AM42" i="60"/>
  <c r="AA36" i="60"/>
  <c r="AA42" i="60"/>
  <c r="AC36" i="60"/>
  <c r="AC42" i="60"/>
  <c r="Z36" i="60"/>
  <c r="Z42" i="60"/>
  <c r="AY112" i="72"/>
  <c r="BF113" i="72"/>
  <c r="BR114" i="72" s="1"/>
  <c r="CD115" i="72" s="1"/>
  <c r="CP116" i="72" s="1"/>
  <c r="DB117" i="72" s="1"/>
  <c r="DN118" i="72" s="1"/>
  <c r="AP112" i="72"/>
  <c r="AS112" i="72"/>
  <c r="T36" i="60"/>
  <c r="T42" i="60"/>
  <c r="X36" i="60"/>
  <c r="X42" i="60"/>
  <c r="O19" i="69"/>
  <c r="P19" i="69" s="1"/>
  <c r="Q19" i="69"/>
  <c r="O18" i="69"/>
  <c r="R18" i="69" s="1"/>
  <c r="Q18" i="69"/>
  <c r="O15" i="69"/>
  <c r="P15" i="69" s="1"/>
  <c r="Q15" i="69"/>
  <c r="O13" i="69"/>
  <c r="R13" i="69" s="1"/>
  <c r="Q13" i="69"/>
  <c r="AA12" i="58"/>
  <c r="AB9" i="58" s="1"/>
  <c r="F26" i="1"/>
  <c r="F28" i="1" s="1"/>
  <c r="D7" i="20"/>
  <c r="J33" i="20"/>
  <c r="H7" i="20"/>
  <c r="I7" i="20"/>
  <c r="K7" i="20"/>
  <c r="M7" i="20"/>
  <c r="D26" i="20"/>
  <c r="L33" i="20"/>
  <c r="H33" i="20"/>
  <c r="K33" i="20"/>
  <c r="D33" i="20"/>
  <c r="I33" i="20"/>
  <c r="J7" i="20"/>
  <c r="M33" i="20"/>
  <c r="F33" i="20"/>
  <c r="G33" i="20"/>
  <c r="E33" i="20"/>
  <c r="L7" i="20"/>
  <c r="D6" i="20"/>
  <c r="C7" i="23" s="1"/>
  <c r="L111" i="72"/>
  <c r="L121" i="72" s="1"/>
  <c r="L5" i="44" s="1"/>
  <c r="K36" i="60" s="1"/>
  <c r="AA44" i="60"/>
  <c r="AL44" i="60"/>
  <c r="AK43" i="60"/>
  <c r="F13" i="1"/>
  <c r="J13" i="1"/>
  <c r="B27" i="22"/>
  <c r="G27" i="22" s="1"/>
  <c r="B28" i="22"/>
  <c r="B60" i="22"/>
  <c r="B42" i="22"/>
  <c r="B59" i="22"/>
  <c r="B40" i="22"/>
  <c r="G26" i="1"/>
  <c r="G28" i="1" s="1"/>
  <c r="D13" i="1"/>
  <c r="H13" i="1"/>
  <c r="E13" i="1"/>
  <c r="I26" i="1"/>
  <c r="I28" i="1" s="1"/>
  <c r="R19" i="69"/>
  <c r="O14" i="69"/>
  <c r="R14" i="69" s="1"/>
  <c r="O16" i="69"/>
  <c r="R16" i="69" s="1"/>
  <c r="S16" i="69" s="1"/>
  <c r="O8" i="69"/>
  <c r="R8" i="69" s="1"/>
  <c r="Q8" i="69"/>
  <c r="O7" i="69"/>
  <c r="R7" i="69" s="1"/>
  <c r="S7" i="69" s="1"/>
  <c r="O6" i="69"/>
  <c r="R6" i="69" s="1"/>
  <c r="S6" i="69" s="1"/>
  <c r="Q5" i="69"/>
  <c r="O5" i="69"/>
  <c r="R5" i="69" s="1"/>
  <c r="V30" i="18"/>
  <c r="AC22" i="18"/>
  <c r="U27" i="18"/>
  <c r="U8" i="18"/>
  <c r="S30" i="18"/>
  <c r="S8" i="18"/>
  <c r="G13" i="1"/>
  <c r="AE20" i="18"/>
  <c r="AC20" i="18"/>
  <c r="T29" i="18"/>
  <c r="AK23" i="18"/>
  <c r="AK8" i="18"/>
  <c r="AH23" i="18"/>
  <c r="AH8" i="18"/>
  <c r="AK29" i="18"/>
  <c r="AK17" i="18"/>
  <c r="AH13" i="18"/>
  <c r="AH10" i="18"/>
  <c r="AK30" i="18"/>
  <c r="AK12" i="18"/>
  <c r="AH15" i="18"/>
  <c r="B43" i="22"/>
  <c r="B41" i="22"/>
  <c r="B52" i="22"/>
  <c r="B30" i="22"/>
  <c r="H30" i="22" s="1"/>
  <c r="B57" i="22"/>
  <c r="B21" i="22"/>
  <c r="B36" i="22"/>
  <c r="B39" i="22"/>
  <c r="B35" i="22"/>
  <c r="B45" i="22"/>
  <c r="B48" i="22"/>
  <c r="B32" i="22"/>
  <c r="B55" i="22"/>
  <c r="B54" i="22"/>
  <c r="B47" i="22"/>
  <c r="B56" i="22"/>
  <c r="B51" i="22"/>
  <c r="B46" i="22"/>
  <c r="B29" i="22"/>
  <c r="B53" i="22"/>
  <c r="B44" i="22"/>
  <c r="AO38" i="47"/>
  <c r="W38" i="47"/>
  <c r="U38" i="47"/>
  <c r="V38" i="47"/>
  <c r="AK36" i="47"/>
  <c r="AP41" i="47"/>
  <c r="AZ22" i="47"/>
  <c r="U41" i="47"/>
  <c r="W41" i="47"/>
  <c r="V41" i="47"/>
  <c r="Z41" i="47"/>
  <c r="Y41" i="47"/>
  <c r="E40" i="47"/>
  <c r="AK40" i="47" s="1"/>
  <c r="AO23" i="47"/>
  <c r="E44" i="47"/>
  <c r="W44" i="47" s="1"/>
  <c r="AH23" i="47"/>
  <c r="S9" i="47"/>
  <c r="AB9" i="47"/>
  <c r="AI9" i="47"/>
  <c r="T9" i="47"/>
  <c r="Y9" i="47"/>
  <c r="X9" i="47"/>
  <c r="V9" i="47"/>
  <c r="AC9" i="47"/>
  <c r="AM9" i="47"/>
  <c r="AA9" i="47"/>
  <c r="AO9" i="47"/>
  <c r="AE9" i="47"/>
  <c r="U9" i="47"/>
  <c r="AF9" i="47"/>
  <c r="AG9" i="47"/>
  <c r="W9" i="47"/>
  <c r="Z9" i="47"/>
  <c r="AN9" i="47"/>
  <c r="AZ9" i="47"/>
  <c r="AP9" i="47"/>
  <c r="AD9" i="47"/>
  <c r="AT9" i="47"/>
  <c r="AJ9" i="47"/>
  <c r="AE23" i="47"/>
  <c r="AE22" i="47"/>
  <c r="AG22" i="47"/>
  <c r="AG10" i="47"/>
  <c r="AD10" i="47"/>
  <c r="AG23" i="47"/>
  <c r="AE12" i="47"/>
  <c r="AJ38" i="47"/>
  <c r="AJ23" i="47"/>
  <c r="AJ22" i="47"/>
  <c r="AI10" i="47"/>
  <c r="AJ10" i="47"/>
  <c r="AE10" i="47"/>
  <c r="AN22" i="47"/>
  <c r="AN36" i="47"/>
  <c r="AO36" i="47"/>
  <c r="AF36" i="47"/>
  <c r="T12" i="47"/>
  <c r="AI22" i="47"/>
  <c r="AP22" i="47"/>
  <c r="AH22" i="47"/>
  <c r="AB41" i="47"/>
  <c r="T41" i="47"/>
  <c r="AO41" i="47"/>
  <c r="AN41" i="47"/>
  <c r="AD41" i="47"/>
  <c r="AK41" i="47"/>
  <c r="X41" i="47"/>
  <c r="AH41" i="47"/>
  <c r="AA41" i="47"/>
  <c r="AC41" i="47"/>
  <c r="AJ41" i="47"/>
  <c r="AE41" i="47"/>
  <c r="AZ14" i="47"/>
  <c r="AT14" i="47"/>
  <c r="E24" i="47"/>
  <c r="AX24" i="47" s="1"/>
  <c r="E34" i="47"/>
  <c r="AX34" i="47" s="1"/>
  <c r="Z12" i="47"/>
  <c r="V12" i="47"/>
  <c r="AC12" i="47"/>
  <c r="AA12" i="47"/>
  <c r="X12" i="47"/>
  <c r="U12" i="47"/>
  <c r="AF12" i="47"/>
  <c r="W12" i="47"/>
  <c r="AB12" i="47"/>
  <c r="AO12" i="47"/>
  <c r="AH12" i="47"/>
  <c r="AJ12" i="47"/>
  <c r="BA12" i="47"/>
  <c r="AR12" i="47"/>
  <c r="S12" i="47"/>
  <c r="AL12" i="47"/>
  <c r="AI12" i="47"/>
  <c r="AD12" i="47"/>
  <c r="AT12" i="47"/>
  <c r="AG12" i="47"/>
  <c r="AK12" i="47"/>
  <c r="AP12" i="47"/>
  <c r="E31" i="47"/>
  <c r="E26" i="47"/>
  <c r="E15" i="47"/>
  <c r="AQ15" i="47" s="1"/>
  <c r="E43" i="47"/>
  <c r="AM43" i="47" s="1"/>
  <c r="E18" i="47"/>
  <c r="E25" i="47"/>
  <c r="AL25" i="47" s="1"/>
  <c r="E17" i="47"/>
  <c r="AQ17" i="47" s="1"/>
  <c r="AT38" i="47"/>
  <c r="AT10" i="47"/>
  <c r="AL23" i="47"/>
  <c r="AF23" i="47"/>
  <c r="AZ23" i="47"/>
  <c r="AN23" i="47"/>
  <c r="AI23" i="47"/>
  <c r="BA23" i="47"/>
  <c r="E30" i="47"/>
  <c r="E35" i="47"/>
  <c r="E16" i="47"/>
  <c r="AQ16" i="47" s="1"/>
  <c r="AF41" i="47"/>
  <c r="AF22" i="47"/>
  <c r="AO22" i="47"/>
  <c r="AG41" i="47"/>
  <c r="AA38" i="47"/>
  <c r="Z38" i="47"/>
  <c r="S38" i="47"/>
  <c r="AC26" i="18"/>
  <c r="S17" i="18"/>
  <c r="AE13" i="18"/>
  <c r="AE10" i="18"/>
  <c r="AC27" i="18"/>
  <c r="AE12" i="18"/>
  <c r="AC14" i="18"/>
  <c r="AC16" i="18"/>
  <c r="S27" i="18"/>
  <c r="T12" i="18"/>
  <c r="Z15" i="18"/>
  <c r="AA13" i="18"/>
  <c r="Z26" i="18"/>
  <c r="T27" i="18"/>
  <c r="D26" i="1"/>
  <c r="D28" i="1" s="1"/>
  <c r="AE27" i="18"/>
  <c r="AJ13" i="18"/>
  <c r="AC10" i="18"/>
  <c r="AC30" i="18"/>
  <c r="X11" i="18"/>
  <c r="AA21" i="18"/>
  <c r="R16" i="18"/>
  <c r="T20" i="18"/>
  <c r="J26" i="1"/>
  <c r="J28" i="1" s="1"/>
  <c r="I9" i="62"/>
  <c r="AJ23" i="18"/>
  <c r="AJ16" i="18"/>
  <c r="AE25" i="18"/>
  <c r="AE15" i="18"/>
  <c r="AE31" i="18"/>
  <c r="AJ19" i="18"/>
  <c r="AJ20" i="18"/>
  <c r="AC11" i="18"/>
  <c r="AC13" i="18"/>
  <c r="AC15" i="18"/>
  <c r="S31" i="18"/>
  <c r="S23" i="18"/>
  <c r="X16" i="18"/>
  <c r="AK31" i="18"/>
  <c r="AK10" i="18"/>
  <c r="AK11" i="18"/>
  <c r="AE23" i="18"/>
  <c r="AE29" i="18"/>
  <c r="AJ14" i="18"/>
  <c r="AH27" i="18"/>
  <c r="AC21" i="18"/>
  <c r="AE26" i="18"/>
  <c r="S13" i="18"/>
  <c r="W19" i="18"/>
  <c r="X23" i="18"/>
  <c r="X31" i="18"/>
  <c r="S10" i="18"/>
  <c r="R10" i="18"/>
  <c r="X19" i="18"/>
  <c r="X14" i="18"/>
  <c r="X25" i="18"/>
  <c r="S16" i="18"/>
  <c r="AL25" i="18"/>
  <c r="AJ31" i="18"/>
  <c r="AJ29" i="18"/>
  <c r="AJ10" i="18"/>
  <c r="X10" i="18"/>
  <c r="X15" i="18"/>
  <c r="S22" i="18"/>
  <c r="S20" i="18"/>
  <c r="S11" i="18"/>
  <c r="S28" i="18"/>
  <c r="T11" i="18"/>
  <c r="R11" i="18"/>
  <c r="R19" i="18"/>
  <c r="W28" i="18"/>
  <c r="V13" i="18"/>
  <c r="X28" i="18"/>
  <c r="S26" i="18"/>
  <c r="T30" i="18"/>
  <c r="T26" i="18"/>
  <c r="T13" i="18"/>
  <c r="T15" i="18"/>
  <c r="E26" i="1"/>
  <c r="E28" i="1" s="1"/>
  <c r="H26" i="1"/>
  <c r="H28" i="1" s="1"/>
  <c r="X29" i="18"/>
  <c r="S19" i="18"/>
  <c r="S12" i="18"/>
  <c r="S15" i="18"/>
  <c r="Y12" i="18"/>
  <c r="R13" i="18"/>
  <c r="X21" i="18"/>
  <c r="AL23" i="18"/>
  <c r="AJ25" i="18"/>
  <c r="AJ26" i="18"/>
  <c r="S25" i="18"/>
  <c r="S21" i="18"/>
  <c r="S29" i="18"/>
  <c r="S14" i="18"/>
  <c r="T19" i="18"/>
  <c r="T10" i="18"/>
  <c r="R20" i="18"/>
  <c r="R14" i="18"/>
  <c r="R9" i="18"/>
  <c r="W13" i="18"/>
  <c r="Y23" i="18"/>
  <c r="X12" i="18"/>
  <c r="X20" i="18"/>
  <c r="X13" i="18"/>
  <c r="X30" i="18"/>
  <c r="X26" i="18"/>
  <c r="T16" i="18"/>
  <c r="T28" i="18"/>
  <c r="T14" i="18"/>
  <c r="V29" i="18"/>
  <c r="X27" i="18"/>
  <c r="U15" i="18"/>
  <c r="AL15" i="18"/>
  <c r="AL16" i="18"/>
  <c r="AB10" i="18"/>
  <c r="U19" i="18"/>
  <c r="U14" i="18"/>
  <c r="U31" i="18"/>
  <c r="W21" i="18"/>
  <c r="W14" i="18"/>
  <c r="V27" i="18"/>
  <c r="V14" i="18"/>
  <c r="W16" i="18"/>
  <c r="V16" i="18"/>
  <c r="AL29" i="18"/>
  <c r="U29" i="18"/>
  <c r="U12" i="18"/>
  <c r="U13" i="18"/>
  <c r="W20" i="18"/>
  <c r="W12" i="18"/>
  <c r="W29" i="18"/>
  <c r="W27" i="18"/>
  <c r="V11" i="18"/>
  <c r="V12" i="18"/>
  <c r="U16" i="18"/>
  <c r="V10" i="18"/>
  <c r="I13" i="1"/>
  <c r="AL10" i="18"/>
  <c r="AB16" i="18"/>
  <c r="U20" i="18"/>
  <c r="U11" i="18"/>
  <c r="U10" i="18"/>
  <c r="U28" i="18"/>
  <c r="W23" i="18"/>
  <c r="W25" i="18"/>
  <c r="W11" i="18"/>
  <c r="W10" i="18"/>
  <c r="W15" i="18"/>
  <c r="V28" i="18"/>
  <c r="V17" i="18"/>
  <c r="V19" i="18"/>
  <c r="U26" i="18"/>
  <c r="W30" i="18"/>
  <c r="W26" i="18"/>
  <c r="V31" i="18"/>
  <c r="V15" i="18"/>
  <c r="AX22" i="47"/>
  <c r="AX38" i="47"/>
  <c r="AX10" i="47"/>
  <c r="AX9" i="47"/>
  <c r="AX12" i="47"/>
  <c r="AX14" i="47"/>
  <c r="AX41" i="47"/>
  <c r="AX23" i="47"/>
  <c r="AB26" i="18"/>
  <c r="AB29" i="18"/>
  <c r="AB12" i="18"/>
  <c r="AB21" i="18"/>
  <c r="AB19" i="18"/>
  <c r="AB25" i="18"/>
  <c r="AB30" i="18"/>
  <c r="AB31" i="18"/>
  <c r="AB14" i="18"/>
  <c r="AB20" i="18"/>
  <c r="AB22" i="18"/>
  <c r="AB27" i="18"/>
  <c r="AB11" i="18"/>
  <c r="AB13" i="18"/>
  <c r="AB15" i="18"/>
  <c r="AB28" i="18"/>
  <c r="AB17" i="18"/>
  <c r="AL30" i="18"/>
  <c r="AL21" i="18"/>
  <c r="AL12" i="18"/>
  <c r="AL28" i="18"/>
  <c r="AL31" i="18"/>
  <c r="AL11" i="18"/>
  <c r="AL27" i="18"/>
  <c r="AL13" i="18"/>
  <c r="AL14" i="18"/>
  <c r="AL26" i="18"/>
  <c r="AL20" i="18"/>
  <c r="AL22" i="18"/>
  <c r="AL19" i="18"/>
  <c r="Y16" i="18"/>
  <c r="Y21" i="18"/>
  <c r="Y26" i="18"/>
  <c r="Y20" i="18"/>
  <c r="Y17" i="18"/>
  <c r="Y19" i="18"/>
  <c r="Y27" i="18"/>
  <c r="Y11" i="18"/>
  <c r="Y14" i="18"/>
  <c r="Y31" i="18"/>
  <c r="Y28" i="18"/>
  <c r="Y30" i="18"/>
  <c r="Y22" i="18"/>
  <c r="Y10" i="18"/>
  <c r="Y25" i="18"/>
  <c r="Y15" i="18"/>
  <c r="Y29" i="18"/>
  <c r="Y13" i="18"/>
  <c r="Z31" i="18"/>
  <c r="Z30" i="18"/>
  <c r="Z16" i="18"/>
  <c r="Z28" i="18"/>
  <c r="Z20" i="18"/>
  <c r="Z25" i="18"/>
  <c r="Z11" i="18"/>
  <c r="Z19" i="18"/>
  <c r="Z21" i="18"/>
  <c r="Z13" i="18"/>
  <c r="Z23" i="18"/>
  <c r="Z12" i="18"/>
  <c r="Z22" i="18"/>
  <c r="Z27" i="18"/>
  <c r="Z29" i="18"/>
  <c r="Z14" i="18"/>
  <c r="Z10" i="18"/>
  <c r="U43" i="60"/>
  <c r="U44" i="60"/>
  <c r="AA16" i="18"/>
  <c r="AA30" i="18"/>
  <c r="AA28" i="18"/>
  <c r="AA20" i="18"/>
  <c r="AA10" i="18"/>
  <c r="AA12" i="18"/>
  <c r="AA27" i="18"/>
  <c r="AA15" i="18"/>
  <c r="AA26" i="18"/>
  <c r="AA23" i="18"/>
  <c r="AA25" i="18"/>
  <c r="AA31" i="18"/>
  <c r="AA22" i="18"/>
  <c r="AA19" i="18"/>
  <c r="AA11" i="18"/>
  <c r="AA14" i="18"/>
  <c r="AA29" i="18"/>
  <c r="Z44" i="60"/>
  <c r="Y44" i="60"/>
  <c r="Y43" i="60"/>
  <c r="S44" i="60"/>
  <c r="S43" i="60"/>
  <c r="T43" i="60"/>
  <c r="T44" i="60"/>
  <c r="BA14" i="47"/>
  <c r="BA9" i="47"/>
  <c r="BA10" i="47"/>
  <c r="BA22" i="47"/>
  <c r="BA41" i="47"/>
  <c r="AT22" i="47"/>
  <c r="AT41" i="47"/>
  <c r="AT23" i="47"/>
  <c r="AZ12" i="47"/>
  <c r="AZ41" i="47"/>
  <c r="AJ21" i="18"/>
  <c r="AJ15" i="18"/>
  <c r="AJ28" i="18"/>
  <c r="AJ22" i="18"/>
  <c r="AJ30" i="18"/>
  <c r="AJ27" i="18"/>
  <c r="AJ11" i="18"/>
  <c r="AJ12" i="18"/>
  <c r="AH43" i="60"/>
  <c r="AH44" i="60"/>
  <c r="AK44" i="60"/>
  <c r="AI44" i="60"/>
  <c r="AI43" i="60"/>
  <c r="AR9" i="47"/>
  <c r="AR23" i="47"/>
  <c r="AR22" i="47"/>
  <c r="AR41" i="47"/>
  <c r="AP23" i="47"/>
  <c r="AP38" i="47"/>
  <c r="AP10" i="47"/>
  <c r="AC31" i="18"/>
  <c r="AC28" i="18"/>
  <c r="AC23" i="18"/>
  <c r="AC25" i="18"/>
  <c r="AC19" i="18"/>
  <c r="AC29" i="18"/>
  <c r="AC12" i="18"/>
  <c r="AE30" i="18"/>
  <c r="AE16" i="18"/>
  <c r="AE28" i="18"/>
  <c r="AE17" i="18"/>
  <c r="AE21" i="18"/>
  <c r="AE19" i="18"/>
  <c r="AE22" i="18"/>
  <c r="AE11" i="18"/>
  <c r="AE14" i="18"/>
  <c r="AI8" i="18"/>
  <c r="AD8" i="18"/>
  <c r="AF8" i="18"/>
  <c r="AM8" i="18"/>
  <c r="AG8" i="18"/>
  <c r="AK16" i="18"/>
  <c r="AK14" i="18"/>
  <c r="AK28" i="18"/>
  <c r="AK25" i="18"/>
  <c r="AK22" i="18"/>
  <c r="AH26" i="18"/>
  <c r="AH20" i="18"/>
  <c r="AH19" i="18"/>
  <c r="AH12" i="18"/>
  <c r="AH31" i="18"/>
  <c r="AH25" i="18"/>
  <c r="AH30" i="18"/>
  <c r="AH14" i="18"/>
  <c r="AH21" i="18"/>
  <c r="AH29" i="18"/>
  <c r="AK22" i="47"/>
  <c r="AK10" i="47"/>
  <c r="AK38" i="47"/>
  <c r="AK23" i="47"/>
  <c r="AK9" i="47"/>
  <c r="AL41" i="47"/>
  <c r="AL22" i="47"/>
  <c r="AL24" i="47"/>
  <c r="AL38" i="47"/>
  <c r="AL9" i="47"/>
  <c r="AH9" i="47"/>
  <c r="AM22" i="47"/>
  <c r="AM12" i="47"/>
  <c r="AM41" i="47"/>
  <c r="AM23" i="47"/>
  <c r="AN12" i="47"/>
  <c r="AN38" i="47"/>
  <c r="X43" i="60"/>
  <c r="X44" i="60"/>
  <c r="U30" i="18"/>
  <c r="T31" i="18"/>
  <c r="V20" i="18"/>
  <c r="V26" i="18"/>
  <c r="BA20" i="13"/>
  <c r="CW20" i="13"/>
  <c r="T35" i="75"/>
  <c r="I35" i="75"/>
  <c r="M35" i="75"/>
  <c r="Q35" i="75"/>
  <c r="J35" i="75"/>
  <c r="N35" i="75"/>
  <c r="R35" i="75"/>
  <c r="D66" i="74"/>
  <c r="D68" i="74"/>
  <c r="E25" i="74"/>
  <c r="D52" i="74"/>
  <c r="H31" i="22" l="1"/>
  <c r="AD38" i="47"/>
  <c r="BA38" i="47"/>
  <c r="AG38" i="47"/>
  <c r="AC38" i="47"/>
  <c r="H32" i="22"/>
  <c r="AR38" i="47"/>
  <c r="T38" i="47"/>
  <c r="AZ38" i="47"/>
  <c r="AE38" i="47"/>
  <c r="H21" i="22"/>
  <c r="AH36" i="47"/>
  <c r="AL36" i="47"/>
  <c r="AP36" i="47"/>
  <c r="AX36" i="47"/>
  <c r="R38" i="47"/>
  <c r="Y38" i="47"/>
  <c r="AF38" i="47"/>
  <c r="AM38" i="47"/>
  <c r="B38" i="22"/>
  <c r="B58" i="22"/>
  <c r="B34" i="22"/>
  <c r="B24" i="22"/>
  <c r="G24" i="22" s="1"/>
  <c r="B22" i="22"/>
  <c r="G22" i="22" s="1"/>
  <c r="B37" i="22"/>
  <c r="B33" i="22"/>
  <c r="S19" i="69"/>
  <c r="B49" i="22"/>
  <c r="D18" i="24"/>
  <c r="E11" i="24" s="1"/>
  <c r="N15" i="44"/>
  <c r="N16" i="44"/>
  <c r="M15" i="44"/>
  <c r="M16" i="44"/>
  <c r="P15" i="44"/>
  <c r="P16" i="44"/>
  <c r="K15" i="44"/>
  <c r="K16" i="44"/>
  <c r="AT39" i="47"/>
  <c r="AY39" i="47"/>
  <c r="AQ39" i="47"/>
  <c r="AR39" i="47"/>
  <c r="BA39" i="47"/>
  <c r="BL39" i="47"/>
  <c r="BB39" i="47"/>
  <c r="AZ39" i="47"/>
  <c r="AU39" i="47"/>
  <c r="AX39" i="47"/>
  <c r="AP39" i="47"/>
  <c r="AS39" i="47"/>
  <c r="AV39" i="47"/>
  <c r="AW39" i="47"/>
  <c r="BI39" i="47"/>
  <c r="BW39" i="47"/>
  <c r="BD39" i="47"/>
  <c r="BP39" i="47"/>
  <c r="BQ39" i="47"/>
  <c r="BJ39" i="47"/>
  <c r="BO39" i="47"/>
  <c r="BY39" i="47"/>
  <c r="BF39" i="47"/>
  <c r="BS39" i="47"/>
  <c r="BN39" i="47"/>
  <c r="BV39" i="47"/>
  <c r="BG39" i="47"/>
  <c r="BM39" i="47"/>
  <c r="BT39" i="47"/>
  <c r="BH39" i="47"/>
  <c r="BR39" i="47"/>
  <c r="BE39" i="47"/>
  <c r="BK39" i="47"/>
  <c r="BX39" i="47"/>
  <c r="BU39" i="47"/>
  <c r="BC39" i="47"/>
  <c r="CK39" i="47"/>
  <c r="CF39" i="47"/>
  <c r="CB39" i="47"/>
  <c r="CH39" i="47"/>
  <c r="CG39" i="47"/>
  <c r="BZ39" i="47"/>
  <c r="CE39" i="47"/>
  <c r="CI39" i="47"/>
  <c r="CC39" i="47"/>
  <c r="CD39" i="47"/>
  <c r="CJ39" i="47"/>
  <c r="CA39" i="47"/>
  <c r="CN39" i="47"/>
  <c r="CV39" i="47"/>
  <c r="CR39" i="47"/>
  <c r="CQ39" i="47"/>
  <c r="CM39" i="47"/>
  <c r="CL39" i="47"/>
  <c r="CP39" i="47"/>
  <c r="CT39" i="47"/>
  <c r="CS39" i="47"/>
  <c r="CU39" i="47"/>
  <c r="CW39" i="47"/>
  <c r="CO39" i="47"/>
  <c r="DC39" i="47"/>
  <c r="DG39" i="47"/>
  <c r="DI39" i="47"/>
  <c r="DD39" i="47"/>
  <c r="CX39" i="47"/>
  <c r="DA39" i="47"/>
  <c r="DH39" i="47"/>
  <c r="CY39" i="47"/>
  <c r="DE39" i="47"/>
  <c r="DB39" i="47"/>
  <c r="DF39" i="47"/>
  <c r="CZ39" i="47"/>
  <c r="DT39" i="47"/>
  <c r="DP39" i="47"/>
  <c r="DL39" i="47"/>
  <c r="DS39" i="47"/>
  <c r="DK39" i="47"/>
  <c r="DR39" i="47"/>
  <c r="DM39" i="47"/>
  <c r="DN39" i="47"/>
  <c r="DO39" i="47"/>
  <c r="DJ39" i="47"/>
  <c r="DQ39" i="47"/>
  <c r="DU39" i="47"/>
  <c r="AH35" i="47"/>
  <c r="S35" i="47"/>
  <c r="X44" i="47"/>
  <c r="O15" i="44"/>
  <c r="O16" i="44"/>
  <c r="AB38" i="47"/>
  <c r="AH38" i="47"/>
  <c r="AN30" i="47"/>
  <c r="T30" i="47"/>
  <c r="S30" i="47"/>
  <c r="AJ36" i="47"/>
  <c r="U36" i="47"/>
  <c r="X36" i="47"/>
  <c r="AC36" i="47"/>
  <c r="V36" i="47"/>
  <c r="Z36" i="47"/>
  <c r="W36" i="47"/>
  <c r="S36" i="47"/>
  <c r="AB36" i="47"/>
  <c r="AA36" i="47"/>
  <c r="T36" i="47"/>
  <c r="Y36" i="47"/>
  <c r="AD36" i="47"/>
  <c r="L15" i="44"/>
  <c r="L16" i="44"/>
  <c r="AX18" i="47"/>
  <c r="AQ18" i="47"/>
  <c r="Q17" i="24"/>
  <c r="Q8" i="24" s="1"/>
  <c r="R37" i="1" s="1"/>
  <c r="Q7" i="24"/>
  <c r="E39" i="1"/>
  <c r="E41" i="1" s="1"/>
  <c r="E17" i="1"/>
  <c r="Q18" i="24"/>
  <c r="R15" i="24" s="1"/>
  <c r="P28" i="44"/>
  <c r="M28" i="44"/>
  <c r="K28" i="44"/>
  <c r="O28" i="44"/>
  <c r="L28" i="44"/>
  <c r="S15" i="72"/>
  <c r="S5" i="44" s="1"/>
  <c r="AE7" i="72"/>
  <c r="AQ8" i="72" s="1"/>
  <c r="AR30" i="47"/>
  <c r="BX114" i="72"/>
  <c r="CJ115" i="72" s="1"/>
  <c r="CV116" i="72" s="1"/>
  <c r="DH117" i="72" s="1"/>
  <c r="DT118" i="72" s="1"/>
  <c r="BO114" i="72"/>
  <c r="CA115" i="72" s="1"/>
  <c r="CM116" i="72" s="1"/>
  <c r="CY117" i="72" s="1"/>
  <c r="DK118" i="72" s="1"/>
  <c r="BW114" i="72"/>
  <c r="CI115" i="72" s="1"/>
  <c r="CU116" i="72" s="1"/>
  <c r="DG117" i="72" s="1"/>
  <c r="DS118" i="72" s="1"/>
  <c r="E16" i="24"/>
  <c r="E7" i="24" s="1"/>
  <c r="P41" i="1"/>
  <c r="AT36" i="47"/>
  <c r="X121" i="72"/>
  <c r="D64" i="74"/>
  <c r="D65" i="74" s="1"/>
  <c r="E61" i="74" s="1"/>
  <c r="E62" i="74" s="1"/>
  <c r="E63" i="74" s="1"/>
  <c r="E55" i="74" s="1"/>
  <c r="E6" i="62"/>
  <c r="D41" i="1"/>
  <c r="AN44" i="47"/>
  <c r="AM36" i="47"/>
  <c r="BA36" i="47"/>
  <c r="AM24" i="47"/>
  <c r="AK44" i="47"/>
  <c r="AZ36" i="47"/>
  <c r="AR36" i="47"/>
  <c r="AE36" i="47"/>
  <c r="AG36" i="47"/>
  <c r="P13" i="69"/>
  <c r="R15" i="69"/>
  <c r="S15" i="69" s="1"/>
  <c r="S13" i="69"/>
  <c r="D71" i="74"/>
  <c r="R16" i="24"/>
  <c r="H38" i="22"/>
  <c r="H48" i="22"/>
  <c r="H33" i="22"/>
  <c r="H41" i="22"/>
  <c r="H60" i="22"/>
  <c r="H42" i="22"/>
  <c r="H50" i="22"/>
  <c r="H35" i="22"/>
  <c r="H49" i="22"/>
  <c r="H57" i="22"/>
  <c r="H54" i="22"/>
  <c r="H34" i="22"/>
  <c r="H55" i="22"/>
  <c r="H56" i="22"/>
  <c r="H36" i="22"/>
  <c r="H58" i="22"/>
  <c r="H40" i="22"/>
  <c r="H39" i="22"/>
  <c r="H46" i="22"/>
  <c r="I19" i="22"/>
  <c r="I31" i="22" s="1"/>
  <c r="H59" i="22"/>
  <c r="H53" i="22"/>
  <c r="H52" i="22"/>
  <c r="H51" i="22"/>
  <c r="H45" i="22"/>
  <c r="H43" i="22"/>
  <c r="H47" i="22"/>
  <c r="H44" i="22"/>
  <c r="H37" i="22"/>
  <c r="AB40" i="47"/>
  <c r="AL34" i="47"/>
  <c r="BA34" i="47"/>
  <c r="AT34" i="47"/>
  <c r="AP44" i="47"/>
  <c r="AR17" i="47"/>
  <c r="AS17" i="47"/>
  <c r="AM40" i="47"/>
  <c r="AP30" i="47"/>
  <c r="BA30" i="47"/>
  <c r="T40" i="47"/>
  <c r="AR16" i="47"/>
  <c r="AS16" i="47"/>
  <c r="AR15" i="47"/>
  <c r="AS15" i="47"/>
  <c r="BA35" i="47"/>
  <c r="X40" i="47"/>
  <c r="AS18" i="47"/>
  <c r="AR18" i="47"/>
  <c r="S18" i="69"/>
  <c r="R20" i="69"/>
  <c r="P18" i="69"/>
  <c r="AG36" i="60"/>
  <c r="AG42" i="60"/>
  <c r="N28" i="44"/>
  <c r="AN36" i="60"/>
  <c r="AN42" i="60"/>
  <c r="U36" i="60"/>
  <c r="U42" i="60"/>
  <c r="P16" i="69"/>
  <c r="Q20" i="69"/>
  <c r="D59" i="74"/>
  <c r="D67" i="74"/>
  <c r="V95" i="72" s="1"/>
  <c r="AH96" i="72" s="1"/>
  <c r="AT97" i="72" s="1"/>
  <c r="BF98" i="72" s="1"/>
  <c r="BR99" i="72" s="1"/>
  <c r="AB10" i="58"/>
  <c r="AC40" i="1" s="1"/>
  <c r="S8" i="69"/>
  <c r="P8" i="69"/>
  <c r="I28" i="22"/>
  <c r="G28" i="22"/>
  <c r="H27" i="22"/>
  <c r="I27" i="22"/>
  <c r="H28" i="22"/>
  <c r="I36" i="22"/>
  <c r="I33" i="22"/>
  <c r="I21" i="22"/>
  <c r="I35" i="22"/>
  <c r="I32" i="22"/>
  <c r="G21" i="22"/>
  <c r="F21" i="22"/>
  <c r="I29" i="22"/>
  <c r="I30" i="22"/>
  <c r="H29" i="22"/>
  <c r="S14" i="69"/>
  <c r="P14" i="69"/>
  <c r="P7" i="69"/>
  <c r="R9" i="69"/>
  <c r="P6" i="69"/>
  <c r="P5" i="69"/>
  <c r="Q9" i="69"/>
  <c r="S5" i="69"/>
  <c r="I34" i="22"/>
  <c r="F24" i="22"/>
  <c r="AH40" i="47"/>
  <c r="AL40" i="47"/>
  <c r="AT40" i="47"/>
  <c r="AX40" i="47"/>
  <c r="AA40" i="47"/>
  <c r="AP40" i="47"/>
  <c r="S40" i="47"/>
  <c r="AD40" i="47"/>
  <c r="V40" i="47"/>
  <c r="AZ40" i="47"/>
  <c r="R40" i="47"/>
  <c r="W40" i="47"/>
  <c r="AE40" i="47"/>
  <c r="AF40" i="47"/>
  <c r="Z40" i="47"/>
  <c r="AR40" i="47"/>
  <c r="AT43" i="47"/>
  <c r="BA40" i="47"/>
  <c r="AC40" i="47"/>
  <c r="Y40" i="47"/>
  <c r="U40" i="47"/>
  <c r="AG40" i="47"/>
  <c r="AJ40" i="47"/>
  <c r="AN40" i="47"/>
  <c r="Y44" i="47"/>
  <c r="U44" i="47"/>
  <c r="AR44" i="47"/>
  <c r="AD44" i="47"/>
  <c r="S44" i="47"/>
  <c r="AI44" i="47"/>
  <c r="AA44" i="47"/>
  <c r="AB44" i="47"/>
  <c r="AO44" i="47"/>
  <c r="T44" i="47"/>
  <c r="V44" i="47"/>
  <c r="AX25" i="47"/>
  <c r="AF44" i="47"/>
  <c r="AG44" i="47"/>
  <c r="AE44" i="47"/>
  <c r="AM44" i="47"/>
  <c r="AC44" i="47"/>
  <c r="AJ44" i="47"/>
  <c r="AZ44" i="47"/>
  <c r="BA44" i="47"/>
  <c r="AT44" i="47"/>
  <c r="AX44" i="47"/>
  <c r="Z44" i="47"/>
  <c r="AH44" i="47"/>
  <c r="AL44" i="47"/>
  <c r="AI40" i="47"/>
  <c r="AO40" i="47"/>
  <c r="AX16" i="47"/>
  <c r="AX15" i="47"/>
  <c r="AT16" i="47"/>
  <c r="AX17" i="47"/>
  <c r="L12" i="1"/>
  <c r="Y30" i="47"/>
  <c r="W30" i="47"/>
  <c r="AI30" i="47"/>
  <c r="AM30" i="47"/>
  <c r="AC30" i="47"/>
  <c r="AD30" i="47"/>
  <c r="AG30" i="47"/>
  <c r="AO30" i="47"/>
  <c r="AT30" i="47"/>
  <c r="U30" i="47"/>
  <c r="AE30" i="47"/>
  <c r="V30" i="47"/>
  <c r="Z30" i="47"/>
  <c r="AF30" i="47"/>
  <c r="AH30" i="47"/>
  <c r="X30" i="47"/>
  <c r="AL30" i="47"/>
  <c r="AA30" i="47"/>
  <c r="AJ30" i="47"/>
  <c r="AB30" i="47"/>
  <c r="P12" i="1"/>
  <c r="S43" i="47"/>
  <c r="Y43" i="47"/>
  <c r="AA43" i="47"/>
  <c r="V43" i="47"/>
  <c r="T43" i="47"/>
  <c r="AH43" i="47"/>
  <c r="AF43" i="47"/>
  <c r="AJ43" i="47"/>
  <c r="AG43" i="47"/>
  <c r="W43" i="47"/>
  <c r="AL43" i="47"/>
  <c r="AI43" i="47"/>
  <c r="U43" i="47"/>
  <c r="X43" i="47"/>
  <c r="Z43" i="47"/>
  <c r="AR43" i="47"/>
  <c r="AZ43" i="47"/>
  <c r="AN43" i="47"/>
  <c r="BA43" i="47"/>
  <c r="AP43" i="47"/>
  <c r="AE43" i="47"/>
  <c r="AO43" i="47"/>
  <c r="AK43" i="47"/>
  <c r="AB43" i="47"/>
  <c r="AC43" i="47"/>
  <c r="AD43" i="47"/>
  <c r="AA35" i="47"/>
  <c r="Y47" i="60" s="1"/>
  <c r="AB35" i="47"/>
  <c r="X35" i="47"/>
  <c r="V47" i="60" s="1"/>
  <c r="AK35" i="47"/>
  <c r="AG35" i="47"/>
  <c r="AE35" i="47"/>
  <c r="U35" i="47"/>
  <c r="S47" i="60" s="1"/>
  <c r="Y35" i="47"/>
  <c r="W47" i="60" s="1"/>
  <c r="W35" i="47"/>
  <c r="U47" i="60" s="1"/>
  <c r="AJ35" i="47"/>
  <c r="AO35" i="47"/>
  <c r="Z35" i="47"/>
  <c r="X47" i="60" s="1"/>
  <c r="AR35" i="47"/>
  <c r="AP35" i="47"/>
  <c r="AC35" i="47"/>
  <c r="AF35" i="47"/>
  <c r="AD35" i="47"/>
  <c r="AI35" i="47"/>
  <c r="V35" i="47"/>
  <c r="T35" i="47"/>
  <c r="R47" i="60" s="1"/>
  <c r="AT35" i="47"/>
  <c r="AZ35" i="47"/>
  <c r="BA18" i="47"/>
  <c r="AT18" i="47"/>
  <c r="AZ18" i="47"/>
  <c r="AM35" i="47"/>
  <c r="AL35" i="47"/>
  <c r="AK30" i="47"/>
  <c r="M12" i="1"/>
  <c r="AZ17" i="47"/>
  <c r="BA17" i="47"/>
  <c r="AT17" i="47"/>
  <c r="AT15" i="47"/>
  <c r="AZ15" i="47"/>
  <c r="BA15" i="47"/>
  <c r="AE34" i="47"/>
  <c r="AI34" i="47"/>
  <c r="AJ34" i="47"/>
  <c r="AF34" i="47"/>
  <c r="AK34" i="47"/>
  <c r="AI47" i="60" s="1"/>
  <c r="AG34" i="47"/>
  <c r="AN34" i="47"/>
  <c r="AZ34" i="47"/>
  <c r="AP34" i="47"/>
  <c r="AO34" i="47"/>
  <c r="AR34" i="47"/>
  <c r="AH34" i="47"/>
  <c r="AM34" i="47"/>
  <c r="AN35" i="47"/>
  <c r="AZ30" i="47"/>
  <c r="AX30" i="47"/>
  <c r="AX43" i="47"/>
  <c r="AX35" i="47"/>
  <c r="BA16" i="47"/>
  <c r="AZ16" i="47"/>
  <c r="AI25" i="47"/>
  <c r="AK25" i="47"/>
  <c r="AN25" i="47"/>
  <c r="AG25" i="47"/>
  <c r="AE25" i="47"/>
  <c r="AT25" i="47"/>
  <c r="AM25" i="47"/>
  <c r="AJ25" i="47"/>
  <c r="AR25" i="47"/>
  <c r="AP25" i="47"/>
  <c r="AO25" i="47"/>
  <c r="AH25" i="47"/>
  <c r="AF25" i="47"/>
  <c r="BA25" i="47"/>
  <c r="AZ25" i="47"/>
  <c r="AI24" i="47"/>
  <c r="AF24" i="47"/>
  <c r="AH24" i="47"/>
  <c r="AJ24" i="47"/>
  <c r="BA24" i="47"/>
  <c r="AE24" i="47"/>
  <c r="AN24" i="47"/>
  <c r="AR24" i="47"/>
  <c r="AO24" i="47"/>
  <c r="AP24" i="47"/>
  <c r="AK24" i="47"/>
  <c r="AG24" i="47"/>
  <c r="AZ24" i="47"/>
  <c r="AT24" i="47"/>
  <c r="AQ40" i="47"/>
  <c r="AQ9" i="47"/>
  <c r="AQ44" i="47"/>
  <c r="AQ24" i="47"/>
  <c r="AQ30" i="47"/>
  <c r="AQ41" i="47"/>
  <c r="AQ35" i="47"/>
  <c r="AQ12" i="47"/>
  <c r="AQ10" i="47"/>
  <c r="AQ36" i="47"/>
  <c r="AQ23" i="47"/>
  <c r="AQ22" i="47"/>
  <c r="AQ38" i="47"/>
  <c r="AQ43" i="47"/>
  <c r="AQ34" i="47"/>
  <c r="AQ25" i="47"/>
  <c r="AD43" i="60"/>
  <c r="AD44" i="60"/>
  <c r="N12" i="1"/>
  <c r="AU14" i="47"/>
  <c r="AU18" i="47"/>
  <c r="AU41" i="47"/>
  <c r="AU16" i="47"/>
  <c r="AU10" i="47"/>
  <c r="AU35" i="47"/>
  <c r="AU43" i="47"/>
  <c r="AU15" i="47"/>
  <c r="AU40" i="47"/>
  <c r="AU22" i="47"/>
  <c r="AU25" i="47"/>
  <c r="AU30" i="47"/>
  <c r="AU12" i="47"/>
  <c r="AU34" i="47"/>
  <c r="AU24" i="47"/>
  <c r="AU9" i="47"/>
  <c r="AU44" i="47"/>
  <c r="AU17" i="47"/>
  <c r="AU23" i="47"/>
  <c r="AU38" i="47"/>
  <c r="AU36" i="47"/>
  <c r="AB44" i="60"/>
  <c r="AB43" i="60"/>
  <c r="AM26" i="18"/>
  <c r="AM28" i="18"/>
  <c r="AM29" i="18"/>
  <c r="AM27" i="18"/>
  <c r="AM19" i="18"/>
  <c r="AM14" i="18"/>
  <c r="AM30" i="18"/>
  <c r="AM31" i="18"/>
  <c r="AM25" i="18"/>
  <c r="AM15" i="18"/>
  <c r="AM11" i="18"/>
  <c r="AM22" i="18"/>
  <c r="AM13" i="18"/>
  <c r="AM10" i="18"/>
  <c r="AM20" i="18"/>
  <c r="AM12" i="18"/>
  <c r="AM16" i="18"/>
  <c r="AM21" i="18"/>
  <c r="AM23" i="18"/>
  <c r="AI26" i="18"/>
  <c r="AI30" i="18"/>
  <c r="AI10" i="18"/>
  <c r="AI29" i="18"/>
  <c r="AI25" i="18"/>
  <c r="AI13" i="18"/>
  <c r="AI12" i="18"/>
  <c r="AI11" i="18"/>
  <c r="AI19" i="18"/>
  <c r="AI16" i="18"/>
  <c r="AI27" i="18"/>
  <c r="AI31" i="18"/>
  <c r="AI15" i="18"/>
  <c r="AI14" i="18"/>
  <c r="AI20" i="18"/>
  <c r="AI22" i="18"/>
  <c r="AI28" i="18"/>
  <c r="AI23" i="18"/>
  <c r="AI21" i="18"/>
  <c r="AF44" i="60"/>
  <c r="AF43" i="60"/>
  <c r="O12" i="1"/>
  <c r="K12" i="1"/>
  <c r="AY9" i="47"/>
  <c r="AY16" i="47"/>
  <c r="AY24" i="47"/>
  <c r="AY38" i="47"/>
  <c r="AY35" i="47"/>
  <c r="AY40" i="47"/>
  <c r="AY36" i="47"/>
  <c r="AY22" i="47"/>
  <c r="AY25" i="47"/>
  <c r="AY23" i="47"/>
  <c r="AY10" i="47"/>
  <c r="AY18" i="47"/>
  <c r="AY41" i="47"/>
  <c r="AY15" i="47"/>
  <c r="AY17" i="47"/>
  <c r="AY43" i="47"/>
  <c r="AY12" i="47"/>
  <c r="AY44" i="47"/>
  <c r="AY34" i="47"/>
  <c r="AY14" i="47"/>
  <c r="AY30" i="47"/>
  <c r="AW44" i="47"/>
  <c r="AW40" i="47"/>
  <c r="AW9" i="47"/>
  <c r="AW10" i="47"/>
  <c r="AW41" i="47"/>
  <c r="AW34" i="47"/>
  <c r="AW24" i="47"/>
  <c r="AW22" i="47"/>
  <c r="AW25" i="47"/>
  <c r="AW18" i="47"/>
  <c r="AW12" i="47"/>
  <c r="AW14" i="47"/>
  <c r="AW17" i="47"/>
  <c r="AW36" i="47"/>
  <c r="AW30" i="47"/>
  <c r="AW43" i="47"/>
  <c r="AW35" i="47"/>
  <c r="AW38" i="47"/>
  <c r="AW16" i="47"/>
  <c r="AW15" i="47"/>
  <c r="AW23" i="47"/>
  <c r="AJ43" i="60"/>
  <c r="AJ44" i="60"/>
  <c r="AD26" i="18"/>
  <c r="AD30" i="18"/>
  <c r="AD13" i="18"/>
  <c r="AD10" i="18"/>
  <c r="AD28" i="18"/>
  <c r="AD25" i="18"/>
  <c r="AD22" i="18"/>
  <c r="AD16" i="18"/>
  <c r="AD12" i="18"/>
  <c r="AD29" i="18"/>
  <c r="AD9" i="18"/>
  <c r="AD15" i="18"/>
  <c r="AD14" i="18"/>
  <c r="AD20" i="18"/>
  <c r="AD19" i="18"/>
  <c r="AD21" i="18"/>
  <c r="AD23" i="18"/>
  <c r="AD11" i="18"/>
  <c r="AD31" i="18"/>
  <c r="AD27" i="18"/>
  <c r="AU21" i="13"/>
  <c r="AU23" i="13" s="1"/>
  <c r="AT31" i="1" s="1"/>
  <c r="AT33" i="1" s="1"/>
  <c r="AS21" i="13"/>
  <c r="AS23" i="13" s="1"/>
  <c r="AR31" i="1" s="1"/>
  <c r="AR33" i="1" s="1"/>
  <c r="AQ8" i="18"/>
  <c r="AX8" i="18"/>
  <c r="AW21" i="13"/>
  <c r="AW23" i="13" s="1"/>
  <c r="AV31" i="1" s="1"/>
  <c r="AV33" i="1" s="1"/>
  <c r="AV21" i="13"/>
  <c r="AV23" i="13" s="1"/>
  <c r="AU31" i="1" s="1"/>
  <c r="AU33" i="1" s="1"/>
  <c r="AY21" i="13"/>
  <c r="AY23" i="13" s="1"/>
  <c r="AX31" i="1" s="1"/>
  <c r="AX33" i="1" s="1"/>
  <c r="AX21" i="13"/>
  <c r="AX23" i="13" s="1"/>
  <c r="AW31" i="1" s="1"/>
  <c r="AW33" i="1" s="1"/>
  <c r="AU8" i="18"/>
  <c r="AT8" i="18"/>
  <c r="AV8" i="18"/>
  <c r="AR8" i="18"/>
  <c r="AO21" i="13"/>
  <c r="AR21" i="13"/>
  <c r="AT21" i="13"/>
  <c r="AT23" i="13" s="1"/>
  <c r="AS31" i="1" s="1"/>
  <c r="AS33" i="1" s="1"/>
  <c r="AY8" i="18"/>
  <c r="AP8" i="18"/>
  <c r="AO8" i="18"/>
  <c r="AP21" i="13"/>
  <c r="AS8" i="18"/>
  <c r="AN8" i="18"/>
  <c r="AW8" i="18"/>
  <c r="AZ21" i="13"/>
  <c r="AZ23" i="13" s="1"/>
  <c r="AY31" i="1" s="1"/>
  <c r="AY33" i="1" s="1"/>
  <c r="AQ21" i="13"/>
  <c r="AV36" i="47"/>
  <c r="AV41" i="47"/>
  <c r="AV14" i="47"/>
  <c r="AV18" i="47"/>
  <c r="AV43" i="47"/>
  <c r="AV9" i="47"/>
  <c r="AV16" i="47"/>
  <c r="AV38" i="47"/>
  <c r="AV30" i="47"/>
  <c r="AV17" i="47"/>
  <c r="AV15" i="47"/>
  <c r="AV44" i="47"/>
  <c r="AV12" i="47"/>
  <c r="AV23" i="47"/>
  <c r="AV24" i="47"/>
  <c r="AV22" i="47"/>
  <c r="AV25" i="47"/>
  <c r="AV10" i="47"/>
  <c r="AV35" i="47"/>
  <c r="AV34" i="47"/>
  <c r="AV40" i="47"/>
  <c r="AE44" i="60"/>
  <c r="AE43" i="60"/>
  <c r="AC43" i="60"/>
  <c r="AC44" i="60"/>
  <c r="AG16" i="18"/>
  <c r="AG12" i="18"/>
  <c r="AG31" i="18"/>
  <c r="AG11" i="18"/>
  <c r="AG13" i="18"/>
  <c r="AG14" i="18"/>
  <c r="AG30" i="18"/>
  <c r="AG28" i="18"/>
  <c r="AG26" i="18"/>
  <c r="AG15" i="18"/>
  <c r="AG20" i="18"/>
  <c r="AG10" i="18"/>
  <c r="AG23" i="18"/>
  <c r="AG21" i="18"/>
  <c r="AG27" i="18"/>
  <c r="AG19" i="18"/>
  <c r="AG25" i="18"/>
  <c r="AG29" i="18"/>
  <c r="AG22" i="18"/>
  <c r="AS24" i="47"/>
  <c r="AS36" i="47"/>
  <c r="AS25" i="47"/>
  <c r="AS30" i="47"/>
  <c r="AS35" i="47"/>
  <c r="AS40" i="47"/>
  <c r="AS23" i="47"/>
  <c r="AS43" i="47"/>
  <c r="AS9" i="47"/>
  <c r="AS34" i="47"/>
  <c r="AS44" i="47"/>
  <c r="AS41" i="47"/>
  <c r="AS38" i="47"/>
  <c r="AS12" i="47"/>
  <c r="AS10" i="47"/>
  <c r="AS22" i="47"/>
  <c r="AM43" i="60"/>
  <c r="AM44" i="60"/>
  <c r="AF30" i="18"/>
  <c r="AF10" i="18"/>
  <c r="AF25" i="18"/>
  <c r="AF29" i="18"/>
  <c r="AF28" i="18"/>
  <c r="AF16" i="18"/>
  <c r="AF13" i="18"/>
  <c r="AF12" i="18"/>
  <c r="AF14" i="18"/>
  <c r="AF21" i="18"/>
  <c r="AF27" i="18"/>
  <c r="AF19" i="18"/>
  <c r="AF22" i="18"/>
  <c r="AF11" i="18"/>
  <c r="AF23" i="18"/>
  <c r="AF31" i="18"/>
  <c r="AF15" i="18"/>
  <c r="AF26" i="18"/>
  <c r="AF20" i="18"/>
  <c r="AG44" i="60"/>
  <c r="AG43" i="60"/>
  <c r="E35" i="74"/>
  <c r="J30" i="74"/>
  <c r="P30" i="74"/>
  <c r="E30" i="74"/>
  <c r="E32" i="74"/>
  <c r="G30" i="74"/>
  <c r="I30" i="74"/>
  <c r="M30" i="74"/>
  <c r="O30" i="74"/>
  <c r="R30" i="74"/>
  <c r="H30" i="74"/>
  <c r="L30" i="74"/>
  <c r="Q30" i="74"/>
  <c r="F30" i="74"/>
  <c r="N30" i="74"/>
  <c r="K30" i="74"/>
  <c r="AA47" i="60" l="1"/>
  <c r="I22" i="22"/>
  <c r="AK47" i="60"/>
  <c r="AN47" i="60"/>
  <c r="AC47" i="60"/>
  <c r="AG47" i="60"/>
  <c r="AO47" i="60"/>
  <c r="AX47" i="60"/>
  <c r="F22" i="22"/>
  <c r="H22" i="22"/>
  <c r="AV47" i="60"/>
  <c r="AB47" i="60"/>
  <c r="H24" i="22"/>
  <c r="AF47" i="60"/>
  <c r="T47" i="60"/>
  <c r="AP47" i="60"/>
  <c r="AH47" i="60"/>
  <c r="Z47" i="60"/>
  <c r="C29" i="60"/>
  <c r="AD29" i="60" s="1"/>
  <c r="I24" i="22"/>
  <c r="R24" i="18"/>
  <c r="AW47" i="60"/>
  <c r="AD47" i="60"/>
  <c r="AS47" i="60"/>
  <c r="AU47" i="60"/>
  <c r="AJ47" i="60"/>
  <c r="AQ47" i="60"/>
  <c r="AL47" i="60"/>
  <c r="AM47" i="60"/>
  <c r="AE47" i="60"/>
  <c r="AI24" i="18"/>
  <c r="AR47" i="60"/>
  <c r="AT47" i="60"/>
  <c r="AY47" i="60"/>
  <c r="F6" i="62"/>
  <c r="F19" i="62" s="1"/>
  <c r="E18" i="24"/>
  <c r="F11" i="24" s="1"/>
  <c r="F16" i="24" s="1"/>
  <c r="F7" i="24" s="1"/>
  <c r="R39" i="1"/>
  <c r="R17" i="1"/>
  <c r="R41" i="1"/>
  <c r="AE15" i="72"/>
  <c r="AE5" i="44" s="1"/>
  <c r="BC9" i="72"/>
  <c r="AQ15" i="72"/>
  <c r="AQ5" i="44" s="1"/>
  <c r="R36" i="60"/>
  <c r="R42" i="60"/>
  <c r="CD100" i="72"/>
  <c r="CP101" i="72" s="1"/>
  <c r="DB102" i="72" s="1"/>
  <c r="DN103" i="72" s="1"/>
  <c r="BR105" i="72"/>
  <c r="E57" i="74"/>
  <c r="E64" i="74" s="1"/>
  <c r="I49" i="22"/>
  <c r="I48" i="22"/>
  <c r="I43" i="22"/>
  <c r="I56" i="22"/>
  <c r="I42" i="22"/>
  <c r="I45" i="22"/>
  <c r="I51" i="22"/>
  <c r="I60" i="22"/>
  <c r="I55" i="22"/>
  <c r="I54" i="22"/>
  <c r="J19" i="22"/>
  <c r="I52" i="22"/>
  <c r="I57" i="22"/>
  <c r="I37" i="22"/>
  <c r="I38" i="22"/>
  <c r="I58" i="22"/>
  <c r="I39" i="22"/>
  <c r="I40" i="22"/>
  <c r="I50" i="22"/>
  <c r="I53" i="22"/>
  <c r="I41" i="22"/>
  <c r="I47" i="22"/>
  <c r="I46" i="22"/>
  <c r="I44" i="22"/>
  <c r="I59" i="22"/>
  <c r="R17" i="24"/>
  <c r="R7" i="24"/>
  <c r="S20" i="69"/>
  <c r="F39" i="1"/>
  <c r="F17" i="1"/>
  <c r="D69" i="74"/>
  <c r="V18" i="72" s="1"/>
  <c r="U24" i="18"/>
  <c r="V24" i="18"/>
  <c r="AN24" i="18"/>
  <c r="AK24" i="18"/>
  <c r="T24" i="18"/>
  <c r="W36" i="60"/>
  <c r="W42" i="60"/>
  <c r="C28" i="60"/>
  <c r="S9" i="69"/>
  <c r="E51" i="74"/>
  <c r="E52" i="74" s="1"/>
  <c r="S42" i="60"/>
  <c r="S36" i="60"/>
  <c r="AC24" i="18"/>
  <c r="AB12" i="58"/>
  <c r="AC9" i="58" s="1"/>
  <c r="AL24" i="18"/>
  <c r="AR24" i="18"/>
  <c r="AX24" i="18"/>
  <c r="S24" i="18"/>
  <c r="AF24" i="18"/>
  <c r="X24" i="18"/>
  <c r="AJ24" i="18"/>
  <c r="AD24" i="18"/>
  <c r="Z24" i="18"/>
  <c r="AG24" i="18"/>
  <c r="AH24" i="18"/>
  <c r="Y24" i="18"/>
  <c r="T121" i="72"/>
  <c r="AF29" i="60"/>
  <c r="AV114" i="72"/>
  <c r="AJ121" i="72"/>
  <c r="AH29" i="60"/>
  <c r="AG29" i="60"/>
  <c r="AE29" i="60"/>
  <c r="AL29" i="60"/>
  <c r="AB24" i="18"/>
  <c r="W24" i="18"/>
  <c r="AM24" i="18"/>
  <c r="AY24" i="18"/>
  <c r="AP24" i="18"/>
  <c r="AA24" i="18"/>
  <c r="AE24" i="18"/>
  <c r="Q12" i="1"/>
  <c r="R47" i="47"/>
  <c r="P47" i="47"/>
  <c r="O47" i="47"/>
  <c r="N47" i="47"/>
  <c r="AO24" i="18"/>
  <c r="AV24" i="18"/>
  <c r="Q47" i="47"/>
  <c r="K11" i="1"/>
  <c r="K26" i="1" s="1"/>
  <c r="K28" i="1" s="1"/>
  <c r="M11" i="1"/>
  <c r="M13" i="1" s="1"/>
  <c r="L11" i="1"/>
  <c r="L13" i="1" s="1"/>
  <c r="N11" i="1"/>
  <c r="N13" i="1" s="1"/>
  <c r="M47" i="47"/>
  <c r="AQ24" i="18"/>
  <c r="AT44" i="60"/>
  <c r="AT43" i="60"/>
  <c r="AT17" i="60"/>
  <c r="AT16" i="60"/>
  <c r="AT12" i="60"/>
  <c r="BM40" i="47"/>
  <c r="BM16" i="47"/>
  <c r="BM12" i="47"/>
  <c r="BM24" i="47"/>
  <c r="BM9" i="47"/>
  <c r="BM36" i="47"/>
  <c r="BM25" i="47"/>
  <c r="BM17" i="47"/>
  <c r="BM22" i="47"/>
  <c r="BM14" i="47"/>
  <c r="BM35" i="47"/>
  <c r="BM30" i="47"/>
  <c r="BM44" i="47"/>
  <c r="BM10" i="47"/>
  <c r="BM23" i="47"/>
  <c r="BM41" i="47"/>
  <c r="BM18" i="47"/>
  <c r="BM38" i="47"/>
  <c r="BM43" i="47"/>
  <c r="BM34" i="47"/>
  <c r="BM15" i="47"/>
  <c r="BL38" i="47"/>
  <c r="BL24" i="47"/>
  <c r="BL12" i="47"/>
  <c r="BL34" i="47"/>
  <c r="BL22" i="47"/>
  <c r="BL40" i="47"/>
  <c r="BL25" i="47"/>
  <c r="BL14" i="47"/>
  <c r="BL17" i="47"/>
  <c r="BL23" i="47"/>
  <c r="BL15" i="47"/>
  <c r="BL9" i="47"/>
  <c r="BL41" i="47"/>
  <c r="BL43" i="47"/>
  <c r="BL16" i="47"/>
  <c r="BL30" i="47"/>
  <c r="BL36" i="47"/>
  <c r="BL10" i="47"/>
  <c r="BL35" i="47"/>
  <c r="BL44" i="47"/>
  <c r="BL18" i="47"/>
  <c r="AN44" i="60"/>
  <c r="AN43" i="60"/>
  <c r="AN29" i="60"/>
  <c r="AP16" i="18"/>
  <c r="AP19" i="18"/>
  <c r="AP23" i="18"/>
  <c r="AP9" i="18"/>
  <c r="AP10" i="18"/>
  <c r="AP29" i="18"/>
  <c r="AP30" i="18"/>
  <c r="AP14" i="18"/>
  <c r="AP27" i="18"/>
  <c r="AP20" i="18"/>
  <c r="AP11" i="18"/>
  <c r="AP22" i="18"/>
  <c r="AP21" i="18"/>
  <c r="AP26" i="18"/>
  <c r="AP15" i="18"/>
  <c r="AP12" i="18"/>
  <c r="AP25" i="18"/>
  <c r="AP28" i="18"/>
  <c r="AP13" i="18"/>
  <c r="AP31" i="18"/>
  <c r="AU29" i="60"/>
  <c r="AU17" i="60"/>
  <c r="AU43" i="60"/>
  <c r="AU16" i="60"/>
  <c r="AU12" i="60"/>
  <c r="AU44" i="60"/>
  <c r="AP43" i="60"/>
  <c r="AP12" i="60"/>
  <c r="AP29" i="60"/>
  <c r="AP17" i="60"/>
  <c r="AP19" i="60"/>
  <c r="AP44" i="60"/>
  <c r="AP16" i="60"/>
  <c r="BG40" i="47"/>
  <c r="BG35" i="47"/>
  <c r="BG36" i="47"/>
  <c r="BG41" i="47"/>
  <c r="BG17" i="47"/>
  <c r="BG25" i="47"/>
  <c r="BG30" i="47"/>
  <c r="BG15" i="47"/>
  <c r="BG24" i="47"/>
  <c r="BG23" i="47"/>
  <c r="BG18" i="47"/>
  <c r="BG43" i="47"/>
  <c r="BG14" i="47"/>
  <c r="BG44" i="47"/>
  <c r="BG34" i="47"/>
  <c r="BE47" i="60" s="1"/>
  <c r="BG22" i="47"/>
  <c r="BG12" i="47"/>
  <c r="BG10" i="47"/>
  <c r="BG9" i="47"/>
  <c r="BG38" i="47"/>
  <c r="BG16" i="47"/>
  <c r="AW24" i="18"/>
  <c r="AW14" i="18"/>
  <c r="AW20" i="18"/>
  <c r="AW17" i="18"/>
  <c r="AW10" i="18"/>
  <c r="AW22" i="18"/>
  <c r="AW23" i="18"/>
  <c r="AW29" i="18"/>
  <c r="AW30" i="18"/>
  <c r="AW19" i="18"/>
  <c r="AW31" i="18"/>
  <c r="AW28" i="18"/>
  <c r="AW26" i="18"/>
  <c r="AW15" i="18"/>
  <c r="AW25" i="18"/>
  <c r="AW13" i="18"/>
  <c r="AW12" i="18"/>
  <c r="AW16" i="18"/>
  <c r="AW21" i="18"/>
  <c r="AW11" i="18"/>
  <c r="AW27" i="18"/>
  <c r="BJ40" i="47"/>
  <c r="BJ14" i="47"/>
  <c r="BJ36" i="47"/>
  <c r="BJ23" i="47"/>
  <c r="BJ25" i="47"/>
  <c r="BJ43" i="47"/>
  <c r="BJ34" i="47"/>
  <c r="BJ30" i="47"/>
  <c r="BJ44" i="47"/>
  <c r="BJ41" i="47"/>
  <c r="BJ15" i="47"/>
  <c r="BJ9" i="47"/>
  <c r="BJ10" i="47"/>
  <c r="BJ16" i="47"/>
  <c r="BJ35" i="47"/>
  <c r="BJ22" i="47"/>
  <c r="BJ24" i="47"/>
  <c r="BJ12" i="47"/>
  <c r="BJ18" i="47"/>
  <c r="BJ38" i="47"/>
  <c r="BJ17" i="47"/>
  <c r="AY44" i="60"/>
  <c r="AY16" i="60"/>
  <c r="AY43" i="60"/>
  <c r="AY17" i="60"/>
  <c r="AY29" i="60"/>
  <c r="AY12" i="60"/>
  <c r="AS16" i="60"/>
  <c r="AS17" i="60"/>
  <c r="AS44" i="60"/>
  <c r="AS12" i="60"/>
  <c r="AS43" i="60"/>
  <c r="AX16" i="60"/>
  <c r="AX17" i="60"/>
  <c r="AX12" i="60"/>
  <c r="AX44" i="60"/>
  <c r="AX43" i="60"/>
  <c r="AO44" i="60"/>
  <c r="AO29" i="60"/>
  <c r="AO43" i="60"/>
  <c r="AR22" i="18"/>
  <c r="AR20" i="18"/>
  <c r="AR23" i="18"/>
  <c r="AR29" i="18"/>
  <c r="AR16" i="18"/>
  <c r="AR27" i="18"/>
  <c r="AR12" i="18"/>
  <c r="AR13" i="18"/>
  <c r="AR30" i="18"/>
  <c r="AR28" i="18"/>
  <c r="AR21" i="18"/>
  <c r="AR31" i="18"/>
  <c r="AR15" i="18"/>
  <c r="AR26" i="18"/>
  <c r="AR19" i="18"/>
  <c r="AR25" i="18"/>
  <c r="AR11" i="18"/>
  <c r="AR10" i="18"/>
  <c r="AR14" i="18"/>
  <c r="AU27" i="18"/>
  <c r="AU14" i="18"/>
  <c r="AU25" i="18"/>
  <c r="AU12" i="18"/>
  <c r="AU15" i="18"/>
  <c r="AU30" i="18"/>
  <c r="AU16" i="18"/>
  <c r="AU26" i="18"/>
  <c r="AU13" i="18"/>
  <c r="AU11" i="18"/>
  <c r="AU21" i="18"/>
  <c r="AU10" i="18"/>
  <c r="AU20" i="18"/>
  <c r="AU28" i="18"/>
  <c r="AU23" i="18"/>
  <c r="AU29" i="18"/>
  <c r="AU22" i="18"/>
  <c r="AU19" i="18"/>
  <c r="AU31" i="18"/>
  <c r="AW16" i="60"/>
  <c r="AW17" i="60"/>
  <c r="AW43" i="60"/>
  <c r="AW44" i="60"/>
  <c r="AW29" i="60"/>
  <c r="AW12" i="60"/>
  <c r="BD40" i="47"/>
  <c r="BD15" i="47"/>
  <c r="BD16" i="47"/>
  <c r="BD38" i="47"/>
  <c r="BD24" i="47"/>
  <c r="BD34" i="47"/>
  <c r="BD44" i="47"/>
  <c r="BD22" i="47"/>
  <c r="BD10" i="47"/>
  <c r="BD41" i="47"/>
  <c r="BD14" i="47"/>
  <c r="BD25" i="47"/>
  <c r="BD43" i="47"/>
  <c r="BD12" i="47"/>
  <c r="BD30" i="47"/>
  <c r="BD36" i="47"/>
  <c r="BD18" i="47"/>
  <c r="BD35" i="47"/>
  <c r="BD23" i="47"/>
  <c r="BD9" i="47"/>
  <c r="BD17" i="47"/>
  <c r="AX26" i="18"/>
  <c r="AX16" i="18"/>
  <c r="AX11" i="18"/>
  <c r="AX28" i="18"/>
  <c r="AX15" i="18"/>
  <c r="AX20" i="18"/>
  <c r="AX14" i="18"/>
  <c r="AX19" i="18"/>
  <c r="AX13" i="18"/>
  <c r="AX25" i="18"/>
  <c r="AX27" i="18"/>
  <c r="AX10" i="18"/>
  <c r="AX21" i="18"/>
  <c r="AX22" i="18"/>
  <c r="AX23" i="18"/>
  <c r="AX31" i="18"/>
  <c r="AX30" i="18"/>
  <c r="AX29" i="18"/>
  <c r="AX12" i="18"/>
  <c r="AQ17" i="60"/>
  <c r="AQ12" i="60"/>
  <c r="AQ44" i="60"/>
  <c r="AQ16" i="60"/>
  <c r="AQ43" i="60"/>
  <c r="BH21" i="13"/>
  <c r="BH23" i="13" s="1"/>
  <c r="BG31" i="1" s="1"/>
  <c r="BG33" i="1" s="1"/>
  <c r="BF21" i="13"/>
  <c r="BF23" i="13" s="1"/>
  <c r="BE31" i="1" s="1"/>
  <c r="BE33" i="1" s="1"/>
  <c r="BC21" i="13"/>
  <c r="BC23" i="13" s="1"/>
  <c r="BB31" i="1" s="1"/>
  <c r="BB33" i="1" s="1"/>
  <c r="BB21" i="13"/>
  <c r="BB23" i="13" s="1"/>
  <c r="BA31" i="1" s="1"/>
  <c r="BA33" i="1" s="1"/>
  <c r="BK8" i="18"/>
  <c r="BJ8" i="18"/>
  <c r="BI21" i="13"/>
  <c r="BI23" i="13" s="1"/>
  <c r="BH31" i="1" s="1"/>
  <c r="BH33" i="1" s="1"/>
  <c r="BG8" i="18"/>
  <c r="BF8" i="18"/>
  <c r="BD8" i="18"/>
  <c r="BI8" i="18"/>
  <c r="BK21" i="13"/>
  <c r="BK23" i="13" s="1"/>
  <c r="BJ31" i="1" s="1"/>
  <c r="BJ33" i="1" s="1"/>
  <c r="BH8" i="18"/>
  <c r="BG21" i="13"/>
  <c r="BG23" i="13" s="1"/>
  <c r="BF31" i="1" s="1"/>
  <c r="BF33" i="1" s="1"/>
  <c r="AZ8" i="18"/>
  <c r="BL21" i="13"/>
  <c r="BL23" i="13" s="1"/>
  <c r="BK31" i="1" s="1"/>
  <c r="BK33" i="1" s="1"/>
  <c r="BC8" i="18"/>
  <c r="BE8" i="18"/>
  <c r="BD21" i="13"/>
  <c r="BD23" i="13" s="1"/>
  <c r="BC31" i="1" s="1"/>
  <c r="BC33" i="1" s="1"/>
  <c r="BE21" i="13"/>
  <c r="BE23" i="13" s="1"/>
  <c r="BD31" i="1" s="1"/>
  <c r="BD33" i="1" s="1"/>
  <c r="BA21" i="13"/>
  <c r="BA23" i="13" s="1"/>
  <c r="AZ31" i="1" s="1"/>
  <c r="BA8" i="18"/>
  <c r="BB8" i="18"/>
  <c r="BJ21" i="13"/>
  <c r="BJ23" i="13" s="1"/>
  <c r="BI31" i="1" s="1"/>
  <c r="BI33" i="1" s="1"/>
  <c r="BI40" i="47"/>
  <c r="BI17" i="47"/>
  <c r="BI23" i="47"/>
  <c r="BI16" i="47"/>
  <c r="BI43" i="47"/>
  <c r="BI36" i="47"/>
  <c r="BI18" i="47"/>
  <c r="BI34" i="47"/>
  <c r="BI15" i="47"/>
  <c r="BI14" i="47"/>
  <c r="BI25" i="47"/>
  <c r="BI38" i="47"/>
  <c r="BI30" i="47"/>
  <c r="BI44" i="47"/>
  <c r="BI10" i="47"/>
  <c r="BI12" i="47"/>
  <c r="BI22" i="47"/>
  <c r="BI9" i="47"/>
  <c r="BI35" i="47"/>
  <c r="BI41" i="47"/>
  <c r="BI24" i="47"/>
  <c r="AT24" i="18"/>
  <c r="BH10" i="47"/>
  <c r="BH38" i="47"/>
  <c r="BH44" i="47"/>
  <c r="BH35" i="47"/>
  <c r="BH24" i="47"/>
  <c r="BH40" i="47"/>
  <c r="BH18" i="47"/>
  <c r="BH12" i="47"/>
  <c r="BH36" i="47"/>
  <c r="BH22" i="47"/>
  <c r="BH23" i="47"/>
  <c r="BH16" i="47"/>
  <c r="BH14" i="47"/>
  <c r="BH34" i="47"/>
  <c r="BH15" i="47"/>
  <c r="BH30" i="47"/>
  <c r="BH25" i="47"/>
  <c r="BH41" i="47"/>
  <c r="BH9" i="47"/>
  <c r="BH43" i="47"/>
  <c r="BH17" i="47"/>
  <c r="BE40" i="47"/>
  <c r="BE9" i="47"/>
  <c r="BE34" i="47"/>
  <c r="BE23" i="47"/>
  <c r="BE36" i="47"/>
  <c r="BE35" i="47"/>
  <c r="BE38" i="47"/>
  <c r="BE30" i="47"/>
  <c r="BE41" i="47"/>
  <c r="BE15" i="47"/>
  <c r="BE10" i="47"/>
  <c r="BE44" i="47"/>
  <c r="BE22" i="47"/>
  <c r="BE25" i="47"/>
  <c r="BE18" i="47"/>
  <c r="BE12" i="47"/>
  <c r="BE16" i="47"/>
  <c r="BE17" i="47"/>
  <c r="BE24" i="47"/>
  <c r="BE43" i="47"/>
  <c r="BE14" i="47"/>
  <c r="BF15" i="47"/>
  <c r="BF25" i="47"/>
  <c r="BF30" i="47"/>
  <c r="BF43" i="47"/>
  <c r="BF40" i="47"/>
  <c r="BF38" i="47"/>
  <c r="BF41" i="47"/>
  <c r="BF36" i="47"/>
  <c r="BF35" i="47"/>
  <c r="BF10" i="47"/>
  <c r="BF22" i="47"/>
  <c r="BF44" i="47"/>
  <c r="BF16" i="47"/>
  <c r="BF9" i="47"/>
  <c r="BF23" i="47"/>
  <c r="BF17" i="47"/>
  <c r="BF24" i="47"/>
  <c r="BF18" i="47"/>
  <c r="BF12" i="47"/>
  <c r="BF14" i="47"/>
  <c r="BF34" i="47"/>
  <c r="AY30" i="18"/>
  <c r="AY25" i="18"/>
  <c r="AY28" i="18"/>
  <c r="AY19" i="18"/>
  <c r="AY26" i="18"/>
  <c r="AY21" i="18"/>
  <c r="AY23" i="18"/>
  <c r="AY20" i="18"/>
  <c r="AY13" i="18"/>
  <c r="AY10" i="18"/>
  <c r="AY16" i="18"/>
  <c r="AY11" i="18"/>
  <c r="AY27" i="18"/>
  <c r="AY12" i="18"/>
  <c r="AY22" i="18"/>
  <c r="AY14" i="18"/>
  <c r="AY31" i="18"/>
  <c r="AY29" i="18"/>
  <c r="AY15" i="18"/>
  <c r="AR16" i="60"/>
  <c r="AR12" i="60"/>
  <c r="AR17" i="60"/>
  <c r="AR43" i="60"/>
  <c r="AR44" i="60"/>
  <c r="AV16" i="18"/>
  <c r="AV28" i="18"/>
  <c r="AV14" i="18"/>
  <c r="AV11" i="18"/>
  <c r="AV23" i="18"/>
  <c r="AV27" i="18"/>
  <c r="AV30" i="18"/>
  <c r="AV10" i="18"/>
  <c r="AV25" i="18"/>
  <c r="AV22" i="18"/>
  <c r="AV31" i="18"/>
  <c r="AV20" i="18"/>
  <c r="AV19" i="18"/>
  <c r="AV21" i="18"/>
  <c r="AV12" i="18"/>
  <c r="AV26" i="18"/>
  <c r="AV15" i="18"/>
  <c r="AV13" i="18"/>
  <c r="AV29" i="18"/>
  <c r="BC40" i="47"/>
  <c r="BC41" i="47"/>
  <c r="BC18" i="47"/>
  <c r="BC24" i="47"/>
  <c r="BC9" i="47"/>
  <c r="BC35" i="47"/>
  <c r="BC14" i="47"/>
  <c r="BC34" i="47"/>
  <c r="BC23" i="47"/>
  <c r="BC36" i="47"/>
  <c r="BC38" i="47"/>
  <c r="BC12" i="47"/>
  <c r="BC25" i="47"/>
  <c r="BC16" i="47"/>
  <c r="BC44" i="47"/>
  <c r="BC30" i="47"/>
  <c r="BC15" i="47"/>
  <c r="BC10" i="47"/>
  <c r="BC43" i="47"/>
  <c r="BC22" i="47"/>
  <c r="BC17" i="47"/>
  <c r="AV12" i="60"/>
  <c r="AV17" i="60"/>
  <c r="AV16" i="60"/>
  <c r="AV44" i="60"/>
  <c r="AV43" i="60"/>
  <c r="AU24" i="18"/>
  <c r="D10" i="20"/>
  <c r="AS26" i="18"/>
  <c r="AS13" i="18"/>
  <c r="AS19" i="18"/>
  <c r="AS10" i="18"/>
  <c r="AS31" i="18"/>
  <c r="AS30" i="18"/>
  <c r="AS14" i="18"/>
  <c r="AS21" i="18"/>
  <c r="AS20" i="18"/>
  <c r="AS15" i="18"/>
  <c r="AS11" i="18"/>
  <c r="AS27" i="18"/>
  <c r="AS12" i="18"/>
  <c r="AS23" i="18"/>
  <c r="AS28" i="18"/>
  <c r="AS16" i="18"/>
  <c r="AS22" i="18"/>
  <c r="AS25" i="18"/>
  <c r="AS29" i="18"/>
  <c r="AQ16" i="18"/>
  <c r="AQ30" i="18"/>
  <c r="AQ14" i="18"/>
  <c r="AQ19" i="18"/>
  <c r="AQ11" i="18"/>
  <c r="AQ25" i="18"/>
  <c r="AQ26" i="18"/>
  <c r="AQ31" i="18"/>
  <c r="AQ17" i="18"/>
  <c r="AQ29" i="18"/>
  <c r="AQ20" i="18"/>
  <c r="AQ15" i="18"/>
  <c r="AQ22" i="18"/>
  <c r="AQ21" i="18"/>
  <c r="AQ28" i="18"/>
  <c r="AQ13" i="18"/>
  <c r="AQ10" i="18"/>
  <c r="AQ12" i="18"/>
  <c r="AQ27" i="18"/>
  <c r="AQ23" i="18"/>
  <c r="AN30" i="18"/>
  <c r="AN16" i="18"/>
  <c r="AN26" i="18"/>
  <c r="AN23" i="18"/>
  <c r="AN12" i="18"/>
  <c r="AN10" i="18"/>
  <c r="AN29" i="18"/>
  <c r="AN20" i="18"/>
  <c r="AN27" i="18"/>
  <c r="AN11" i="18"/>
  <c r="AN21" i="18"/>
  <c r="AN19" i="18"/>
  <c r="AN17" i="18"/>
  <c r="AN15" i="18"/>
  <c r="AN22" i="18"/>
  <c r="AN14" i="18"/>
  <c r="AN28" i="18"/>
  <c r="AN13" i="18"/>
  <c r="AN25" i="18"/>
  <c r="AN31" i="18"/>
  <c r="AO16" i="18"/>
  <c r="AO15" i="18"/>
  <c r="AO22" i="18"/>
  <c r="AO12" i="18"/>
  <c r="AO13" i="18"/>
  <c r="AO21" i="18"/>
  <c r="AO26" i="18"/>
  <c r="AO31" i="18"/>
  <c r="AO28" i="18"/>
  <c r="AO29" i="18"/>
  <c r="AO25" i="18"/>
  <c r="AO20" i="18"/>
  <c r="AO19" i="18"/>
  <c r="AO14" i="18"/>
  <c r="AO30" i="18"/>
  <c r="AO27" i="18"/>
  <c r="AO11" i="18"/>
  <c r="AO10" i="18"/>
  <c r="AO23" i="18"/>
  <c r="BB17" i="47"/>
  <c r="BB43" i="47"/>
  <c r="BB23" i="47"/>
  <c r="BB24" i="47"/>
  <c r="BB35" i="47"/>
  <c r="BB25" i="47"/>
  <c r="BB10" i="47"/>
  <c r="BB38" i="47"/>
  <c r="BB22" i="47"/>
  <c r="BB41" i="47"/>
  <c r="BB9" i="47"/>
  <c r="BB40" i="47"/>
  <c r="BB34" i="47"/>
  <c r="BB12" i="47"/>
  <c r="BB14" i="47"/>
  <c r="BB18" i="47"/>
  <c r="BB16" i="47"/>
  <c r="BB44" i="47"/>
  <c r="BB30" i="47"/>
  <c r="BB15" i="47"/>
  <c r="BB36" i="47"/>
  <c r="AT30" i="18"/>
  <c r="AT16" i="18"/>
  <c r="AT17" i="18"/>
  <c r="AT14" i="18"/>
  <c r="AT25" i="18"/>
  <c r="AT21" i="18"/>
  <c r="AT15" i="18"/>
  <c r="AT11" i="18"/>
  <c r="AT12" i="18"/>
  <c r="AT20" i="18"/>
  <c r="AT29" i="18"/>
  <c r="AT31" i="18"/>
  <c r="AT22" i="18"/>
  <c r="AT13" i="18"/>
  <c r="AT23" i="18"/>
  <c r="AT26" i="18"/>
  <c r="AT10" i="18"/>
  <c r="AT19" i="18"/>
  <c r="AT27" i="18"/>
  <c r="AT28" i="18"/>
  <c r="BK44" i="47"/>
  <c r="BK14" i="47"/>
  <c r="BK24" i="47"/>
  <c r="BK38" i="47"/>
  <c r="BK10" i="47"/>
  <c r="BK41" i="47"/>
  <c r="BK43" i="47"/>
  <c r="BK18" i="47"/>
  <c r="BK22" i="47"/>
  <c r="BK23" i="47"/>
  <c r="BK35" i="47"/>
  <c r="BK15" i="47"/>
  <c r="BK30" i="47"/>
  <c r="BK16" i="47"/>
  <c r="BK36" i="47"/>
  <c r="BK25" i="47"/>
  <c r="BK34" i="47"/>
  <c r="BI47" i="60" s="1"/>
  <c r="BK9" i="47"/>
  <c r="BK12" i="47"/>
  <c r="BK40" i="47"/>
  <c r="BK17" i="47"/>
  <c r="AS24" i="18"/>
  <c r="F25" i="74"/>
  <c r="E40" i="74"/>
  <c r="E71" i="74"/>
  <c r="BA47" i="60" l="1"/>
  <c r="BD47" i="60"/>
  <c r="AX29" i="60"/>
  <c r="AK29" i="60"/>
  <c r="AC29" i="60"/>
  <c r="AJ29" i="60"/>
  <c r="AV29" i="60"/>
  <c r="AR29" i="60"/>
  <c r="AQ29" i="60"/>
  <c r="AS29" i="60"/>
  <c r="AT29" i="60"/>
  <c r="AI29" i="60"/>
  <c r="AM29" i="60"/>
  <c r="BJ47" i="60"/>
  <c r="BF47" i="60"/>
  <c r="BG47" i="60"/>
  <c r="BB47" i="60"/>
  <c r="BK47" i="60"/>
  <c r="AZ47" i="60"/>
  <c r="BH47" i="60"/>
  <c r="BC47" i="60"/>
  <c r="F18" i="24"/>
  <c r="G11" i="24" s="1"/>
  <c r="G16" i="24" s="1"/>
  <c r="G7" i="24" s="1"/>
  <c r="BO10" i="72"/>
  <c r="BC15" i="72"/>
  <c r="BC5" i="44" s="1"/>
  <c r="V28" i="72"/>
  <c r="V6" i="44" s="1"/>
  <c r="AH19" i="72"/>
  <c r="AT20" i="72" s="1"/>
  <c r="BF21" i="72" s="1"/>
  <c r="BR22" i="72" s="1"/>
  <c r="CD23" i="72" s="1"/>
  <c r="CP24" i="72" s="1"/>
  <c r="DB25" i="72" s="1"/>
  <c r="DN26" i="72" s="1"/>
  <c r="E68" i="74"/>
  <c r="R8" i="24"/>
  <c r="S37" i="1" s="1"/>
  <c r="R18" i="24"/>
  <c r="S15" i="24" s="1"/>
  <c r="J57" i="22"/>
  <c r="K19" i="22"/>
  <c r="J53" i="22"/>
  <c r="J54" i="22"/>
  <c r="J41" i="22"/>
  <c r="J45" i="22"/>
  <c r="J48" i="22"/>
  <c r="J59" i="22"/>
  <c r="J47" i="22"/>
  <c r="J24" i="22"/>
  <c r="J60" i="22"/>
  <c r="J52" i="22"/>
  <c r="J51" i="22"/>
  <c r="J58" i="22"/>
  <c r="J50" i="22"/>
  <c r="J55" i="22"/>
  <c r="J46" i="22"/>
  <c r="J43" i="22"/>
  <c r="J42" i="22"/>
  <c r="J44" i="22"/>
  <c r="J49" i="22"/>
  <c r="J56" i="22"/>
  <c r="J28" i="22"/>
  <c r="J33" i="22"/>
  <c r="J39" i="22"/>
  <c r="J31" i="22"/>
  <c r="J40" i="22"/>
  <c r="J29" i="22"/>
  <c r="J37" i="22"/>
  <c r="J34" i="22"/>
  <c r="J35" i="22"/>
  <c r="J32" i="22"/>
  <c r="J36" i="22"/>
  <c r="J22" i="22"/>
  <c r="J38" i="22"/>
  <c r="J27" i="22"/>
  <c r="J30" i="22"/>
  <c r="J21" i="22"/>
  <c r="F41" i="1"/>
  <c r="D72" i="74"/>
  <c r="G17" i="1"/>
  <c r="G39" i="1"/>
  <c r="G41" i="1" s="1"/>
  <c r="S39" i="1"/>
  <c r="S17" i="1"/>
  <c r="AC28" i="60"/>
  <c r="AI36" i="60"/>
  <c r="AI42" i="60"/>
  <c r="AD36" i="60"/>
  <c r="AD42" i="60"/>
  <c r="AV28" i="60"/>
  <c r="AR28" i="60"/>
  <c r="AT28" i="60"/>
  <c r="AH28" i="60"/>
  <c r="AX28" i="60"/>
  <c r="AQ28" i="60"/>
  <c r="AO28" i="60"/>
  <c r="AI28" i="60"/>
  <c r="AE28" i="60"/>
  <c r="AG28" i="60"/>
  <c r="AD28" i="60"/>
  <c r="AW28" i="60"/>
  <c r="AS28" i="60"/>
  <c r="AN28" i="60"/>
  <c r="AK28" i="60"/>
  <c r="AM28" i="60"/>
  <c r="AY28" i="60"/>
  <c r="AP28" i="60"/>
  <c r="AU28" i="60"/>
  <c r="AF28" i="60"/>
  <c r="AL28" i="60"/>
  <c r="AJ28" i="60"/>
  <c r="E66" i="74"/>
  <c r="D56" i="74"/>
  <c r="E53" i="74"/>
  <c r="E54" i="74" s="1"/>
  <c r="E65" i="74"/>
  <c r="F61" i="74" s="1"/>
  <c r="F57" i="74" s="1"/>
  <c r="AC10" i="58"/>
  <c r="AD40" i="1" s="1"/>
  <c r="F27" i="44"/>
  <c r="AF121" i="72"/>
  <c r="M26" i="1"/>
  <c r="M28" i="1" s="1"/>
  <c r="K13" i="1"/>
  <c r="BH115" i="72"/>
  <c r="BT116" i="72" s="1"/>
  <c r="CF117" i="72" s="1"/>
  <c r="CR118" i="72" s="1"/>
  <c r="DD119" i="72" s="1"/>
  <c r="DP120" i="72" s="1"/>
  <c r="N26" i="1"/>
  <c r="N28" i="1" s="1"/>
  <c r="M44" i="72"/>
  <c r="M6" i="44" s="1"/>
  <c r="L26" i="1"/>
  <c r="L28" i="1" s="1"/>
  <c r="BD24" i="18"/>
  <c r="BI24" i="18"/>
  <c r="BR10" i="47"/>
  <c r="BR22" i="47"/>
  <c r="BR16" i="47"/>
  <c r="BR24" i="47"/>
  <c r="BR25" i="47"/>
  <c r="BR23" i="47"/>
  <c r="BR17" i="47"/>
  <c r="BR15" i="47"/>
  <c r="BR41" i="47"/>
  <c r="BR9" i="47"/>
  <c r="BR14" i="47"/>
  <c r="BR38" i="47"/>
  <c r="BR18" i="47"/>
  <c r="BR40" i="47"/>
  <c r="BR36" i="47"/>
  <c r="BR35" i="47"/>
  <c r="BR30" i="47"/>
  <c r="BR43" i="47"/>
  <c r="BR12" i="47"/>
  <c r="BR44" i="47"/>
  <c r="BR34" i="47"/>
  <c r="BE11" i="18"/>
  <c r="BE31" i="18"/>
  <c r="BE28" i="18"/>
  <c r="BE12" i="18"/>
  <c r="BE22" i="18"/>
  <c r="BE16" i="18"/>
  <c r="BE15" i="18"/>
  <c r="BE23" i="18"/>
  <c r="BE26" i="18"/>
  <c r="BE13" i="18"/>
  <c r="BE19" i="18"/>
  <c r="BE29" i="18"/>
  <c r="BE30" i="18"/>
  <c r="BE27" i="18"/>
  <c r="BE20" i="18"/>
  <c r="BE21" i="18"/>
  <c r="BE25" i="18"/>
  <c r="BE10" i="18"/>
  <c r="BE14" i="18"/>
  <c r="BB24" i="18"/>
  <c r="BQ25" i="47"/>
  <c r="BQ41" i="47"/>
  <c r="BQ44" i="47"/>
  <c r="BQ9" i="47"/>
  <c r="BQ43" i="47"/>
  <c r="BQ38" i="47"/>
  <c r="BQ22" i="47"/>
  <c r="BQ17" i="47"/>
  <c r="BQ15" i="47"/>
  <c r="BQ10" i="47"/>
  <c r="BQ30" i="47"/>
  <c r="BQ12" i="47"/>
  <c r="BQ14" i="47"/>
  <c r="BQ35" i="47"/>
  <c r="BQ34" i="47"/>
  <c r="BQ23" i="47"/>
  <c r="BQ36" i="47"/>
  <c r="BQ18" i="47"/>
  <c r="BQ24" i="47"/>
  <c r="BQ40" i="47"/>
  <c r="BQ16" i="47"/>
  <c r="BB26" i="18"/>
  <c r="BB16" i="18"/>
  <c r="BB31" i="18"/>
  <c r="BB29" i="18"/>
  <c r="BB19" i="18"/>
  <c r="BB15" i="18"/>
  <c r="BB25" i="18"/>
  <c r="BB23" i="18"/>
  <c r="BB21" i="18"/>
  <c r="BB28" i="18"/>
  <c r="BB20" i="18"/>
  <c r="BB11" i="18"/>
  <c r="BB14" i="18"/>
  <c r="BB30" i="18"/>
  <c r="BB10" i="18"/>
  <c r="BB27" i="18"/>
  <c r="BB12" i="18"/>
  <c r="BB13" i="18"/>
  <c r="BB22" i="18"/>
  <c r="BB9" i="18"/>
  <c r="BA30" i="18"/>
  <c r="BA29" i="18"/>
  <c r="BA28" i="18"/>
  <c r="BA13" i="18"/>
  <c r="BA26" i="18"/>
  <c r="BA27" i="18"/>
  <c r="BA14" i="18"/>
  <c r="BA20" i="18"/>
  <c r="BA23" i="18"/>
  <c r="BA11" i="18"/>
  <c r="BA15" i="18"/>
  <c r="BA16" i="18"/>
  <c r="BA10" i="18"/>
  <c r="BA25" i="18"/>
  <c r="BA12" i="18"/>
  <c r="BA22" i="18"/>
  <c r="BA21" i="18"/>
  <c r="BA19" i="18"/>
  <c r="BA31" i="18"/>
  <c r="BO40" i="47"/>
  <c r="BO44" i="47"/>
  <c r="BO22" i="47"/>
  <c r="BO12" i="47"/>
  <c r="BO14" i="47"/>
  <c r="BO25" i="47"/>
  <c r="BO23" i="47"/>
  <c r="BO38" i="47"/>
  <c r="BO35" i="47"/>
  <c r="BO34" i="47"/>
  <c r="BO10" i="47"/>
  <c r="BO18" i="47"/>
  <c r="BO36" i="47"/>
  <c r="BO9" i="47"/>
  <c r="BO41" i="47"/>
  <c r="BO43" i="47"/>
  <c r="BO30" i="47"/>
  <c r="BO15" i="47"/>
  <c r="BO16" i="47"/>
  <c r="BO24" i="47"/>
  <c r="BO17" i="47"/>
  <c r="AZ26" i="18"/>
  <c r="AZ14" i="18"/>
  <c r="AZ17" i="18"/>
  <c r="AZ29" i="18"/>
  <c r="AZ10" i="18"/>
  <c r="AZ16" i="18"/>
  <c r="AZ31" i="18"/>
  <c r="AZ19" i="18"/>
  <c r="AZ12" i="18"/>
  <c r="AZ15" i="18"/>
  <c r="AZ20" i="18"/>
  <c r="AZ27" i="18"/>
  <c r="AZ13" i="18"/>
  <c r="AZ28" i="18"/>
  <c r="AZ21" i="18"/>
  <c r="AZ23" i="18"/>
  <c r="AZ30" i="18"/>
  <c r="AZ22" i="18"/>
  <c r="AZ11" i="18"/>
  <c r="AZ25" i="18"/>
  <c r="BW40" i="47"/>
  <c r="BW36" i="47"/>
  <c r="BW16" i="47"/>
  <c r="BW18" i="47"/>
  <c r="BW22" i="47"/>
  <c r="BW38" i="47"/>
  <c r="BW10" i="47"/>
  <c r="BW12" i="47"/>
  <c r="BW17" i="47"/>
  <c r="BW35" i="47"/>
  <c r="BW41" i="47"/>
  <c r="BW23" i="47"/>
  <c r="BW14" i="47"/>
  <c r="BW43" i="47"/>
  <c r="BW25" i="47"/>
  <c r="BW44" i="47"/>
  <c r="BW15" i="47"/>
  <c r="BW30" i="47"/>
  <c r="BW34" i="47"/>
  <c r="BW24" i="47"/>
  <c r="BW9" i="47"/>
  <c r="BF30" i="18"/>
  <c r="BF16" i="18"/>
  <c r="BF14" i="18"/>
  <c r="BF29" i="18"/>
  <c r="BF31" i="18"/>
  <c r="BF28" i="18"/>
  <c r="BF13" i="18"/>
  <c r="BF23" i="18"/>
  <c r="BF15" i="18"/>
  <c r="BF17" i="18"/>
  <c r="BF12" i="18"/>
  <c r="BF20" i="18"/>
  <c r="BF27" i="18"/>
  <c r="BF10" i="18"/>
  <c r="BF21" i="18"/>
  <c r="BF26" i="18"/>
  <c r="BF11" i="18"/>
  <c r="BF25" i="18"/>
  <c r="BF19" i="18"/>
  <c r="BF22" i="18"/>
  <c r="BG28" i="60"/>
  <c r="BG44" i="60"/>
  <c r="BG43" i="60"/>
  <c r="BG16" i="60"/>
  <c r="BG12" i="60"/>
  <c r="BG17" i="60"/>
  <c r="BG29" i="60"/>
  <c r="BF44" i="60"/>
  <c r="BF12" i="60"/>
  <c r="BF29" i="60"/>
  <c r="BF28" i="60"/>
  <c r="BF43" i="60"/>
  <c r="BF16" i="60"/>
  <c r="BF17" i="60"/>
  <c r="BK24" i="18"/>
  <c r="AZ33" i="1"/>
  <c r="H32" i="20"/>
  <c r="H34" i="20" s="1"/>
  <c r="BU40" i="47"/>
  <c r="BU9" i="47"/>
  <c r="BU16" i="47"/>
  <c r="BU24" i="47"/>
  <c r="BU15" i="47"/>
  <c r="BU38" i="47"/>
  <c r="BU22" i="47"/>
  <c r="BU17" i="47"/>
  <c r="BU25" i="47"/>
  <c r="BU30" i="47"/>
  <c r="BU34" i="47"/>
  <c r="BU36" i="47"/>
  <c r="BU12" i="47"/>
  <c r="BU18" i="47"/>
  <c r="BU35" i="47"/>
  <c r="BU14" i="47"/>
  <c r="BU23" i="47"/>
  <c r="BU44" i="47"/>
  <c r="BU43" i="47"/>
  <c r="BU10" i="47"/>
  <c r="BU41" i="47"/>
  <c r="BB44" i="60"/>
  <c r="BB28" i="60"/>
  <c r="BB19" i="60"/>
  <c r="BB12" i="60"/>
  <c r="BB29" i="60"/>
  <c r="BB17" i="60"/>
  <c r="BB16" i="60"/>
  <c r="BB43" i="60"/>
  <c r="BD44" i="60"/>
  <c r="BD17" i="60"/>
  <c r="BD28" i="60"/>
  <c r="BD16" i="60"/>
  <c r="BD12" i="60"/>
  <c r="BD29" i="60"/>
  <c r="BD43" i="60"/>
  <c r="BJ30" i="18"/>
  <c r="BJ16" i="18"/>
  <c r="BJ20" i="18"/>
  <c r="BJ13" i="18"/>
  <c r="BJ12" i="18"/>
  <c r="BJ10" i="18"/>
  <c r="BJ15" i="18"/>
  <c r="BJ19" i="18"/>
  <c r="BJ22" i="18"/>
  <c r="BJ27" i="18"/>
  <c r="BJ26" i="18"/>
  <c r="BJ29" i="18"/>
  <c r="BJ21" i="18"/>
  <c r="BJ28" i="18"/>
  <c r="BJ25" i="18"/>
  <c r="BJ11" i="18"/>
  <c r="BJ14" i="18"/>
  <c r="BJ23" i="18"/>
  <c r="BJ31" i="18"/>
  <c r="BT15" i="47"/>
  <c r="BT38" i="47"/>
  <c r="BT12" i="47"/>
  <c r="BT16" i="47"/>
  <c r="BT41" i="47"/>
  <c r="BT40" i="47"/>
  <c r="BT36" i="47"/>
  <c r="BT34" i="47"/>
  <c r="BT18" i="47"/>
  <c r="BT43" i="47"/>
  <c r="BT24" i="47"/>
  <c r="BT22" i="47"/>
  <c r="BT10" i="47"/>
  <c r="BT9" i="47"/>
  <c r="BT30" i="47"/>
  <c r="BT35" i="47"/>
  <c r="BT17" i="47"/>
  <c r="BT44" i="47"/>
  <c r="BT25" i="47"/>
  <c r="BT14" i="47"/>
  <c r="BT23" i="47"/>
  <c r="BC30" i="18"/>
  <c r="BC26" i="18"/>
  <c r="BC20" i="18"/>
  <c r="BC27" i="18"/>
  <c r="BC31" i="18"/>
  <c r="BC14" i="18"/>
  <c r="BC23" i="18"/>
  <c r="BC15" i="18"/>
  <c r="BC21" i="18"/>
  <c r="BC17" i="18"/>
  <c r="BC10" i="18"/>
  <c r="BC28" i="18"/>
  <c r="BC11" i="18"/>
  <c r="BC12" i="18"/>
  <c r="BC16" i="18"/>
  <c r="BC19" i="18"/>
  <c r="BC13" i="18"/>
  <c r="BC22" i="18"/>
  <c r="BC25" i="18"/>
  <c r="BC29" i="18"/>
  <c r="BN40" i="47"/>
  <c r="BN18" i="47"/>
  <c r="BN10" i="47"/>
  <c r="BN43" i="47"/>
  <c r="BN22" i="47"/>
  <c r="BN24" i="47"/>
  <c r="BN34" i="47"/>
  <c r="BN9" i="47"/>
  <c r="BN14" i="47"/>
  <c r="BN30" i="47"/>
  <c r="BN15" i="47"/>
  <c r="BN25" i="47"/>
  <c r="BN36" i="47"/>
  <c r="BN17" i="47"/>
  <c r="BN38" i="47"/>
  <c r="BN35" i="47"/>
  <c r="BN16" i="47"/>
  <c r="BN44" i="47"/>
  <c r="BN41" i="47"/>
  <c r="BN12" i="47"/>
  <c r="BN23" i="47"/>
  <c r="BH10" i="18"/>
  <c r="BH20" i="18"/>
  <c r="BH25" i="18"/>
  <c r="BH13" i="18"/>
  <c r="BH11" i="18"/>
  <c r="BH30" i="18"/>
  <c r="BH16" i="18"/>
  <c r="BH22" i="18"/>
  <c r="BH15" i="18"/>
  <c r="BH23" i="18"/>
  <c r="BH26" i="18"/>
  <c r="BH28" i="18"/>
  <c r="BH14" i="18"/>
  <c r="BH19" i="18"/>
  <c r="BH29" i="18"/>
  <c r="BH31" i="18"/>
  <c r="BH27" i="18"/>
  <c r="BH12" i="18"/>
  <c r="BH21" i="18"/>
  <c r="BI16" i="18"/>
  <c r="BI14" i="18"/>
  <c r="BI13" i="18"/>
  <c r="BI19" i="18"/>
  <c r="BI23" i="18"/>
  <c r="BI15" i="18"/>
  <c r="BI30" i="18"/>
  <c r="BI21" i="18"/>
  <c r="BI10" i="18"/>
  <c r="BI20" i="18"/>
  <c r="BI11" i="18"/>
  <c r="BI12" i="18"/>
  <c r="BI29" i="18"/>
  <c r="BI27" i="18"/>
  <c r="BI17" i="18"/>
  <c r="BI26" i="18"/>
  <c r="BI28" i="18"/>
  <c r="BI31" i="18"/>
  <c r="BI22" i="18"/>
  <c r="BI25" i="18"/>
  <c r="BG30" i="18"/>
  <c r="BG16" i="18"/>
  <c r="BG29" i="18"/>
  <c r="BG25" i="18"/>
  <c r="BG27" i="18"/>
  <c r="BG26" i="18"/>
  <c r="BG12" i="18"/>
  <c r="BG31" i="18"/>
  <c r="BG21" i="18"/>
  <c r="BG14" i="18"/>
  <c r="BG23" i="18"/>
  <c r="BG28" i="18"/>
  <c r="BG20" i="18"/>
  <c r="BG19" i="18"/>
  <c r="BG22" i="18"/>
  <c r="BG13" i="18"/>
  <c r="BG10" i="18"/>
  <c r="BG15" i="18"/>
  <c r="BG11" i="18"/>
  <c r="BI28" i="60"/>
  <c r="BI44" i="60"/>
  <c r="BI29" i="60"/>
  <c r="BI17" i="60"/>
  <c r="BI12" i="60"/>
  <c r="BI16" i="60"/>
  <c r="BI43" i="60"/>
  <c r="BA17" i="60"/>
  <c r="BA16" i="60"/>
  <c r="BA43" i="60"/>
  <c r="BA29" i="60"/>
  <c r="BA28" i="60"/>
  <c r="BA44" i="60"/>
  <c r="BJ16" i="60"/>
  <c r="BJ44" i="60"/>
  <c r="BJ17" i="60"/>
  <c r="BJ12" i="60"/>
  <c r="BJ28" i="60"/>
  <c r="BJ43" i="60"/>
  <c r="BJ29" i="60"/>
  <c r="BH28" i="60"/>
  <c r="BH43" i="60"/>
  <c r="BH29" i="60"/>
  <c r="BH17" i="60"/>
  <c r="BH16" i="60"/>
  <c r="BH44" i="60"/>
  <c r="BH12" i="60"/>
  <c r="BK29" i="60"/>
  <c r="BK43" i="60"/>
  <c r="BK16" i="60"/>
  <c r="BK44" i="60"/>
  <c r="BK28" i="60"/>
  <c r="BK12" i="60"/>
  <c r="BK17" i="60"/>
  <c r="BT21" i="13"/>
  <c r="BT23" i="13" s="1"/>
  <c r="BS31" i="1" s="1"/>
  <c r="BS33" i="1" s="1"/>
  <c r="BR21" i="13"/>
  <c r="BR23" i="13" s="1"/>
  <c r="BQ31" i="1" s="1"/>
  <c r="BQ33" i="1" s="1"/>
  <c r="BS8" i="18"/>
  <c r="BN8" i="18"/>
  <c r="BT8" i="18"/>
  <c r="BM8" i="18"/>
  <c r="BP21" i="13"/>
  <c r="BP23" i="13" s="1"/>
  <c r="BO31" i="1" s="1"/>
  <c r="BO33" i="1" s="1"/>
  <c r="BW21" i="13"/>
  <c r="BW23" i="13" s="1"/>
  <c r="BV31" i="1" s="1"/>
  <c r="BV33" i="1" s="1"/>
  <c r="BN21" i="13"/>
  <c r="BN23" i="13" s="1"/>
  <c r="BM31" i="1" s="1"/>
  <c r="BM33" i="1" s="1"/>
  <c r="BO8" i="18"/>
  <c r="BL8" i="18"/>
  <c r="BQ21" i="13"/>
  <c r="BQ23" i="13" s="1"/>
  <c r="BP31" i="1" s="1"/>
  <c r="BP33" i="1" s="1"/>
  <c r="BX21" i="13"/>
  <c r="BX23" i="13" s="1"/>
  <c r="BW31" i="1" s="1"/>
  <c r="BW33" i="1" s="1"/>
  <c r="BO21" i="13"/>
  <c r="BO23" i="13" s="1"/>
  <c r="BN31" i="1" s="1"/>
  <c r="BN33" i="1" s="1"/>
  <c r="BQ8" i="18"/>
  <c r="BV8" i="18"/>
  <c r="BP8" i="18"/>
  <c r="BS21" i="13"/>
  <c r="BS23" i="13" s="1"/>
  <c r="BR31" i="1" s="1"/>
  <c r="BR33" i="1" s="1"/>
  <c r="BU21" i="13"/>
  <c r="BU23" i="13" s="1"/>
  <c r="BT31" i="1" s="1"/>
  <c r="BT33" i="1" s="1"/>
  <c r="BU8" i="18"/>
  <c r="BV21" i="13"/>
  <c r="BV23" i="13" s="1"/>
  <c r="BU31" i="1" s="1"/>
  <c r="BU33" i="1" s="1"/>
  <c r="BR8" i="18"/>
  <c r="BW8" i="18"/>
  <c r="BM21" i="13"/>
  <c r="BM23" i="13" s="1"/>
  <c r="BL31" i="1" s="1"/>
  <c r="BH24" i="18"/>
  <c r="BE24" i="18"/>
  <c r="BC16" i="60"/>
  <c r="BC43" i="60"/>
  <c r="BC29" i="60"/>
  <c r="BC12" i="60"/>
  <c r="BC28" i="60"/>
  <c r="BC17" i="60"/>
  <c r="BC44" i="60"/>
  <c r="BV40" i="47"/>
  <c r="BV25" i="47"/>
  <c r="BV36" i="47"/>
  <c r="BV44" i="47"/>
  <c r="BV35" i="47"/>
  <c r="BV16" i="47"/>
  <c r="BV18" i="47"/>
  <c r="BV38" i="47"/>
  <c r="BV12" i="47"/>
  <c r="BV23" i="47"/>
  <c r="BV9" i="47"/>
  <c r="BV22" i="47"/>
  <c r="BV43" i="47"/>
  <c r="BV15" i="47"/>
  <c r="BV10" i="47"/>
  <c r="BV34" i="47"/>
  <c r="BV14" i="47"/>
  <c r="BV24" i="47"/>
  <c r="BV17" i="47"/>
  <c r="BV30" i="47"/>
  <c r="BV41" i="47"/>
  <c r="AZ24" i="18"/>
  <c r="BA24" i="18"/>
  <c r="BC24" i="18"/>
  <c r="BF24" i="18"/>
  <c r="BG24" i="18"/>
  <c r="BP40" i="47"/>
  <c r="BP15" i="47"/>
  <c r="BP43" i="47"/>
  <c r="BP30" i="47"/>
  <c r="BP16" i="47"/>
  <c r="BP23" i="47"/>
  <c r="BP34" i="47"/>
  <c r="BP9" i="47"/>
  <c r="BP18" i="47"/>
  <c r="BP24" i="47"/>
  <c r="BP22" i="47"/>
  <c r="BP44" i="47"/>
  <c r="BP12" i="47"/>
  <c r="BP10" i="47"/>
  <c r="BP36" i="47"/>
  <c r="BP38" i="47"/>
  <c r="BP25" i="47"/>
  <c r="BP35" i="47"/>
  <c r="BP14" i="47"/>
  <c r="BP17" i="47"/>
  <c r="BP41" i="47"/>
  <c r="BS40" i="47"/>
  <c r="BS43" i="47"/>
  <c r="BS16" i="47"/>
  <c r="BS15" i="47"/>
  <c r="BS22" i="47"/>
  <c r="BS9" i="47"/>
  <c r="BS14" i="47"/>
  <c r="BS23" i="47"/>
  <c r="BS44" i="47"/>
  <c r="BS30" i="47"/>
  <c r="BS24" i="47"/>
  <c r="BS35" i="47"/>
  <c r="BS18" i="47"/>
  <c r="BS12" i="47"/>
  <c r="BS34" i="47"/>
  <c r="BS41" i="47"/>
  <c r="BS38" i="47"/>
  <c r="BS10" i="47"/>
  <c r="BS36" i="47"/>
  <c r="BS17" i="47"/>
  <c r="BS25" i="47"/>
  <c r="BY17" i="47"/>
  <c r="BY30" i="47"/>
  <c r="BY12" i="47"/>
  <c r="BY43" i="47"/>
  <c r="BY18" i="47"/>
  <c r="BY23" i="47"/>
  <c r="BY14" i="47"/>
  <c r="BY38" i="47"/>
  <c r="BY25" i="47"/>
  <c r="BY22" i="47"/>
  <c r="BY40" i="47"/>
  <c r="BY36" i="47"/>
  <c r="BY16" i="47"/>
  <c r="BY35" i="47"/>
  <c r="BY24" i="47"/>
  <c r="BY10" i="47"/>
  <c r="BY9" i="47"/>
  <c r="BY44" i="47"/>
  <c r="BY34" i="47"/>
  <c r="BY41" i="47"/>
  <c r="BY15" i="47"/>
  <c r="BX38" i="47"/>
  <c r="BX16" i="47"/>
  <c r="BX36" i="47"/>
  <c r="BX30" i="47"/>
  <c r="BX12" i="47"/>
  <c r="BX40" i="47"/>
  <c r="BX25" i="47"/>
  <c r="BX18" i="47"/>
  <c r="BX41" i="47"/>
  <c r="BX10" i="47"/>
  <c r="BX34" i="47"/>
  <c r="BX24" i="47"/>
  <c r="BX23" i="47"/>
  <c r="BX14" i="47"/>
  <c r="BX43" i="47"/>
  <c r="BX35" i="47"/>
  <c r="BX17" i="47"/>
  <c r="BX44" i="47"/>
  <c r="BX9" i="47"/>
  <c r="BX15" i="47"/>
  <c r="BX22" i="47"/>
  <c r="BE29" i="60"/>
  <c r="BE16" i="60"/>
  <c r="BE17" i="60"/>
  <c r="BE28" i="60"/>
  <c r="BE12" i="60"/>
  <c r="BE44" i="60"/>
  <c r="BE43" i="60"/>
  <c r="BD26" i="18"/>
  <c r="BD30" i="18"/>
  <c r="BD10" i="18"/>
  <c r="BD31" i="18"/>
  <c r="BD14" i="18"/>
  <c r="BD23" i="18"/>
  <c r="BD29" i="18"/>
  <c r="BD20" i="18"/>
  <c r="BD25" i="18"/>
  <c r="BD19" i="18"/>
  <c r="BD22" i="18"/>
  <c r="BD27" i="18"/>
  <c r="BD21" i="18"/>
  <c r="BD16" i="18"/>
  <c r="BD15" i="18"/>
  <c r="BD13" i="18"/>
  <c r="BD12" i="18"/>
  <c r="BD28" i="18"/>
  <c r="BD11" i="18"/>
  <c r="BK30" i="18"/>
  <c r="BK16" i="18"/>
  <c r="BK12" i="18"/>
  <c r="BK13" i="18"/>
  <c r="BK28" i="18"/>
  <c r="BK26" i="18"/>
  <c r="BK25" i="18"/>
  <c r="BK31" i="18"/>
  <c r="BK23" i="18"/>
  <c r="BK22" i="18"/>
  <c r="BK27" i="18"/>
  <c r="BK29" i="18"/>
  <c r="BK15" i="18"/>
  <c r="BK10" i="18"/>
  <c r="BK14" i="18"/>
  <c r="BK19" i="18"/>
  <c r="BK20" i="18"/>
  <c r="BK11" i="18"/>
  <c r="BK21" i="18"/>
  <c r="AZ28" i="60"/>
  <c r="AZ29" i="60"/>
  <c r="AZ44" i="60"/>
  <c r="AZ17" i="60"/>
  <c r="AZ43" i="60"/>
  <c r="AZ16" i="60"/>
  <c r="BJ24" i="18"/>
  <c r="F35" i="74"/>
  <c r="F32" i="74"/>
  <c r="Q78" i="72"/>
  <c r="Q81" i="72" s="1"/>
  <c r="BU47" i="60" l="1"/>
  <c r="BP47" i="60"/>
  <c r="BO47" i="60"/>
  <c r="BW47" i="60"/>
  <c r="BM47" i="60"/>
  <c r="BQ47" i="60"/>
  <c r="BN47" i="60"/>
  <c r="BL47" i="60"/>
  <c r="BR47" i="60"/>
  <c r="BS47" i="60"/>
  <c r="BV47" i="60"/>
  <c r="BT47" i="60"/>
  <c r="H24" i="99"/>
  <c r="G18" i="24"/>
  <c r="H11" i="24" s="1"/>
  <c r="CA11" i="72"/>
  <c r="BO15" i="72"/>
  <c r="BO5" i="44" s="1"/>
  <c r="V47" i="72"/>
  <c r="V123" i="72"/>
  <c r="D73" i="74"/>
  <c r="D74" i="74" s="1"/>
  <c r="H17" i="1"/>
  <c r="H39" i="1"/>
  <c r="H41" i="1" s="1"/>
  <c r="K52" i="22"/>
  <c r="K48" i="22"/>
  <c r="K54" i="22"/>
  <c r="K24" i="22"/>
  <c r="K28" i="22"/>
  <c r="K51" i="22"/>
  <c r="K47" i="22"/>
  <c r="K60" i="22"/>
  <c r="K57" i="22"/>
  <c r="K49" i="22"/>
  <c r="K58" i="22"/>
  <c r="L19" i="22"/>
  <c r="K45" i="22"/>
  <c r="K59" i="22"/>
  <c r="K56" i="22"/>
  <c r="K50" i="22"/>
  <c r="K55" i="22"/>
  <c r="K53" i="22"/>
  <c r="K46" i="22"/>
  <c r="K23" i="22"/>
  <c r="K37" i="22"/>
  <c r="K39" i="22"/>
  <c r="K29" i="22"/>
  <c r="K38" i="22"/>
  <c r="K36" i="22"/>
  <c r="K31" i="22"/>
  <c r="K27" i="22"/>
  <c r="K33" i="22"/>
  <c r="K44" i="22"/>
  <c r="K43" i="22"/>
  <c r="K21" i="22"/>
  <c r="K41" i="22"/>
  <c r="K30" i="22"/>
  <c r="K22" i="22"/>
  <c r="K42" i="22"/>
  <c r="K35" i="22"/>
  <c r="K34" i="22"/>
  <c r="K40" i="22"/>
  <c r="K32" i="22"/>
  <c r="S16" i="24"/>
  <c r="H16" i="24"/>
  <c r="H7" i="24" s="1"/>
  <c r="S41" i="1"/>
  <c r="E67" i="74"/>
  <c r="W95" i="72" s="1"/>
  <c r="AI96" i="72" s="1"/>
  <c r="AU97" i="72" s="1"/>
  <c r="BG98" i="72" s="1"/>
  <c r="BS99" i="72" s="1"/>
  <c r="E59" i="74"/>
  <c r="F51" i="74" s="1"/>
  <c r="F66" i="74" s="1"/>
  <c r="F62" i="74"/>
  <c r="AE42" i="60"/>
  <c r="AE36" i="60"/>
  <c r="F29" i="44"/>
  <c r="AC12" i="58"/>
  <c r="AD9" i="58" s="1"/>
  <c r="AD10" i="58" s="1"/>
  <c r="AE40" i="1" s="1"/>
  <c r="BD114" i="72"/>
  <c r="BP115" i="72" s="1"/>
  <c r="CB116" i="72" s="1"/>
  <c r="CN117" i="72" s="1"/>
  <c r="CZ118" i="72" s="1"/>
  <c r="DL119" i="72" s="1"/>
  <c r="BL24" i="18"/>
  <c r="BV24" i="18"/>
  <c r="BQ24" i="18"/>
  <c r="BR27" i="18"/>
  <c r="BR31" i="18"/>
  <c r="BR21" i="18"/>
  <c r="BR22" i="18"/>
  <c r="BR28" i="18"/>
  <c r="BR26" i="18"/>
  <c r="BR11" i="18"/>
  <c r="BR25" i="18"/>
  <c r="BR14" i="18"/>
  <c r="BR13" i="18"/>
  <c r="BR30" i="18"/>
  <c r="BR17" i="18"/>
  <c r="BR12" i="18"/>
  <c r="BR23" i="18"/>
  <c r="BR19" i="18"/>
  <c r="BR20" i="18"/>
  <c r="BR16" i="18"/>
  <c r="BR10" i="18"/>
  <c r="BR29" i="18"/>
  <c r="BR15" i="18"/>
  <c r="BS30" i="18"/>
  <c r="BS16" i="18"/>
  <c r="BS27" i="18"/>
  <c r="BS21" i="18"/>
  <c r="BS13" i="18"/>
  <c r="BS14" i="18"/>
  <c r="BS19" i="18"/>
  <c r="BS26" i="18"/>
  <c r="BS31" i="18"/>
  <c r="BS25" i="18"/>
  <c r="BS29" i="18"/>
  <c r="BS20" i="18"/>
  <c r="BS15" i="18"/>
  <c r="BS11" i="18"/>
  <c r="BS23" i="18"/>
  <c r="BS28" i="18"/>
  <c r="BS10" i="18"/>
  <c r="BS22" i="18"/>
  <c r="BS12" i="18"/>
  <c r="BR24" i="18"/>
  <c r="BN24" i="18"/>
  <c r="CF15" i="47"/>
  <c r="CF44" i="47"/>
  <c r="CF10" i="47"/>
  <c r="CF41" i="47"/>
  <c r="CF24" i="47"/>
  <c r="CF9" i="47"/>
  <c r="CF35" i="47"/>
  <c r="CF43" i="47"/>
  <c r="CF34" i="47"/>
  <c r="CF25" i="47"/>
  <c r="CF30" i="47"/>
  <c r="CF40" i="47"/>
  <c r="CF18" i="47"/>
  <c r="CF36" i="47"/>
  <c r="CF38" i="47"/>
  <c r="CF12" i="47"/>
  <c r="CF16" i="47"/>
  <c r="CF22" i="47"/>
  <c r="CF14" i="47"/>
  <c r="CF17" i="47"/>
  <c r="CF23" i="47"/>
  <c r="BW30" i="18"/>
  <c r="BW16" i="18"/>
  <c r="BW29" i="18"/>
  <c r="BW22" i="18"/>
  <c r="BW15" i="18"/>
  <c r="BW11" i="18"/>
  <c r="BW26" i="18"/>
  <c r="BW12" i="18"/>
  <c r="BW27" i="18"/>
  <c r="BW21" i="18"/>
  <c r="BW23" i="18"/>
  <c r="BW10" i="18"/>
  <c r="BW20" i="18"/>
  <c r="BW25" i="18"/>
  <c r="BW19" i="18"/>
  <c r="BW31" i="18"/>
  <c r="BW14" i="18"/>
  <c r="BW28" i="18"/>
  <c r="BW13" i="18"/>
  <c r="CJ40" i="47"/>
  <c r="CJ35" i="47"/>
  <c r="CJ22" i="47"/>
  <c r="CJ25" i="47"/>
  <c r="CJ12" i="47"/>
  <c r="CJ41" i="47"/>
  <c r="CJ24" i="47"/>
  <c r="CJ44" i="47"/>
  <c r="CJ43" i="47"/>
  <c r="CJ17" i="47"/>
  <c r="CJ23" i="47"/>
  <c r="CJ30" i="47"/>
  <c r="CJ16" i="47"/>
  <c r="CJ15" i="47"/>
  <c r="CJ9" i="47"/>
  <c r="CJ18" i="47"/>
  <c r="CJ38" i="47"/>
  <c r="CJ34" i="47"/>
  <c r="CJ14" i="47"/>
  <c r="CJ10" i="47"/>
  <c r="CJ36" i="47"/>
  <c r="CD40" i="47"/>
  <c r="CD44" i="47"/>
  <c r="CD23" i="47"/>
  <c r="CD22" i="47"/>
  <c r="CD17" i="47"/>
  <c r="CD30" i="47"/>
  <c r="CD18" i="47"/>
  <c r="CD43" i="47"/>
  <c r="CD9" i="47"/>
  <c r="CD24" i="47"/>
  <c r="CD16" i="47"/>
  <c r="CD25" i="47"/>
  <c r="CD34" i="47"/>
  <c r="CD15" i="47"/>
  <c r="CD14" i="47"/>
  <c r="CD35" i="47"/>
  <c r="CD10" i="47"/>
  <c r="CD38" i="47"/>
  <c r="CD41" i="47"/>
  <c r="CD12" i="47"/>
  <c r="CD36" i="47"/>
  <c r="BP15" i="18"/>
  <c r="BP22" i="18"/>
  <c r="BP28" i="18"/>
  <c r="BP13" i="18"/>
  <c r="BP19" i="18"/>
  <c r="BP12" i="18"/>
  <c r="BP20" i="18"/>
  <c r="BP11" i="18"/>
  <c r="BP16" i="18"/>
  <c r="BP27" i="18"/>
  <c r="BP23" i="18"/>
  <c r="BP21" i="18"/>
  <c r="BP10" i="18"/>
  <c r="BP30" i="18"/>
  <c r="BP25" i="18"/>
  <c r="BP29" i="18"/>
  <c r="BP26" i="18"/>
  <c r="BP31" i="18"/>
  <c r="BP14" i="18"/>
  <c r="BZ40" i="47"/>
  <c r="BZ24" i="47"/>
  <c r="BZ14" i="47"/>
  <c r="BZ12" i="47"/>
  <c r="BZ43" i="47"/>
  <c r="BZ17" i="47"/>
  <c r="BZ36" i="47"/>
  <c r="BZ38" i="47"/>
  <c r="BZ35" i="47"/>
  <c r="BZ30" i="47"/>
  <c r="BZ15" i="47"/>
  <c r="BZ18" i="47"/>
  <c r="BZ44" i="47"/>
  <c r="BZ41" i="47"/>
  <c r="BZ10" i="47"/>
  <c r="BZ22" i="47"/>
  <c r="BZ16" i="47"/>
  <c r="BZ23" i="47"/>
  <c r="BZ9" i="47"/>
  <c r="BZ25" i="47"/>
  <c r="BZ34" i="47"/>
  <c r="BO12" i="18"/>
  <c r="BO23" i="18"/>
  <c r="BO17" i="18"/>
  <c r="BO15" i="18"/>
  <c r="BO31" i="18"/>
  <c r="BO10" i="18"/>
  <c r="BO22" i="18"/>
  <c r="BO27" i="18"/>
  <c r="BO19" i="18"/>
  <c r="BO21" i="18"/>
  <c r="BO30" i="18"/>
  <c r="BO13" i="18"/>
  <c r="BO26" i="18"/>
  <c r="BO25" i="18"/>
  <c r="BO29" i="18"/>
  <c r="BO11" i="18"/>
  <c r="BO16" i="18"/>
  <c r="BO14" i="18"/>
  <c r="BO28" i="18"/>
  <c r="BO20" i="18"/>
  <c r="BM25" i="18"/>
  <c r="BM29" i="18"/>
  <c r="BM21" i="18"/>
  <c r="BM15" i="18"/>
  <c r="BM10" i="18"/>
  <c r="BM30" i="18"/>
  <c r="BM26" i="18"/>
  <c r="BM13" i="18"/>
  <c r="BM27" i="18"/>
  <c r="BM12" i="18"/>
  <c r="BM28" i="18"/>
  <c r="BM11" i="18"/>
  <c r="BM22" i="18"/>
  <c r="BM14" i="18"/>
  <c r="BM16" i="18"/>
  <c r="BM20" i="18"/>
  <c r="BM19" i="18"/>
  <c r="BM31" i="18"/>
  <c r="BM23" i="18"/>
  <c r="BW44" i="60"/>
  <c r="BW28" i="60"/>
  <c r="BW29" i="60"/>
  <c r="BW12" i="60"/>
  <c r="BW17" i="60"/>
  <c r="BW43" i="60"/>
  <c r="BW16" i="60"/>
  <c r="BM24" i="18"/>
  <c r="BO24" i="18"/>
  <c r="BP24" i="18"/>
  <c r="CC16" i="47"/>
  <c r="CC14" i="47"/>
  <c r="CC17" i="47"/>
  <c r="CC18" i="47"/>
  <c r="CC9" i="47"/>
  <c r="CC10" i="47"/>
  <c r="CC41" i="47"/>
  <c r="CC36" i="47"/>
  <c r="CC34" i="47"/>
  <c r="CC44" i="47"/>
  <c r="CC12" i="47"/>
  <c r="CC15" i="47"/>
  <c r="CC43" i="47"/>
  <c r="CC23" i="47"/>
  <c r="CC22" i="47"/>
  <c r="CC30" i="47"/>
  <c r="CC38" i="47"/>
  <c r="CC40" i="47"/>
  <c r="CC24" i="47"/>
  <c r="CC25" i="47"/>
  <c r="CC35" i="47"/>
  <c r="BL33" i="1"/>
  <c r="I32" i="20"/>
  <c r="I34" i="20" s="1"/>
  <c r="CE40" i="47"/>
  <c r="CE30" i="47"/>
  <c r="CE24" i="47"/>
  <c r="CE9" i="47"/>
  <c r="CE34" i="47"/>
  <c r="CE43" i="47"/>
  <c r="CE16" i="47"/>
  <c r="CE36" i="47"/>
  <c r="CE25" i="47"/>
  <c r="CE23" i="47"/>
  <c r="CE18" i="47"/>
  <c r="CE41" i="47"/>
  <c r="CE14" i="47"/>
  <c r="CE10" i="47"/>
  <c r="CE38" i="47"/>
  <c r="CE35" i="47"/>
  <c r="CE12" i="47"/>
  <c r="CE17" i="47"/>
  <c r="CE22" i="47"/>
  <c r="CE44" i="47"/>
  <c r="CE15" i="47"/>
  <c r="BP43" i="60"/>
  <c r="BP28" i="60"/>
  <c r="BP12" i="60"/>
  <c r="BP29" i="60"/>
  <c r="BP17" i="60"/>
  <c r="BP44" i="60"/>
  <c r="BP16" i="60"/>
  <c r="BQ12" i="60"/>
  <c r="BQ44" i="60"/>
  <c r="BQ16" i="60"/>
  <c r="BQ43" i="60"/>
  <c r="BQ17" i="60"/>
  <c r="BQ29" i="60"/>
  <c r="BQ28" i="60"/>
  <c r="CI23" i="47"/>
  <c r="CI9" i="47"/>
  <c r="CI34" i="47"/>
  <c r="CI43" i="47"/>
  <c r="CI10" i="47"/>
  <c r="CI15" i="47"/>
  <c r="CI36" i="47"/>
  <c r="CI12" i="47"/>
  <c r="CI41" i="47"/>
  <c r="CI25" i="47"/>
  <c r="CI40" i="47"/>
  <c r="CI22" i="47"/>
  <c r="CI14" i="47"/>
  <c r="CI35" i="47"/>
  <c r="CI24" i="47"/>
  <c r="CI16" i="47"/>
  <c r="CI44" i="47"/>
  <c r="CI38" i="47"/>
  <c r="CI17" i="47"/>
  <c r="CI30" i="47"/>
  <c r="CI18" i="47"/>
  <c r="BV30" i="18"/>
  <c r="BV16" i="18"/>
  <c r="BV20" i="18"/>
  <c r="BV14" i="18"/>
  <c r="BV31" i="18"/>
  <c r="BV11" i="18"/>
  <c r="BV29" i="18"/>
  <c r="BV21" i="18"/>
  <c r="BV13" i="18"/>
  <c r="BV15" i="18"/>
  <c r="BV28" i="18"/>
  <c r="BV26" i="18"/>
  <c r="BV12" i="18"/>
  <c r="BV27" i="18"/>
  <c r="BV23" i="18"/>
  <c r="BV22" i="18"/>
  <c r="BV19" i="18"/>
  <c r="BV10" i="18"/>
  <c r="BV25" i="18"/>
  <c r="BO17" i="60"/>
  <c r="BO28" i="60"/>
  <c r="BO29" i="60"/>
  <c r="BO44" i="60"/>
  <c r="BO16" i="60"/>
  <c r="BO43" i="60"/>
  <c r="BO12" i="60"/>
  <c r="BQ26" i="18"/>
  <c r="BQ12" i="18"/>
  <c r="BQ21" i="18"/>
  <c r="BQ23" i="18"/>
  <c r="BQ27" i="18"/>
  <c r="BQ20" i="18"/>
  <c r="BQ16" i="18"/>
  <c r="BQ10" i="18"/>
  <c r="BQ14" i="18"/>
  <c r="BQ29" i="18"/>
  <c r="BQ31" i="18"/>
  <c r="BQ25" i="18"/>
  <c r="BQ11" i="18"/>
  <c r="BQ28" i="18"/>
  <c r="BQ19" i="18"/>
  <c r="BQ22" i="18"/>
  <c r="BQ13" i="18"/>
  <c r="BQ30" i="18"/>
  <c r="BQ15" i="18"/>
  <c r="BR28" i="60"/>
  <c r="BR16" i="60"/>
  <c r="BR44" i="60"/>
  <c r="BR17" i="60"/>
  <c r="BR43" i="60"/>
  <c r="BR29" i="60"/>
  <c r="BR12" i="60"/>
  <c r="CA40" i="47"/>
  <c r="CA17" i="47"/>
  <c r="CA36" i="47"/>
  <c r="CA35" i="47"/>
  <c r="CA30" i="47"/>
  <c r="CA22" i="47"/>
  <c r="CA23" i="47"/>
  <c r="CA9" i="47"/>
  <c r="CA44" i="47"/>
  <c r="CA34" i="47"/>
  <c r="CA18" i="47"/>
  <c r="CA14" i="47"/>
  <c r="CA25" i="47"/>
  <c r="CA24" i="47"/>
  <c r="CA12" i="47"/>
  <c r="CA41" i="47"/>
  <c r="CA16" i="47"/>
  <c r="CA10" i="47"/>
  <c r="CA43" i="47"/>
  <c r="CA15" i="47"/>
  <c r="CA38" i="47"/>
  <c r="BT12" i="18"/>
  <c r="BT25" i="18"/>
  <c r="BT21" i="18"/>
  <c r="BT10" i="18"/>
  <c r="BT11" i="18"/>
  <c r="BT15" i="18"/>
  <c r="BT13" i="18"/>
  <c r="BT27" i="18"/>
  <c r="BT30" i="18"/>
  <c r="BT14" i="18"/>
  <c r="BT31" i="18"/>
  <c r="BT26" i="18"/>
  <c r="BT29" i="18"/>
  <c r="BT20" i="18"/>
  <c r="BT23" i="18"/>
  <c r="BT16" i="18"/>
  <c r="BT28" i="18"/>
  <c r="BT22" i="18"/>
  <c r="BT19" i="18"/>
  <c r="BS24" i="18"/>
  <c r="BU24" i="18"/>
  <c r="BU29" i="18"/>
  <c r="BU22" i="18"/>
  <c r="BU21" i="18"/>
  <c r="BU11" i="18"/>
  <c r="BU14" i="18"/>
  <c r="BU10" i="18"/>
  <c r="BU25" i="18"/>
  <c r="BU19" i="18"/>
  <c r="BU31" i="18"/>
  <c r="BU23" i="18"/>
  <c r="BU20" i="18"/>
  <c r="BU17" i="18"/>
  <c r="BU30" i="18"/>
  <c r="BU13" i="18"/>
  <c r="BU26" i="18"/>
  <c r="BU28" i="18"/>
  <c r="BU15" i="18"/>
  <c r="BU12" i="18"/>
  <c r="BU27" i="18"/>
  <c r="BU16" i="18"/>
  <c r="BN44" i="60"/>
  <c r="BN19" i="60"/>
  <c r="BN16" i="60"/>
  <c r="BN28" i="60"/>
  <c r="BN12" i="60"/>
  <c r="BN43" i="60"/>
  <c r="BN29" i="60"/>
  <c r="BN17" i="60"/>
  <c r="CB43" i="47"/>
  <c r="CB25" i="47"/>
  <c r="CB24" i="47"/>
  <c r="CB23" i="47"/>
  <c r="CB9" i="47"/>
  <c r="CB15" i="47"/>
  <c r="CB22" i="47"/>
  <c r="CB35" i="47"/>
  <c r="CB40" i="47"/>
  <c r="CB41" i="47"/>
  <c r="CB30" i="47"/>
  <c r="CB34" i="47"/>
  <c r="CB17" i="47"/>
  <c r="CB38" i="47"/>
  <c r="CB12" i="47"/>
  <c r="CB10" i="47"/>
  <c r="CB14" i="47"/>
  <c r="CB16" i="47"/>
  <c r="CB36" i="47"/>
  <c r="CB44" i="47"/>
  <c r="CB18" i="47"/>
  <c r="BV29" i="60"/>
  <c r="BV16" i="60"/>
  <c r="BV17" i="60"/>
  <c r="BV43" i="60"/>
  <c r="BV12" i="60"/>
  <c r="BV44" i="60"/>
  <c r="BV28" i="60"/>
  <c r="BL21" i="18"/>
  <c r="BL12" i="18"/>
  <c r="BL13" i="18"/>
  <c r="BL10" i="18"/>
  <c r="BL11" i="18"/>
  <c r="BL30" i="18"/>
  <c r="BL16" i="18"/>
  <c r="BL28" i="18"/>
  <c r="BL20" i="18"/>
  <c r="BL19" i="18"/>
  <c r="BL27" i="18"/>
  <c r="BL29" i="18"/>
  <c r="BL23" i="18"/>
  <c r="BL22" i="18"/>
  <c r="BL25" i="18"/>
  <c r="BL14" i="18"/>
  <c r="BL17" i="18"/>
  <c r="BL15" i="18"/>
  <c r="BL31" i="18"/>
  <c r="BL26" i="18"/>
  <c r="BL17" i="60"/>
  <c r="BL43" i="60"/>
  <c r="BL16" i="60"/>
  <c r="BL44" i="60"/>
  <c r="BL29" i="60"/>
  <c r="BL28" i="60"/>
  <c r="BW24" i="18"/>
  <c r="BT24" i="18"/>
  <c r="BU17" i="60"/>
  <c r="BU44" i="60"/>
  <c r="BU16" i="60"/>
  <c r="BU29" i="60"/>
  <c r="BU12" i="60"/>
  <c r="BU28" i="60"/>
  <c r="BU43" i="60"/>
  <c r="CG41" i="47"/>
  <c r="CG43" i="47"/>
  <c r="CG30" i="47"/>
  <c r="CG36" i="47"/>
  <c r="CG12" i="47"/>
  <c r="CG15" i="47"/>
  <c r="CG24" i="47"/>
  <c r="CG35" i="47"/>
  <c r="CG14" i="47"/>
  <c r="CG17" i="47"/>
  <c r="CG38" i="47"/>
  <c r="CG23" i="47"/>
  <c r="CG10" i="47"/>
  <c r="CG22" i="47"/>
  <c r="CG16" i="47"/>
  <c r="CG44" i="47"/>
  <c r="CG25" i="47"/>
  <c r="CG40" i="47"/>
  <c r="CG34" i="47"/>
  <c r="CG18" i="47"/>
  <c r="CG9" i="47"/>
  <c r="CK40" i="47"/>
  <c r="CK44" i="47"/>
  <c r="CK22" i="47"/>
  <c r="CK36" i="47"/>
  <c r="CK15" i="47"/>
  <c r="CK14" i="47"/>
  <c r="CK10" i="47"/>
  <c r="CK25" i="47"/>
  <c r="CK23" i="47"/>
  <c r="CK41" i="47"/>
  <c r="CK9" i="47"/>
  <c r="CK38" i="47"/>
  <c r="CK34" i="47"/>
  <c r="CK18" i="47"/>
  <c r="CK35" i="47"/>
  <c r="CK16" i="47"/>
  <c r="CK43" i="47"/>
  <c r="CK17" i="47"/>
  <c r="CK12" i="47"/>
  <c r="CK30" i="47"/>
  <c r="CK24" i="47"/>
  <c r="BT12" i="60"/>
  <c r="BT29" i="60"/>
  <c r="BT43" i="60"/>
  <c r="BT16" i="60"/>
  <c r="BT44" i="60"/>
  <c r="BT28" i="60"/>
  <c r="BT17" i="60"/>
  <c r="BM44" i="60"/>
  <c r="BM43" i="60"/>
  <c r="BM29" i="60"/>
  <c r="BM28" i="60"/>
  <c r="BM16" i="60"/>
  <c r="BM17" i="60"/>
  <c r="BS17" i="60"/>
  <c r="BS16" i="60"/>
  <c r="BS28" i="60"/>
  <c r="BS44" i="60"/>
  <c r="BS29" i="60"/>
  <c r="BS12" i="60"/>
  <c r="BS43" i="60"/>
  <c r="CH36" i="47"/>
  <c r="CH41" i="47"/>
  <c r="CH15" i="47"/>
  <c r="CH18" i="47"/>
  <c r="CH43" i="47"/>
  <c r="CH35" i="47"/>
  <c r="CH14" i="47"/>
  <c r="CH23" i="47"/>
  <c r="CH34" i="47"/>
  <c r="CH30" i="47"/>
  <c r="CH12" i="47"/>
  <c r="CH44" i="47"/>
  <c r="CH16" i="47"/>
  <c r="CH22" i="47"/>
  <c r="CH10" i="47"/>
  <c r="CH9" i="47"/>
  <c r="CH24" i="47"/>
  <c r="CH17" i="47"/>
  <c r="CH40" i="47"/>
  <c r="CH38" i="47"/>
  <c r="CH25" i="47"/>
  <c r="BN10" i="18"/>
  <c r="BN28" i="18"/>
  <c r="BN21" i="18"/>
  <c r="BN13" i="18"/>
  <c r="BN26" i="18"/>
  <c r="BN12" i="18"/>
  <c r="BN9" i="18"/>
  <c r="BN27" i="18"/>
  <c r="BN23" i="18"/>
  <c r="BN14" i="18"/>
  <c r="BN16" i="18"/>
  <c r="BN20" i="18"/>
  <c r="BN25" i="18"/>
  <c r="BN29" i="18"/>
  <c r="BN19" i="18"/>
  <c r="BN15" i="18"/>
  <c r="BN30" i="18"/>
  <c r="BN22" i="18"/>
  <c r="BN11" i="18"/>
  <c r="BN31" i="18"/>
  <c r="CJ21" i="13"/>
  <c r="CJ23" i="13" s="1"/>
  <c r="CI31" i="1" s="1"/>
  <c r="CI33" i="1" s="1"/>
  <c r="CA21" i="13"/>
  <c r="CA23" i="13" s="1"/>
  <c r="BZ31" i="1" s="1"/>
  <c r="BZ33" i="1" s="1"/>
  <c r="CH21" i="13"/>
  <c r="CH23" i="13" s="1"/>
  <c r="CG31" i="1" s="1"/>
  <c r="CG33" i="1" s="1"/>
  <c r="CA8" i="18"/>
  <c r="BZ8" i="18"/>
  <c r="CC21" i="13"/>
  <c r="CC23" i="13" s="1"/>
  <c r="CB31" i="1" s="1"/>
  <c r="CB33" i="1" s="1"/>
  <c r="CF21" i="13"/>
  <c r="CF23" i="13" s="1"/>
  <c r="CE31" i="1" s="1"/>
  <c r="CE33" i="1" s="1"/>
  <c r="CD21" i="13"/>
  <c r="CD23" i="13" s="1"/>
  <c r="CC31" i="1" s="1"/>
  <c r="CC33" i="1" s="1"/>
  <c r="CG21" i="13"/>
  <c r="CG23" i="13" s="1"/>
  <c r="CF31" i="1" s="1"/>
  <c r="CF33" i="1" s="1"/>
  <c r="CG8" i="18"/>
  <c r="CB21" i="13"/>
  <c r="CB23" i="13" s="1"/>
  <c r="CA31" i="1" s="1"/>
  <c r="CA33" i="1" s="1"/>
  <c r="CI8" i="18"/>
  <c r="CH8" i="18"/>
  <c r="CF8" i="18"/>
  <c r="CE8" i="18"/>
  <c r="CD8" i="18"/>
  <c r="BX8" i="18"/>
  <c r="BY21" i="13"/>
  <c r="BY23" i="13" s="1"/>
  <c r="BX31" i="1" s="1"/>
  <c r="CB8" i="18"/>
  <c r="CI21" i="13"/>
  <c r="CI23" i="13" s="1"/>
  <c r="CH31" i="1" s="1"/>
  <c r="CH33" i="1" s="1"/>
  <c r="CC8" i="18"/>
  <c r="CE21" i="13"/>
  <c r="CE23" i="13" s="1"/>
  <c r="CD31" i="1" s="1"/>
  <c r="CD33" i="1" s="1"/>
  <c r="BY8" i="18"/>
  <c r="BZ21" i="13"/>
  <c r="BZ23" i="13" s="1"/>
  <c r="BY31" i="1" s="1"/>
  <c r="BY33" i="1" s="1"/>
  <c r="G25" i="74"/>
  <c r="F40" i="74"/>
  <c r="F68" i="74"/>
  <c r="CK87" i="72"/>
  <c r="AO83" i="72"/>
  <c r="BY86" i="72"/>
  <c r="AC82" i="72"/>
  <c r="BM85" i="72"/>
  <c r="BA84" i="72"/>
  <c r="DI89" i="72"/>
  <c r="Q92" i="72"/>
  <c r="Q10" i="44" s="1"/>
  <c r="CW88" i="72"/>
  <c r="E56" i="74"/>
  <c r="BZ47" i="60" l="1"/>
  <c r="BY47" i="60"/>
  <c r="CE47" i="60"/>
  <c r="CF47" i="60"/>
  <c r="BX47" i="60"/>
  <c r="CH47" i="60"/>
  <c r="CC47" i="60"/>
  <c r="CB47" i="60"/>
  <c r="CI47" i="60"/>
  <c r="CD47" i="60"/>
  <c r="CG47" i="60"/>
  <c r="CA47" i="60"/>
  <c r="H18" i="24"/>
  <c r="I11" i="24" s="1"/>
  <c r="CM12" i="72"/>
  <c r="CA15" i="72"/>
  <c r="CA5" i="44" s="1"/>
  <c r="V58" i="72"/>
  <c r="V8" i="44" s="1"/>
  <c r="AH48" i="72"/>
  <c r="AT49" i="72" s="1"/>
  <c r="BF50" i="72" s="1"/>
  <c r="BR51" i="72" s="1"/>
  <c r="CD52" i="72" s="1"/>
  <c r="CP53" i="72" s="1"/>
  <c r="DB54" i="72" s="1"/>
  <c r="DN55" i="72" s="1"/>
  <c r="Q13" i="44"/>
  <c r="Q17" i="44" s="1"/>
  <c r="Q12" i="44"/>
  <c r="Q11" i="44"/>
  <c r="Q14" i="44" s="1"/>
  <c r="CE100" i="72"/>
  <c r="CQ101" i="72" s="1"/>
  <c r="DC102" i="72" s="1"/>
  <c r="DO103" i="72" s="1"/>
  <c r="BS105" i="72"/>
  <c r="AH124" i="72"/>
  <c r="V133" i="72"/>
  <c r="I39" i="1"/>
  <c r="I17" i="1"/>
  <c r="I16" i="24"/>
  <c r="I7" i="24" s="1"/>
  <c r="S7" i="24"/>
  <c r="S17" i="24"/>
  <c r="L57" i="22"/>
  <c r="L54" i="22"/>
  <c r="L49" i="22"/>
  <c r="L58" i="22"/>
  <c r="L56" i="22"/>
  <c r="L23" i="22"/>
  <c r="L28" i="22"/>
  <c r="L53" i="22"/>
  <c r="L50" i="22"/>
  <c r="L52" i="22"/>
  <c r="L32" i="22"/>
  <c r="L27" i="22"/>
  <c r="M19" i="22"/>
  <c r="L24" i="22"/>
  <c r="L55" i="22"/>
  <c r="L51" i="22"/>
  <c r="L59" i="22"/>
  <c r="L60" i="22"/>
  <c r="L38" i="22"/>
  <c r="L35" i="22"/>
  <c r="L34" i="22"/>
  <c r="L40" i="22"/>
  <c r="L47" i="22"/>
  <c r="L46" i="22"/>
  <c r="L30" i="22"/>
  <c r="L33" i="22"/>
  <c r="L22" i="22"/>
  <c r="L42" i="22"/>
  <c r="L39" i="22"/>
  <c r="L43" i="22"/>
  <c r="L37" i="22"/>
  <c r="L41" i="22"/>
  <c r="L31" i="22"/>
  <c r="L29" i="22"/>
  <c r="L44" i="22"/>
  <c r="L36" i="22"/>
  <c r="L21" i="22"/>
  <c r="L45" i="22"/>
  <c r="L48" i="22"/>
  <c r="E69" i="74"/>
  <c r="W18" i="72" s="1"/>
  <c r="F52" i="74"/>
  <c r="F63" i="74"/>
  <c r="F30" i="44"/>
  <c r="G27" i="44" s="1"/>
  <c r="F9" i="16"/>
  <c r="AD12" i="58"/>
  <c r="AE9" i="58" s="1"/>
  <c r="AE10" i="58" s="1"/>
  <c r="AF40" i="1" s="1"/>
  <c r="N44" i="72"/>
  <c r="N6" i="44" s="1"/>
  <c r="CC24" i="18"/>
  <c r="CH24" i="18"/>
  <c r="CM40" i="47"/>
  <c r="CM30" i="47"/>
  <c r="CM41" i="47"/>
  <c r="CM38" i="47"/>
  <c r="CM22" i="47"/>
  <c r="CM17" i="47"/>
  <c r="CM24" i="47"/>
  <c r="CM23" i="47"/>
  <c r="CM14" i="47"/>
  <c r="CM44" i="47"/>
  <c r="CM34" i="47"/>
  <c r="CM35" i="47"/>
  <c r="CM43" i="47"/>
  <c r="CM10" i="47"/>
  <c r="CM36" i="47"/>
  <c r="CM25" i="47"/>
  <c r="CM12" i="47"/>
  <c r="CM15" i="47"/>
  <c r="CM18" i="47"/>
  <c r="CM16" i="47"/>
  <c r="CM9" i="47"/>
  <c r="CE30" i="18"/>
  <c r="CE22" i="18"/>
  <c r="CE10" i="18"/>
  <c r="CE21" i="18"/>
  <c r="CE26" i="18"/>
  <c r="CE11" i="18"/>
  <c r="CE12" i="18"/>
  <c r="CE13" i="18"/>
  <c r="CE14" i="18"/>
  <c r="CE25" i="18"/>
  <c r="CE15" i="18"/>
  <c r="CE29" i="18"/>
  <c r="CE31" i="18"/>
  <c r="CE27" i="18"/>
  <c r="CE20" i="18"/>
  <c r="CE16" i="18"/>
  <c r="CE19" i="18"/>
  <c r="CE28" i="18"/>
  <c r="CE23" i="18"/>
  <c r="CV40" i="47"/>
  <c r="CV44" i="47"/>
  <c r="CV12" i="47"/>
  <c r="CV43" i="47"/>
  <c r="CV14" i="47"/>
  <c r="CV24" i="47"/>
  <c r="CV18" i="47"/>
  <c r="CV9" i="47"/>
  <c r="CV35" i="47"/>
  <c r="CV38" i="47"/>
  <c r="CV30" i="47"/>
  <c r="CV25" i="47"/>
  <c r="CV22" i="47"/>
  <c r="CV16" i="47"/>
  <c r="CV41" i="47"/>
  <c r="CV34" i="47"/>
  <c r="CV10" i="47"/>
  <c r="CV23" i="47"/>
  <c r="CV15" i="47"/>
  <c r="CV36" i="47"/>
  <c r="CV17" i="47"/>
  <c r="CR12" i="47"/>
  <c r="CR41" i="47"/>
  <c r="CR17" i="47"/>
  <c r="CR43" i="47"/>
  <c r="CR18" i="47"/>
  <c r="CR23" i="47"/>
  <c r="CR14" i="47"/>
  <c r="CR10" i="47"/>
  <c r="CR25" i="47"/>
  <c r="CR40" i="47"/>
  <c r="CR34" i="47"/>
  <c r="CR36" i="47"/>
  <c r="CR35" i="47"/>
  <c r="CR38" i="47"/>
  <c r="CR24" i="47"/>
  <c r="CR9" i="47"/>
  <c r="CR30" i="47"/>
  <c r="CR15" i="47"/>
  <c r="CR22" i="47"/>
  <c r="CR16" i="47"/>
  <c r="CR44" i="47"/>
  <c r="CA14" i="18"/>
  <c r="CA11" i="18"/>
  <c r="CA13" i="18"/>
  <c r="CA15" i="18"/>
  <c r="CA29" i="18"/>
  <c r="CA21" i="18"/>
  <c r="CA12" i="18"/>
  <c r="CA25" i="18"/>
  <c r="CA30" i="18"/>
  <c r="CA28" i="18"/>
  <c r="CA27" i="18"/>
  <c r="CA20" i="18"/>
  <c r="CA26" i="18"/>
  <c r="CA17" i="18"/>
  <c r="CA22" i="18"/>
  <c r="CA23" i="18"/>
  <c r="CA16" i="18"/>
  <c r="CA31" i="18"/>
  <c r="CA19" i="18"/>
  <c r="CA10" i="18"/>
  <c r="BX24" i="18"/>
  <c r="CN40" i="47"/>
  <c r="CN22" i="47"/>
  <c r="CN43" i="47"/>
  <c r="CN30" i="47"/>
  <c r="CN36" i="47"/>
  <c r="CN25" i="47"/>
  <c r="CN41" i="47"/>
  <c r="CN9" i="47"/>
  <c r="CN10" i="47"/>
  <c r="CN44" i="47"/>
  <c r="CN16" i="47"/>
  <c r="CN15" i="47"/>
  <c r="CN24" i="47"/>
  <c r="CN35" i="47"/>
  <c r="CN14" i="47"/>
  <c r="CN34" i="47"/>
  <c r="CN12" i="47"/>
  <c r="CN18" i="47"/>
  <c r="CN23" i="47"/>
  <c r="CN38" i="47"/>
  <c r="CN17" i="47"/>
  <c r="CI30" i="18"/>
  <c r="CI19" i="18"/>
  <c r="CI31" i="18"/>
  <c r="CI10" i="18"/>
  <c r="CI22" i="18"/>
  <c r="CI11" i="18"/>
  <c r="CI16" i="18"/>
  <c r="CI14" i="18"/>
  <c r="CI21" i="18"/>
  <c r="CI29" i="18"/>
  <c r="CI26" i="18"/>
  <c r="CI20" i="18"/>
  <c r="CI28" i="18"/>
  <c r="CI23" i="18"/>
  <c r="CI27" i="18"/>
  <c r="CI15" i="18"/>
  <c r="CI25" i="18"/>
  <c r="CI12" i="18"/>
  <c r="CI13" i="18"/>
  <c r="BX44" i="60"/>
  <c r="BX17" i="60"/>
  <c r="BX29" i="60"/>
  <c r="BX16" i="60"/>
  <c r="BX28" i="60"/>
  <c r="BX43" i="60"/>
  <c r="CS43" i="47"/>
  <c r="CS9" i="47"/>
  <c r="CS36" i="47"/>
  <c r="CS18" i="47"/>
  <c r="CS41" i="47"/>
  <c r="CS15" i="47"/>
  <c r="CS34" i="47"/>
  <c r="CS44" i="47"/>
  <c r="CS23" i="47"/>
  <c r="CS17" i="47"/>
  <c r="CS24" i="47"/>
  <c r="CS12" i="47"/>
  <c r="CS35" i="47"/>
  <c r="CS38" i="47"/>
  <c r="CS40" i="47"/>
  <c r="CS10" i="47"/>
  <c r="CS22" i="47"/>
  <c r="CS25" i="47"/>
  <c r="CS30" i="47"/>
  <c r="CS14" i="47"/>
  <c r="CS16" i="47"/>
  <c r="BZ30" i="18"/>
  <c r="BZ16" i="18"/>
  <c r="BZ25" i="18"/>
  <c r="BZ20" i="18"/>
  <c r="BZ15" i="18"/>
  <c r="BZ9" i="18"/>
  <c r="BZ23" i="18"/>
  <c r="BZ14" i="18"/>
  <c r="BZ27" i="18"/>
  <c r="BZ28" i="18"/>
  <c r="BZ22" i="18"/>
  <c r="BZ12" i="18"/>
  <c r="BZ31" i="18"/>
  <c r="BZ11" i="18"/>
  <c r="BZ21" i="18"/>
  <c r="BZ13" i="18"/>
  <c r="BZ10" i="18"/>
  <c r="BZ26" i="18"/>
  <c r="BZ29" i="18"/>
  <c r="BZ19" i="18"/>
  <c r="BY26" i="18"/>
  <c r="BY15" i="18"/>
  <c r="BY23" i="18"/>
  <c r="BY31" i="18"/>
  <c r="BY30" i="18"/>
  <c r="BY21" i="18"/>
  <c r="BY25" i="18"/>
  <c r="BY29" i="18"/>
  <c r="BY13" i="18"/>
  <c r="BY10" i="18"/>
  <c r="BY12" i="18"/>
  <c r="BY19" i="18"/>
  <c r="BY22" i="18"/>
  <c r="BY27" i="18"/>
  <c r="BY20" i="18"/>
  <c r="BY11" i="18"/>
  <c r="BY16" i="18"/>
  <c r="BY28" i="18"/>
  <c r="BY14" i="18"/>
  <c r="CO18" i="47"/>
  <c r="CO36" i="47"/>
  <c r="CO12" i="47"/>
  <c r="CO10" i="47"/>
  <c r="CO41" i="47"/>
  <c r="CO40" i="47"/>
  <c r="CO38" i="47"/>
  <c r="CO23" i="47"/>
  <c r="CO44" i="47"/>
  <c r="CO35" i="47"/>
  <c r="CO25" i="47"/>
  <c r="CO22" i="47"/>
  <c r="CO9" i="47"/>
  <c r="CO43" i="47"/>
  <c r="CO30" i="47"/>
  <c r="CO34" i="47"/>
  <c r="CO14" i="47"/>
  <c r="CO15" i="47"/>
  <c r="CO17" i="47"/>
  <c r="CO24" i="47"/>
  <c r="CO16" i="47"/>
  <c r="BX33" i="1"/>
  <c r="J32" i="20"/>
  <c r="J34" i="20" s="1"/>
  <c r="CD27" i="18"/>
  <c r="CD23" i="18"/>
  <c r="CD10" i="18"/>
  <c r="CD26" i="18"/>
  <c r="CD31" i="18"/>
  <c r="CD20" i="18"/>
  <c r="CD25" i="18"/>
  <c r="CD22" i="18"/>
  <c r="CD16" i="18"/>
  <c r="CD28" i="18"/>
  <c r="CD19" i="18"/>
  <c r="CD29" i="18"/>
  <c r="CD21" i="18"/>
  <c r="CD14" i="18"/>
  <c r="CD11" i="18"/>
  <c r="CD12" i="18"/>
  <c r="CD13" i="18"/>
  <c r="CD17" i="18"/>
  <c r="CD30" i="18"/>
  <c r="CD15" i="18"/>
  <c r="CA29" i="60"/>
  <c r="CA17" i="60"/>
  <c r="CA43" i="60"/>
  <c r="CA16" i="60"/>
  <c r="CA12" i="60"/>
  <c r="CA44" i="60"/>
  <c r="CA28" i="60"/>
  <c r="CF30" i="18"/>
  <c r="CF16" i="18"/>
  <c r="CF26" i="18"/>
  <c r="CF23" i="18"/>
  <c r="CF20" i="18"/>
  <c r="CF27" i="18"/>
  <c r="CF13" i="18"/>
  <c r="CF15" i="18"/>
  <c r="CF29" i="18"/>
  <c r="CF10" i="18"/>
  <c r="CF31" i="18"/>
  <c r="CF14" i="18"/>
  <c r="CF28" i="18"/>
  <c r="CF12" i="18"/>
  <c r="CF21" i="18"/>
  <c r="CF11" i="18"/>
  <c r="CF25" i="18"/>
  <c r="CF19" i="18"/>
  <c r="CW38" i="47"/>
  <c r="CW10" i="47"/>
  <c r="CW30" i="47"/>
  <c r="CW36" i="47"/>
  <c r="CW12" i="47"/>
  <c r="CW35" i="47"/>
  <c r="CW22" i="47"/>
  <c r="CW23" i="47"/>
  <c r="CW14" i="47"/>
  <c r="CW18" i="47"/>
  <c r="CW43" i="47"/>
  <c r="CW9" i="47"/>
  <c r="CW17" i="47"/>
  <c r="CW15" i="47"/>
  <c r="CW41" i="47"/>
  <c r="CW40" i="47"/>
  <c r="CW44" i="47"/>
  <c r="CW25" i="47"/>
  <c r="CW34" i="47"/>
  <c r="CW16" i="47"/>
  <c r="CW24" i="47"/>
  <c r="CD28" i="60"/>
  <c r="CD44" i="60"/>
  <c r="CD29" i="60"/>
  <c r="CD12" i="60"/>
  <c r="CD16" i="60"/>
  <c r="CD17" i="60"/>
  <c r="CD43" i="60"/>
  <c r="BY43" i="60"/>
  <c r="BY29" i="60"/>
  <c r="BY44" i="60"/>
  <c r="BY28" i="60"/>
  <c r="BY16" i="60"/>
  <c r="BY17" i="60"/>
  <c r="BZ19" i="60"/>
  <c r="BZ12" i="60"/>
  <c r="BZ43" i="60"/>
  <c r="BZ17" i="60"/>
  <c r="BZ28" i="60"/>
  <c r="BZ16" i="60"/>
  <c r="BZ29" i="60"/>
  <c r="BZ44" i="60"/>
  <c r="CQ21" i="13"/>
  <c r="CQ23" i="13" s="1"/>
  <c r="CP31" i="1" s="1"/>
  <c r="CP33" i="1" s="1"/>
  <c r="CO21" i="13"/>
  <c r="CO23" i="13" s="1"/>
  <c r="CN31" i="1" s="1"/>
  <c r="CN33" i="1" s="1"/>
  <c r="CM8" i="18"/>
  <c r="CT8" i="18"/>
  <c r="CK8" i="18"/>
  <c r="CJ8" i="18"/>
  <c r="CV21" i="13"/>
  <c r="CV23" i="13" s="1"/>
  <c r="CU31" i="1" s="1"/>
  <c r="CU33" i="1" s="1"/>
  <c r="CM21" i="13"/>
  <c r="CM23" i="13" s="1"/>
  <c r="CL31" i="1" s="1"/>
  <c r="CL33" i="1" s="1"/>
  <c r="CT21" i="13"/>
  <c r="CT23" i="13" s="1"/>
  <c r="CS31" i="1" s="1"/>
  <c r="CS33" i="1" s="1"/>
  <c r="CK21" i="13"/>
  <c r="CK23" i="13" s="1"/>
  <c r="CJ31" i="1" s="1"/>
  <c r="CS21" i="13"/>
  <c r="CS23" i="13" s="1"/>
  <c r="CR31" i="1" s="1"/>
  <c r="CR33" i="1" s="1"/>
  <c r="CP8" i="18"/>
  <c r="CN8" i="18"/>
  <c r="CR21" i="13"/>
  <c r="CR23" i="13" s="1"/>
  <c r="CQ31" i="1" s="1"/>
  <c r="CQ33" i="1" s="1"/>
  <c r="CN21" i="13"/>
  <c r="CN23" i="13" s="1"/>
  <c r="CM31" i="1" s="1"/>
  <c r="CM33" i="1" s="1"/>
  <c r="CR8" i="18"/>
  <c r="CU8" i="18"/>
  <c r="CS8" i="18"/>
  <c r="CU21" i="13"/>
  <c r="CU23" i="13" s="1"/>
  <c r="CT31" i="1" s="1"/>
  <c r="CT33" i="1" s="1"/>
  <c r="CQ8" i="18"/>
  <c r="CO8" i="18"/>
  <c r="CP21" i="13"/>
  <c r="CP23" i="13" s="1"/>
  <c r="CO31" i="1" s="1"/>
  <c r="CO33" i="1" s="1"/>
  <c r="CL8" i="18"/>
  <c r="CL21" i="13"/>
  <c r="CL23" i="13" s="1"/>
  <c r="CK31" i="1" s="1"/>
  <c r="CK33" i="1" s="1"/>
  <c r="BZ24" i="18"/>
  <c r="CC16" i="18"/>
  <c r="CC26" i="18"/>
  <c r="CC12" i="18"/>
  <c r="CC15" i="18"/>
  <c r="CC20" i="18"/>
  <c r="CC22" i="18"/>
  <c r="CC19" i="18"/>
  <c r="CC10" i="18"/>
  <c r="CC29" i="18"/>
  <c r="CC30" i="18"/>
  <c r="CC25" i="18"/>
  <c r="CC14" i="18"/>
  <c r="CC31" i="18"/>
  <c r="CC28" i="18"/>
  <c r="CC13" i="18"/>
  <c r="CC27" i="18"/>
  <c r="CC11" i="18"/>
  <c r="CC21" i="18"/>
  <c r="CC23" i="18"/>
  <c r="CH44" i="60"/>
  <c r="CH43" i="60"/>
  <c r="CH16" i="60"/>
  <c r="CH28" i="60"/>
  <c r="CH17" i="60"/>
  <c r="CH29" i="60"/>
  <c r="CH12" i="60"/>
  <c r="CG43" i="60"/>
  <c r="CG12" i="60"/>
  <c r="CG17" i="60"/>
  <c r="CG44" i="60"/>
  <c r="CG16" i="60"/>
  <c r="CG28" i="60"/>
  <c r="CG29" i="60"/>
  <c r="CB14" i="18"/>
  <c r="CB19" i="18"/>
  <c r="CB23" i="18"/>
  <c r="CB31" i="18"/>
  <c r="CB25" i="18"/>
  <c r="CB15" i="18"/>
  <c r="CB27" i="18"/>
  <c r="CB29" i="18"/>
  <c r="CB30" i="18"/>
  <c r="CB12" i="18"/>
  <c r="CB26" i="18"/>
  <c r="CB10" i="18"/>
  <c r="CB20" i="18"/>
  <c r="CB13" i="18"/>
  <c r="CB28" i="18"/>
  <c r="CB21" i="18"/>
  <c r="CB16" i="18"/>
  <c r="CB22" i="18"/>
  <c r="CB11" i="18"/>
  <c r="BX30" i="18"/>
  <c r="BX16" i="18"/>
  <c r="BX21" i="18"/>
  <c r="BX12" i="18"/>
  <c r="BX23" i="18"/>
  <c r="BX11" i="18"/>
  <c r="BX15" i="18"/>
  <c r="BX26" i="18"/>
  <c r="BX27" i="18"/>
  <c r="BX22" i="18"/>
  <c r="BX10" i="18"/>
  <c r="BX31" i="18"/>
  <c r="BX20" i="18"/>
  <c r="BX29" i="18"/>
  <c r="BX17" i="18"/>
  <c r="BX28" i="18"/>
  <c r="BX14" i="18"/>
  <c r="BX13" i="18"/>
  <c r="BX19" i="18"/>
  <c r="BX25" i="18"/>
  <c r="CT40" i="47"/>
  <c r="CT9" i="47"/>
  <c r="CT41" i="47"/>
  <c r="CT34" i="47"/>
  <c r="CT25" i="47"/>
  <c r="CT23" i="47"/>
  <c r="CT14" i="47"/>
  <c r="CT22" i="47"/>
  <c r="CT24" i="47"/>
  <c r="CT44" i="47"/>
  <c r="CT36" i="47"/>
  <c r="CT43" i="47"/>
  <c r="CT16" i="47"/>
  <c r="CT12" i="47"/>
  <c r="CT38" i="47"/>
  <c r="CT15" i="47"/>
  <c r="CT35" i="47"/>
  <c r="CT30" i="47"/>
  <c r="CT18" i="47"/>
  <c r="CT17" i="47"/>
  <c r="CT10" i="47"/>
  <c r="CH16" i="18"/>
  <c r="CH28" i="18"/>
  <c r="CH22" i="18"/>
  <c r="CH25" i="18"/>
  <c r="CH27" i="18"/>
  <c r="CH30" i="18"/>
  <c r="CH12" i="18"/>
  <c r="CH23" i="18"/>
  <c r="CH31" i="18"/>
  <c r="CH11" i="18"/>
  <c r="CH13" i="18"/>
  <c r="CH19" i="18"/>
  <c r="CH29" i="18"/>
  <c r="CH10" i="18"/>
  <c r="CH26" i="18"/>
  <c r="CH21" i="18"/>
  <c r="CH20" i="18"/>
  <c r="CH15" i="18"/>
  <c r="CH14" i="18"/>
  <c r="CE28" i="60"/>
  <c r="CE44" i="60"/>
  <c r="CE43" i="60"/>
  <c r="CE17" i="60"/>
  <c r="CE16" i="60"/>
  <c r="CE29" i="60"/>
  <c r="CE12" i="60"/>
  <c r="CI44" i="60"/>
  <c r="CI16" i="60"/>
  <c r="CI12" i="60"/>
  <c r="CI28" i="60"/>
  <c r="CI17" i="60"/>
  <c r="CI29" i="60"/>
  <c r="CI43" i="60"/>
  <c r="CU40" i="47"/>
  <c r="CU16" i="47"/>
  <c r="CU30" i="47"/>
  <c r="CU23" i="47"/>
  <c r="CU44" i="47"/>
  <c r="CU38" i="47"/>
  <c r="CU25" i="47"/>
  <c r="CU15" i="47"/>
  <c r="CU12" i="47"/>
  <c r="CU35" i="47"/>
  <c r="CU34" i="47"/>
  <c r="CU43" i="47"/>
  <c r="CU18" i="47"/>
  <c r="CU17" i="47"/>
  <c r="CU10" i="47"/>
  <c r="CU36" i="47"/>
  <c r="CU14" i="47"/>
  <c r="CU41" i="47"/>
  <c r="CU24" i="47"/>
  <c r="CU9" i="47"/>
  <c r="CU22" i="47"/>
  <c r="CC29" i="60"/>
  <c r="CC28" i="60"/>
  <c r="CC16" i="60"/>
  <c r="CC43" i="60"/>
  <c r="CC12" i="60"/>
  <c r="CC44" i="60"/>
  <c r="CC17" i="60"/>
  <c r="CI24" i="18"/>
  <c r="CG24" i="18"/>
  <c r="CA24" i="18"/>
  <c r="CB24" i="18"/>
  <c r="CP22" i="47"/>
  <c r="CP24" i="47"/>
  <c r="CP35" i="47"/>
  <c r="CP38" i="47"/>
  <c r="CP18" i="47"/>
  <c r="CP10" i="47"/>
  <c r="CP44" i="47"/>
  <c r="CP12" i="47"/>
  <c r="CP34" i="47"/>
  <c r="CP43" i="47"/>
  <c r="CP16" i="47"/>
  <c r="CP41" i="47"/>
  <c r="CP30" i="47"/>
  <c r="CP15" i="47"/>
  <c r="CP40" i="47"/>
  <c r="CP25" i="47"/>
  <c r="CP17" i="47"/>
  <c r="CP9" i="47"/>
  <c r="CP14" i="47"/>
  <c r="CP23" i="47"/>
  <c r="CP36" i="47"/>
  <c r="CF29" i="60"/>
  <c r="CF17" i="60"/>
  <c r="CF43" i="60"/>
  <c r="CF28" i="60"/>
  <c r="CF16" i="60"/>
  <c r="CF44" i="60"/>
  <c r="CF12" i="60"/>
  <c r="CB28" i="60"/>
  <c r="CB29" i="60"/>
  <c r="CB12" i="60"/>
  <c r="CB17" i="60"/>
  <c r="CB43" i="60"/>
  <c r="CB16" i="60"/>
  <c r="CB44" i="60"/>
  <c r="CL23" i="47"/>
  <c r="CL15" i="47"/>
  <c r="CL12" i="47"/>
  <c r="CL17" i="47"/>
  <c r="CL10" i="47"/>
  <c r="CL36" i="47"/>
  <c r="CL43" i="47"/>
  <c r="CL24" i="47"/>
  <c r="CL16" i="47"/>
  <c r="CL35" i="47"/>
  <c r="CL44" i="47"/>
  <c r="CL25" i="47"/>
  <c r="CL38" i="47"/>
  <c r="CL22" i="47"/>
  <c r="CL30" i="47"/>
  <c r="CL34" i="47"/>
  <c r="CL18" i="47"/>
  <c r="CL40" i="47"/>
  <c r="CL41" i="47"/>
  <c r="CL14" i="47"/>
  <c r="CL9" i="47"/>
  <c r="CQ22" i="47"/>
  <c r="CQ18" i="47"/>
  <c r="CQ34" i="47"/>
  <c r="CQ44" i="47"/>
  <c r="CQ40" i="47"/>
  <c r="CQ38" i="47"/>
  <c r="CQ9" i="47"/>
  <c r="CQ36" i="47"/>
  <c r="CQ24" i="47"/>
  <c r="CQ16" i="47"/>
  <c r="CQ12" i="47"/>
  <c r="CQ14" i="47"/>
  <c r="CQ10" i="47"/>
  <c r="CQ41" i="47"/>
  <c r="CQ15" i="47"/>
  <c r="CQ25" i="47"/>
  <c r="CQ17" i="47"/>
  <c r="CQ35" i="47"/>
  <c r="CQ30" i="47"/>
  <c r="CQ43" i="47"/>
  <c r="CQ23" i="47"/>
  <c r="CG30" i="18"/>
  <c r="CG13" i="18"/>
  <c r="CG27" i="18"/>
  <c r="CG15" i="18"/>
  <c r="CG20" i="18"/>
  <c r="CG11" i="18"/>
  <c r="CG22" i="18"/>
  <c r="CG12" i="18"/>
  <c r="CG10" i="18"/>
  <c r="CG25" i="18"/>
  <c r="CG21" i="18"/>
  <c r="CG17" i="18"/>
  <c r="CG14" i="18"/>
  <c r="CG26" i="18"/>
  <c r="CG29" i="18"/>
  <c r="CG31" i="18"/>
  <c r="CG28" i="18"/>
  <c r="CG16" i="18"/>
  <c r="CG23" i="18"/>
  <c r="CG19" i="18"/>
  <c r="CF24" i="18"/>
  <c r="CE24" i="18"/>
  <c r="BY24" i="18"/>
  <c r="CD24" i="18"/>
  <c r="G32" i="74"/>
  <c r="G35" i="74"/>
  <c r="R78" i="72"/>
  <c r="R81" i="72" s="1"/>
  <c r="CS47" i="60" l="1"/>
  <c r="CL47" i="60"/>
  <c r="CO47" i="60"/>
  <c r="CJ47" i="60"/>
  <c r="CM47" i="60"/>
  <c r="CN47" i="60"/>
  <c r="CR47" i="60"/>
  <c r="CU47" i="60"/>
  <c r="CQ47" i="60"/>
  <c r="CP47" i="60"/>
  <c r="CT47" i="60"/>
  <c r="CK47" i="60"/>
  <c r="Q15" i="44"/>
  <c r="Q16" i="44"/>
  <c r="U38" i="60"/>
  <c r="U37" i="60"/>
  <c r="CY13" i="72"/>
  <c r="CM15" i="72"/>
  <c r="CM5" i="44" s="1"/>
  <c r="W28" i="72"/>
  <c r="W6" i="44" s="1"/>
  <c r="AI19" i="72"/>
  <c r="AU20" i="72" s="1"/>
  <c r="BG21" i="72" s="1"/>
  <c r="BS22" i="72" s="1"/>
  <c r="CE23" i="72" s="1"/>
  <c r="CQ24" i="72" s="1"/>
  <c r="DC25" i="72" s="1"/>
  <c r="DO26" i="72" s="1"/>
  <c r="AH133" i="72"/>
  <c r="AT125" i="72"/>
  <c r="I18" i="24"/>
  <c r="J11" i="24" s="1"/>
  <c r="I41" i="1"/>
  <c r="S8" i="24"/>
  <c r="T37" i="1" s="1"/>
  <c r="S18" i="24"/>
  <c r="T15" i="24" s="1"/>
  <c r="M57" i="22"/>
  <c r="M53" i="22"/>
  <c r="M56" i="22"/>
  <c r="M27" i="22"/>
  <c r="M36" i="22"/>
  <c r="M28" i="22"/>
  <c r="N19" i="22"/>
  <c r="M58" i="22"/>
  <c r="M31" i="22"/>
  <c r="M24" i="22"/>
  <c r="M32" i="22"/>
  <c r="M23" i="22"/>
  <c r="M60" i="22"/>
  <c r="M55" i="22"/>
  <c r="M54" i="22"/>
  <c r="M59" i="22"/>
  <c r="M50" i="22"/>
  <c r="M44" i="22"/>
  <c r="M43" i="22"/>
  <c r="M49" i="22"/>
  <c r="M46" i="22"/>
  <c r="M38" i="22"/>
  <c r="M37" i="22"/>
  <c r="M22" i="22"/>
  <c r="M45" i="22"/>
  <c r="M42" i="22"/>
  <c r="M29" i="22"/>
  <c r="M48" i="22"/>
  <c r="M21" i="22"/>
  <c r="M52" i="22"/>
  <c r="M51" i="22"/>
  <c r="M47" i="22"/>
  <c r="M40" i="22"/>
  <c r="M33" i="22"/>
  <c r="M34" i="22"/>
  <c r="M35" i="22"/>
  <c r="M39" i="22"/>
  <c r="M41" i="22"/>
  <c r="M30" i="22"/>
  <c r="T39" i="1"/>
  <c r="T17" i="1"/>
  <c r="J17" i="1"/>
  <c r="J39" i="1"/>
  <c r="J41" i="1" s="1"/>
  <c r="E72" i="74"/>
  <c r="F64" i="74"/>
  <c r="F65" i="74" s="1"/>
  <c r="G61" i="74" s="1"/>
  <c r="F55" i="74"/>
  <c r="F53" i="74" s="1"/>
  <c r="F67" i="74" s="1"/>
  <c r="X95" i="72" s="1"/>
  <c r="AJ96" i="72" s="1"/>
  <c r="AV97" i="72" s="1"/>
  <c r="BH98" i="72" s="1"/>
  <c r="BT99" i="72" s="1"/>
  <c r="F71" i="74"/>
  <c r="Q28" i="44"/>
  <c r="G29" i="44"/>
  <c r="AE12" i="58"/>
  <c r="AF9" i="58" s="1"/>
  <c r="AF10" i="58" s="1"/>
  <c r="CT24" i="18"/>
  <c r="CZ40" i="47"/>
  <c r="CZ43" i="47"/>
  <c r="CZ30" i="47"/>
  <c r="CZ23" i="47"/>
  <c r="CZ34" i="47"/>
  <c r="CZ18" i="47"/>
  <c r="CZ41" i="47"/>
  <c r="CZ35" i="47"/>
  <c r="CZ25" i="47"/>
  <c r="CZ38" i="47"/>
  <c r="CZ22" i="47"/>
  <c r="CZ36" i="47"/>
  <c r="CZ12" i="47"/>
  <c r="CZ16" i="47"/>
  <c r="CZ24" i="47"/>
  <c r="CZ17" i="47"/>
  <c r="CZ10" i="47"/>
  <c r="CZ14" i="47"/>
  <c r="CZ44" i="47"/>
  <c r="CZ9" i="47"/>
  <c r="CZ15" i="47"/>
  <c r="CO24" i="18"/>
  <c r="CR24" i="18"/>
  <c r="CL16" i="18"/>
  <c r="CL11" i="18"/>
  <c r="CL14" i="18"/>
  <c r="CL19" i="18"/>
  <c r="CL25" i="18"/>
  <c r="CL26" i="18"/>
  <c r="CL22" i="18"/>
  <c r="CL23" i="18"/>
  <c r="CL15" i="18"/>
  <c r="CL29" i="18"/>
  <c r="CL21" i="18"/>
  <c r="CL28" i="18"/>
  <c r="CL9" i="18"/>
  <c r="CL27" i="18"/>
  <c r="CL20" i="18"/>
  <c r="CL30" i="18"/>
  <c r="CL10" i="18"/>
  <c r="CL31" i="18"/>
  <c r="CL12" i="18"/>
  <c r="CL13" i="18"/>
  <c r="CO16" i="18"/>
  <c r="CO19" i="18"/>
  <c r="CO28" i="18"/>
  <c r="CO22" i="18"/>
  <c r="CO12" i="18"/>
  <c r="CO20" i="18"/>
  <c r="CO21" i="18"/>
  <c r="CO27" i="18"/>
  <c r="CO11" i="18"/>
  <c r="CO26" i="18"/>
  <c r="CO10" i="18"/>
  <c r="CO13" i="18"/>
  <c r="CO25" i="18"/>
  <c r="CO30" i="18"/>
  <c r="CO23" i="18"/>
  <c r="CO31" i="18"/>
  <c r="CO14" i="18"/>
  <c r="CO15" i="18"/>
  <c r="CO29" i="18"/>
  <c r="DI40" i="47"/>
  <c r="DI10" i="47"/>
  <c r="DI44" i="47"/>
  <c r="DI34" i="47"/>
  <c r="DI22" i="47"/>
  <c r="DI36" i="47"/>
  <c r="DI41" i="47"/>
  <c r="DI30" i="47"/>
  <c r="DI25" i="47"/>
  <c r="DI9" i="47"/>
  <c r="DI23" i="47"/>
  <c r="DI16" i="47"/>
  <c r="DI35" i="47"/>
  <c r="DI14" i="47"/>
  <c r="DI43" i="47"/>
  <c r="DI38" i="47"/>
  <c r="DI12" i="47"/>
  <c r="DI17" i="47"/>
  <c r="DI15" i="47"/>
  <c r="DI18" i="47"/>
  <c r="DI24" i="47"/>
  <c r="CJ43" i="60"/>
  <c r="CJ44" i="60"/>
  <c r="CJ16" i="60"/>
  <c r="CJ28" i="60"/>
  <c r="CJ29" i="60"/>
  <c r="CJ17" i="60"/>
  <c r="CQ29" i="60"/>
  <c r="CQ28" i="60"/>
  <c r="CQ44" i="60"/>
  <c r="CQ43" i="60"/>
  <c r="CQ17" i="60"/>
  <c r="CQ16" i="60"/>
  <c r="CQ12" i="60"/>
  <c r="CT17" i="60"/>
  <c r="CT29" i="60"/>
  <c r="CT12" i="60"/>
  <c r="CT44" i="60"/>
  <c r="CT16" i="60"/>
  <c r="CT28" i="60"/>
  <c r="CT43" i="60"/>
  <c r="CK29" i="60"/>
  <c r="CK44" i="60"/>
  <c r="CK28" i="60"/>
  <c r="CK43" i="60"/>
  <c r="CK16" i="60"/>
  <c r="CK17" i="60"/>
  <c r="CY40" i="47"/>
  <c r="CY12" i="47"/>
  <c r="CY9" i="47"/>
  <c r="CY10" i="47"/>
  <c r="CY23" i="47"/>
  <c r="CY22" i="47"/>
  <c r="CY15" i="47"/>
  <c r="CY36" i="47"/>
  <c r="CY25" i="47"/>
  <c r="CY18" i="47"/>
  <c r="CY43" i="47"/>
  <c r="CY16" i="47"/>
  <c r="CY30" i="47"/>
  <c r="CY38" i="47"/>
  <c r="CY24" i="47"/>
  <c r="CY44" i="47"/>
  <c r="CY14" i="47"/>
  <c r="CY35" i="47"/>
  <c r="CY17" i="47"/>
  <c r="CY34" i="47"/>
  <c r="CY41" i="47"/>
  <c r="CN43" i="60"/>
  <c r="CN17" i="60"/>
  <c r="CN28" i="60"/>
  <c r="CN12" i="60"/>
  <c r="CN29" i="60"/>
  <c r="CN16" i="60"/>
  <c r="CN44" i="60"/>
  <c r="DG23" i="47"/>
  <c r="DG36" i="47"/>
  <c r="DG9" i="47"/>
  <c r="DG14" i="47"/>
  <c r="DG17" i="47"/>
  <c r="DG35" i="47"/>
  <c r="DG30" i="47"/>
  <c r="DG10" i="47"/>
  <c r="DG43" i="47"/>
  <c r="DG40" i="47"/>
  <c r="DG38" i="47"/>
  <c r="DG15" i="47"/>
  <c r="DG22" i="47"/>
  <c r="DG18" i="47"/>
  <c r="DG41" i="47"/>
  <c r="DG34" i="47"/>
  <c r="DG44" i="47"/>
  <c r="DG12" i="47"/>
  <c r="DG16" i="47"/>
  <c r="DG25" i="47"/>
  <c r="DG24" i="47"/>
  <c r="CZ21" i="13"/>
  <c r="CZ23" i="13" s="1"/>
  <c r="CY31" i="1" s="1"/>
  <c r="CY33" i="1" s="1"/>
  <c r="DG21" i="13"/>
  <c r="DG23" i="13" s="1"/>
  <c r="DF31" i="1" s="1"/>
  <c r="DF33" i="1" s="1"/>
  <c r="CX21" i="13"/>
  <c r="CX23" i="13" s="1"/>
  <c r="CW31" i="1" s="1"/>
  <c r="CW33" i="1" s="1"/>
  <c r="CY8" i="18"/>
  <c r="CW21" i="13"/>
  <c r="CW23" i="13" s="1"/>
  <c r="CV31" i="1" s="1"/>
  <c r="DD8" i="18"/>
  <c r="DC21" i="13"/>
  <c r="DC23" i="13" s="1"/>
  <c r="DB31" i="1" s="1"/>
  <c r="DB33" i="1" s="1"/>
  <c r="DE21" i="13"/>
  <c r="DE23" i="13" s="1"/>
  <c r="DD31" i="1" s="1"/>
  <c r="DD33" i="1" s="1"/>
  <c r="DA21" i="13"/>
  <c r="DA23" i="13" s="1"/>
  <c r="CZ31" i="1" s="1"/>
  <c r="CZ33" i="1" s="1"/>
  <c r="DF8" i="18"/>
  <c r="CV8" i="18"/>
  <c r="DE8" i="18"/>
  <c r="CZ8" i="18"/>
  <c r="DF21" i="13"/>
  <c r="DF23" i="13" s="1"/>
  <c r="DE31" i="1" s="1"/>
  <c r="DE33" i="1" s="1"/>
  <c r="DG8" i="18"/>
  <c r="DB8" i="18"/>
  <c r="DB21" i="13"/>
  <c r="DB23" i="13" s="1"/>
  <c r="DA31" i="1" s="1"/>
  <c r="DA33" i="1" s="1"/>
  <c r="DC8" i="18"/>
  <c r="CX8" i="18"/>
  <c r="DH21" i="13"/>
  <c r="DH23" i="13" s="1"/>
  <c r="DG31" i="1" s="1"/>
  <c r="DG33" i="1" s="1"/>
  <c r="CY21" i="13"/>
  <c r="CY23" i="13" s="1"/>
  <c r="CX31" i="1" s="1"/>
  <c r="CX33" i="1" s="1"/>
  <c r="DA8" i="18"/>
  <c r="CW8" i="18"/>
  <c r="DD21" i="13"/>
  <c r="DD23" i="13" s="1"/>
  <c r="DC31" i="1" s="1"/>
  <c r="DC33" i="1" s="1"/>
  <c r="CM24" i="18"/>
  <c r="CK24" i="18"/>
  <c r="CJ24" i="18"/>
  <c r="CX23" i="47"/>
  <c r="CX15" i="47"/>
  <c r="CX41" i="47"/>
  <c r="CX18" i="47"/>
  <c r="CX30" i="47"/>
  <c r="CX35" i="47"/>
  <c r="CX24" i="47"/>
  <c r="CX44" i="47"/>
  <c r="CX34" i="47"/>
  <c r="CX12" i="47"/>
  <c r="CX40" i="47"/>
  <c r="CX9" i="47"/>
  <c r="CX17" i="47"/>
  <c r="CX14" i="47"/>
  <c r="CX38" i="47"/>
  <c r="CX10" i="47"/>
  <c r="CX25" i="47"/>
  <c r="CX43" i="47"/>
  <c r="CX22" i="47"/>
  <c r="CX36" i="47"/>
  <c r="CX16" i="47"/>
  <c r="CP16" i="60"/>
  <c r="CP28" i="60"/>
  <c r="CP12" i="60"/>
  <c r="CP29" i="60"/>
  <c r="CP43" i="60"/>
  <c r="CP17" i="60"/>
  <c r="CP44" i="60"/>
  <c r="DA40" i="47"/>
  <c r="DA24" i="47"/>
  <c r="DA44" i="47"/>
  <c r="DA22" i="47"/>
  <c r="DA34" i="47"/>
  <c r="DA43" i="47"/>
  <c r="DA38" i="47"/>
  <c r="DA14" i="47"/>
  <c r="DA30" i="47"/>
  <c r="DA25" i="47"/>
  <c r="DA23" i="47"/>
  <c r="DA16" i="47"/>
  <c r="DA35" i="47"/>
  <c r="DA17" i="47"/>
  <c r="DA12" i="47"/>
  <c r="DA18" i="47"/>
  <c r="DA41" i="47"/>
  <c r="DA36" i="47"/>
  <c r="DA9" i="47"/>
  <c r="DA10" i="47"/>
  <c r="DA15" i="47"/>
  <c r="CO43" i="60"/>
  <c r="CO17" i="60"/>
  <c r="CO16" i="60"/>
  <c r="CO29" i="60"/>
  <c r="CO12" i="60"/>
  <c r="CO44" i="60"/>
  <c r="CO28" i="60"/>
  <c r="DD40" i="47"/>
  <c r="DD14" i="47"/>
  <c r="DD22" i="47"/>
  <c r="DD10" i="47"/>
  <c r="DD38" i="47"/>
  <c r="DD24" i="47"/>
  <c r="DD16" i="47"/>
  <c r="DD15" i="47"/>
  <c r="DD12" i="47"/>
  <c r="DD17" i="47"/>
  <c r="DD9" i="47"/>
  <c r="DD34" i="47"/>
  <c r="DD18" i="47"/>
  <c r="DD36" i="47"/>
  <c r="DD23" i="47"/>
  <c r="DD35" i="47"/>
  <c r="DD41" i="47"/>
  <c r="DD25" i="47"/>
  <c r="DD44" i="47"/>
  <c r="DD43" i="47"/>
  <c r="DD30" i="47"/>
  <c r="CN24" i="18"/>
  <c r="DB40" i="47"/>
  <c r="DB17" i="47"/>
  <c r="DB15" i="47"/>
  <c r="DB24" i="47"/>
  <c r="DB10" i="47"/>
  <c r="DB23" i="47"/>
  <c r="DB34" i="47"/>
  <c r="DB14" i="47"/>
  <c r="DB41" i="47"/>
  <c r="DB36" i="47"/>
  <c r="DB12" i="47"/>
  <c r="DB30" i="47"/>
  <c r="DB18" i="47"/>
  <c r="DB16" i="47"/>
  <c r="DB44" i="47"/>
  <c r="DB35" i="47"/>
  <c r="DB25" i="47"/>
  <c r="DB38" i="47"/>
  <c r="DB43" i="47"/>
  <c r="DB22" i="47"/>
  <c r="DB9" i="47"/>
  <c r="CQ16" i="18"/>
  <c r="CQ26" i="18"/>
  <c r="CQ27" i="18"/>
  <c r="CQ25" i="18"/>
  <c r="CQ10" i="18"/>
  <c r="CQ30" i="18"/>
  <c r="CQ23" i="18"/>
  <c r="CQ21" i="18"/>
  <c r="CQ31" i="18"/>
  <c r="CQ13" i="18"/>
  <c r="CQ20" i="18"/>
  <c r="CQ29" i="18"/>
  <c r="CQ11" i="18"/>
  <c r="CQ14" i="18"/>
  <c r="CQ15" i="18"/>
  <c r="CQ12" i="18"/>
  <c r="CQ19" i="18"/>
  <c r="CQ22" i="18"/>
  <c r="CQ28" i="18"/>
  <c r="CS27" i="18"/>
  <c r="CS28" i="18"/>
  <c r="CS31" i="18"/>
  <c r="CS14" i="18"/>
  <c r="CS15" i="18"/>
  <c r="CS30" i="18"/>
  <c r="CS26" i="18"/>
  <c r="CS20" i="18"/>
  <c r="CS22" i="18"/>
  <c r="CS12" i="18"/>
  <c r="CS17" i="18"/>
  <c r="CS10" i="18"/>
  <c r="CS16" i="18"/>
  <c r="CS11" i="18"/>
  <c r="CS23" i="18"/>
  <c r="CS25" i="18"/>
  <c r="CS21" i="18"/>
  <c r="CS29" i="18"/>
  <c r="CS13" i="18"/>
  <c r="CS19" i="18"/>
  <c r="DC43" i="47"/>
  <c r="DC14" i="47"/>
  <c r="DC22" i="47"/>
  <c r="DC16" i="47"/>
  <c r="DC41" i="47"/>
  <c r="DC12" i="47"/>
  <c r="DC36" i="47"/>
  <c r="DC38" i="47"/>
  <c r="DC23" i="47"/>
  <c r="DC40" i="47"/>
  <c r="DC44" i="47"/>
  <c r="DC34" i="47"/>
  <c r="DC35" i="47"/>
  <c r="DC25" i="47"/>
  <c r="DC30" i="47"/>
  <c r="DC18" i="47"/>
  <c r="DC24" i="47"/>
  <c r="DC9" i="47"/>
  <c r="DC17" i="47"/>
  <c r="DC15" i="47"/>
  <c r="DC10" i="47"/>
  <c r="CU12" i="60"/>
  <c r="CU28" i="60"/>
  <c r="CU43" i="60"/>
  <c r="CU17" i="60"/>
  <c r="CU29" i="60"/>
  <c r="CU44" i="60"/>
  <c r="CU16" i="60"/>
  <c r="DH40" i="47"/>
  <c r="DH18" i="47"/>
  <c r="DH43" i="47"/>
  <c r="DH25" i="47"/>
  <c r="DH15" i="47"/>
  <c r="DH22" i="47"/>
  <c r="DH12" i="47"/>
  <c r="DH14" i="47"/>
  <c r="DH44" i="47"/>
  <c r="DH9" i="47"/>
  <c r="DH24" i="47"/>
  <c r="DH34" i="47"/>
  <c r="DH23" i="47"/>
  <c r="DH30" i="47"/>
  <c r="DH17" i="47"/>
  <c r="DH38" i="47"/>
  <c r="DH10" i="47"/>
  <c r="DH35" i="47"/>
  <c r="DH41" i="47"/>
  <c r="DH36" i="47"/>
  <c r="DH16" i="47"/>
  <c r="CN30" i="18"/>
  <c r="CN16" i="18"/>
  <c r="CN15" i="18"/>
  <c r="CN28" i="18"/>
  <c r="CN21" i="18"/>
  <c r="CN13" i="18"/>
  <c r="CN26" i="18"/>
  <c r="CN27" i="18"/>
  <c r="CN31" i="18"/>
  <c r="CN12" i="18"/>
  <c r="CN10" i="18"/>
  <c r="CN20" i="18"/>
  <c r="CN11" i="18"/>
  <c r="CN29" i="18"/>
  <c r="CN14" i="18"/>
  <c r="CN22" i="18"/>
  <c r="CN25" i="18"/>
  <c r="CN23" i="18"/>
  <c r="CN19" i="18"/>
  <c r="CS29" i="60"/>
  <c r="CS43" i="60"/>
  <c r="CS12" i="60"/>
  <c r="CS28" i="60"/>
  <c r="CS16" i="60"/>
  <c r="CS44" i="60"/>
  <c r="CS17" i="60"/>
  <c r="CJ26" i="18"/>
  <c r="CJ20" i="18"/>
  <c r="CJ21" i="18"/>
  <c r="CJ14" i="18"/>
  <c r="CJ17" i="18"/>
  <c r="CJ13" i="18"/>
  <c r="CJ31" i="18"/>
  <c r="CJ29" i="18"/>
  <c r="CJ23" i="18"/>
  <c r="CJ27" i="18"/>
  <c r="CJ10" i="18"/>
  <c r="CJ30" i="18"/>
  <c r="CJ22" i="18"/>
  <c r="CJ12" i="18"/>
  <c r="CJ15" i="18"/>
  <c r="CJ25" i="18"/>
  <c r="CJ28" i="18"/>
  <c r="CJ11" i="18"/>
  <c r="CJ16" i="18"/>
  <c r="CJ19" i="18"/>
  <c r="CT26" i="18"/>
  <c r="CT30" i="18"/>
  <c r="CT15" i="18"/>
  <c r="CT23" i="18"/>
  <c r="CT10" i="18"/>
  <c r="CT27" i="18"/>
  <c r="CT11" i="18"/>
  <c r="CT25" i="18"/>
  <c r="CT12" i="18"/>
  <c r="CT13" i="18"/>
  <c r="CT19" i="18"/>
  <c r="CT14" i="18"/>
  <c r="CT20" i="18"/>
  <c r="CT28" i="18"/>
  <c r="CT31" i="18"/>
  <c r="CT21" i="18"/>
  <c r="CT29" i="18"/>
  <c r="CT16" i="18"/>
  <c r="CT22" i="18"/>
  <c r="CM16" i="60"/>
  <c r="CM43" i="60"/>
  <c r="CM12" i="60"/>
  <c r="CM17" i="60"/>
  <c r="CM28" i="60"/>
  <c r="CM44" i="60"/>
  <c r="CM29" i="60"/>
  <c r="CQ24" i="18"/>
  <c r="CP24" i="18"/>
  <c r="K32" i="20"/>
  <c r="K34" i="20" s="1"/>
  <c r="CJ33" i="1"/>
  <c r="CR44" i="60"/>
  <c r="CR17" i="60"/>
  <c r="CR29" i="60"/>
  <c r="CR43" i="60"/>
  <c r="CR16" i="60"/>
  <c r="CR28" i="60"/>
  <c r="CR12" i="60"/>
  <c r="CS24" i="18"/>
  <c r="CU16" i="18"/>
  <c r="CU11" i="18"/>
  <c r="CU10" i="18"/>
  <c r="CU20" i="18"/>
  <c r="CU23" i="18"/>
  <c r="CU26" i="18"/>
  <c r="CU13" i="18"/>
  <c r="CU15" i="18"/>
  <c r="CU29" i="18"/>
  <c r="CU22" i="18"/>
  <c r="CU31" i="18"/>
  <c r="CU30" i="18"/>
  <c r="CU27" i="18"/>
  <c r="CU12" i="18"/>
  <c r="CU19" i="18"/>
  <c r="CU21" i="18"/>
  <c r="CU14" i="18"/>
  <c r="CU28" i="18"/>
  <c r="CU25" i="18"/>
  <c r="CR21" i="18"/>
  <c r="CR28" i="18"/>
  <c r="CR22" i="18"/>
  <c r="CR30" i="18"/>
  <c r="CR16" i="18"/>
  <c r="CR27" i="18"/>
  <c r="CR15" i="18"/>
  <c r="CR10" i="18"/>
  <c r="CR19" i="18"/>
  <c r="CR26" i="18"/>
  <c r="CR20" i="18"/>
  <c r="CR13" i="18"/>
  <c r="CR14" i="18"/>
  <c r="CR12" i="18"/>
  <c r="CR11" i="18"/>
  <c r="CR25" i="18"/>
  <c r="CR31" i="18"/>
  <c r="CR23" i="18"/>
  <c r="CR29" i="18"/>
  <c r="DF40" i="47"/>
  <c r="DF23" i="47"/>
  <c r="DF43" i="47"/>
  <c r="DF18" i="47"/>
  <c r="DF16" i="47"/>
  <c r="DF12" i="47"/>
  <c r="DF41" i="47"/>
  <c r="DF24" i="47"/>
  <c r="DF25" i="47"/>
  <c r="DF38" i="47"/>
  <c r="DF9" i="47"/>
  <c r="DF36" i="47"/>
  <c r="DF17" i="47"/>
  <c r="DF22" i="47"/>
  <c r="DF30" i="47"/>
  <c r="DF10" i="47"/>
  <c r="DF35" i="47"/>
  <c r="DF15" i="47"/>
  <c r="DF44" i="47"/>
  <c r="DF34" i="47"/>
  <c r="DF14" i="47"/>
  <c r="CL44" i="60"/>
  <c r="CL19" i="60"/>
  <c r="CL28" i="60"/>
  <c r="CL17" i="60"/>
  <c r="CL12" i="60"/>
  <c r="CL16" i="60"/>
  <c r="CL43" i="60"/>
  <c r="CL29" i="60"/>
  <c r="DE18" i="47"/>
  <c r="DE22" i="47"/>
  <c r="DE14" i="47"/>
  <c r="DE25" i="47"/>
  <c r="DE16" i="47"/>
  <c r="DE38" i="47"/>
  <c r="DE23" i="47"/>
  <c r="DE17" i="47"/>
  <c r="DE12" i="47"/>
  <c r="DE41" i="47"/>
  <c r="DE34" i="47"/>
  <c r="DE43" i="47"/>
  <c r="DE36" i="47"/>
  <c r="DE9" i="47"/>
  <c r="DE40" i="47"/>
  <c r="DE44" i="47"/>
  <c r="DE15" i="47"/>
  <c r="DE10" i="47"/>
  <c r="DE24" i="47"/>
  <c r="DE35" i="47"/>
  <c r="DE30" i="47"/>
  <c r="CP26" i="18"/>
  <c r="CP30" i="18"/>
  <c r="CP28" i="18"/>
  <c r="CP17" i="18"/>
  <c r="CP11" i="18"/>
  <c r="CP10" i="18"/>
  <c r="CP16" i="18"/>
  <c r="CP12" i="18"/>
  <c r="CP22" i="18"/>
  <c r="CP27" i="18"/>
  <c r="CP29" i="18"/>
  <c r="CP31" i="18"/>
  <c r="CP20" i="18"/>
  <c r="CP14" i="18"/>
  <c r="CP19" i="18"/>
  <c r="CP23" i="18"/>
  <c r="CP21" i="18"/>
  <c r="CP13" i="18"/>
  <c r="CP15" i="18"/>
  <c r="CP25" i="18"/>
  <c r="CK30" i="18"/>
  <c r="CK26" i="18"/>
  <c r="CK16" i="18"/>
  <c r="CK27" i="18"/>
  <c r="CK25" i="18"/>
  <c r="CK10" i="18"/>
  <c r="CK19" i="18"/>
  <c r="CK14" i="18"/>
  <c r="CK31" i="18"/>
  <c r="CK29" i="18"/>
  <c r="CK22" i="18"/>
  <c r="CK23" i="18"/>
  <c r="CK11" i="18"/>
  <c r="CK15" i="18"/>
  <c r="CK12" i="18"/>
  <c r="CK20" i="18"/>
  <c r="CK13" i="18"/>
  <c r="CK28" i="18"/>
  <c r="CK21" i="18"/>
  <c r="CM26" i="18"/>
  <c r="CM30" i="18"/>
  <c r="CM12" i="18"/>
  <c r="CM21" i="18"/>
  <c r="CM20" i="18"/>
  <c r="CM15" i="18"/>
  <c r="CM16" i="18"/>
  <c r="CM10" i="18"/>
  <c r="CM22" i="18"/>
  <c r="CM11" i="18"/>
  <c r="CM23" i="18"/>
  <c r="CM19" i="18"/>
  <c r="CM25" i="18"/>
  <c r="CM13" i="18"/>
  <c r="CM17" i="18"/>
  <c r="CM29" i="18"/>
  <c r="CM31" i="18"/>
  <c r="CM27" i="18"/>
  <c r="CM14" i="18"/>
  <c r="CM28" i="18"/>
  <c r="CU24" i="18"/>
  <c r="CL24" i="18"/>
  <c r="H25" i="74"/>
  <c r="G40" i="74"/>
  <c r="DJ89" i="72"/>
  <c r="AD82" i="72"/>
  <c r="CL87" i="72"/>
  <c r="BZ86" i="72"/>
  <c r="R92" i="72"/>
  <c r="R10" i="44" s="1"/>
  <c r="BN85" i="72"/>
  <c r="BB84" i="72"/>
  <c r="AP83" i="72"/>
  <c r="CX88" i="72"/>
  <c r="DD47" i="60" l="1"/>
  <c r="CZ47" i="60"/>
  <c r="CV47" i="60"/>
  <c r="DE47" i="60"/>
  <c r="CW47" i="60"/>
  <c r="DF47" i="60"/>
  <c r="DA47" i="60"/>
  <c r="DC47" i="60"/>
  <c r="CY47" i="60"/>
  <c r="DG47" i="60"/>
  <c r="DB47" i="60"/>
  <c r="CX47" i="60"/>
  <c r="Q29" i="44"/>
  <c r="Q30" i="44" s="1"/>
  <c r="R27" i="44" s="1"/>
  <c r="G9" i="16"/>
  <c r="DK14" i="72"/>
  <c r="DK15" i="72" s="1"/>
  <c r="DK5" i="44" s="1"/>
  <c r="CY15" i="72"/>
  <c r="CY5" i="44" s="1"/>
  <c r="W47" i="72"/>
  <c r="R13" i="44"/>
  <c r="R17" i="44" s="1"/>
  <c r="R12" i="44"/>
  <c r="R11" i="44"/>
  <c r="R14" i="44" s="1"/>
  <c r="CF100" i="72"/>
  <c r="CR101" i="72" s="1"/>
  <c r="DD102" i="72" s="1"/>
  <c r="DP103" i="72" s="1"/>
  <c r="BT105" i="72"/>
  <c r="W123" i="72"/>
  <c r="BF126" i="72"/>
  <c r="AT133" i="72"/>
  <c r="T41" i="1"/>
  <c r="E73" i="74"/>
  <c r="E74" i="74" s="1"/>
  <c r="N59" i="22"/>
  <c r="N58" i="22"/>
  <c r="N31" i="22"/>
  <c r="N57" i="22"/>
  <c r="N32" i="22"/>
  <c r="N60" i="22"/>
  <c r="N27" i="22"/>
  <c r="N35" i="22"/>
  <c r="N23" i="22"/>
  <c r="N40" i="22"/>
  <c r="N36" i="22"/>
  <c r="O19" i="22"/>
  <c r="N24" i="22"/>
  <c r="N28" i="22"/>
  <c r="N53" i="22"/>
  <c r="N50" i="22"/>
  <c r="N54" i="22"/>
  <c r="N55" i="22"/>
  <c r="N49" i="22"/>
  <c r="N39" i="22"/>
  <c r="N51" i="22"/>
  <c r="N44" i="22"/>
  <c r="N41" i="22"/>
  <c r="N34" i="22"/>
  <c r="N52" i="22"/>
  <c r="N46" i="22"/>
  <c r="N48" i="22"/>
  <c r="N43" i="22"/>
  <c r="N21" i="22"/>
  <c r="N29" i="22"/>
  <c r="N37" i="22"/>
  <c r="N42" i="22"/>
  <c r="N33" i="22"/>
  <c r="N45" i="22"/>
  <c r="N56" i="22"/>
  <c r="N47" i="22"/>
  <c r="N30" i="22"/>
  <c r="N22" i="22"/>
  <c r="N38" i="22"/>
  <c r="T16" i="24"/>
  <c r="J16" i="24"/>
  <c r="J7" i="24" s="1"/>
  <c r="F54" i="74"/>
  <c r="F56" i="74" s="1"/>
  <c r="F59" i="74"/>
  <c r="G51" i="74" s="1"/>
  <c r="G66" i="74" s="1"/>
  <c r="G57" i="74"/>
  <c r="G62" i="74"/>
  <c r="G63" i="74" s="1"/>
  <c r="G30" i="44"/>
  <c r="H27" i="44" s="1"/>
  <c r="H29" i="44" s="1"/>
  <c r="H9" i="16" s="1"/>
  <c r="P9" i="29"/>
  <c r="Q9" i="16"/>
  <c r="AG40" i="1"/>
  <c r="AF12" i="58"/>
  <c r="AG9" i="58" s="1"/>
  <c r="AG10" i="58" s="1"/>
  <c r="AH40" i="1" s="1"/>
  <c r="DF24" i="18"/>
  <c r="CV24" i="18"/>
  <c r="DG24" i="18"/>
  <c r="DA24" i="18"/>
  <c r="DP40" i="47"/>
  <c r="DP38" i="47"/>
  <c r="DP15" i="47"/>
  <c r="DP41" i="47"/>
  <c r="DP12" i="47"/>
  <c r="DP22" i="47"/>
  <c r="DP10" i="47"/>
  <c r="DP14" i="47"/>
  <c r="DP44" i="47"/>
  <c r="DP24" i="47"/>
  <c r="DP23" i="47"/>
  <c r="DP16" i="47"/>
  <c r="DP25" i="47"/>
  <c r="DP17" i="47"/>
  <c r="DP9" i="47"/>
  <c r="DP30" i="47"/>
  <c r="DP35" i="47"/>
  <c r="DP34" i="47"/>
  <c r="DP43" i="47"/>
  <c r="DP18" i="47"/>
  <c r="DP36" i="47"/>
  <c r="CY24" i="18"/>
  <c r="CW30" i="18"/>
  <c r="CW13" i="18"/>
  <c r="CW12" i="18"/>
  <c r="CW23" i="18"/>
  <c r="CW28" i="18"/>
  <c r="CW16" i="18"/>
  <c r="CW19" i="18"/>
  <c r="CW29" i="18"/>
  <c r="CW14" i="18"/>
  <c r="CW22" i="18"/>
  <c r="CW20" i="18"/>
  <c r="CW11" i="18"/>
  <c r="CW15" i="18"/>
  <c r="CW21" i="18"/>
  <c r="CW31" i="18"/>
  <c r="CW10" i="18"/>
  <c r="CW26" i="18"/>
  <c r="CW27" i="18"/>
  <c r="CW25" i="18"/>
  <c r="DB16" i="60"/>
  <c r="DB28" i="60"/>
  <c r="DB29" i="60"/>
  <c r="DB44" i="60"/>
  <c r="DB12" i="60"/>
  <c r="DB43" i="60"/>
  <c r="DB17" i="60"/>
  <c r="CX26" i="18"/>
  <c r="CX30" i="18"/>
  <c r="CX14" i="18"/>
  <c r="CX10" i="18"/>
  <c r="CX12" i="18"/>
  <c r="CX22" i="18"/>
  <c r="CX11" i="18"/>
  <c r="CX23" i="18"/>
  <c r="CX15" i="18"/>
  <c r="CX27" i="18"/>
  <c r="CX28" i="18"/>
  <c r="CX29" i="18"/>
  <c r="CX31" i="18"/>
  <c r="CX21" i="18"/>
  <c r="CX9" i="18"/>
  <c r="CX16" i="18"/>
  <c r="CX25" i="18"/>
  <c r="CX13" i="18"/>
  <c r="CX20" i="18"/>
  <c r="CX19" i="18"/>
  <c r="DQ40" i="47"/>
  <c r="DQ15" i="47"/>
  <c r="DQ14" i="47"/>
  <c r="DQ43" i="47"/>
  <c r="DQ24" i="47"/>
  <c r="DQ23" i="47"/>
  <c r="DQ10" i="47"/>
  <c r="DQ16" i="47"/>
  <c r="DQ41" i="47"/>
  <c r="DQ17" i="47"/>
  <c r="DQ12" i="47"/>
  <c r="DQ22" i="47"/>
  <c r="DQ9" i="47"/>
  <c r="DQ25" i="47"/>
  <c r="DQ44" i="47"/>
  <c r="DQ30" i="47"/>
  <c r="DQ34" i="47"/>
  <c r="DQ36" i="47"/>
  <c r="DQ18" i="47"/>
  <c r="DQ38" i="47"/>
  <c r="DQ35" i="47"/>
  <c r="CV30" i="18"/>
  <c r="CV16" i="18"/>
  <c r="CV22" i="18"/>
  <c r="CV25" i="18"/>
  <c r="CV28" i="18"/>
  <c r="CV29" i="18"/>
  <c r="CV26" i="18"/>
  <c r="CV12" i="18"/>
  <c r="CV13" i="18"/>
  <c r="CV23" i="18"/>
  <c r="CV31" i="18"/>
  <c r="CV15" i="18"/>
  <c r="CV11" i="18"/>
  <c r="CV14" i="18"/>
  <c r="CV19" i="18"/>
  <c r="CV17" i="18"/>
  <c r="CV20" i="18"/>
  <c r="CV21" i="18"/>
  <c r="CV10" i="18"/>
  <c r="CV27" i="18"/>
  <c r="DD12" i="60"/>
  <c r="DD43" i="60"/>
  <c r="DD28" i="60"/>
  <c r="DD16" i="60"/>
  <c r="DD17" i="60"/>
  <c r="DD29" i="60"/>
  <c r="DD44" i="60"/>
  <c r="DM36" i="47"/>
  <c r="DM22" i="47"/>
  <c r="DM44" i="47"/>
  <c r="DM16" i="47"/>
  <c r="DM43" i="47"/>
  <c r="DM30" i="47"/>
  <c r="DM40" i="47"/>
  <c r="DM25" i="47"/>
  <c r="DM41" i="47"/>
  <c r="DM14" i="47"/>
  <c r="DM10" i="47"/>
  <c r="DM18" i="47"/>
  <c r="DM17" i="47"/>
  <c r="DM12" i="47"/>
  <c r="DM9" i="47"/>
  <c r="DM23" i="47"/>
  <c r="DM15" i="47"/>
  <c r="DM35" i="47"/>
  <c r="DM38" i="47"/>
  <c r="DM34" i="47"/>
  <c r="DM24" i="47"/>
  <c r="L32" i="20"/>
  <c r="L34" i="20" s="1"/>
  <c r="CV33" i="1"/>
  <c r="CW24" i="18"/>
  <c r="DK38" i="47"/>
  <c r="DK12" i="47"/>
  <c r="DK10" i="47"/>
  <c r="DK25" i="47"/>
  <c r="DK22" i="47"/>
  <c r="DK16" i="47"/>
  <c r="DK40" i="47"/>
  <c r="DK43" i="47"/>
  <c r="DK34" i="47"/>
  <c r="DK15" i="47"/>
  <c r="DK9" i="47"/>
  <c r="DK24" i="47"/>
  <c r="DK41" i="47"/>
  <c r="DK23" i="47"/>
  <c r="DK30" i="47"/>
  <c r="DK44" i="47"/>
  <c r="DK36" i="47"/>
  <c r="DK18" i="47"/>
  <c r="DK14" i="47"/>
  <c r="DK17" i="47"/>
  <c r="DK35" i="47"/>
  <c r="DJ40" i="47"/>
  <c r="DJ9" i="47"/>
  <c r="DJ24" i="47"/>
  <c r="DJ38" i="47"/>
  <c r="DJ23" i="47"/>
  <c r="DJ16" i="47"/>
  <c r="DJ10" i="47"/>
  <c r="DJ12" i="47"/>
  <c r="DJ43" i="47"/>
  <c r="DJ17" i="47"/>
  <c r="DJ30" i="47"/>
  <c r="DJ34" i="47"/>
  <c r="DJ14" i="47"/>
  <c r="DJ44" i="47"/>
  <c r="DJ41" i="47"/>
  <c r="DJ18" i="47"/>
  <c r="DJ36" i="47"/>
  <c r="DJ22" i="47"/>
  <c r="DJ15" i="47"/>
  <c r="DJ35" i="47"/>
  <c r="DJ25" i="47"/>
  <c r="DD26" i="18"/>
  <c r="DD13" i="18"/>
  <c r="DD25" i="18"/>
  <c r="DD12" i="18"/>
  <c r="DD11" i="18"/>
  <c r="DD28" i="18"/>
  <c r="DD15" i="18"/>
  <c r="DD19" i="18"/>
  <c r="DD29" i="18"/>
  <c r="DD31" i="18"/>
  <c r="DD23" i="18"/>
  <c r="DD10" i="18"/>
  <c r="DD20" i="18"/>
  <c r="DD14" i="18"/>
  <c r="DD30" i="18"/>
  <c r="DD21" i="18"/>
  <c r="DD27" i="18"/>
  <c r="DD22" i="18"/>
  <c r="DD16" i="18"/>
  <c r="CZ24" i="18"/>
  <c r="DG43" i="60"/>
  <c r="DG16" i="60"/>
  <c r="DG29" i="60"/>
  <c r="DG44" i="60"/>
  <c r="DG12" i="60"/>
  <c r="DG17" i="60"/>
  <c r="DG28" i="60"/>
  <c r="CX44" i="60"/>
  <c r="CX43" i="60"/>
  <c r="CX28" i="60"/>
  <c r="CX17" i="60"/>
  <c r="CX12" i="60"/>
  <c r="CX16" i="60"/>
  <c r="CX29" i="60"/>
  <c r="CX19" i="60"/>
  <c r="DA16" i="18"/>
  <c r="DA22" i="18"/>
  <c r="DA13" i="18"/>
  <c r="DA11" i="18"/>
  <c r="DA29" i="18"/>
  <c r="DA12" i="18"/>
  <c r="DA28" i="18"/>
  <c r="DA20" i="18"/>
  <c r="DA25" i="18"/>
  <c r="DA15" i="18"/>
  <c r="DA30" i="18"/>
  <c r="DA21" i="18"/>
  <c r="DA14" i="18"/>
  <c r="DA31" i="18"/>
  <c r="DA23" i="18"/>
  <c r="DA26" i="18"/>
  <c r="DA27" i="18"/>
  <c r="DA19" i="18"/>
  <c r="DA10" i="18"/>
  <c r="DF29" i="60"/>
  <c r="DF28" i="60"/>
  <c r="DF16" i="60"/>
  <c r="DF43" i="60"/>
  <c r="DF12" i="60"/>
  <c r="DF17" i="60"/>
  <c r="DF44" i="60"/>
  <c r="DN40" i="47"/>
  <c r="DN41" i="47"/>
  <c r="DN23" i="47"/>
  <c r="DN16" i="47"/>
  <c r="DN10" i="47"/>
  <c r="DN36" i="47"/>
  <c r="DN34" i="47"/>
  <c r="DN18" i="47"/>
  <c r="DN35" i="47"/>
  <c r="DN12" i="47"/>
  <c r="DN9" i="47"/>
  <c r="DN44" i="47"/>
  <c r="DN15" i="47"/>
  <c r="DN17" i="47"/>
  <c r="DN22" i="47"/>
  <c r="DN43" i="47"/>
  <c r="DN25" i="47"/>
  <c r="DN30" i="47"/>
  <c r="DN14" i="47"/>
  <c r="DN24" i="47"/>
  <c r="DN38" i="47"/>
  <c r="DC26" i="18"/>
  <c r="DC28" i="18"/>
  <c r="DC15" i="18"/>
  <c r="DC27" i="18"/>
  <c r="DC30" i="18"/>
  <c r="DC12" i="18"/>
  <c r="DC31" i="18"/>
  <c r="DC14" i="18"/>
  <c r="DC19" i="18"/>
  <c r="DC20" i="18"/>
  <c r="DC16" i="18"/>
  <c r="DC22" i="18"/>
  <c r="DC21" i="18"/>
  <c r="DC25" i="18"/>
  <c r="DC23" i="18"/>
  <c r="DC29" i="18"/>
  <c r="DC13" i="18"/>
  <c r="DC10" i="18"/>
  <c r="DC11" i="18"/>
  <c r="CV29" i="60"/>
  <c r="CV17" i="60"/>
  <c r="CV43" i="60"/>
  <c r="CV44" i="60"/>
  <c r="CV28" i="60"/>
  <c r="CV16" i="60"/>
  <c r="DB30" i="18"/>
  <c r="DB23" i="18"/>
  <c r="DB15" i="18"/>
  <c r="DB28" i="18"/>
  <c r="DB11" i="18"/>
  <c r="DB16" i="18"/>
  <c r="DB27" i="18"/>
  <c r="DB13" i="18"/>
  <c r="DB25" i="18"/>
  <c r="DB19" i="18"/>
  <c r="DB20" i="18"/>
  <c r="DB31" i="18"/>
  <c r="DB14" i="18"/>
  <c r="DB12" i="18"/>
  <c r="DB10" i="18"/>
  <c r="DB17" i="18"/>
  <c r="DB29" i="18"/>
  <c r="DB22" i="18"/>
  <c r="DB21" i="18"/>
  <c r="DB26" i="18"/>
  <c r="DO16" i="47"/>
  <c r="DO36" i="47"/>
  <c r="DO15" i="47"/>
  <c r="DO18" i="47"/>
  <c r="DO38" i="47"/>
  <c r="DO40" i="47"/>
  <c r="DO44" i="47"/>
  <c r="DO24" i="47"/>
  <c r="DO35" i="47"/>
  <c r="DO43" i="47"/>
  <c r="DO23" i="47"/>
  <c r="DO17" i="47"/>
  <c r="DO22" i="47"/>
  <c r="DO10" i="47"/>
  <c r="DO9" i="47"/>
  <c r="DO14" i="47"/>
  <c r="DO41" i="47"/>
  <c r="DO30" i="47"/>
  <c r="DO25" i="47"/>
  <c r="DO34" i="47"/>
  <c r="DO12" i="47"/>
  <c r="DE28" i="60"/>
  <c r="DE17" i="60"/>
  <c r="DE16" i="60"/>
  <c r="DE12" i="60"/>
  <c r="DE44" i="60"/>
  <c r="DE43" i="60"/>
  <c r="DE29" i="60"/>
  <c r="DU40" i="47"/>
  <c r="DU14" i="47"/>
  <c r="DU12" i="47"/>
  <c r="DU22" i="47"/>
  <c r="DU43" i="47"/>
  <c r="DU16" i="47"/>
  <c r="DU18" i="47"/>
  <c r="DU35" i="47"/>
  <c r="DU15" i="47"/>
  <c r="DU34" i="47"/>
  <c r="DU30" i="47"/>
  <c r="DU17" i="47"/>
  <c r="DU24" i="47"/>
  <c r="DU9" i="47"/>
  <c r="DU38" i="47"/>
  <c r="DU23" i="47"/>
  <c r="DU10" i="47"/>
  <c r="DU25" i="47"/>
  <c r="DU44" i="47"/>
  <c r="DU41" i="47"/>
  <c r="DU36" i="47"/>
  <c r="DC43" i="60"/>
  <c r="DC44" i="60"/>
  <c r="DC28" i="60"/>
  <c r="DC12" i="60"/>
  <c r="DC16" i="60"/>
  <c r="DC17" i="60"/>
  <c r="DC29" i="60"/>
  <c r="DL21" i="13"/>
  <c r="DL23" i="13" s="1"/>
  <c r="DK31" i="1" s="1"/>
  <c r="DK33" i="1" s="1"/>
  <c r="DS21" i="13"/>
  <c r="DS23" i="13" s="1"/>
  <c r="DR31" i="1" s="1"/>
  <c r="DR33" i="1" s="1"/>
  <c r="DJ21" i="13"/>
  <c r="DJ23" i="13" s="1"/>
  <c r="DI31" i="1" s="1"/>
  <c r="DI33" i="1" s="1"/>
  <c r="DM21" i="13"/>
  <c r="DM23" i="13" s="1"/>
  <c r="DL31" i="1" s="1"/>
  <c r="DL33" i="1" s="1"/>
  <c r="DI21" i="13"/>
  <c r="DI23" i="13" s="1"/>
  <c r="DH31" i="1" s="1"/>
  <c r="DP8" i="18"/>
  <c r="DO21" i="13"/>
  <c r="DO23" i="13" s="1"/>
  <c r="DN31" i="1" s="1"/>
  <c r="DN33" i="1" s="1"/>
  <c r="DQ21" i="13"/>
  <c r="DQ23" i="13" s="1"/>
  <c r="DP31" i="1" s="1"/>
  <c r="DP33" i="1" s="1"/>
  <c r="DS8" i="18"/>
  <c r="DR8" i="18"/>
  <c r="DQ8" i="18"/>
  <c r="DH8" i="18"/>
  <c r="DT21" i="13"/>
  <c r="DK21" i="13"/>
  <c r="DK23" i="13" s="1"/>
  <c r="DJ31" i="1" s="1"/>
  <c r="DJ33" i="1" s="1"/>
  <c r="DR21" i="13"/>
  <c r="DR23" i="13" s="1"/>
  <c r="DQ31" i="1" s="1"/>
  <c r="DQ33" i="1" s="1"/>
  <c r="DO8" i="18"/>
  <c r="DN8" i="18"/>
  <c r="DM8" i="18"/>
  <c r="DN21" i="13"/>
  <c r="DN23" i="13" s="1"/>
  <c r="DM31" i="1" s="1"/>
  <c r="DM33" i="1" s="1"/>
  <c r="DJ8" i="18"/>
  <c r="DP21" i="13"/>
  <c r="DP23" i="13" s="1"/>
  <c r="DO31" i="1" s="1"/>
  <c r="DO33" i="1" s="1"/>
  <c r="DL8" i="18"/>
  <c r="DK8" i="18"/>
  <c r="DI8" i="18"/>
  <c r="DE24" i="18"/>
  <c r="CX24" i="18"/>
  <c r="DE30" i="18"/>
  <c r="DE28" i="18"/>
  <c r="DE11" i="18"/>
  <c r="DE23" i="18"/>
  <c r="DE20" i="18"/>
  <c r="DE10" i="18"/>
  <c r="DE16" i="18"/>
  <c r="DE21" i="18"/>
  <c r="DE31" i="18"/>
  <c r="DE12" i="18"/>
  <c r="DE13" i="18"/>
  <c r="DE25" i="18"/>
  <c r="DE17" i="18"/>
  <c r="DE14" i="18"/>
  <c r="DE26" i="18"/>
  <c r="DE27" i="18"/>
  <c r="DE15" i="18"/>
  <c r="DE19" i="18"/>
  <c r="DE29" i="18"/>
  <c r="DE22" i="18"/>
  <c r="CW43" i="60"/>
  <c r="CW17" i="60"/>
  <c r="CW44" i="60"/>
  <c r="CW28" i="60"/>
  <c r="CW29" i="60"/>
  <c r="CW16" i="60"/>
  <c r="DC24" i="18"/>
  <c r="DD24" i="18"/>
  <c r="DB24" i="18"/>
  <c r="DS23" i="47"/>
  <c r="DS36" i="47"/>
  <c r="DS41" i="47"/>
  <c r="DS14" i="47"/>
  <c r="DS34" i="47"/>
  <c r="DS40" i="47"/>
  <c r="DS16" i="47"/>
  <c r="DS18" i="47"/>
  <c r="DS10" i="47"/>
  <c r="DS38" i="47"/>
  <c r="DS12" i="47"/>
  <c r="DS15" i="47"/>
  <c r="DS44" i="47"/>
  <c r="DS25" i="47"/>
  <c r="DS17" i="47"/>
  <c r="DS24" i="47"/>
  <c r="DS22" i="47"/>
  <c r="DS35" i="47"/>
  <c r="DS43" i="47"/>
  <c r="DS30" i="47"/>
  <c r="DS9" i="47"/>
  <c r="DA29" i="60"/>
  <c r="DA28" i="60"/>
  <c r="DA16" i="60"/>
  <c r="DA12" i="60"/>
  <c r="DA43" i="60"/>
  <c r="DA44" i="60"/>
  <c r="DA17" i="60"/>
  <c r="DR40" i="47"/>
  <c r="DR14" i="47"/>
  <c r="DR18" i="47"/>
  <c r="DR43" i="47"/>
  <c r="DR41" i="47"/>
  <c r="DR25" i="47"/>
  <c r="DR38" i="47"/>
  <c r="DR24" i="47"/>
  <c r="DR15" i="47"/>
  <c r="DR16" i="47"/>
  <c r="DR30" i="47"/>
  <c r="DR9" i="47"/>
  <c r="DR23" i="47"/>
  <c r="DR36" i="47"/>
  <c r="DR44" i="47"/>
  <c r="DR12" i="47"/>
  <c r="DR22" i="47"/>
  <c r="DR10" i="47"/>
  <c r="DR35" i="47"/>
  <c r="DR34" i="47"/>
  <c r="DR17" i="47"/>
  <c r="DL24" i="47"/>
  <c r="DL14" i="47"/>
  <c r="DL41" i="47"/>
  <c r="DL15" i="47"/>
  <c r="DL16" i="47"/>
  <c r="DL25" i="47"/>
  <c r="DL44" i="47"/>
  <c r="DL12" i="47"/>
  <c r="DL22" i="47"/>
  <c r="DL43" i="47"/>
  <c r="DL40" i="47"/>
  <c r="DL18" i="47"/>
  <c r="DL10" i="47"/>
  <c r="DL17" i="47"/>
  <c r="DL34" i="47"/>
  <c r="DL35" i="47"/>
  <c r="DL36" i="47"/>
  <c r="DL38" i="47"/>
  <c r="DL23" i="47"/>
  <c r="DL9" i="47"/>
  <c r="DL30" i="47"/>
  <c r="DG30" i="18"/>
  <c r="DG29" i="18"/>
  <c r="DG13" i="18"/>
  <c r="DG11" i="18"/>
  <c r="DG19" i="18"/>
  <c r="DG16" i="18"/>
  <c r="DG10" i="18"/>
  <c r="DG22" i="18"/>
  <c r="DG23" i="18"/>
  <c r="DG14" i="18"/>
  <c r="DG26" i="18"/>
  <c r="DG20" i="18"/>
  <c r="DG27" i="18"/>
  <c r="DG21" i="18"/>
  <c r="DG15" i="18"/>
  <c r="DG12" i="18"/>
  <c r="DG28" i="18"/>
  <c r="DG25" i="18"/>
  <c r="DG31" i="18"/>
  <c r="CZ29" i="60"/>
  <c r="CZ44" i="60"/>
  <c r="CZ17" i="60"/>
  <c r="CZ12" i="60"/>
  <c r="CZ28" i="60"/>
  <c r="CZ16" i="60"/>
  <c r="CZ43" i="60"/>
  <c r="CZ26" i="18"/>
  <c r="CZ13" i="18"/>
  <c r="CZ23" i="18"/>
  <c r="CZ10" i="18"/>
  <c r="CZ25" i="18"/>
  <c r="CZ15" i="18"/>
  <c r="CZ31" i="18"/>
  <c r="CZ19" i="18"/>
  <c r="CZ28" i="18"/>
  <c r="CZ16" i="18"/>
  <c r="CZ21" i="18"/>
  <c r="CZ14" i="18"/>
  <c r="CZ22" i="18"/>
  <c r="CZ12" i="18"/>
  <c r="CZ11" i="18"/>
  <c r="CZ29" i="18"/>
  <c r="CZ27" i="18"/>
  <c r="CZ30" i="18"/>
  <c r="CZ20" i="18"/>
  <c r="DF16" i="18"/>
  <c r="DF26" i="18"/>
  <c r="DF28" i="18"/>
  <c r="DF14" i="18"/>
  <c r="DF22" i="18"/>
  <c r="DF20" i="18"/>
  <c r="DF30" i="18"/>
  <c r="DF29" i="18"/>
  <c r="DF13" i="18"/>
  <c r="DF25" i="18"/>
  <c r="DF31" i="18"/>
  <c r="DF11" i="18"/>
  <c r="DF21" i="18"/>
  <c r="DF19" i="18"/>
  <c r="DF27" i="18"/>
  <c r="DF10" i="18"/>
  <c r="DF12" i="18"/>
  <c r="DF23" i="18"/>
  <c r="DF15" i="18"/>
  <c r="CY12" i="60"/>
  <c r="CY29" i="60"/>
  <c r="CY44" i="60"/>
  <c r="CY28" i="60"/>
  <c r="CY43" i="60"/>
  <c r="CY17" i="60"/>
  <c r="CY16" i="60"/>
  <c r="DT15" i="47"/>
  <c r="DT25" i="47"/>
  <c r="DT18" i="47"/>
  <c r="DT35" i="47"/>
  <c r="DT44" i="47"/>
  <c r="DT43" i="47"/>
  <c r="DT40" i="47"/>
  <c r="DT17" i="47"/>
  <c r="DT16" i="47"/>
  <c r="DT34" i="47"/>
  <c r="DT41" i="47"/>
  <c r="DT14" i="47"/>
  <c r="DT38" i="47"/>
  <c r="DT36" i="47"/>
  <c r="DT12" i="47"/>
  <c r="DT23" i="47"/>
  <c r="DT22" i="47"/>
  <c r="DT30" i="47"/>
  <c r="DT9" i="47"/>
  <c r="DT24" i="47"/>
  <c r="DT10" i="47"/>
  <c r="CY30" i="18"/>
  <c r="CY16" i="18"/>
  <c r="CY21" i="18"/>
  <c r="CY17" i="18"/>
  <c r="CY28" i="18"/>
  <c r="CY11" i="18"/>
  <c r="CY22" i="18"/>
  <c r="CY26" i="18"/>
  <c r="CY10" i="18"/>
  <c r="CY15" i="18"/>
  <c r="CY14" i="18"/>
  <c r="CY25" i="18"/>
  <c r="CY19" i="18"/>
  <c r="CY29" i="18"/>
  <c r="CY12" i="18"/>
  <c r="CY27" i="18"/>
  <c r="CY23" i="18"/>
  <c r="CY20" i="18"/>
  <c r="CY13" i="18"/>
  <c r="CY31" i="18"/>
  <c r="H32" i="74"/>
  <c r="H35" i="74"/>
  <c r="DL47" i="60" l="1"/>
  <c r="DN47" i="60"/>
  <c r="DI47" i="60"/>
  <c r="DO47" i="60"/>
  <c r="DH47" i="60"/>
  <c r="DJ47" i="60"/>
  <c r="DP47" i="60"/>
  <c r="DK47" i="60"/>
  <c r="DQ47" i="60"/>
  <c r="DM47" i="60"/>
  <c r="DR47" i="60"/>
  <c r="DS47" i="60"/>
  <c r="R15" i="44"/>
  <c r="R16" i="44"/>
  <c r="W58" i="72"/>
  <c r="W8" i="44" s="1"/>
  <c r="AI48" i="72"/>
  <c r="AU49" i="72" s="1"/>
  <c r="BG50" i="72" s="1"/>
  <c r="BS51" i="72" s="1"/>
  <c r="CE52" i="72" s="1"/>
  <c r="CQ53" i="72" s="1"/>
  <c r="DC54" i="72" s="1"/>
  <c r="DO55" i="72" s="1"/>
  <c r="W133" i="72"/>
  <c r="AI124" i="72"/>
  <c r="BF133" i="72"/>
  <c r="BR127" i="72"/>
  <c r="K17" i="1"/>
  <c r="K39" i="1"/>
  <c r="K41" i="1" s="1"/>
  <c r="T7" i="24"/>
  <c r="T17" i="24"/>
  <c r="J18" i="24"/>
  <c r="K11" i="24" s="1"/>
  <c r="O40" i="22"/>
  <c r="O23" i="22"/>
  <c r="O32" i="22"/>
  <c r="O24" i="22"/>
  <c r="O31" i="22"/>
  <c r="O36" i="22"/>
  <c r="O39" i="22"/>
  <c r="O27" i="22"/>
  <c r="O35" i="22"/>
  <c r="O44" i="22"/>
  <c r="O28" i="22"/>
  <c r="O50" i="22"/>
  <c r="O38" i="22"/>
  <c r="O37" i="22"/>
  <c r="O33" i="22"/>
  <c r="O55" i="22"/>
  <c r="O45" i="22"/>
  <c r="O56" i="22"/>
  <c r="O48" i="22"/>
  <c r="O58" i="22"/>
  <c r="O42" i="22"/>
  <c r="O34" i="22"/>
  <c r="O54" i="22"/>
  <c r="O52" i="22"/>
  <c r="O49" i="22"/>
  <c r="O57" i="22"/>
  <c r="O60" i="22"/>
  <c r="O29" i="22"/>
  <c r="O51" i="22"/>
  <c r="O53" i="22"/>
  <c r="O43" i="22"/>
  <c r="O30" i="22"/>
  <c r="O22" i="22"/>
  <c r="O59" i="22"/>
  <c r="O21" i="22"/>
  <c r="O47" i="22"/>
  <c r="O41" i="22"/>
  <c r="O46" i="22"/>
  <c r="G52" i="74"/>
  <c r="F69" i="74"/>
  <c r="G64" i="74"/>
  <c r="G65" i="74" s="1"/>
  <c r="H61" i="74" s="1"/>
  <c r="G55" i="74"/>
  <c r="G53" i="74" s="1"/>
  <c r="G54" i="74" s="1"/>
  <c r="G71" i="74"/>
  <c r="G68" i="74"/>
  <c r="H30" i="44"/>
  <c r="I27" i="44" s="1"/>
  <c r="R28" i="44"/>
  <c r="AG12" i="58"/>
  <c r="AH9" i="58" s="1"/>
  <c r="AH10" i="58" s="1"/>
  <c r="AI40" i="1" s="1"/>
  <c r="O44" i="72"/>
  <c r="O6" i="44" s="1"/>
  <c r="DJ24" i="18"/>
  <c r="DN24" i="18"/>
  <c r="DN16" i="18"/>
  <c r="DN26" i="18"/>
  <c r="DN14" i="18"/>
  <c r="DN10" i="18"/>
  <c r="DN19" i="18"/>
  <c r="DN31" i="18"/>
  <c r="DN20" i="18"/>
  <c r="DN11" i="18"/>
  <c r="DN22" i="18"/>
  <c r="DN15" i="18"/>
  <c r="DN23" i="18"/>
  <c r="DN21" i="18"/>
  <c r="DN30" i="18"/>
  <c r="DN27" i="18"/>
  <c r="DN25" i="18"/>
  <c r="DN12" i="18"/>
  <c r="DN13" i="18"/>
  <c r="DN28" i="18"/>
  <c r="DN29" i="18"/>
  <c r="DN17" i="18"/>
  <c r="DR21" i="18"/>
  <c r="DR31" i="18"/>
  <c r="DR23" i="18"/>
  <c r="DR15" i="18"/>
  <c r="DR19" i="18"/>
  <c r="DR16" i="18"/>
  <c r="DR10" i="18"/>
  <c r="DR27" i="18"/>
  <c r="DR11" i="18"/>
  <c r="DR28" i="18"/>
  <c r="DR26" i="18"/>
  <c r="DR12" i="18"/>
  <c r="DR13" i="18"/>
  <c r="DR22" i="18"/>
  <c r="DR20" i="18"/>
  <c r="DR29" i="18"/>
  <c r="DR30" i="18"/>
  <c r="DR14" i="18"/>
  <c r="DR25" i="18"/>
  <c r="DK29" i="60"/>
  <c r="DK44" i="60"/>
  <c r="DK16" i="60"/>
  <c r="DK43" i="60"/>
  <c r="DK17" i="60"/>
  <c r="DK12" i="60"/>
  <c r="DK28" i="60"/>
  <c r="DK21" i="18"/>
  <c r="DK28" i="18"/>
  <c r="DK17" i="18"/>
  <c r="DK27" i="18"/>
  <c r="DK30" i="18"/>
  <c r="DK19" i="18"/>
  <c r="DK23" i="18"/>
  <c r="DK11" i="18"/>
  <c r="DK31" i="18"/>
  <c r="DK10" i="18"/>
  <c r="DK25" i="18"/>
  <c r="DK29" i="18"/>
  <c r="DK26" i="18"/>
  <c r="DK13" i="18"/>
  <c r="DK12" i="18"/>
  <c r="DK16" i="18"/>
  <c r="DK14" i="18"/>
  <c r="DK20" i="18"/>
  <c r="DK15" i="18"/>
  <c r="DK22" i="18"/>
  <c r="DL26" i="18"/>
  <c r="DL21" i="18"/>
  <c r="DL14" i="18"/>
  <c r="DL29" i="18"/>
  <c r="DL25" i="18"/>
  <c r="DL10" i="18"/>
  <c r="DL28" i="18"/>
  <c r="DL12" i="18"/>
  <c r="DL13" i="18"/>
  <c r="DL22" i="18"/>
  <c r="DL11" i="18"/>
  <c r="DL30" i="18"/>
  <c r="DL19" i="18"/>
  <c r="DL15" i="18"/>
  <c r="DL16" i="18"/>
  <c r="DL31" i="18"/>
  <c r="DL20" i="18"/>
  <c r="DL27" i="18"/>
  <c r="DL23" i="18"/>
  <c r="DQ16" i="18"/>
  <c r="DQ14" i="18"/>
  <c r="DQ20" i="18"/>
  <c r="DQ25" i="18"/>
  <c r="DQ28" i="18"/>
  <c r="DQ29" i="18"/>
  <c r="DQ13" i="18"/>
  <c r="DQ23" i="18"/>
  <c r="DQ27" i="18"/>
  <c r="DQ30" i="18"/>
  <c r="DQ12" i="18"/>
  <c r="DQ11" i="18"/>
  <c r="DQ21" i="18"/>
  <c r="DQ10" i="18"/>
  <c r="DQ31" i="18"/>
  <c r="DQ15" i="18"/>
  <c r="DQ19" i="18"/>
  <c r="DQ26" i="18"/>
  <c r="DQ17" i="18"/>
  <c r="DQ22" i="18"/>
  <c r="DH24" i="18"/>
  <c r="DP24" i="18"/>
  <c r="DS28" i="60"/>
  <c r="DS16" i="60"/>
  <c r="DS43" i="60"/>
  <c r="DS12" i="60"/>
  <c r="DS17" i="60"/>
  <c r="DS44" i="60"/>
  <c r="DS29" i="60"/>
  <c r="DO30" i="18"/>
  <c r="DO14" i="18"/>
  <c r="DO31" i="18"/>
  <c r="DO22" i="18"/>
  <c r="DO16" i="18"/>
  <c r="DO11" i="18"/>
  <c r="DO12" i="18"/>
  <c r="DO27" i="18"/>
  <c r="DO21" i="18"/>
  <c r="DO10" i="18"/>
  <c r="DO23" i="18"/>
  <c r="DO15" i="18"/>
  <c r="DO25" i="18"/>
  <c r="DO19" i="18"/>
  <c r="DO26" i="18"/>
  <c r="DO20" i="18"/>
  <c r="DO13" i="18"/>
  <c r="DO28" i="18"/>
  <c r="DO29" i="18"/>
  <c r="DL16" i="60"/>
  <c r="DL17" i="60"/>
  <c r="DL43" i="60"/>
  <c r="DL44" i="60"/>
  <c r="DL12" i="60"/>
  <c r="DL29" i="60"/>
  <c r="DL28" i="60"/>
  <c r="DJ16" i="60"/>
  <c r="DJ43" i="60"/>
  <c r="DJ17" i="60"/>
  <c r="DJ19" i="60"/>
  <c r="DJ12" i="60"/>
  <c r="DJ28" i="60"/>
  <c r="DJ44" i="60"/>
  <c r="DJ29" i="60"/>
  <c r="DS30" i="18"/>
  <c r="DS16" i="18"/>
  <c r="DS29" i="18"/>
  <c r="DS28" i="18"/>
  <c r="DS14" i="18"/>
  <c r="DS20" i="18"/>
  <c r="DS25" i="18"/>
  <c r="DS31" i="18"/>
  <c r="DS19" i="18"/>
  <c r="DS11" i="18"/>
  <c r="DS12" i="18"/>
  <c r="DS23" i="18"/>
  <c r="DS13" i="18"/>
  <c r="DS26" i="18"/>
  <c r="DS15" i="18"/>
  <c r="DS21" i="18"/>
  <c r="DS10" i="18"/>
  <c r="DS27" i="18"/>
  <c r="DS22" i="18"/>
  <c r="DP16" i="60"/>
  <c r="DP17" i="60"/>
  <c r="DP44" i="60"/>
  <c r="DP28" i="60"/>
  <c r="DP29" i="60"/>
  <c r="DP43" i="60"/>
  <c r="DP12" i="60"/>
  <c r="DH25" i="18"/>
  <c r="DH28" i="18"/>
  <c r="DH12" i="18"/>
  <c r="DH15" i="18"/>
  <c r="DH30" i="18"/>
  <c r="DH16" i="18"/>
  <c r="DH31" i="18"/>
  <c r="DH29" i="18"/>
  <c r="DH10" i="18"/>
  <c r="DH13" i="18"/>
  <c r="DH11" i="18"/>
  <c r="DH23" i="18"/>
  <c r="DH21" i="18"/>
  <c r="DH27" i="18"/>
  <c r="DH17" i="18"/>
  <c r="DH19" i="18"/>
  <c r="DH26" i="18"/>
  <c r="DH22" i="18"/>
  <c r="DH14" i="18"/>
  <c r="DH20" i="18"/>
  <c r="DI16" i="18"/>
  <c r="DI27" i="18"/>
  <c r="DI14" i="18"/>
  <c r="DI29" i="18"/>
  <c r="DI12" i="18"/>
  <c r="DI20" i="18"/>
  <c r="DI26" i="18"/>
  <c r="DI13" i="18"/>
  <c r="DI28" i="18"/>
  <c r="DI19" i="18"/>
  <c r="DI11" i="18"/>
  <c r="DI23" i="18"/>
  <c r="DI21" i="18"/>
  <c r="DI25" i="18"/>
  <c r="DI15" i="18"/>
  <c r="DI22" i="18"/>
  <c r="DI30" i="18"/>
  <c r="DI31" i="18"/>
  <c r="DI10" i="18"/>
  <c r="DM16" i="18"/>
  <c r="DM26" i="18"/>
  <c r="DM22" i="18"/>
  <c r="DM13" i="18"/>
  <c r="DM21" i="18"/>
  <c r="DM12" i="18"/>
  <c r="DM27" i="18"/>
  <c r="DM30" i="18"/>
  <c r="DM31" i="18"/>
  <c r="DM29" i="18"/>
  <c r="DM11" i="18"/>
  <c r="DM15" i="18"/>
  <c r="DM19" i="18"/>
  <c r="DM10" i="18"/>
  <c r="DM28" i="18"/>
  <c r="DM25" i="18"/>
  <c r="DM23" i="18"/>
  <c r="DM20" i="18"/>
  <c r="DM14" i="18"/>
  <c r="DN16" i="60"/>
  <c r="DN12" i="60"/>
  <c r="DN43" i="60"/>
  <c r="DN28" i="60"/>
  <c r="DN44" i="60"/>
  <c r="DN17" i="60"/>
  <c r="DN29" i="60"/>
  <c r="DM28" i="60"/>
  <c r="DM12" i="60"/>
  <c r="DM43" i="60"/>
  <c r="DM16" i="60"/>
  <c r="DM17" i="60"/>
  <c r="DM29" i="60"/>
  <c r="DM44" i="60"/>
  <c r="DH33" i="1"/>
  <c r="DS24" i="18"/>
  <c r="DR24" i="18"/>
  <c r="DQ24" i="18"/>
  <c r="DH16" i="60"/>
  <c r="DH44" i="60"/>
  <c r="DH28" i="60"/>
  <c r="DH17" i="60"/>
  <c r="DH43" i="60"/>
  <c r="DH29" i="60"/>
  <c r="DJ30" i="18"/>
  <c r="DJ28" i="18"/>
  <c r="DJ20" i="18"/>
  <c r="DJ29" i="18"/>
  <c r="DJ27" i="18"/>
  <c r="DJ16" i="18"/>
  <c r="DJ21" i="18"/>
  <c r="DJ22" i="18"/>
  <c r="DJ15" i="18"/>
  <c r="DJ19" i="18"/>
  <c r="DJ26" i="18"/>
  <c r="DJ25" i="18"/>
  <c r="DJ12" i="18"/>
  <c r="DJ14" i="18"/>
  <c r="DJ10" i="18"/>
  <c r="DJ13" i="18"/>
  <c r="DJ9" i="18"/>
  <c r="DJ11" i="18"/>
  <c r="DJ23" i="18"/>
  <c r="DJ31" i="18"/>
  <c r="DI29" i="60"/>
  <c r="DI28" i="60"/>
  <c r="DI16" i="60"/>
  <c r="DI44" i="60"/>
  <c r="DI43" i="60"/>
  <c r="DI17" i="60"/>
  <c r="DT23" i="13"/>
  <c r="DR28" i="60"/>
  <c r="DR17" i="60"/>
  <c r="DR43" i="60"/>
  <c r="DR12" i="60"/>
  <c r="DR44" i="60"/>
  <c r="DR16" i="60"/>
  <c r="DR29" i="60"/>
  <c r="DQ17" i="60"/>
  <c r="DQ43" i="60"/>
  <c r="DQ29" i="60"/>
  <c r="DQ16" i="60"/>
  <c r="DQ28" i="60"/>
  <c r="DQ12" i="60"/>
  <c r="DQ44" i="60"/>
  <c r="DP10" i="18"/>
  <c r="DP19" i="18"/>
  <c r="DP20" i="18"/>
  <c r="DP29" i="18"/>
  <c r="DP12" i="18"/>
  <c r="DP25" i="18"/>
  <c r="DP27" i="18"/>
  <c r="DP15" i="18"/>
  <c r="DP21" i="18"/>
  <c r="DP30" i="18"/>
  <c r="DP11" i="18"/>
  <c r="DP26" i="18"/>
  <c r="DP31" i="18"/>
  <c r="DP13" i="18"/>
  <c r="DP14" i="18"/>
  <c r="DP28" i="18"/>
  <c r="DP16" i="18"/>
  <c r="DP22" i="18"/>
  <c r="DP23" i="18"/>
  <c r="DO12" i="60"/>
  <c r="DO29" i="60"/>
  <c r="DO44" i="60"/>
  <c r="DO28" i="60"/>
  <c r="DO43" i="60"/>
  <c r="DO16" i="60"/>
  <c r="DO17" i="60"/>
  <c r="DM24" i="18"/>
  <c r="DL24" i="18"/>
  <c r="DI24" i="18"/>
  <c r="DK24" i="18"/>
  <c r="DO24" i="18"/>
  <c r="I25" i="74"/>
  <c r="H40" i="74"/>
  <c r="V38" i="60" l="1"/>
  <c r="V37" i="60"/>
  <c r="R29" i="44"/>
  <c r="R30" i="44" s="1"/>
  <c r="S27" i="44" s="1"/>
  <c r="CD128" i="72"/>
  <c r="BR133" i="72"/>
  <c r="X18" i="72"/>
  <c r="AU125" i="72"/>
  <c r="AI133" i="72"/>
  <c r="T8" i="24"/>
  <c r="U37" i="1" s="1"/>
  <c r="T18" i="24"/>
  <c r="U15" i="24" s="1"/>
  <c r="U17" i="1"/>
  <c r="U39" i="1"/>
  <c r="K16" i="24"/>
  <c r="K7" i="24" s="1"/>
  <c r="S78" i="72"/>
  <c r="S81" i="72" s="1"/>
  <c r="CA86" i="72" s="1"/>
  <c r="F72" i="74"/>
  <c r="H62" i="74"/>
  <c r="H63" i="74" s="1"/>
  <c r="H55" i="74" s="1"/>
  <c r="G67" i="74"/>
  <c r="Y95" i="72" s="1"/>
  <c r="AK96" i="72" s="1"/>
  <c r="AW97" i="72" s="1"/>
  <c r="BI98" i="72" s="1"/>
  <c r="BU99" i="72" s="1"/>
  <c r="G59" i="74"/>
  <c r="H51" i="74" s="1"/>
  <c r="H66" i="74" s="1"/>
  <c r="Q9" i="29"/>
  <c r="I29" i="44"/>
  <c r="AH12" i="58"/>
  <c r="AI9" i="58" s="1"/>
  <c r="AI10" i="58" s="1"/>
  <c r="AJ40" i="1" s="1"/>
  <c r="P44" i="72"/>
  <c r="P6" i="44" s="1"/>
  <c r="DS31" i="1"/>
  <c r="I32" i="74"/>
  <c r="I35" i="74"/>
  <c r="G56" i="74"/>
  <c r="R9" i="16" l="1"/>
  <c r="X47" i="72"/>
  <c r="AJ19" i="72"/>
  <c r="AV20" i="72" s="1"/>
  <c r="BH21" i="72" s="1"/>
  <c r="BT22" i="72" s="1"/>
  <c r="CF23" i="72" s="1"/>
  <c r="CR24" i="72" s="1"/>
  <c r="DD25" i="72" s="1"/>
  <c r="DP26" i="72" s="1"/>
  <c r="X136" i="72"/>
  <c r="X28" i="72"/>
  <c r="X6" i="44" s="1"/>
  <c r="CG100" i="72"/>
  <c r="BU105" i="72"/>
  <c r="BG126" i="72"/>
  <c r="AU133" i="72"/>
  <c r="CP129" i="72"/>
  <c r="CD133" i="72"/>
  <c r="H57" i="74"/>
  <c r="H68" i="74" s="1"/>
  <c r="L39" i="1"/>
  <c r="L41" i="1" s="1"/>
  <c r="L17" i="1"/>
  <c r="K18" i="24"/>
  <c r="L11" i="24" s="1"/>
  <c r="U16" i="24"/>
  <c r="U41" i="1"/>
  <c r="CM87" i="72"/>
  <c r="S92" i="72"/>
  <c r="S10" i="44" s="1"/>
  <c r="AQ83" i="72"/>
  <c r="DK89" i="72"/>
  <c r="BC84" i="72"/>
  <c r="AE82" i="72"/>
  <c r="CY88" i="72"/>
  <c r="BO85" i="72"/>
  <c r="F73" i="74"/>
  <c r="F74" i="74" s="1"/>
  <c r="H71" i="74"/>
  <c r="G69" i="74"/>
  <c r="Y18" i="72" s="1"/>
  <c r="H53" i="74"/>
  <c r="H67" i="74" s="1"/>
  <c r="Z95" i="72" s="1"/>
  <c r="AL96" i="72" s="1"/>
  <c r="AX97" i="72" s="1"/>
  <c r="BJ98" i="72" s="1"/>
  <c r="BV99" i="72" s="1"/>
  <c r="I30" i="44"/>
  <c r="J27" i="44" s="1"/>
  <c r="J29" i="44" s="1"/>
  <c r="I9" i="16"/>
  <c r="AI12" i="58"/>
  <c r="AJ9" i="58" s="1"/>
  <c r="AJ10" i="58" s="1"/>
  <c r="AK40" i="1" s="1"/>
  <c r="DS33" i="1"/>
  <c r="M32" i="20"/>
  <c r="M34" i="20" s="1"/>
  <c r="J25" i="74"/>
  <c r="I40" i="74"/>
  <c r="X58" i="72" l="1"/>
  <c r="X8" i="44" s="1"/>
  <c r="AJ48" i="72"/>
  <c r="S11" i="44"/>
  <c r="S14" i="44" s="1"/>
  <c r="S13" i="44"/>
  <c r="S17" i="44" s="1"/>
  <c r="S12" i="44"/>
  <c r="DB130" i="72"/>
  <c r="CP133" i="72"/>
  <c r="CS101" i="72"/>
  <c r="CG105" i="72"/>
  <c r="CH100" i="72"/>
  <c r="BV105" i="72"/>
  <c r="BS127" i="72"/>
  <c r="BG133" i="72"/>
  <c r="AJ137" i="72"/>
  <c r="X146" i="72"/>
  <c r="AK19" i="72"/>
  <c r="Y136" i="72"/>
  <c r="Y28" i="72"/>
  <c r="Y6" i="44" s="1"/>
  <c r="H64" i="74"/>
  <c r="H65" i="74" s="1"/>
  <c r="I61" i="74" s="1"/>
  <c r="I62" i="74" s="1"/>
  <c r="I63" i="74" s="1"/>
  <c r="U7" i="24"/>
  <c r="U17" i="24"/>
  <c r="L16" i="24"/>
  <c r="L7" i="24" s="1"/>
  <c r="L18" i="24"/>
  <c r="M11" i="24" s="1"/>
  <c r="T78" i="72"/>
  <c r="H59" i="74"/>
  <c r="H54" i="74"/>
  <c r="H56" i="74" s="1"/>
  <c r="G72" i="74"/>
  <c r="J30" i="44"/>
  <c r="K27" i="44" s="1"/>
  <c r="K29" i="44" s="1"/>
  <c r="J9" i="16"/>
  <c r="AJ12" i="58"/>
  <c r="AK9" i="58" s="1"/>
  <c r="AK10" i="58" s="1"/>
  <c r="AL40" i="1" s="1"/>
  <c r="J32" i="74"/>
  <c r="J35" i="74"/>
  <c r="S15" i="44" l="1"/>
  <c r="S16" i="44"/>
  <c r="W37" i="60"/>
  <c r="W38" i="60"/>
  <c r="Y47" i="72"/>
  <c r="AV49" i="72"/>
  <c r="S28" i="44"/>
  <c r="AV138" i="72"/>
  <c r="AJ146" i="72"/>
  <c r="CT101" i="72"/>
  <c r="CH105" i="72"/>
  <c r="DE102" i="72"/>
  <c r="CS105" i="72"/>
  <c r="AK137" i="72"/>
  <c r="Y146" i="72"/>
  <c r="AW20" i="72"/>
  <c r="AK28" i="72"/>
  <c r="AK6" i="44" s="1"/>
  <c r="CE128" i="72"/>
  <c r="BS133" i="72"/>
  <c r="DB133" i="72"/>
  <c r="DN131" i="72"/>
  <c r="DN133" i="72" s="1"/>
  <c r="H69" i="74"/>
  <c r="Z18" i="72" s="1"/>
  <c r="R9" i="29"/>
  <c r="M16" i="24"/>
  <c r="M7" i="24" s="1"/>
  <c r="U8" i="24"/>
  <c r="V37" i="1" s="1"/>
  <c r="U18" i="24"/>
  <c r="V15" i="24" s="1"/>
  <c r="M39" i="1"/>
  <c r="M41" i="1" s="1"/>
  <c r="M17" i="1"/>
  <c r="V39" i="1"/>
  <c r="V17" i="1"/>
  <c r="I51" i="74"/>
  <c r="G73" i="74"/>
  <c r="G74" i="74" s="1"/>
  <c r="I71" i="74"/>
  <c r="I55" i="74"/>
  <c r="K30" i="44"/>
  <c r="L27" i="44" s="1"/>
  <c r="L29" i="44" s="1"/>
  <c r="K9" i="16"/>
  <c r="AO36" i="72"/>
  <c r="AK12" i="58"/>
  <c r="AL9" i="58" s="1"/>
  <c r="K25" i="74"/>
  <c r="J40" i="74"/>
  <c r="S29" i="44" l="1"/>
  <c r="S30" i="44" s="1"/>
  <c r="T27" i="44" s="1"/>
  <c r="BH50" i="72"/>
  <c r="Y58" i="72"/>
  <c r="Y8" i="44" s="1"/>
  <c r="AK48" i="72"/>
  <c r="H72" i="74"/>
  <c r="Z47" i="72" s="1"/>
  <c r="AL19" i="72"/>
  <c r="Z28" i="72"/>
  <c r="Z6" i="44" s="1"/>
  <c r="Z136" i="72"/>
  <c r="CQ129" i="72"/>
  <c r="CE133" i="72"/>
  <c r="AW138" i="72"/>
  <c r="AK146" i="72"/>
  <c r="DF102" i="72"/>
  <c r="CT105" i="72"/>
  <c r="BI21" i="72"/>
  <c r="AW28" i="72"/>
  <c r="AW6" i="44" s="1"/>
  <c r="DQ103" i="72"/>
  <c r="DQ105" i="72" s="1"/>
  <c r="DE105" i="72"/>
  <c r="AV146" i="72"/>
  <c r="BH139" i="72"/>
  <c r="I66" i="74"/>
  <c r="I57" i="74"/>
  <c r="V41" i="1"/>
  <c r="M18" i="24"/>
  <c r="N11" i="24" s="1"/>
  <c r="N17" i="1"/>
  <c r="N39" i="1"/>
  <c r="N41" i="1" s="1"/>
  <c r="V16" i="24"/>
  <c r="I52" i="74"/>
  <c r="I53" i="74"/>
  <c r="I67" i="74" s="1"/>
  <c r="AA95" i="72" s="1"/>
  <c r="AM96" i="72" s="1"/>
  <c r="AY97" i="72" s="1"/>
  <c r="BK98" i="72" s="1"/>
  <c r="BW99" i="72" s="1"/>
  <c r="L30" i="44"/>
  <c r="M27" i="44" s="1"/>
  <c r="M29" i="44" s="1"/>
  <c r="L9" i="16"/>
  <c r="Q44" i="72"/>
  <c r="Q6" i="44" s="1"/>
  <c r="BY39" i="72"/>
  <c r="BA37" i="72"/>
  <c r="CK40" i="72"/>
  <c r="BM38" i="72"/>
  <c r="AC35" i="72"/>
  <c r="CW41" i="72"/>
  <c r="DI42" i="72"/>
  <c r="BM54" i="72"/>
  <c r="BY55" i="72" s="1"/>
  <c r="CK56" i="72" s="1"/>
  <c r="CW57" i="72" s="1"/>
  <c r="AC51" i="72"/>
  <c r="AO52" i="72"/>
  <c r="BA53" i="72"/>
  <c r="AL10" i="58"/>
  <c r="AM40" i="1" s="1"/>
  <c r="K32" i="74"/>
  <c r="K35" i="74"/>
  <c r="S9" i="16" l="1"/>
  <c r="X38" i="60"/>
  <c r="X37" i="60"/>
  <c r="H73" i="74"/>
  <c r="H74" i="74" s="1"/>
  <c r="AW49" i="72"/>
  <c r="BT51" i="72"/>
  <c r="AL48" i="72"/>
  <c r="Z58" i="72"/>
  <c r="Z8" i="44" s="1"/>
  <c r="CI100" i="72"/>
  <c r="BW105" i="72"/>
  <c r="BI28" i="72"/>
  <c r="BI6" i="44" s="1"/>
  <c r="BU22" i="72"/>
  <c r="DR103" i="72"/>
  <c r="DR105" i="72" s="1"/>
  <c r="DF105" i="72"/>
  <c r="DC130" i="72"/>
  <c r="CQ133" i="72"/>
  <c r="AL137" i="72"/>
  <c r="Z146" i="72"/>
  <c r="BI139" i="72"/>
  <c r="AW146" i="72"/>
  <c r="BT140" i="72"/>
  <c r="BH146" i="72"/>
  <c r="AL28" i="72"/>
  <c r="AL6" i="44" s="1"/>
  <c r="AX20" i="72"/>
  <c r="I64" i="74"/>
  <c r="I65" i="74" s="1"/>
  <c r="J61" i="74" s="1"/>
  <c r="J62" i="74" s="1"/>
  <c r="J63" i="74" s="1"/>
  <c r="J55" i="74" s="1"/>
  <c r="I68" i="74"/>
  <c r="U78" i="72" s="1"/>
  <c r="V7" i="24"/>
  <c r="V17" i="24"/>
  <c r="N16" i="24"/>
  <c r="N7" i="24" s="1"/>
  <c r="I54" i="74"/>
  <c r="I59" i="74"/>
  <c r="M30" i="44"/>
  <c r="N27" i="44" s="1"/>
  <c r="N29" i="44" s="1"/>
  <c r="M9" i="16"/>
  <c r="AL12" i="58"/>
  <c r="AM9" i="58" s="1"/>
  <c r="AM10" i="58" s="1"/>
  <c r="AN40" i="1" s="1"/>
  <c r="BZ39" i="72"/>
  <c r="F41" i="20"/>
  <c r="CX41" i="72"/>
  <c r="K40" i="74"/>
  <c r="L25" i="74"/>
  <c r="Y37" i="60" l="1"/>
  <c r="Y38" i="60"/>
  <c r="CF52" i="72"/>
  <c r="BI50" i="72"/>
  <c r="AX49" i="72"/>
  <c r="BU140" i="72"/>
  <c r="BI146" i="72"/>
  <c r="BU28" i="72"/>
  <c r="BU6" i="44" s="1"/>
  <c r="CG23" i="72"/>
  <c r="DO131" i="72"/>
  <c r="DO133" i="72" s="1"/>
  <c r="DC133" i="72"/>
  <c r="CF141" i="72"/>
  <c r="BT146" i="72"/>
  <c r="AX28" i="72"/>
  <c r="AX6" i="44" s="1"/>
  <c r="BJ21" i="72"/>
  <c r="AL146" i="72"/>
  <c r="AX138" i="72"/>
  <c r="CU101" i="72"/>
  <c r="CI105" i="72"/>
  <c r="I69" i="74"/>
  <c r="AA18" i="72" s="1"/>
  <c r="J71" i="74"/>
  <c r="N18" i="24"/>
  <c r="O39" i="1"/>
  <c r="O17" i="1"/>
  <c r="D15" i="20" s="1"/>
  <c r="V8" i="24"/>
  <c r="W37" i="1" s="1"/>
  <c r="V18" i="24"/>
  <c r="W15" i="24" s="1"/>
  <c r="W39" i="1"/>
  <c r="W17" i="1"/>
  <c r="I56" i="74"/>
  <c r="J51" i="74"/>
  <c r="N30" i="44"/>
  <c r="O27" i="44" s="1"/>
  <c r="O29" i="44" s="1"/>
  <c r="N9" i="16"/>
  <c r="AM12" i="58"/>
  <c r="AN9" i="58" s="1"/>
  <c r="AN10" i="58" s="1"/>
  <c r="AO40" i="1" s="1"/>
  <c r="BN38" i="72"/>
  <c r="AP36" i="72"/>
  <c r="AD35" i="72"/>
  <c r="BB37" i="72"/>
  <c r="DJ42" i="72"/>
  <c r="BN54" i="72"/>
  <c r="BZ55" i="72" s="1"/>
  <c r="CL56" i="72" s="1"/>
  <c r="CX57" i="72" s="1"/>
  <c r="AP52" i="72"/>
  <c r="AD51" i="72"/>
  <c r="BB53" i="72"/>
  <c r="CL40" i="72"/>
  <c r="R44" i="72"/>
  <c r="R6" i="44" s="1"/>
  <c r="L35" i="74"/>
  <c r="L32" i="74"/>
  <c r="W41" i="1" l="1"/>
  <c r="I72" i="74"/>
  <c r="B16" i="81"/>
  <c r="D16" i="81" s="1"/>
  <c r="G16" i="81" s="1"/>
  <c r="BU51" i="72"/>
  <c r="CR53" i="72"/>
  <c r="AA47" i="72"/>
  <c r="BJ50" i="72"/>
  <c r="BJ139" i="72"/>
  <c r="AX146" i="72"/>
  <c r="CS24" i="72"/>
  <c r="CG28" i="72"/>
  <c r="CG6" i="44" s="1"/>
  <c r="AA136" i="72"/>
  <c r="AA28" i="72"/>
  <c r="AA6" i="44" s="1"/>
  <c r="AM19" i="72"/>
  <c r="CR142" i="72"/>
  <c r="CF146" i="72"/>
  <c r="BV22" i="72"/>
  <c r="BJ28" i="72"/>
  <c r="BJ6" i="44" s="1"/>
  <c r="DG102" i="72"/>
  <c r="CU105" i="72"/>
  <c r="CG141" i="72"/>
  <c r="BU146" i="72"/>
  <c r="J52" i="74"/>
  <c r="J57" i="74"/>
  <c r="J66" i="74"/>
  <c r="O41" i="1"/>
  <c r="D40" i="20"/>
  <c r="D42" i="20" s="1"/>
  <c r="W16" i="24"/>
  <c r="J53" i="74"/>
  <c r="I73" i="74"/>
  <c r="I74" i="74" s="1"/>
  <c r="O30" i="44"/>
  <c r="P27" i="44" s="1"/>
  <c r="P29" i="44" s="1"/>
  <c r="O9" i="16"/>
  <c r="AN12" i="58"/>
  <c r="AO9" i="58" s="1"/>
  <c r="AO10" i="58" s="1"/>
  <c r="AP40" i="1" s="1"/>
  <c r="S34" i="72"/>
  <c r="CM40" i="72" s="1"/>
  <c r="M25" i="74"/>
  <c r="L40" i="74"/>
  <c r="D20" i="91" l="1"/>
  <c r="D22" i="91" s="1"/>
  <c r="F22" i="91" s="1"/>
  <c r="DD54" i="72"/>
  <c r="CG52" i="72"/>
  <c r="BV51" i="72"/>
  <c r="AA58" i="72"/>
  <c r="AA8" i="44" s="1"/>
  <c r="AM48" i="72"/>
  <c r="CS142" i="72"/>
  <c r="CG146" i="72"/>
  <c r="DS103" i="72"/>
  <c r="DS105" i="72" s="1"/>
  <c r="DG105" i="72"/>
  <c r="DD143" i="72"/>
  <c r="CR146" i="72"/>
  <c r="D24" i="91"/>
  <c r="F24" i="91" s="1"/>
  <c r="AY20" i="72"/>
  <c r="AM28" i="72"/>
  <c r="AM6" i="44" s="1"/>
  <c r="DE25" i="72"/>
  <c r="CS28" i="72"/>
  <c r="CS6" i="44" s="1"/>
  <c r="E16" i="81"/>
  <c r="H16" i="81" s="1"/>
  <c r="CH23" i="72"/>
  <c r="BV28" i="72"/>
  <c r="BV6" i="44" s="1"/>
  <c r="AA146" i="72"/>
  <c r="AM137" i="72"/>
  <c r="BV140" i="72"/>
  <c r="BJ146" i="72"/>
  <c r="J64" i="74"/>
  <c r="J65" i="74" s="1"/>
  <c r="K61" i="74" s="1"/>
  <c r="K62" i="74" s="1"/>
  <c r="K63" i="74" s="1"/>
  <c r="K55" i="74" s="1"/>
  <c r="J68" i="74"/>
  <c r="V78" i="72" s="1"/>
  <c r="W7" i="24"/>
  <c r="W17" i="24"/>
  <c r="J59" i="74"/>
  <c r="K51" i="74" s="1"/>
  <c r="K52" i="74" s="1"/>
  <c r="J54" i="74"/>
  <c r="J56" i="74" s="1"/>
  <c r="J67" i="74"/>
  <c r="AB95" i="72" s="1"/>
  <c r="AN96" i="72" s="1"/>
  <c r="AZ97" i="72" s="1"/>
  <c r="BL98" i="72" s="1"/>
  <c r="BX99" i="72" s="1"/>
  <c r="P30" i="44"/>
  <c r="P9" i="16"/>
  <c r="DK42" i="72"/>
  <c r="AQ36" i="72"/>
  <c r="CA39" i="72"/>
  <c r="BC37" i="72"/>
  <c r="AE35" i="72"/>
  <c r="BO38" i="72"/>
  <c r="CY41" i="72"/>
  <c r="S44" i="72"/>
  <c r="S6" i="44" s="1"/>
  <c r="AQ52" i="72"/>
  <c r="AO12" i="58"/>
  <c r="AP9" i="58" s="1"/>
  <c r="M32" i="74"/>
  <c r="M35" i="74"/>
  <c r="Z38" i="60" l="1"/>
  <c r="Z37" i="60"/>
  <c r="F20" i="91"/>
  <c r="D21" i="91"/>
  <c r="F21" i="91" s="1"/>
  <c r="CS53" i="72"/>
  <c r="DP55" i="72"/>
  <c r="CH52" i="72"/>
  <c r="AY49" i="72"/>
  <c r="AY138" i="72"/>
  <c r="AM146" i="72"/>
  <c r="BK21" i="72"/>
  <c r="AY28" i="72"/>
  <c r="AY6" i="44" s="1"/>
  <c r="CJ100" i="72"/>
  <c r="BX105" i="72"/>
  <c r="CH141" i="72"/>
  <c r="BV146" i="72"/>
  <c r="CH28" i="72"/>
  <c r="CH6" i="44" s="1"/>
  <c r="CT24" i="72"/>
  <c r="DQ26" i="72"/>
  <c r="DQ28" i="72" s="1"/>
  <c r="DQ6" i="44" s="1"/>
  <c r="DE28" i="72"/>
  <c r="DE6" i="44" s="1"/>
  <c r="DP144" i="72"/>
  <c r="DP146" i="72" s="1"/>
  <c r="DD146" i="72"/>
  <c r="DE143" i="72"/>
  <c r="CS146" i="72"/>
  <c r="K64" i="74"/>
  <c r="K65" i="74" s="1"/>
  <c r="L61" i="74" s="1"/>
  <c r="K71" i="74"/>
  <c r="J69" i="74"/>
  <c r="AB18" i="72" s="1"/>
  <c r="K66" i="74"/>
  <c r="W8" i="24"/>
  <c r="X37" i="1" s="1"/>
  <c r="X41" i="1" s="1"/>
  <c r="W18" i="24"/>
  <c r="X15" i="24" s="1"/>
  <c r="X39" i="1"/>
  <c r="X17" i="1"/>
  <c r="K53" i="74"/>
  <c r="K67" i="74" s="1"/>
  <c r="AC95" i="72" s="1"/>
  <c r="AO96" i="72" s="1"/>
  <c r="BA97" i="72" s="1"/>
  <c r="BM98" i="72" s="1"/>
  <c r="BY99" i="72" s="1"/>
  <c r="BO54" i="72"/>
  <c r="CA55" i="72" s="1"/>
  <c r="CM56" i="72" s="1"/>
  <c r="CY57" i="72" s="1"/>
  <c r="AE51" i="72"/>
  <c r="BC53" i="72"/>
  <c r="AP10" i="58"/>
  <c r="AQ40" i="1" s="1"/>
  <c r="N25" i="74"/>
  <c r="M40" i="74"/>
  <c r="DE54" i="72" l="1"/>
  <c r="CT53" i="72"/>
  <c r="BK50" i="72"/>
  <c r="AN19" i="72"/>
  <c r="AB136" i="72"/>
  <c r="AB28" i="72"/>
  <c r="AB6" i="44" s="1"/>
  <c r="DE146" i="72"/>
  <c r="DQ144" i="72"/>
  <c r="DQ146" i="72" s="1"/>
  <c r="CH146" i="72"/>
  <c r="CT142" i="72"/>
  <c r="BW22" i="72"/>
  <c r="BK28" i="72"/>
  <c r="BK6" i="44" s="1"/>
  <c r="CK100" i="72"/>
  <c r="BY105" i="72"/>
  <c r="CT28" i="72"/>
  <c r="CT6" i="44" s="1"/>
  <c r="DF25" i="72"/>
  <c r="CV101" i="72"/>
  <c r="CJ105" i="72"/>
  <c r="AY146" i="72"/>
  <c r="BK139" i="72"/>
  <c r="D58" i="82"/>
  <c r="R5" i="82" s="1"/>
  <c r="E33" i="82" s="1"/>
  <c r="E35" i="82" s="1"/>
  <c r="K68" i="74"/>
  <c r="W78" i="72" s="1"/>
  <c r="J72" i="74"/>
  <c r="L62" i="74"/>
  <c r="L63" i="74" s="1"/>
  <c r="K59" i="74"/>
  <c r="L51" i="74" s="1"/>
  <c r="L52" i="74" s="1"/>
  <c r="K54" i="74"/>
  <c r="K56" i="74" s="1"/>
  <c r="X16" i="24"/>
  <c r="AP12" i="58"/>
  <c r="AQ9" i="58" s="1"/>
  <c r="AQ10" i="58" s="1"/>
  <c r="AR40" i="1" s="1"/>
  <c r="T34" i="72"/>
  <c r="CZ41" i="72" s="1"/>
  <c r="N32" i="74"/>
  <c r="N35" i="74"/>
  <c r="DQ55" i="72" l="1"/>
  <c r="DF54" i="72"/>
  <c r="AB47" i="72"/>
  <c r="BW51" i="72"/>
  <c r="BW28" i="72"/>
  <c r="BW6" i="44" s="1"/>
  <c r="CI23" i="72"/>
  <c r="DF143" i="72"/>
  <c r="CT146" i="72"/>
  <c r="DH102" i="72"/>
  <c r="CV105" i="72"/>
  <c r="CW101" i="72"/>
  <c r="CK105" i="72"/>
  <c r="AB146" i="72"/>
  <c r="AN137" i="72"/>
  <c r="BK146" i="72"/>
  <c r="BW140" i="72"/>
  <c r="DF28" i="72"/>
  <c r="DF6" i="44" s="1"/>
  <c r="DR26" i="72"/>
  <c r="DR28" i="72" s="1"/>
  <c r="DR6" i="44" s="1"/>
  <c r="AZ20" i="72"/>
  <c r="AN28" i="72"/>
  <c r="AN6" i="44" s="1"/>
  <c r="L57" i="74"/>
  <c r="L66" i="74"/>
  <c r="J73" i="74"/>
  <c r="J74" i="74" s="1"/>
  <c r="K69" i="74"/>
  <c r="AC18" i="72" s="1"/>
  <c r="X7" i="24"/>
  <c r="X17" i="24"/>
  <c r="L71" i="74"/>
  <c r="L55" i="74"/>
  <c r="L53" i="74" s="1"/>
  <c r="L67" i="74" s="1"/>
  <c r="AD95" i="72" s="1"/>
  <c r="AP96" i="72" s="1"/>
  <c r="BB97" i="72" s="1"/>
  <c r="BN98" i="72" s="1"/>
  <c r="BZ99" i="72" s="1"/>
  <c r="BP38" i="72"/>
  <c r="T44" i="72"/>
  <c r="T6" i="44" s="1"/>
  <c r="AF35" i="72"/>
  <c r="AR36" i="72"/>
  <c r="BD37" i="72"/>
  <c r="DL42" i="72"/>
  <c r="CN40" i="72"/>
  <c r="CB39" i="72"/>
  <c r="U34" i="72"/>
  <c r="DA41" i="72" s="1"/>
  <c r="BP54" i="72"/>
  <c r="CB55" i="72" s="1"/>
  <c r="CN56" i="72" s="1"/>
  <c r="CZ57" i="72" s="1"/>
  <c r="AR52" i="72"/>
  <c r="BD53" i="72"/>
  <c r="AF51" i="72"/>
  <c r="AQ12" i="58"/>
  <c r="AR9" i="58" s="1"/>
  <c r="O25" i="74"/>
  <c r="N40" i="74"/>
  <c r="CI52" i="72" l="1"/>
  <c r="DR55" i="72"/>
  <c r="AB58" i="72"/>
  <c r="AB8" i="44" s="1"/>
  <c r="AN48" i="72"/>
  <c r="CL100" i="72"/>
  <c r="BZ105" i="72"/>
  <c r="AC136" i="72"/>
  <c r="AO19" i="72"/>
  <c r="AC28" i="72"/>
  <c r="AC6" i="44" s="1"/>
  <c r="CI141" i="72"/>
  <c r="BW146" i="72"/>
  <c r="AZ28" i="72"/>
  <c r="AZ6" i="44" s="1"/>
  <c r="BL21" i="72"/>
  <c r="DI102" i="72"/>
  <c r="DI105" i="72" s="1"/>
  <c r="CW105" i="72"/>
  <c r="DR144" i="72"/>
  <c r="DR146" i="72" s="1"/>
  <c r="DF146" i="72"/>
  <c r="AN146" i="72"/>
  <c r="AZ138" i="72"/>
  <c r="CI28" i="72"/>
  <c r="CI6" i="44" s="1"/>
  <c r="CU24" i="72"/>
  <c r="D49" i="82"/>
  <c r="DT103" i="72"/>
  <c r="DT105" i="72" s="1"/>
  <c r="DH105" i="72"/>
  <c r="L59" i="74"/>
  <c r="L64" i="74"/>
  <c r="L65" i="74" s="1"/>
  <c r="M61" i="74" s="1"/>
  <c r="K72" i="74"/>
  <c r="X8" i="24"/>
  <c r="Y37" i="1" s="1"/>
  <c r="X18" i="24"/>
  <c r="Y15" i="24" s="1"/>
  <c r="Y17" i="1"/>
  <c r="Y39" i="1"/>
  <c r="L54" i="74"/>
  <c r="L56" i="74" s="1"/>
  <c r="AG35" i="72"/>
  <c r="CC39" i="72"/>
  <c r="AS36" i="72"/>
  <c r="U44" i="72"/>
  <c r="U6" i="44" s="1"/>
  <c r="CO40" i="72"/>
  <c r="BE37" i="72"/>
  <c r="BQ38" i="72"/>
  <c r="DM42" i="72"/>
  <c r="P11" i="1"/>
  <c r="AR10" i="58"/>
  <c r="AS40" i="1" s="1"/>
  <c r="O32" i="74"/>
  <c r="O35" i="74"/>
  <c r="Y41" i="1" l="1"/>
  <c r="AA37" i="60"/>
  <c r="AA38" i="60"/>
  <c r="AZ49" i="72"/>
  <c r="AC47" i="72"/>
  <c r="CU53" i="72"/>
  <c r="AO28" i="72"/>
  <c r="AO6" i="44" s="1"/>
  <c r="BA20" i="72"/>
  <c r="L68" i="74"/>
  <c r="BL139" i="72"/>
  <c r="AZ146" i="72"/>
  <c r="AO137" i="72"/>
  <c r="AC146" i="72"/>
  <c r="CU142" i="72"/>
  <c r="CI146" i="72"/>
  <c r="CU28" i="72"/>
  <c r="CU6" i="44" s="1"/>
  <c r="DG25" i="72"/>
  <c r="BL28" i="72"/>
  <c r="BL6" i="44" s="1"/>
  <c r="BX22" i="72"/>
  <c r="CX101" i="72"/>
  <c r="CL105" i="72"/>
  <c r="M62" i="74"/>
  <c r="M63" i="74" s="1"/>
  <c r="K73" i="74"/>
  <c r="K74" i="74" s="1"/>
  <c r="Y16" i="24"/>
  <c r="BE53" i="72"/>
  <c r="BQ54" i="72"/>
  <c r="CC55" i="72" s="1"/>
  <c r="CO56" i="72" s="1"/>
  <c r="DA57" i="72" s="1"/>
  <c r="AG51" i="72"/>
  <c r="AS52" i="72"/>
  <c r="P26" i="1"/>
  <c r="P28" i="1" s="1"/>
  <c r="V34" i="72"/>
  <c r="CP40" i="72" s="1"/>
  <c r="AR12" i="58"/>
  <c r="AS9" i="58" s="1"/>
  <c r="P25" i="74"/>
  <c r="O40" i="74"/>
  <c r="AO48" i="72" l="1"/>
  <c r="AC58" i="72"/>
  <c r="AC8" i="44" s="1"/>
  <c r="DG54" i="72"/>
  <c r="BL50" i="72"/>
  <c r="DG143" i="72"/>
  <c r="CU146" i="72"/>
  <c r="BX140" i="72"/>
  <c r="BL146" i="72"/>
  <c r="DG28" i="72"/>
  <c r="DG6" i="44" s="1"/>
  <c r="DS26" i="72"/>
  <c r="DS28" i="72" s="1"/>
  <c r="DS6" i="44" s="1"/>
  <c r="DJ102" i="72"/>
  <c r="DJ105" i="72" s="1"/>
  <c r="CX105" i="72"/>
  <c r="BA138" i="72"/>
  <c r="AO146" i="72"/>
  <c r="BA28" i="72"/>
  <c r="BA6" i="44" s="1"/>
  <c r="BM21" i="72"/>
  <c r="BX28" i="72"/>
  <c r="BX6" i="44" s="1"/>
  <c r="CJ23" i="72"/>
  <c r="M55" i="74"/>
  <c r="M64" i="74"/>
  <c r="M71" i="74"/>
  <c r="Y17" i="24"/>
  <c r="Y7" i="24"/>
  <c r="DB41" i="72"/>
  <c r="CD39" i="72"/>
  <c r="V44" i="72"/>
  <c r="AT36" i="72"/>
  <c r="BR38" i="72"/>
  <c r="AH35" i="72"/>
  <c r="BF37" i="72"/>
  <c r="DN42" i="72"/>
  <c r="AH51" i="72"/>
  <c r="BF53" i="72"/>
  <c r="BR54" i="72" s="1"/>
  <c r="CD55" i="72" s="1"/>
  <c r="CP56" i="72" s="1"/>
  <c r="DB57" i="72" s="1"/>
  <c r="AT52" i="72"/>
  <c r="AS10" i="58"/>
  <c r="AT40" i="1" s="1"/>
  <c r="P32" i="74"/>
  <c r="P35" i="74"/>
  <c r="AB37" i="60" l="1"/>
  <c r="AB38" i="60"/>
  <c r="BX51" i="72"/>
  <c r="BA49" i="72"/>
  <c r="DS55" i="72"/>
  <c r="BM28" i="72"/>
  <c r="BM6" i="44" s="1"/>
  <c r="BY22" i="72"/>
  <c r="CJ141" i="72"/>
  <c r="BX146" i="72"/>
  <c r="CJ28" i="72"/>
  <c r="CJ6" i="44" s="1"/>
  <c r="CV24" i="72"/>
  <c r="BM139" i="72"/>
  <c r="BA146" i="72"/>
  <c r="DS144" i="72"/>
  <c r="DS146" i="72" s="1"/>
  <c r="DG146" i="72"/>
  <c r="Z17" i="1"/>
  <c r="Z39" i="1"/>
  <c r="Y8" i="24"/>
  <c r="Z37" i="1" s="1"/>
  <c r="Z41" i="1" s="1"/>
  <c r="Y18" i="24"/>
  <c r="Z15" i="24" s="1"/>
  <c r="AS12" i="58"/>
  <c r="AT9" i="58" s="1"/>
  <c r="Q25" i="74"/>
  <c r="P40" i="74"/>
  <c r="BM50" i="72" l="1"/>
  <c r="CJ52" i="72"/>
  <c r="BY140" i="72"/>
  <c r="BM146" i="72"/>
  <c r="CV142" i="72"/>
  <c r="CJ146" i="72"/>
  <c r="CV28" i="72"/>
  <c r="CV6" i="44" s="1"/>
  <c r="DH25" i="72"/>
  <c r="CK23" i="72"/>
  <c r="BY28" i="72"/>
  <c r="BY6" i="44" s="1"/>
  <c r="M68" i="74"/>
  <c r="Y78" i="72" s="1"/>
  <c r="Z16" i="24"/>
  <c r="W34" i="72"/>
  <c r="AU36" i="72" s="1"/>
  <c r="BG53" i="72"/>
  <c r="BS54" i="72" s="1"/>
  <c r="CE55" i="72" s="1"/>
  <c r="CQ56" i="72" s="1"/>
  <c r="DC57" i="72" s="1"/>
  <c r="AI51" i="72"/>
  <c r="AU52" i="72"/>
  <c r="AT10" i="58"/>
  <c r="AU40" i="1" s="1"/>
  <c r="Q32" i="74"/>
  <c r="R25" i="74" s="1"/>
  <c r="Q35" i="74"/>
  <c r="BY51" i="72" l="1"/>
  <c r="CV53" i="72"/>
  <c r="CW24" i="72"/>
  <c r="CK28" i="72"/>
  <c r="CK6" i="44" s="1"/>
  <c r="DH143" i="72"/>
  <c r="CV146" i="72"/>
  <c r="DT26" i="72"/>
  <c r="DT28" i="72" s="1"/>
  <c r="DT6" i="44" s="1"/>
  <c r="DH28" i="72"/>
  <c r="DH6" i="44" s="1"/>
  <c r="CK141" i="72"/>
  <c r="BY146" i="72"/>
  <c r="CE39" i="72"/>
  <c r="Z17" i="24"/>
  <c r="Z7" i="24"/>
  <c r="W44" i="72"/>
  <c r="BS38" i="72"/>
  <c r="CQ40" i="72"/>
  <c r="BG37" i="72"/>
  <c r="DC41" i="72"/>
  <c r="DO42" i="72"/>
  <c r="AI35" i="72"/>
  <c r="DD41" i="72"/>
  <c r="AT12" i="58"/>
  <c r="AU9" i="58" s="1"/>
  <c r="R32" i="74"/>
  <c r="R35" i="74"/>
  <c r="DH54" i="72" l="1"/>
  <c r="CK52" i="72"/>
  <c r="CW142" i="72"/>
  <c r="CK146" i="72"/>
  <c r="DT144" i="72"/>
  <c r="DT146" i="72" s="1"/>
  <c r="DH146" i="72"/>
  <c r="DI25" i="72"/>
  <c r="DI28" i="72" s="1"/>
  <c r="DI6" i="44" s="1"/>
  <c r="CW28" i="72"/>
  <c r="CW6" i="44" s="1"/>
  <c r="AA39" i="1"/>
  <c r="E40" i="20" s="1"/>
  <c r="AA17" i="1"/>
  <c r="E15" i="20" s="1"/>
  <c r="Z8" i="24"/>
  <c r="AA37" i="1" s="1"/>
  <c r="Z18" i="24"/>
  <c r="AA15" i="24" s="1"/>
  <c r="BH37" i="72"/>
  <c r="BT38" i="72"/>
  <c r="AJ35" i="72"/>
  <c r="AV36" i="72"/>
  <c r="DP42" i="72"/>
  <c r="CR40" i="72"/>
  <c r="X44" i="72"/>
  <c r="CF39" i="72"/>
  <c r="AU10" i="58"/>
  <c r="AV40" i="1" s="1"/>
  <c r="CW53" i="72" l="1"/>
  <c r="DT55" i="72"/>
  <c r="DI143" i="72"/>
  <c r="DI146" i="72" s="1"/>
  <c r="CW146" i="72"/>
  <c r="AA16" i="24"/>
  <c r="AA41" i="1"/>
  <c r="E38" i="20"/>
  <c r="E42" i="20" s="1"/>
  <c r="AJ51" i="72"/>
  <c r="AJ58" i="72" s="1"/>
  <c r="AJ8" i="44" s="1"/>
  <c r="AV52" i="72"/>
  <c r="BH53" i="72"/>
  <c r="BT54" i="72" s="1"/>
  <c r="CF55" i="72" s="1"/>
  <c r="CR56" i="72" s="1"/>
  <c r="DD57" i="72" s="1"/>
  <c r="CG39" i="72"/>
  <c r="AU12" i="58"/>
  <c r="AV9" i="58" s="1"/>
  <c r="AI37" i="60" l="1"/>
  <c r="AI38" i="60"/>
  <c r="DI54" i="72"/>
  <c r="AA7" i="24"/>
  <c r="AA17" i="24"/>
  <c r="BI37" i="72"/>
  <c r="CS40" i="72"/>
  <c r="DQ42" i="72"/>
  <c r="AW36" i="72"/>
  <c r="DE41" i="72"/>
  <c r="BU38" i="72"/>
  <c r="AK35" i="72"/>
  <c r="Y44" i="72"/>
  <c r="AV10" i="58"/>
  <c r="AW40" i="1" s="1"/>
  <c r="AA8" i="24" l="1"/>
  <c r="AB37" i="1" s="1"/>
  <c r="AA18" i="24"/>
  <c r="AB15" i="24" s="1"/>
  <c r="AB39" i="1"/>
  <c r="AB17" i="1"/>
  <c r="BI53" i="72"/>
  <c r="BU54" i="72" s="1"/>
  <c r="CG55" i="72" s="1"/>
  <c r="CS56" i="72" s="1"/>
  <c r="DE57" i="72" s="1"/>
  <c r="AW52" i="72"/>
  <c r="AK51" i="72"/>
  <c r="AK58" i="72" s="1"/>
  <c r="AK8" i="44" s="1"/>
  <c r="AV12" i="58"/>
  <c r="AW9" i="58" s="1"/>
  <c r="E26" i="20"/>
  <c r="E6" i="20"/>
  <c r="AJ37" i="60" l="1"/>
  <c r="AJ38" i="60"/>
  <c r="AB16" i="24"/>
  <c r="AB41" i="1"/>
  <c r="CH39" i="72"/>
  <c r="AW10" i="58"/>
  <c r="AX40" i="1" s="1"/>
  <c r="D7" i="23"/>
  <c r="AB7" i="24" l="1"/>
  <c r="AB17" i="24"/>
  <c r="BV38" i="72"/>
  <c r="AX36" i="72"/>
  <c r="BJ37" i="72"/>
  <c r="DR42" i="72"/>
  <c r="CT40" i="72"/>
  <c r="DF41" i="72"/>
  <c r="AL35" i="72"/>
  <c r="Z44" i="72"/>
  <c r="AL51" i="72"/>
  <c r="AL58" i="72" s="1"/>
  <c r="AL8" i="44" s="1"/>
  <c r="AX52" i="72"/>
  <c r="BJ53" i="72"/>
  <c r="BV54" i="72" s="1"/>
  <c r="CH55" i="72" s="1"/>
  <c r="CT56" i="72" s="1"/>
  <c r="DF57" i="72" s="1"/>
  <c r="AW12" i="58"/>
  <c r="AX9" i="58" s="1"/>
  <c r="AK38" i="60" l="1"/>
  <c r="AK37" i="60"/>
  <c r="AB8" i="24"/>
  <c r="AC37" i="1" s="1"/>
  <c r="AB18" i="24"/>
  <c r="AC15" i="24" s="1"/>
  <c r="AC39" i="1"/>
  <c r="AC17" i="1"/>
  <c r="AX10" i="58"/>
  <c r="AY40" i="1" s="1"/>
  <c r="AC16" i="24" l="1"/>
  <c r="AC41" i="1"/>
  <c r="AM35" i="72"/>
  <c r="AX12" i="58"/>
  <c r="AY9" i="58" s="1"/>
  <c r="G41" i="20"/>
  <c r="AC7" i="24" l="1"/>
  <c r="AC17" i="24"/>
  <c r="CU40" i="72"/>
  <c r="AY36" i="72"/>
  <c r="AA44" i="72"/>
  <c r="BW38" i="72"/>
  <c r="DS42" i="72"/>
  <c r="BK37" i="72"/>
  <c r="DG41" i="72"/>
  <c r="CI39" i="72"/>
  <c r="AY10" i="58"/>
  <c r="AZ40" i="1" s="1"/>
  <c r="AC8" i="24" l="1"/>
  <c r="AD37" i="1" s="1"/>
  <c r="AC18" i="24"/>
  <c r="AD15" i="24" s="1"/>
  <c r="AD17" i="1"/>
  <c r="AD39" i="1"/>
  <c r="AY12" i="58"/>
  <c r="AZ9" i="58" s="1"/>
  <c r="R4" i="76" l="1"/>
  <c r="E24" i="76" s="1"/>
  <c r="R4" i="82"/>
  <c r="E24" i="82" s="1"/>
  <c r="R4" i="75"/>
  <c r="E24" i="75" s="1"/>
  <c r="AD16" i="24"/>
  <c r="AD41" i="1"/>
  <c r="AZ10" i="58"/>
  <c r="BA40" i="1" s="1"/>
  <c r="E31" i="76" l="1"/>
  <c r="E29" i="76"/>
  <c r="F29" i="76"/>
  <c r="G29" i="76"/>
  <c r="H29" i="76"/>
  <c r="I29" i="76"/>
  <c r="J29" i="76"/>
  <c r="K29" i="76"/>
  <c r="L29" i="76"/>
  <c r="M29" i="76"/>
  <c r="N29" i="76"/>
  <c r="O29" i="76"/>
  <c r="P29" i="76"/>
  <c r="Q29" i="76"/>
  <c r="R29" i="76"/>
  <c r="S29" i="76"/>
  <c r="T29" i="76"/>
  <c r="U29" i="76"/>
  <c r="E29" i="82"/>
  <c r="E34" i="82"/>
  <c r="F29" i="82"/>
  <c r="E31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Q29" i="75"/>
  <c r="F29" i="75"/>
  <c r="G29" i="75"/>
  <c r="L29" i="75"/>
  <c r="M29" i="75"/>
  <c r="E31" i="75"/>
  <c r="O29" i="75"/>
  <c r="J29" i="75"/>
  <c r="S29" i="75"/>
  <c r="T29" i="75"/>
  <c r="K29" i="75"/>
  <c r="I29" i="75"/>
  <c r="H29" i="75"/>
  <c r="N29" i="75"/>
  <c r="E29" i="75"/>
  <c r="P29" i="75"/>
  <c r="R29" i="75"/>
  <c r="AD7" i="24"/>
  <c r="AD17" i="24"/>
  <c r="BK53" i="72"/>
  <c r="BW54" i="72" s="1"/>
  <c r="CI55" i="72" s="1"/>
  <c r="CU56" i="72" s="1"/>
  <c r="DG57" i="72" s="1"/>
  <c r="AM51" i="72"/>
  <c r="AM58" i="72" s="1"/>
  <c r="AM8" i="44" s="1"/>
  <c r="AY52" i="72"/>
  <c r="AZ12" i="58"/>
  <c r="BA9" i="58" s="1"/>
  <c r="AL38" i="60" l="1"/>
  <c r="AL37" i="60"/>
  <c r="F24" i="82"/>
  <c r="E39" i="82"/>
  <c r="D59" i="82"/>
  <c r="D60" i="82" s="1"/>
  <c r="D61" i="82" s="1"/>
  <c r="D63" i="82"/>
  <c r="F24" i="76"/>
  <c r="E39" i="76"/>
  <c r="F24" i="75"/>
  <c r="E39" i="75"/>
  <c r="AD8" i="24"/>
  <c r="AE37" i="1" s="1"/>
  <c r="AD18" i="24"/>
  <c r="AE15" i="24" s="1"/>
  <c r="AE39" i="1"/>
  <c r="AE17" i="1"/>
  <c r="BA10" i="58"/>
  <c r="BB40" i="1" s="1"/>
  <c r="D53" i="82" l="1"/>
  <c r="D62" i="82"/>
  <c r="D68" i="82"/>
  <c r="F34" i="76"/>
  <c r="F31" i="76"/>
  <c r="F31" i="82"/>
  <c r="F34" i="82"/>
  <c r="F31" i="75"/>
  <c r="F34" i="75"/>
  <c r="AE16" i="24"/>
  <c r="AE41" i="1"/>
  <c r="BA12" i="58"/>
  <c r="BB9" i="58" s="1"/>
  <c r="D51" i="82" l="1"/>
  <c r="D56" i="82" s="1"/>
  <c r="D70" i="82"/>
  <c r="E58" i="82"/>
  <c r="E55" i="82" s="1"/>
  <c r="F39" i="82"/>
  <c r="G24" i="82"/>
  <c r="G24" i="76"/>
  <c r="F39" i="76"/>
  <c r="G24" i="75"/>
  <c r="F39" i="75"/>
  <c r="AE7" i="24"/>
  <c r="AE17" i="24"/>
  <c r="BB10" i="58"/>
  <c r="BC40" i="1" s="1"/>
  <c r="D52" i="82" l="1"/>
  <c r="D64" i="82"/>
  <c r="AP108" i="72" s="1"/>
  <c r="AP111" i="72" s="1"/>
  <c r="BB112" i="72" s="1"/>
  <c r="BN113" i="72" s="1"/>
  <c r="BZ114" i="72" s="1"/>
  <c r="CL115" i="72" s="1"/>
  <c r="CX116" i="72" s="1"/>
  <c r="DJ117" i="72" s="1"/>
  <c r="E59" i="82"/>
  <c r="E60" i="82" s="1"/>
  <c r="E68" i="82" s="1"/>
  <c r="E49" i="82"/>
  <c r="D66" i="82"/>
  <c r="G31" i="76"/>
  <c r="G34" i="76"/>
  <c r="E65" i="82"/>
  <c r="G34" i="82"/>
  <c r="G31" i="82"/>
  <c r="G34" i="75"/>
  <c r="G31" i="75"/>
  <c r="AE8" i="24"/>
  <c r="AF37" i="1" s="1"/>
  <c r="AE18" i="24"/>
  <c r="AF15" i="24" s="1"/>
  <c r="AF39" i="1"/>
  <c r="AF17" i="1"/>
  <c r="BB12" i="58"/>
  <c r="BC9" i="58" s="1"/>
  <c r="AP121" i="72" l="1"/>
  <c r="AC31" i="60" s="1"/>
  <c r="AO36" i="60"/>
  <c r="AO42" i="60"/>
  <c r="D69" i="82"/>
  <c r="AD62" i="72" s="1"/>
  <c r="AD65" i="72" s="1"/>
  <c r="AD31" i="72"/>
  <c r="E61" i="82"/>
  <c r="D54" i="82"/>
  <c r="E63" i="82"/>
  <c r="G39" i="82"/>
  <c r="H24" i="82"/>
  <c r="G39" i="76"/>
  <c r="H24" i="76"/>
  <c r="G39" i="75"/>
  <c r="H24" i="75"/>
  <c r="AF16" i="24"/>
  <c r="AF41" i="1"/>
  <c r="BC10" i="58"/>
  <c r="BD40" i="1" s="1"/>
  <c r="AD34" i="72" l="1"/>
  <c r="AD149" i="72"/>
  <c r="AD153" i="72" s="1"/>
  <c r="BN68" i="72"/>
  <c r="AP66" i="72"/>
  <c r="DJ72" i="72"/>
  <c r="BZ69" i="72"/>
  <c r="AD75" i="72"/>
  <c r="AD9" i="44" s="1"/>
  <c r="CX71" i="72"/>
  <c r="BB67" i="72"/>
  <c r="CL70" i="72"/>
  <c r="E53" i="82"/>
  <c r="E62" i="82"/>
  <c r="F58" i="82" s="1"/>
  <c r="F55" i="82" s="1"/>
  <c r="H31" i="82"/>
  <c r="H34" i="82"/>
  <c r="H34" i="76"/>
  <c r="H31" i="76"/>
  <c r="H31" i="75"/>
  <c r="H34" i="75"/>
  <c r="AF17" i="24"/>
  <c r="AF7" i="24"/>
  <c r="BC12" i="58"/>
  <c r="BD9" i="58" s="1"/>
  <c r="AC23" i="60" l="1"/>
  <c r="AC22" i="60"/>
  <c r="E51" i="82"/>
  <c r="E56" i="82" s="1"/>
  <c r="E66" i="82" s="1"/>
  <c r="AD163" i="72"/>
  <c r="AP154" i="72"/>
  <c r="BB155" i="72" s="1"/>
  <c r="BN156" i="72" s="1"/>
  <c r="BZ157" i="72" s="1"/>
  <c r="CL158" i="72" s="1"/>
  <c r="CX159" i="72" s="1"/>
  <c r="DJ160" i="72" s="1"/>
  <c r="F59" i="82"/>
  <c r="E70" i="82"/>
  <c r="H39" i="82"/>
  <c r="I24" i="82"/>
  <c r="H39" i="76"/>
  <c r="I24" i="76"/>
  <c r="F65" i="82"/>
  <c r="H39" i="75"/>
  <c r="I24" i="75"/>
  <c r="AO81" i="72"/>
  <c r="AG39" i="1"/>
  <c r="AG17" i="1"/>
  <c r="AF8" i="24"/>
  <c r="AG37" i="1" s="1"/>
  <c r="AG41" i="1" s="1"/>
  <c r="AF18" i="24"/>
  <c r="AG15" i="24" s="1"/>
  <c r="BD10" i="58"/>
  <c r="BE40" i="1" s="1"/>
  <c r="E64" i="82" l="1"/>
  <c r="AQ108" i="72" s="1"/>
  <c r="AQ111" i="72" s="1"/>
  <c r="BC112" i="72" s="1"/>
  <c r="BO113" i="72" s="1"/>
  <c r="CA114" i="72" s="1"/>
  <c r="CM115" i="72" s="1"/>
  <c r="CY116" i="72" s="1"/>
  <c r="DK117" i="72" s="1"/>
  <c r="E52" i="82"/>
  <c r="E54" i="82" s="1"/>
  <c r="F49" i="82"/>
  <c r="E69" i="82"/>
  <c r="AE62" i="72" s="1"/>
  <c r="AE65" i="72" s="1"/>
  <c r="AE31" i="72"/>
  <c r="F60" i="82"/>
  <c r="F61" i="82" s="1"/>
  <c r="F63" i="82"/>
  <c r="I34" i="76"/>
  <c r="I31" i="76"/>
  <c r="I31" i="82"/>
  <c r="I34" i="82"/>
  <c r="I34" i="75"/>
  <c r="I31" i="75"/>
  <c r="CW86" i="72"/>
  <c r="CK85" i="72"/>
  <c r="BY84" i="72"/>
  <c r="BM83" i="72"/>
  <c r="BA82" i="72"/>
  <c r="DI87" i="72"/>
  <c r="AG16" i="24"/>
  <c r="BD12" i="58"/>
  <c r="BE9" i="58" s="1"/>
  <c r="AQ121" i="72" l="1"/>
  <c r="AD31" i="60" s="1"/>
  <c r="AP36" i="60"/>
  <c r="AP42" i="60"/>
  <c r="AE34" i="72"/>
  <c r="AE149" i="72"/>
  <c r="AE153" i="72" s="1"/>
  <c r="CA69" i="72"/>
  <c r="BO68" i="72"/>
  <c r="CM70" i="72"/>
  <c r="AQ66" i="72"/>
  <c r="BC67" i="72"/>
  <c r="CY71" i="72"/>
  <c r="DK72" i="72"/>
  <c r="AE75" i="72"/>
  <c r="AE9" i="44" s="1"/>
  <c r="F53" i="82"/>
  <c r="F68" i="82"/>
  <c r="F62" i="82"/>
  <c r="G58" i="82" s="1"/>
  <c r="G59" i="82" s="1"/>
  <c r="G60" i="82" s="1"/>
  <c r="G68" i="82" s="1"/>
  <c r="I39" i="82"/>
  <c r="J24" i="82"/>
  <c r="J24" i="76"/>
  <c r="I39" i="76"/>
  <c r="J24" i="75"/>
  <c r="I39" i="75"/>
  <c r="AG17" i="24"/>
  <c r="AG7" i="24"/>
  <c r="BE10" i="58"/>
  <c r="BF40" i="1" s="1"/>
  <c r="AD22" i="60" l="1"/>
  <c r="AD23" i="60"/>
  <c r="AQ154" i="72"/>
  <c r="BC155" i="72" s="1"/>
  <c r="BO156" i="72" s="1"/>
  <c r="CA157" i="72" s="1"/>
  <c r="CM158" i="72" s="1"/>
  <c r="CY159" i="72" s="1"/>
  <c r="DK160" i="72" s="1"/>
  <c r="AE163" i="72"/>
  <c r="CM39" i="72"/>
  <c r="CY40" i="72"/>
  <c r="BC36" i="72"/>
  <c r="CA38" i="72"/>
  <c r="BO37" i="72"/>
  <c r="F51" i="82"/>
  <c r="F64" i="82" s="1"/>
  <c r="AR108" i="72" s="1"/>
  <c r="AR111" i="72" s="1"/>
  <c r="F70" i="82"/>
  <c r="G55" i="82"/>
  <c r="G53" i="82"/>
  <c r="J34" i="76"/>
  <c r="J31" i="76"/>
  <c r="J31" i="82"/>
  <c r="J34" i="82"/>
  <c r="J34" i="75"/>
  <c r="J31" i="75"/>
  <c r="AH17" i="1"/>
  <c r="AH39" i="1"/>
  <c r="AG8" i="24"/>
  <c r="AH37" i="1" s="1"/>
  <c r="AH41" i="1" s="1"/>
  <c r="AG18" i="24"/>
  <c r="AH15" i="24" s="1"/>
  <c r="BE12" i="58"/>
  <c r="BF9" i="58" s="1"/>
  <c r="BF10" i="58" s="1"/>
  <c r="BG40" i="1" s="1"/>
  <c r="BD112" i="72" l="1"/>
  <c r="BP113" i="72" s="1"/>
  <c r="CB114" i="72" s="1"/>
  <c r="CN115" i="72" s="1"/>
  <c r="CZ116" i="72" s="1"/>
  <c r="DL117" i="72" s="1"/>
  <c r="AR121" i="72"/>
  <c r="AE31" i="60" s="1"/>
  <c r="F52" i="82"/>
  <c r="F54" i="82" s="1"/>
  <c r="F56" i="82"/>
  <c r="G49" i="82" s="1"/>
  <c r="G63" i="82" s="1"/>
  <c r="G61" i="82"/>
  <c r="G65" i="82"/>
  <c r="J39" i="76"/>
  <c r="K24" i="76"/>
  <c r="J39" i="82"/>
  <c r="K24" i="82"/>
  <c r="K24" i="75"/>
  <c r="J39" i="75"/>
  <c r="AH16" i="24"/>
  <c r="BF12" i="58"/>
  <c r="BG9" i="58" s="1"/>
  <c r="G62" i="82" l="1"/>
  <c r="H58" i="82" s="1"/>
  <c r="F66" i="82"/>
  <c r="G51" i="82"/>
  <c r="G64" i="82" s="1"/>
  <c r="AS108" i="72" s="1"/>
  <c r="AQ42" i="60"/>
  <c r="AQ36" i="60"/>
  <c r="K34" i="82"/>
  <c r="K31" i="82"/>
  <c r="K34" i="76"/>
  <c r="K31" i="76"/>
  <c r="K31" i="75"/>
  <c r="K34" i="75"/>
  <c r="AH7" i="24"/>
  <c r="AH17" i="24"/>
  <c r="BG10" i="58"/>
  <c r="BH40" i="1" s="1"/>
  <c r="G52" i="82" l="1"/>
  <c r="G54" i="82" s="1"/>
  <c r="G70" i="82"/>
  <c r="G56" i="82"/>
  <c r="H49" i="82" s="1"/>
  <c r="H63" i="82" s="1"/>
  <c r="F69" i="82"/>
  <c r="AF62" i="72" s="1"/>
  <c r="AF65" i="72" s="1"/>
  <c r="AF31" i="72"/>
  <c r="H59" i="82"/>
  <c r="H60" i="82" s="1"/>
  <c r="H55" i="82"/>
  <c r="L24" i="76"/>
  <c r="K39" i="76"/>
  <c r="K39" i="82"/>
  <c r="L24" i="82"/>
  <c r="L24" i="75"/>
  <c r="K39" i="75"/>
  <c r="AH8" i="24"/>
  <c r="AI37" i="1" s="1"/>
  <c r="AI41" i="1" s="1"/>
  <c r="AH18" i="24"/>
  <c r="AI15" i="24" s="1"/>
  <c r="AI17" i="1"/>
  <c r="AI39" i="1"/>
  <c r="BG12" i="58"/>
  <c r="BH9" i="58" s="1"/>
  <c r="G66" i="82" l="1"/>
  <c r="G69" i="82" s="1"/>
  <c r="AG62" i="72" s="1"/>
  <c r="AF149" i="72"/>
  <c r="AF153" i="72" s="1"/>
  <c r="AF34" i="72"/>
  <c r="CN70" i="72"/>
  <c r="CZ71" i="72"/>
  <c r="AR66" i="72"/>
  <c r="CB69" i="72"/>
  <c r="BD67" i="72"/>
  <c r="BP68" i="72"/>
  <c r="DL72" i="72"/>
  <c r="AF75" i="72"/>
  <c r="AF9" i="44" s="1"/>
  <c r="H61" i="82"/>
  <c r="H62" i="82" s="1"/>
  <c r="I58" i="82" s="1"/>
  <c r="I59" i="82" s="1"/>
  <c r="H65" i="82"/>
  <c r="H68" i="82"/>
  <c r="H53" i="82"/>
  <c r="H51" i="82" s="1"/>
  <c r="L34" i="76"/>
  <c r="L31" i="76"/>
  <c r="L34" i="82"/>
  <c r="L31" i="82"/>
  <c r="L34" i="75"/>
  <c r="L31" i="75"/>
  <c r="AI16" i="24"/>
  <c r="AL81" i="72"/>
  <c r="BH10" i="58"/>
  <c r="BI40" i="1" s="1"/>
  <c r="AG31" i="72" l="1"/>
  <c r="AG149" i="72" s="1"/>
  <c r="AE22" i="60"/>
  <c r="AE23" i="60"/>
  <c r="CB38" i="72"/>
  <c r="BD36" i="72"/>
  <c r="BP37" i="72"/>
  <c r="CZ40" i="72"/>
  <c r="CN39" i="72"/>
  <c r="AF163" i="72"/>
  <c r="AR154" i="72"/>
  <c r="BD155" i="72" s="1"/>
  <c r="BP156" i="72" s="1"/>
  <c r="CB157" i="72" s="1"/>
  <c r="CN158" i="72" s="1"/>
  <c r="CZ159" i="72" s="1"/>
  <c r="DL160" i="72" s="1"/>
  <c r="H64" i="82"/>
  <c r="AT108" i="72" s="1"/>
  <c r="H52" i="82"/>
  <c r="H54" i="82" s="1"/>
  <c r="H56" i="82"/>
  <c r="H70" i="82"/>
  <c r="I55" i="82"/>
  <c r="I65" i="82" s="1"/>
  <c r="I60" i="82"/>
  <c r="L39" i="76"/>
  <c r="M24" i="76"/>
  <c r="M24" i="82"/>
  <c r="L39" i="82"/>
  <c r="M24" i="75"/>
  <c r="L39" i="75"/>
  <c r="AI7" i="24"/>
  <c r="AI17" i="24"/>
  <c r="BJ83" i="72"/>
  <c r="BV84" i="72"/>
  <c r="DF87" i="72"/>
  <c r="CH85" i="72"/>
  <c r="DR88" i="72"/>
  <c r="CT86" i="72"/>
  <c r="AX82" i="72"/>
  <c r="BH12" i="58"/>
  <c r="BI9" i="58" s="1"/>
  <c r="I49" i="82" l="1"/>
  <c r="H66" i="82"/>
  <c r="I61" i="82"/>
  <c r="I53" i="82"/>
  <c r="I68" i="82"/>
  <c r="M31" i="82"/>
  <c r="M34" i="82"/>
  <c r="M31" i="76"/>
  <c r="M34" i="76"/>
  <c r="M31" i="75"/>
  <c r="M34" i="75"/>
  <c r="AI8" i="24"/>
  <c r="AJ37" i="1" s="1"/>
  <c r="AJ41" i="1" s="1"/>
  <c r="AI18" i="24"/>
  <c r="AJ15" i="24" s="1"/>
  <c r="AJ39" i="1"/>
  <c r="AJ17" i="1"/>
  <c r="AI81" i="72"/>
  <c r="BI10" i="58"/>
  <c r="BJ40" i="1" s="1"/>
  <c r="I62" i="82" l="1"/>
  <c r="J58" i="82" s="1"/>
  <c r="J55" i="82" s="1"/>
  <c r="J65" i="82" s="1"/>
  <c r="H69" i="82"/>
  <c r="AH62" i="72" s="1"/>
  <c r="AH31" i="72"/>
  <c r="AH149" i="72" s="1"/>
  <c r="I51" i="82"/>
  <c r="I52" i="82" s="1"/>
  <c r="I54" i="82" s="1"/>
  <c r="I63" i="82"/>
  <c r="N24" i="76"/>
  <c r="M39" i="76"/>
  <c r="M39" i="82"/>
  <c r="N24" i="82"/>
  <c r="M39" i="75"/>
  <c r="N24" i="75"/>
  <c r="AJ16" i="24"/>
  <c r="CE85" i="72"/>
  <c r="BS84" i="72"/>
  <c r="CQ86" i="72"/>
  <c r="DC87" i="72"/>
  <c r="AU82" i="72"/>
  <c r="BG83" i="72"/>
  <c r="DO88" i="72"/>
  <c r="BI12" i="58"/>
  <c r="BJ9" i="58" s="1"/>
  <c r="I70" i="82" l="1"/>
  <c r="J59" i="82"/>
  <c r="J60" i="82" s="1"/>
  <c r="J61" i="82" s="1"/>
  <c r="I64" i="82"/>
  <c r="AU108" i="72" s="1"/>
  <c r="I56" i="82"/>
  <c r="J49" i="82" s="1"/>
  <c r="N34" i="82"/>
  <c r="N31" i="82"/>
  <c r="N31" i="76"/>
  <c r="N34" i="76"/>
  <c r="N34" i="75"/>
  <c r="N31" i="75"/>
  <c r="AJ7" i="24"/>
  <c r="AJ17" i="24"/>
  <c r="AM81" i="72"/>
  <c r="BJ10" i="58"/>
  <c r="BK40" i="1" s="1"/>
  <c r="J62" i="82" l="1"/>
  <c r="K58" i="82" s="1"/>
  <c r="K59" i="82" s="1"/>
  <c r="K60" i="82" s="1"/>
  <c r="K68" i="82" s="1"/>
  <c r="J53" i="82"/>
  <c r="J51" i="82" s="1"/>
  <c r="J64" i="82" s="1"/>
  <c r="AV108" i="72" s="1"/>
  <c r="J68" i="82"/>
  <c r="I66" i="82"/>
  <c r="J63" i="82"/>
  <c r="O24" i="82"/>
  <c r="N39" i="82"/>
  <c r="O24" i="76"/>
  <c r="N39" i="76"/>
  <c r="O24" i="75"/>
  <c r="N39" i="75"/>
  <c r="AJ8" i="24"/>
  <c r="AK37" i="1" s="1"/>
  <c r="AJ18" i="24"/>
  <c r="AK15" i="24" s="1"/>
  <c r="AK17" i="1"/>
  <c r="AK39" i="1"/>
  <c r="CU86" i="72"/>
  <c r="CI85" i="72"/>
  <c r="BW84" i="72"/>
  <c r="BK83" i="72"/>
  <c r="DG87" i="72"/>
  <c r="DS88" i="72"/>
  <c r="AY82" i="72"/>
  <c r="BG51" i="72"/>
  <c r="BS52" i="72" s="1"/>
  <c r="CE53" i="72" s="1"/>
  <c r="CQ54" i="72" s="1"/>
  <c r="DC55" i="72" s="1"/>
  <c r="DO56" i="72" s="1"/>
  <c r="BJ12" i="58"/>
  <c r="BK9" i="58" s="1"/>
  <c r="H41" i="20"/>
  <c r="J70" i="82" l="1"/>
  <c r="K53" i="82"/>
  <c r="I69" i="82"/>
  <c r="AI62" i="72" s="1"/>
  <c r="AI31" i="72"/>
  <c r="AI149" i="72" s="1"/>
  <c r="J56" i="82"/>
  <c r="J66" i="82" s="1"/>
  <c r="J52" i="82"/>
  <c r="J54" i="82" s="1"/>
  <c r="O34" i="82"/>
  <c r="O31" i="82"/>
  <c r="O34" i="76"/>
  <c r="O31" i="76"/>
  <c r="O34" i="75"/>
  <c r="O31" i="75"/>
  <c r="AK16" i="24"/>
  <c r="AK41" i="1"/>
  <c r="BH51" i="72"/>
  <c r="BK10" i="58"/>
  <c r="BL40" i="1" s="1"/>
  <c r="BT52" i="72" l="1"/>
  <c r="J69" i="82"/>
  <c r="AJ62" i="72" s="1"/>
  <c r="AJ31" i="72"/>
  <c r="AJ149" i="72" s="1"/>
  <c r="K49" i="82"/>
  <c r="K63" i="82" s="1"/>
  <c r="K55" i="82"/>
  <c r="K61" i="82" s="1"/>
  <c r="P24" i="82"/>
  <c r="O39" i="82"/>
  <c r="P24" i="76"/>
  <c r="O39" i="76"/>
  <c r="P24" i="75"/>
  <c r="O39" i="75"/>
  <c r="AK7" i="24"/>
  <c r="AK17" i="24"/>
  <c r="BK12" i="58"/>
  <c r="BL9" i="58" s="1"/>
  <c r="F26" i="20"/>
  <c r="F6" i="20"/>
  <c r="CF53" i="72" l="1"/>
  <c r="K51" i="82"/>
  <c r="K52" i="82" s="1"/>
  <c r="K54" i="82" s="1"/>
  <c r="K65" i="82"/>
  <c r="K62" i="82"/>
  <c r="L58" i="82" s="1"/>
  <c r="L59" i="82" s="1"/>
  <c r="L60" i="82" s="1"/>
  <c r="P31" i="82"/>
  <c r="P34" i="82"/>
  <c r="P31" i="76"/>
  <c r="P34" i="76"/>
  <c r="P31" i="75"/>
  <c r="P34" i="75"/>
  <c r="AK8" i="24"/>
  <c r="AL37" i="1" s="1"/>
  <c r="AK18" i="24"/>
  <c r="AL15" i="24" s="1"/>
  <c r="AL17" i="1"/>
  <c r="AL39" i="1"/>
  <c r="BL10" i="58"/>
  <c r="BM40" i="1" s="1"/>
  <c r="E7" i="23"/>
  <c r="AL41" i="1" l="1"/>
  <c r="CR54" i="72"/>
  <c r="K56" i="82"/>
  <c r="L49" i="82" s="1"/>
  <c r="L63" i="82" s="1"/>
  <c r="K64" i="82"/>
  <c r="AW108" i="72" s="1"/>
  <c r="L55" i="82"/>
  <c r="K70" i="82"/>
  <c r="L53" i="82"/>
  <c r="L51" i="82" s="1"/>
  <c r="L64" i="82" s="1"/>
  <c r="AX108" i="72" s="1"/>
  <c r="L68" i="82"/>
  <c r="P39" i="82"/>
  <c r="Q24" i="82"/>
  <c r="P39" i="76"/>
  <c r="Q24" i="76"/>
  <c r="Q24" i="75"/>
  <c r="P39" i="75"/>
  <c r="AL16" i="24"/>
  <c r="BL12" i="58"/>
  <c r="BM9" i="58" s="1"/>
  <c r="DD55" i="72" l="1"/>
  <c r="K66" i="82"/>
  <c r="L61" i="82"/>
  <c r="L62" i="82" s="1"/>
  <c r="L65" i="82"/>
  <c r="L52" i="82"/>
  <c r="L54" i="82" s="1"/>
  <c r="L56" i="82"/>
  <c r="Q34" i="76"/>
  <c r="Q31" i="76"/>
  <c r="R24" i="76" s="1"/>
  <c r="Q31" i="82"/>
  <c r="R24" i="82" s="1"/>
  <c r="Q34" i="82"/>
  <c r="Q34" i="75"/>
  <c r="Q31" i="75"/>
  <c r="R24" i="75" s="1"/>
  <c r="AL17" i="24"/>
  <c r="AL7" i="24"/>
  <c r="BM10" i="58"/>
  <c r="BN40" i="1" s="1"/>
  <c r="DP56" i="72" l="1"/>
  <c r="K69" i="82"/>
  <c r="AK62" i="72" s="1"/>
  <c r="AK31" i="72"/>
  <c r="AK149" i="72" s="1"/>
  <c r="M58" i="82"/>
  <c r="M59" i="82" s="1"/>
  <c r="M60" i="82" s="1"/>
  <c r="L70" i="82"/>
  <c r="L66" i="82"/>
  <c r="M49" i="82"/>
  <c r="AH81" i="72"/>
  <c r="CP86" i="72" s="1"/>
  <c r="R31" i="82"/>
  <c r="S24" i="82" s="1"/>
  <c r="R34" i="82"/>
  <c r="R34" i="76"/>
  <c r="R31" i="76"/>
  <c r="S24" i="76" s="1"/>
  <c r="R34" i="75"/>
  <c r="R31" i="75"/>
  <c r="S24" i="75" s="1"/>
  <c r="AM17" i="1"/>
  <c r="F15" i="20" s="1"/>
  <c r="AM39" i="1"/>
  <c r="F40" i="20" s="1"/>
  <c r="AL8" i="24"/>
  <c r="AM37" i="1" s="1"/>
  <c r="AL18" i="24"/>
  <c r="AM15" i="24" s="1"/>
  <c r="BM12" i="58"/>
  <c r="BN9" i="58" s="1"/>
  <c r="L69" i="82" l="1"/>
  <c r="AL62" i="72" s="1"/>
  <c r="AL31" i="72"/>
  <c r="AL149" i="72" s="1"/>
  <c r="M63" i="82"/>
  <c r="M55" i="82"/>
  <c r="M53" i="82"/>
  <c r="M51" i="82" s="1"/>
  <c r="M52" i="82" s="1"/>
  <c r="M54" i="82" s="1"/>
  <c r="M68" i="82"/>
  <c r="DN88" i="72"/>
  <c r="AT82" i="72"/>
  <c r="DB87" i="72"/>
  <c r="CD85" i="72"/>
  <c r="BR84" i="72"/>
  <c r="BF83" i="72"/>
  <c r="S31" i="82"/>
  <c r="T24" i="82" s="1"/>
  <c r="S34" i="82"/>
  <c r="S31" i="76"/>
  <c r="T24" i="76" s="1"/>
  <c r="S34" i="76"/>
  <c r="S31" i="75"/>
  <c r="T24" i="75" s="1"/>
  <c r="S34" i="75"/>
  <c r="AM16" i="24"/>
  <c r="AM41" i="1"/>
  <c r="F38" i="20"/>
  <c r="F42" i="20" s="1"/>
  <c r="BN10" i="58"/>
  <c r="BO40" i="1" s="1"/>
  <c r="M61" i="82" l="1"/>
  <c r="M62" i="82" s="1"/>
  <c r="M65" i="82"/>
  <c r="M64" i="82"/>
  <c r="AY108" i="72" s="1"/>
  <c r="M56" i="82"/>
  <c r="T31" i="82"/>
  <c r="T34" i="82"/>
  <c r="T34" i="76"/>
  <c r="T31" i="76"/>
  <c r="U24" i="76" s="1"/>
  <c r="T31" i="75"/>
  <c r="T34" i="75"/>
  <c r="AM7" i="24"/>
  <c r="AM17" i="24"/>
  <c r="BN12" i="58"/>
  <c r="BO9" i="58" s="1"/>
  <c r="BO10" i="58" s="1"/>
  <c r="BP40" i="1" s="1"/>
  <c r="N58" i="82" l="1"/>
  <c r="N59" i="82" s="1"/>
  <c r="N60" i="82" s="1"/>
  <c r="N68" i="82" s="1"/>
  <c r="M70" i="82"/>
  <c r="M66" i="82"/>
  <c r="N49" i="82"/>
  <c r="U34" i="76"/>
  <c r="U31" i="76"/>
  <c r="AM8" i="24"/>
  <c r="AN37" i="1" s="1"/>
  <c r="AM18" i="24"/>
  <c r="AN15" i="24" s="1"/>
  <c r="AN17" i="1"/>
  <c r="AN39" i="1"/>
  <c r="BO12" i="58"/>
  <c r="BP9" i="58" s="1"/>
  <c r="M69" i="82" l="1"/>
  <c r="AM62" i="72" s="1"/>
  <c r="AM31" i="72"/>
  <c r="AM149" i="72" s="1"/>
  <c r="N63" i="82"/>
  <c r="N53" i="82"/>
  <c r="N51" i="82" s="1"/>
  <c r="AN16" i="24"/>
  <c r="AN41" i="1"/>
  <c r="BP10" i="58"/>
  <c r="BQ40" i="1" s="1"/>
  <c r="N52" i="82" l="1"/>
  <c r="N54" i="82" s="1"/>
  <c r="N55" i="82"/>
  <c r="N61" i="82" s="1"/>
  <c r="N64" i="82"/>
  <c r="AZ108" i="72" s="1"/>
  <c r="AN7" i="24"/>
  <c r="AN17" i="24"/>
  <c r="BP12" i="58"/>
  <c r="BQ9" i="58" s="1"/>
  <c r="N65" i="82" l="1"/>
  <c r="N62" i="82"/>
  <c r="N56" i="82"/>
  <c r="O49" i="82" s="1"/>
  <c r="AN8" i="24"/>
  <c r="AO37" i="1" s="1"/>
  <c r="AN18" i="24"/>
  <c r="AO15" i="24" s="1"/>
  <c r="AO17" i="1"/>
  <c r="AO39" i="1"/>
  <c r="BQ10" i="58"/>
  <c r="BR40" i="1" s="1"/>
  <c r="N70" i="82" l="1"/>
  <c r="O58" i="82"/>
  <c r="N66" i="82"/>
  <c r="AO16" i="24"/>
  <c r="AO41" i="1"/>
  <c r="BQ12" i="58"/>
  <c r="BR9" i="58" s="1"/>
  <c r="N69" i="82" l="1"/>
  <c r="AN62" i="72" s="1"/>
  <c r="AN31" i="72"/>
  <c r="AN149" i="72" s="1"/>
  <c r="O59" i="82"/>
  <c r="O60" i="82" s="1"/>
  <c r="O63" i="82"/>
  <c r="AO7" i="24"/>
  <c r="AO17" i="24"/>
  <c r="BR10" i="58"/>
  <c r="BS40" i="1" s="1"/>
  <c r="O68" i="82" l="1"/>
  <c r="O53" i="82"/>
  <c r="O51" i="82" s="1"/>
  <c r="AO8" i="24"/>
  <c r="AP37" i="1" s="1"/>
  <c r="AO18" i="24"/>
  <c r="AP15" i="24" s="1"/>
  <c r="AP17" i="1"/>
  <c r="AP39" i="1"/>
  <c r="BR12" i="58"/>
  <c r="BS9" i="58" s="1"/>
  <c r="O52" i="82" l="1"/>
  <c r="O54" i="82" s="1"/>
  <c r="O64" i="82"/>
  <c r="BA108" i="72" s="1"/>
  <c r="O55" i="82"/>
  <c r="O61" i="82" s="1"/>
  <c r="AP16" i="24"/>
  <c r="AP41" i="1"/>
  <c r="BS10" i="58"/>
  <c r="BT40" i="1" s="1"/>
  <c r="O62" i="82" l="1"/>
  <c r="O65" i="82"/>
  <c r="O56" i="82"/>
  <c r="AP7" i="24"/>
  <c r="AP17" i="24"/>
  <c r="BS12" i="58"/>
  <c r="BT9" i="58" s="1"/>
  <c r="P58" i="82" l="1"/>
  <c r="O70" i="82"/>
  <c r="P49" i="82"/>
  <c r="P50" i="82" s="1"/>
  <c r="O66" i="82"/>
  <c r="AP8" i="24"/>
  <c r="AQ37" i="1" s="1"/>
  <c r="AP18" i="24"/>
  <c r="AQ15" i="24" s="1"/>
  <c r="AQ17" i="1"/>
  <c r="AQ39" i="1"/>
  <c r="BT10" i="58"/>
  <c r="BU40" i="1" s="1"/>
  <c r="O69" i="82" l="1"/>
  <c r="AO62" i="72" s="1"/>
  <c r="AO31" i="72"/>
  <c r="AO149" i="72" s="1"/>
  <c r="P59" i="82"/>
  <c r="P60" i="82" s="1"/>
  <c r="P53" i="82" s="1"/>
  <c r="P51" i="82" s="1"/>
  <c r="P61" i="82" s="1"/>
  <c r="P65" i="82"/>
  <c r="P55" i="82"/>
  <c r="P63" i="82"/>
  <c r="AQ16" i="24"/>
  <c r="AQ41" i="1"/>
  <c r="BT12" i="58"/>
  <c r="BU9" i="58" s="1"/>
  <c r="P68" i="82" l="1"/>
  <c r="P62" i="82"/>
  <c r="P64" i="82"/>
  <c r="BB108" i="72" s="1"/>
  <c r="P52" i="82"/>
  <c r="P54" i="82" s="1"/>
  <c r="P56" i="82"/>
  <c r="AQ17" i="24"/>
  <c r="AQ7" i="24"/>
  <c r="BU10" i="58"/>
  <c r="BV40" i="1" s="1"/>
  <c r="P70" i="82" l="1"/>
  <c r="Q58" i="82"/>
  <c r="Q59" i="82" s="1"/>
  <c r="Q60" i="82" s="1"/>
  <c r="Q49" i="82"/>
  <c r="P66" i="82"/>
  <c r="AR17" i="1"/>
  <c r="AR39" i="1"/>
  <c r="AQ8" i="24"/>
  <c r="AR37" i="1" s="1"/>
  <c r="AQ18" i="24"/>
  <c r="AR15" i="24" s="1"/>
  <c r="BU12" i="58"/>
  <c r="BV9" i="58" s="1"/>
  <c r="P69" i="82" l="1"/>
  <c r="AP62" i="72" s="1"/>
  <c r="AP31" i="72"/>
  <c r="AP149" i="72" s="1"/>
  <c r="Q68" i="82"/>
  <c r="Q53" i="82"/>
  <c r="Q51" i="82" s="1"/>
  <c r="Q55" i="82" s="1"/>
  <c r="Q65" i="82" s="1"/>
  <c r="Q63" i="82"/>
  <c r="AR41" i="1"/>
  <c r="AR16" i="24"/>
  <c r="BV10" i="58"/>
  <c r="BW40" i="1" s="1"/>
  <c r="Q61" i="82" l="1"/>
  <c r="Q62" i="82" s="1"/>
  <c r="Q56" i="82"/>
  <c r="R49" i="82" s="1"/>
  <c r="Q64" i="82"/>
  <c r="BC108" i="72" s="1"/>
  <c r="Q52" i="82"/>
  <c r="Q54" i="82" s="1"/>
  <c r="AR7" i="24"/>
  <c r="AR17" i="24"/>
  <c r="BV12" i="58"/>
  <c r="BW9" i="58" s="1"/>
  <c r="I41" i="20"/>
  <c r="Q66" i="82" l="1"/>
  <c r="R58" i="82"/>
  <c r="R59" i="82" s="1"/>
  <c r="R60" i="82" s="1"/>
  <c r="R68" i="82" s="1"/>
  <c r="Q70" i="82"/>
  <c r="AR8" i="24"/>
  <c r="AS37" i="1" s="1"/>
  <c r="AR18" i="24"/>
  <c r="AS15" i="24" s="1"/>
  <c r="AS39" i="1"/>
  <c r="AS17" i="1"/>
  <c r="BW10" i="58"/>
  <c r="BX40" i="1" s="1"/>
  <c r="AS41" i="1" l="1"/>
  <c r="Q69" i="82"/>
  <c r="AQ62" i="72" s="1"/>
  <c r="AQ31" i="72"/>
  <c r="AQ149" i="72" s="1"/>
  <c r="R63" i="82"/>
  <c r="R53" i="82"/>
  <c r="R51" i="82" s="1"/>
  <c r="R64" i="82" s="1"/>
  <c r="BD108" i="72" s="1"/>
  <c r="AS16" i="24"/>
  <c r="BW12" i="58"/>
  <c r="BX9" i="58" s="1"/>
  <c r="BX10" i="58" s="1"/>
  <c r="BY40" i="1" s="1"/>
  <c r="BY41" i="1" s="1"/>
  <c r="BX41" i="1"/>
  <c r="R55" i="82" l="1"/>
  <c r="R65" i="82" s="1"/>
  <c r="AR78" i="72" s="1"/>
  <c r="R52" i="82"/>
  <c r="R54" i="82" s="1"/>
  <c r="AS17" i="24"/>
  <c r="AS7" i="24"/>
  <c r="BX12" i="58"/>
  <c r="BY9" i="58" s="1"/>
  <c r="R61" i="82" l="1"/>
  <c r="R62" i="82" s="1"/>
  <c r="R56" i="82"/>
  <c r="S49" i="82" s="1"/>
  <c r="AT39" i="1"/>
  <c r="AT17" i="1"/>
  <c r="AS8" i="24"/>
  <c r="AT37" i="1" s="1"/>
  <c r="AS18" i="24"/>
  <c r="AT15" i="24" s="1"/>
  <c r="BY10" i="58"/>
  <c r="BZ40" i="1" s="1"/>
  <c r="AT41" i="1" l="1"/>
  <c r="S58" i="82"/>
  <c r="S63" i="82" s="1"/>
  <c r="R70" i="82"/>
  <c r="R66" i="82"/>
  <c r="AT16" i="24"/>
  <c r="BY12" i="58"/>
  <c r="BZ9" i="58" s="1"/>
  <c r="BZ41" i="1"/>
  <c r="R69" i="82" l="1"/>
  <c r="AR62" i="72" s="1"/>
  <c r="AR31" i="72"/>
  <c r="AR149" i="72" s="1"/>
  <c r="S59" i="82"/>
  <c r="S60" i="82" s="1"/>
  <c r="S68" i="82" s="1"/>
  <c r="AT7" i="24"/>
  <c r="AT17" i="24"/>
  <c r="BZ10" i="58"/>
  <c r="CA40" i="1" s="1"/>
  <c r="S53" i="82" l="1"/>
  <c r="S51" i="82" s="1"/>
  <c r="S55" i="82" s="1"/>
  <c r="S65" i="82" s="1"/>
  <c r="AS78" i="72" s="1"/>
  <c r="AT8" i="24"/>
  <c r="AU37" i="1" s="1"/>
  <c r="AT18" i="24"/>
  <c r="AU15" i="24" s="1"/>
  <c r="AU39" i="1"/>
  <c r="AU17" i="1"/>
  <c r="BZ12" i="58"/>
  <c r="CA9" i="58" s="1"/>
  <c r="CA41" i="1"/>
  <c r="AU41" i="1" l="1"/>
  <c r="S56" i="82"/>
  <c r="T49" i="82" s="1"/>
  <c r="S52" i="82"/>
  <c r="S54" i="82" s="1"/>
  <c r="S64" i="82"/>
  <c r="BE108" i="72" s="1"/>
  <c r="S61" i="82"/>
  <c r="S62" i="82" s="1"/>
  <c r="S70" i="82" s="1"/>
  <c r="AU16" i="24"/>
  <c r="CA10" i="58"/>
  <c r="CB40" i="1" s="1"/>
  <c r="CB41" i="1" s="1"/>
  <c r="S66" i="82" l="1"/>
  <c r="T58" i="82"/>
  <c r="T59" i="82" s="1"/>
  <c r="T60" i="82" s="1"/>
  <c r="T68" i="82" s="1"/>
  <c r="AU17" i="24"/>
  <c r="AU7" i="24"/>
  <c r="CA12" i="58"/>
  <c r="CB9" i="58" s="1"/>
  <c r="CB10" i="58" s="1"/>
  <c r="CC40" i="1" s="1"/>
  <c r="CC41" i="1" s="1"/>
  <c r="S69" i="82" l="1"/>
  <c r="AS62" i="72" s="1"/>
  <c r="AS31" i="72"/>
  <c r="AS149" i="72" s="1"/>
  <c r="T63" i="82"/>
  <c r="T53" i="82"/>
  <c r="AV17" i="1"/>
  <c r="AV39" i="1"/>
  <c r="AU8" i="24"/>
  <c r="AV37" i="1" s="1"/>
  <c r="AU18" i="24"/>
  <c r="AV15" i="24" s="1"/>
  <c r="CB12" i="58"/>
  <c r="CC9" i="58" s="1"/>
  <c r="CC10" i="58" s="1"/>
  <c r="CD40" i="1" s="1"/>
  <c r="CD41" i="1" s="1"/>
  <c r="AV41" i="1" l="1"/>
  <c r="T51" i="82"/>
  <c r="T55" i="82" s="1"/>
  <c r="T65" i="82" s="1"/>
  <c r="AT78" i="72" s="1"/>
  <c r="B11" i="81"/>
  <c r="B12" i="81" s="1"/>
  <c r="AV16" i="24"/>
  <c r="CC12" i="58"/>
  <c r="CD9" i="58" s="1"/>
  <c r="CD10" i="58" s="1"/>
  <c r="CE40" i="1" s="1"/>
  <c r="CE41" i="1" s="1"/>
  <c r="T52" i="82" l="1"/>
  <c r="T54" i="82" s="1"/>
  <c r="T64" i="82"/>
  <c r="BF108" i="72" s="1"/>
  <c r="T56" i="82"/>
  <c r="U49" i="82" s="1"/>
  <c r="T61" i="82"/>
  <c r="T62" i="82" s="1"/>
  <c r="U58" i="82" s="1"/>
  <c r="R8" i="82"/>
  <c r="BQ52" i="72"/>
  <c r="CC53" i="72" s="1"/>
  <c r="CO54" i="72" s="1"/>
  <c r="DA55" i="72" s="1"/>
  <c r="DM56" i="72" s="1"/>
  <c r="BE51" i="72"/>
  <c r="AV7" i="24"/>
  <c r="AV17" i="24"/>
  <c r="CD12" i="58"/>
  <c r="CE9" i="58" s="1"/>
  <c r="U63" i="82" l="1"/>
  <c r="T70" i="82"/>
  <c r="T66" i="82"/>
  <c r="U59" i="82"/>
  <c r="U60" i="82" s="1"/>
  <c r="AV8" i="24"/>
  <c r="AW37" i="1" s="1"/>
  <c r="AV18" i="24"/>
  <c r="AW15" i="24" s="1"/>
  <c r="AW17" i="1"/>
  <c r="AW39" i="1"/>
  <c r="CE10" i="58"/>
  <c r="CF40" i="1" s="1"/>
  <c r="CF41" i="1" s="1"/>
  <c r="AT31" i="72" l="1"/>
  <c r="AT149" i="72" s="1"/>
  <c r="T69" i="82"/>
  <c r="AT62" i="72" s="1"/>
  <c r="U53" i="82"/>
  <c r="U51" i="82" s="1"/>
  <c r="U68" i="82"/>
  <c r="AW16" i="24"/>
  <c r="AW41" i="1"/>
  <c r="CE12" i="58"/>
  <c r="CF9" i="58" s="1"/>
  <c r="CF10" i="58" s="1"/>
  <c r="CG40" i="1" s="1"/>
  <c r="CG41" i="1" s="1"/>
  <c r="U64" i="82" l="1"/>
  <c r="U52" i="82"/>
  <c r="U55" i="82"/>
  <c r="AW7" i="24"/>
  <c r="AW17" i="24"/>
  <c r="CF12" i="58"/>
  <c r="CG9" i="58" s="1"/>
  <c r="U65" i="82" l="1"/>
  <c r="AU78" i="72" s="1"/>
  <c r="U61" i="82"/>
  <c r="U62" i="82" s="1"/>
  <c r="U56" i="82"/>
  <c r="U54" i="82"/>
  <c r="BG108" i="72"/>
  <c r="BF51" i="72"/>
  <c r="BR52" i="72" s="1"/>
  <c r="CD53" i="72" s="1"/>
  <c r="CP54" i="72" s="1"/>
  <c r="DB55" i="72" s="1"/>
  <c r="DN56" i="72" s="1"/>
  <c r="AW8" i="24"/>
  <c r="AX37" i="1" s="1"/>
  <c r="AW18" i="24"/>
  <c r="AX15" i="24" s="1"/>
  <c r="AX39" i="1"/>
  <c r="AX17" i="1"/>
  <c r="CG10" i="58"/>
  <c r="CH40" i="1" s="1"/>
  <c r="CH41" i="1" s="1"/>
  <c r="V58" i="82" l="1"/>
  <c r="V59" i="82" s="1"/>
  <c r="V60" i="82" s="1"/>
  <c r="U70" i="82"/>
  <c r="V49" i="82"/>
  <c r="U66" i="82"/>
  <c r="AX16" i="24"/>
  <c r="AX41" i="1"/>
  <c r="CG12" i="58"/>
  <c r="CH9" i="58" s="1"/>
  <c r="V53" i="82" l="1"/>
  <c r="V51" i="82" s="1"/>
  <c r="V55" i="82" s="1"/>
  <c r="V56" i="82" s="1"/>
  <c r="V68" i="82"/>
  <c r="AU31" i="72"/>
  <c r="AU149" i="72" s="1"/>
  <c r="U69" i="82"/>
  <c r="V62" i="82"/>
  <c r="V63" i="82"/>
  <c r="AX7" i="24"/>
  <c r="AX17" i="24"/>
  <c r="CH10" i="58"/>
  <c r="CI40" i="1" s="1"/>
  <c r="W58" i="82" l="1"/>
  <c r="V70" i="82"/>
  <c r="W49" i="82"/>
  <c r="V66" i="82"/>
  <c r="AV31" i="72" s="1"/>
  <c r="AV149" i="72" s="1"/>
  <c r="V61" i="82"/>
  <c r="V65" i="82"/>
  <c r="AV78" i="72" s="1"/>
  <c r="V64" i="82"/>
  <c r="V52" i="82"/>
  <c r="AU62" i="72"/>
  <c r="U71" i="82"/>
  <c r="AX8" i="24"/>
  <c r="AY37" i="1" s="1"/>
  <c r="AX18" i="24"/>
  <c r="AY15" i="24" s="1"/>
  <c r="AY39" i="1"/>
  <c r="G40" i="20" s="1"/>
  <c r="AY17" i="1"/>
  <c r="G15" i="20" s="1"/>
  <c r="CH12" i="58"/>
  <c r="CI9" i="58" s="1"/>
  <c r="CI10" i="58" s="1"/>
  <c r="CJ40" i="1" s="1"/>
  <c r="CI41" i="1"/>
  <c r="J41" i="20"/>
  <c r="J42" i="20" s="1"/>
  <c r="BH108" i="72" l="1"/>
  <c r="W62" i="82"/>
  <c r="X58" i="82" s="1"/>
  <c r="W63" i="82"/>
  <c r="V54" i="82"/>
  <c r="V69" i="82"/>
  <c r="AV62" i="72" s="1"/>
  <c r="W59" i="82"/>
  <c r="W60" i="82" s="1"/>
  <c r="AY16" i="24"/>
  <c r="AY41" i="1"/>
  <c r="G38" i="20"/>
  <c r="G42" i="20" s="1"/>
  <c r="CJ41" i="1"/>
  <c r="CI12" i="58"/>
  <c r="CJ9" i="58" s="1"/>
  <c r="V71" i="82" l="1"/>
  <c r="X59" i="82"/>
  <c r="X60" i="82" s="1"/>
  <c r="W53" i="82"/>
  <c r="W51" i="82" s="1"/>
  <c r="W68" i="82"/>
  <c r="W70" i="82" s="1"/>
  <c r="AY7" i="24"/>
  <c r="AY17" i="24"/>
  <c r="CJ10" i="58"/>
  <c r="CK40" i="1" s="1"/>
  <c r="W64" i="82" l="1"/>
  <c r="BI108" i="72" s="1"/>
  <c r="W55" i="82"/>
  <c r="W52" i="82"/>
  <c r="X53" i="82"/>
  <c r="X68" i="82"/>
  <c r="AY8" i="24"/>
  <c r="AZ37" i="1" s="1"/>
  <c r="AY18" i="24"/>
  <c r="AZ15" i="24" s="1"/>
  <c r="AZ17" i="1"/>
  <c r="AZ39" i="1"/>
  <c r="CK41" i="1"/>
  <c r="CJ12" i="58"/>
  <c r="CK9" i="58" s="1"/>
  <c r="W54" i="82" l="1"/>
  <c r="W61" i="82"/>
  <c r="W65" i="82"/>
  <c r="AW78" i="72" s="1"/>
  <c r="W56" i="82"/>
  <c r="AZ16" i="24"/>
  <c r="AZ41" i="1"/>
  <c r="CK10" i="58"/>
  <c r="CL40" i="1" s="1"/>
  <c r="W66" i="82" l="1"/>
  <c r="X49" i="82"/>
  <c r="AZ17" i="24"/>
  <c r="AZ7" i="24"/>
  <c r="CL41" i="1"/>
  <c r="CK12" i="58"/>
  <c r="CL9" i="58" s="1"/>
  <c r="X51" i="82" l="1"/>
  <c r="X55" i="82" s="1"/>
  <c r="X56" i="82" s="1"/>
  <c r="X62" i="82"/>
  <c r="X63" i="82"/>
  <c r="AW31" i="72"/>
  <c r="AW149" i="72" s="1"/>
  <c r="W69" i="82"/>
  <c r="AJ81" i="72"/>
  <c r="AK81" i="72"/>
  <c r="BA17" i="1"/>
  <c r="BA39" i="1"/>
  <c r="AZ8" i="24"/>
  <c r="BA37" i="1" s="1"/>
  <c r="AZ18" i="24"/>
  <c r="BA15" i="24" s="1"/>
  <c r="CL10" i="58"/>
  <c r="CM40" i="1" s="1"/>
  <c r="Y49" i="82" l="1"/>
  <c r="X66" i="82"/>
  <c r="AX31" i="72" s="1"/>
  <c r="W71" i="82"/>
  <c r="AW62" i="72"/>
  <c r="Y58" i="82"/>
  <c r="X70" i="82"/>
  <c r="X61" i="82"/>
  <c r="X65" i="82"/>
  <c r="AX78" i="72" s="1"/>
  <c r="X64" i="82"/>
  <c r="X52" i="82"/>
  <c r="BH83" i="72"/>
  <c r="DP88" i="72"/>
  <c r="DD87" i="72"/>
  <c r="CR86" i="72"/>
  <c r="AV82" i="72"/>
  <c r="CF85" i="72"/>
  <c r="BT84" i="72"/>
  <c r="DE87" i="72"/>
  <c r="BI83" i="72"/>
  <c r="CS86" i="72"/>
  <c r="AW82" i="72"/>
  <c r="DQ88" i="72"/>
  <c r="CG85" i="72"/>
  <c r="BU84" i="72"/>
  <c r="BA16" i="24"/>
  <c r="BA41" i="1"/>
  <c r="CL12" i="58"/>
  <c r="CM9" i="58" s="1"/>
  <c r="CM10" i="58" s="1"/>
  <c r="CN40" i="1" s="1"/>
  <c r="CN41" i="1" s="1"/>
  <c r="CM41" i="1"/>
  <c r="X54" i="82" l="1"/>
  <c r="X69" i="82"/>
  <c r="Y59" i="82"/>
  <c r="Y60" i="82" s="1"/>
  <c r="Y62" i="82"/>
  <c r="Z58" i="82" s="1"/>
  <c r="Y63" i="82"/>
  <c r="BA17" i="24"/>
  <c r="BA7" i="24"/>
  <c r="CM12" i="58"/>
  <c r="CN9" i="58" s="1"/>
  <c r="CN10" i="58" s="1"/>
  <c r="CO40" i="1" s="1"/>
  <c r="Y53" i="82" l="1"/>
  <c r="Y51" i="82" s="1"/>
  <c r="Y68" i="82"/>
  <c r="Y70" i="82" s="1"/>
  <c r="X71" i="82"/>
  <c r="AX62" i="72"/>
  <c r="Z59" i="82"/>
  <c r="Z60" i="82" s="1"/>
  <c r="O71" i="82"/>
  <c r="P71" i="82"/>
  <c r="M71" i="82"/>
  <c r="J71" i="82"/>
  <c r="K71" i="82"/>
  <c r="F71" i="82"/>
  <c r="I71" i="82"/>
  <c r="G71" i="82"/>
  <c r="H71" i="82"/>
  <c r="T71" i="82"/>
  <c r="L71" i="82"/>
  <c r="Q71" i="82"/>
  <c r="N71" i="82"/>
  <c r="R71" i="82"/>
  <c r="D71" i="82"/>
  <c r="S71" i="82"/>
  <c r="E71" i="82"/>
  <c r="BB39" i="1"/>
  <c r="BB17" i="1"/>
  <c r="BA8" i="24"/>
  <c r="BB37" i="1" s="1"/>
  <c r="BA18" i="24"/>
  <c r="BB15" i="24" s="1"/>
  <c r="CO41" i="1"/>
  <c r="CN12" i="58"/>
  <c r="CO9" i="58" s="1"/>
  <c r="Z53" i="82" l="1"/>
  <c r="Z68" i="82"/>
  <c r="Y64" i="82"/>
  <c r="Y55" i="82"/>
  <c r="Y56" i="82" s="1"/>
  <c r="Y52" i="82"/>
  <c r="BB16" i="24"/>
  <c r="BB41" i="1"/>
  <c r="CO10" i="58"/>
  <c r="CP40" i="1" s="1"/>
  <c r="CP41" i="1" s="1"/>
  <c r="Y54" i="82" l="1"/>
  <c r="Y66" i="82"/>
  <c r="AY31" i="72" s="1"/>
  <c r="Z49" i="82"/>
  <c r="Y65" i="82"/>
  <c r="Y61" i="82"/>
  <c r="BB7" i="24"/>
  <c r="BB17" i="24"/>
  <c r="CO12" i="58"/>
  <c r="CP9" i="58" s="1"/>
  <c r="CP10" i="58" s="1"/>
  <c r="CQ40" i="1" s="1"/>
  <c r="CQ41" i="1" s="1"/>
  <c r="Y69" i="82" l="1"/>
  <c r="Y71" i="82" s="1"/>
  <c r="Z63" i="82"/>
  <c r="Z51" i="82"/>
  <c r="Z62" i="82"/>
  <c r="BB8" i="24"/>
  <c r="BC37" i="1" s="1"/>
  <c r="BB18" i="24"/>
  <c r="BC15" i="24" s="1"/>
  <c r="BC17" i="1"/>
  <c r="BC39" i="1"/>
  <c r="CP12" i="58"/>
  <c r="CQ9" i="58" s="1"/>
  <c r="CQ10" i="58" s="1"/>
  <c r="CR40" i="1" s="1"/>
  <c r="CR41" i="1" s="1"/>
  <c r="AY62" i="72" l="1"/>
  <c r="Z64" i="82"/>
  <c r="Z52" i="82"/>
  <c r="Z55" i="82"/>
  <c r="AA58" i="82"/>
  <c r="Z70" i="82"/>
  <c r="BC16" i="24"/>
  <c r="BC41" i="1"/>
  <c r="CQ12" i="58"/>
  <c r="CR9" i="58" s="1"/>
  <c r="CR10" i="58" s="1"/>
  <c r="CS40" i="1" s="1"/>
  <c r="CS41" i="1" s="1"/>
  <c r="AA59" i="82" l="1"/>
  <c r="AA60" i="82" s="1"/>
  <c r="Z65" i="82"/>
  <c r="Z61" i="82"/>
  <c r="Z56" i="82"/>
  <c r="Z54" i="82"/>
  <c r="BC17" i="24"/>
  <c r="BC7" i="24"/>
  <c r="CR12" i="58"/>
  <c r="CS9" i="58" s="1"/>
  <c r="AA49" i="82" l="1"/>
  <c r="Z66" i="82"/>
  <c r="AA53" i="82"/>
  <c r="AA68" i="82"/>
  <c r="BD17" i="1"/>
  <c r="BD39" i="1"/>
  <c r="BC8" i="24"/>
  <c r="BD37" i="1" s="1"/>
  <c r="BC18" i="24"/>
  <c r="BD15" i="24" s="1"/>
  <c r="CS10" i="58"/>
  <c r="CT40" i="1" s="1"/>
  <c r="CT41" i="1" s="1"/>
  <c r="AZ31" i="72" l="1"/>
  <c r="Z69" i="82"/>
  <c r="AA62" i="82"/>
  <c r="AB58" i="82" s="1"/>
  <c r="AA63" i="82"/>
  <c r="AA51" i="82"/>
  <c r="AA55" i="82" s="1"/>
  <c r="BD16" i="24"/>
  <c r="BD41" i="1"/>
  <c r="CS12" i="58"/>
  <c r="CT9" i="58" s="1"/>
  <c r="AB59" i="82" l="1"/>
  <c r="AB60" i="82" s="1"/>
  <c r="AZ62" i="72"/>
  <c r="Z71" i="82"/>
  <c r="AA65" i="82"/>
  <c r="AA61" i="82"/>
  <c r="AA56" i="82"/>
  <c r="AA64" i="82"/>
  <c r="AA52" i="82"/>
  <c r="AA70" i="82"/>
  <c r="BD17" i="24"/>
  <c r="BD7" i="24"/>
  <c r="CT10" i="58"/>
  <c r="CU40" i="1" s="1"/>
  <c r="AB49" i="82" l="1"/>
  <c r="AA66" i="82"/>
  <c r="AA54" i="82"/>
  <c r="AB53" i="82"/>
  <c r="AB68" i="82"/>
  <c r="BE17" i="1"/>
  <c r="BE39" i="1"/>
  <c r="BD8" i="24"/>
  <c r="BE37" i="1" s="1"/>
  <c r="BE41" i="1" s="1"/>
  <c r="BD18" i="24"/>
  <c r="BE15" i="24" s="1"/>
  <c r="CU41" i="1"/>
  <c r="K41" i="20"/>
  <c r="K42" i="20" s="1"/>
  <c r="CT12" i="58"/>
  <c r="CU9" i="58" s="1"/>
  <c r="BA31" i="72" l="1"/>
  <c r="AA69" i="82"/>
  <c r="AB62" i="82"/>
  <c r="AC58" i="82" s="1"/>
  <c r="AB51" i="82"/>
  <c r="AB55" i="82" s="1"/>
  <c r="AB56" i="82" s="1"/>
  <c r="AB63" i="82"/>
  <c r="BE16" i="24"/>
  <c r="CU10" i="58"/>
  <c r="CV40" i="1" s="1"/>
  <c r="AC49" i="82" l="1"/>
  <c r="AB66" i="82"/>
  <c r="BB31" i="72" s="1"/>
  <c r="AA71" i="82"/>
  <c r="BA62" i="72"/>
  <c r="AB64" i="82"/>
  <c r="AB52" i="82"/>
  <c r="AB70" i="82"/>
  <c r="AB61" i="82"/>
  <c r="AB65" i="82"/>
  <c r="AC59" i="82"/>
  <c r="AC60" i="82" s="1"/>
  <c r="BE17" i="24"/>
  <c r="BE7" i="24"/>
  <c r="CV41" i="1"/>
  <c r="CU12" i="58"/>
  <c r="CV9" i="58" s="1"/>
  <c r="AB69" i="82" l="1"/>
  <c r="BB62" i="72" s="1"/>
  <c r="AC53" i="82"/>
  <c r="AC51" i="82" s="1"/>
  <c r="AC68" i="82"/>
  <c r="AB54" i="82"/>
  <c r="AC62" i="82"/>
  <c r="AD58" i="82" s="1"/>
  <c r="AC63" i="82"/>
  <c r="BF39" i="1"/>
  <c r="BF17" i="1"/>
  <c r="BE8" i="24"/>
  <c r="BF37" i="1" s="1"/>
  <c r="BE18" i="24"/>
  <c r="BF15" i="24" s="1"/>
  <c r="CV10" i="58"/>
  <c r="CW40" i="1" s="1"/>
  <c r="BF41" i="1" l="1"/>
  <c r="AC70" i="82"/>
  <c r="AB71" i="82"/>
  <c r="AC64" i="82"/>
  <c r="AC55" i="82"/>
  <c r="AC56" i="82" s="1"/>
  <c r="AC52" i="82"/>
  <c r="AD59" i="82"/>
  <c r="AD60" i="82" s="1"/>
  <c r="BF16" i="24"/>
  <c r="CV12" i="58"/>
  <c r="CW9" i="58" s="1"/>
  <c r="CW10" i="58" s="1"/>
  <c r="CX40" i="1" s="1"/>
  <c r="CX41" i="1" s="1"/>
  <c r="CW41" i="1"/>
  <c r="AD49" i="82" l="1"/>
  <c r="AC66" i="82"/>
  <c r="BC31" i="72" s="1"/>
  <c r="AC54" i="82"/>
  <c r="AC65" i="82"/>
  <c r="AC61" i="82"/>
  <c r="AD53" i="82"/>
  <c r="AD68" i="82"/>
  <c r="BF7" i="24"/>
  <c r="BF17" i="24"/>
  <c r="CW12" i="58"/>
  <c r="CX9" i="58" s="1"/>
  <c r="AC69" i="82" l="1"/>
  <c r="AD62" i="82"/>
  <c r="AE58" i="82" s="1"/>
  <c r="AD63" i="82"/>
  <c r="AD51" i="82"/>
  <c r="AD55" i="82" s="1"/>
  <c r="BF8" i="24"/>
  <c r="BG37" i="1" s="1"/>
  <c r="BF18" i="24"/>
  <c r="BG15" i="24" s="1"/>
  <c r="BG39" i="1"/>
  <c r="BG17" i="1"/>
  <c r="CX10" i="58"/>
  <c r="CY40" i="1" s="1"/>
  <c r="BG41" i="1" l="1"/>
  <c r="AD61" i="82"/>
  <c r="AD65" i="82"/>
  <c r="AE59" i="82"/>
  <c r="AE60" i="82" s="1"/>
  <c r="AD56" i="82"/>
  <c r="BC62" i="72"/>
  <c r="AC71" i="82"/>
  <c r="AD64" i="82"/>
  <c r="AD52" i="82"/>
  <c r="AD70" i="82"/>
  <c r="BG16" i="24"/>
  <c r="CY41" i="1"/>
  <c r="CX12" i="58"/>
  <c r="CY9" i="58" s="1"/>
  <c r="AE53" i="82" l="1"/>
  <c r="AE68" i="82"/>
  <c r="AE49" i="82"/>
  <c r="AD66" i="82"/>
  <c r="AD69" i="82" s="1"/>
  <c r="AD71" i="82" s="1"/>
  <c r="AD54" i="82"/>
  <c r="BG7" i="24"/>
  <c r="BG17" i="24"/>
  <c r="CY10" i="58"/>
  <c r="CZ40" i="1" s="1"/>
  <c r="AE51" i="82" l="1"/>
  <c r="AE55" i="82" s="1"/>
  <c r="AE56" i="82" s="1"/>
  <c r="AE62" i="82"/>
  <c r="AF58" i="82" s="1"/>
  <c r="AE63" i="82"/>
  <c r="BG8" i="24"/>
  <c r="BH37" i="1" s="1"/>
  <c r="BG18" i="24"/>
  <c r="BH15" i="24" s="1"/>
  <c r="BH17" i="1"/>
  <c r="BH39" i="1"/>
  <c r="CZ41" i="1"/>
  <c r="CY12" i="58"/>
  <c r="CZ9" i="58" s="1"/>
  <c r="BH41" i="1" l="1"/>
  <c r="AE70" i="82"/>
  <c r="AF49" i="82"/>
  <c r="AE66" i="82"/>
  <c r="AF59" i="82"/>
  <c r="AF60" i="82" s="1"/>
  <c r="AE65" i="82"/>
  <c r="AE61" i="82"/>
  <c r="AE64" i="82"/>
  <c r="AE52" i="82"/>
  <c r="BH16" i="24"/>
  <c r="CZ10" i="58"/>
  <c r="DA40" i="1" s="1"/>
  <c r="DA41" i="1" s="1"/>
  <c r="AE69" i="82" l="1"/>
  <c r="AE71" i="82" s="1"/>
  <c r="AF53" i="82"/>
  <c r="AF51" i="82" s="1"/>
  <c r="AF52" i="82" s="1"/>
  <c r="AF68" i="82"/>
  <c r="AE54" i="82"/>
  <c r="AF63" i="82"/>
  <c r="AF62" i="82"/>
  <c r="AG58" i="82" s="1"/>
  <c r="BH7" i="24"/>
  <c r="BH17" i="24"/>
  <c r="CZ12" i="58"/>
  <c r="DA9" i="58" s="1"/>
  <c r="AF54" i="82" l="1"/>
  <c r="AG59" i="82"/>
  <c r="AG60" i="82" s="1"/>
  <c r="AF70" i="82"/>
  <c r="AF64" i="82"/>
  <c r="AF55" i="82"/>
  <c r="BH8" i="24"/>
  <c r="BI37" i="1" s="1"/>
  <c r="BH18" i="24"/>
  <c r="BI15" i="24" s="1"/>
  <c r="BI39" i="1"/>
  <c r="BI17" i="1"/>
  <c r="DA10" i="58"/>
  <c r="DB40" i="1" s="1"/>
  <c r="DB41" i="1" s="1"/>
  <c r="BI41" i="1" l="1"/>
  <c r="AG53" i="82"/>
  <c r="AG68" i="82"/>
  <c r="AF56" i="82"/>
  <c r="AF61" i="82"/>
  <c r="AF65" i="82"/>
  <c r="BI16" i="24"/>
  <c r="DA12" i="58"/>
  <c r="DB9" i="58" s="1"/>
  <c r="AG49" i="82" l="1"/>
  <c r="AF66" i="82"/>
  <c r="AF69" i="82" s="1"/>
  <c r="AF71" i="82" s="1"/>
  <c r="BI7" i="24"/>
  <c r="BI17" i="24"/>
  <c r="DB10" i="58"/>
  <c r="DC40" i="1" s="1"/>
  <c r="DC41" i="1" s="1"/>
  <c r="AG62" i="82" l="1"/>
  <c r="AG70" i="82" s="1"/>
  <c r="AG63" i="82"/>
  <c r="AG51" i="82"/>
  <c r="AG55" i="82" s="1"/>
  <c r="BI8" i="24"/>
  <c r="BJ37" i="1" s="1"/>
  <c r="BJ41" i="1" s="1"/>
  <c r="BI18" i="24"/>
  <c r="BJ15" i="24" s="1"/>
  <c r="BJ39" i="1"/>
  <c r="BJ17" i="1"/>
  <c r="DB12" i="58"/>
  <c r="DC9" i="58" s="1"/>
  <c r="DC10" i="58" s="1"/>
  <c r="DD40" i="1" s="1"/>
  <c r="DD41" i="1" s="1"/>
  <c r="AG56" i="82" l="1"/>
  <c r="AG66" i="82" s="1"/>
  <c r="AG61" i="82"/>
  <c r="AG65" i="82"/>
  <c r="AG64" i="82"/>
  <c r="AG52" i="82"/>
  <c r="AG54" i="82" s="1"/>
  <c r="BJ16" i="24"/>
  <c r="DC12" i="58"/>
  <c r="DD9" i="58" s="1"/>
  <c r="DD10" i="58" s="1"/>
  <c r="DE40" i="1" s="1"/>
  <c r="DE41" i="1" s="1"/>
  <c r="AG69" i="82" l="1"/>
  <c r="AG71" i="82" s="1"/>
  <c r="BJ7" i="24"/>
  <c r="BJ17" i="24"/>
  <c r="DD12" i="58"/>
  <c r="DE9" i="58" s="1"/>
  <c r="BJ8" i="24" l="1"/>
  <c r="BK37" i="1" s="1"/>
  <c r="BJ18" i="24"/>
  <c r="BK15" i="24" s="1"/>
  <c r="BK17" i="1"/>
  <c r="BK39" i="1"/>
  <c r="H40" i="20" s="1"/>
  <c r="DE10" i="58"/>
  <c r="DF40" i="1" s="1"/>
  <c r="DF41" i="1" s="1"/>
  <c r="BK16" i="24" l="1"/>
  <c r="BK41" i="1"/>
  <c r="H38" i="20"/>
  <c r="H42" i="20" s="1"/>
  <c r="H15" i="20"/>
  <c r="DE12" i="58"/>
  <c r="DF9" i="58" s="1"/>
  <c r="BK17" i="24" l="1"/>
  <c r="BK7" i="24"/>
  <c r="DF10" i="58"/>
  <c r="DG40" i="1" s="1"/>
  <c r="BL17" i="1" l="1"/>
  <c r="BL39" i="1"/>
  <c r="BK8" i="24"/>
  <c r="BL37" i="1" s="1"/>
  <c r="BK18" i="24"/>
  <c r="BL15" i="24" s="1"/>
  <c r="DG41" i="1"/>
  <c r="L41" i="20"/>
  <c r="L42" i="20" s="1"/>
  <c r="DF12" i="58"/>
  <c r="DG9" i="58" s="1"/>
  <c r="BL16" i="24" l="1"/>
  <c r="BL41" i="1"/>
  <c r="DG10" i="58"/>
  <c r="DH40" i="1" s="1"/>
  <c r="BL7" i="24" l="1"/>
  <c r="BL17" i="24"/>
  <c r="DH41" i="1"/>
  <c r="DG12" i="58"/>
  <c r="DH9" i="58" s="1"/>
  <c r="BL8" i="24" l="1"/>
  <c r="BM37" i="1" s="1"/>
  <c r="BL18" i="24"/>
  <c r="BM15" i="24" s="1"/>
  <c r="BM39" i="1"/>
  <c r="BM17" i="1"/>
  <c r="DH10" i="58"/>
  <c r="DI40" i="1" s="1"/>
  <c r="BM16" i="24" l="1"/>
  <c r="BM41" i="1"/>
  <c r="DH12" i="58"/>
  <c r="DI9" i="58" s="1"/>
  <c r="DI10" i="58" s="1"/>
  <c r="DJ40" i="1" s="1"/>
  <c r="DJ41" i="1" s="1"/>
  <c r="DI41" i="1"/>
  <c r="BM7" i="24" l="1"/>
  <c r="BM17" i="24"/>
  <c r="DI12" i="58"/>
  <c r="DJ9" i="58" s="1"/>
  <c r="DJ10" i="58" s="1"/>
  <c r="DK40" i="1" s="1"/>
  <c r="BM8" i="24" l="1"/>
  <c r="BN37" i="1" s="1"/>
  <c r="BM18" i="24"/>
  <c r="BN15" i="24" s="1"/>
  <c r="BN39" i="1"/>
  <c r="BN17" i="1"/>
  <c r="DJ12" i="58"/>
  <c r="DK9" i="58" s="1"/>
  <c r="DK10" i="58" s="1"/>
  <c r="DL40" i="1" s="1"/>
  <c r="DL41" i="1" s="1"/>
  <c r="DK41" i="1"/>
  <c r="BN16" i="24" l="1"/>
  <c r="BN41" i="1"/>
  <c r="DK12" i="58"/>
  <c r="DL9" i="58" s="1"/>
  <c r="DL10" i="58" s="1"/>
  <c r="DM40" i="1" s="1"/>
  <c r="BN7" i="24" l="1"/>
  <c r="BN17" i="24"/>
  <c r="DM41" i="1"/>
  <c r="DL12" i="58"/>
  <c r="DM9" i="58" s="1"/>
  <c r="BN8" i="24" l="1"/>
  <c r="BO37" i="1" s="1"/>
  <c r="BN18" i="24"/>
  <c r="BO15" i="24" s="1"/>
  <c r="BO39" i="1"/>
  <c r="BO17" i="1"/>
  <c r="DM10" i="58"/>
  <c r="DN40" i="1" s="1"/>
  <c r="BO16" i="24" l="1"/>
  <c r="BO41" i="1"/>
  <c r="DM12" i="58"/>
  <c r="DN9" i="58" s="1"/>
  <c r="DN10" i="58" s="1"/>
  <c r="DO40" i="1" s="1"/>
  <c r="DO41" i="1" s="1"/>
  <c r="DN41" i="1"/>
  <c r="BO7" i="24" l="1"/>
  <c r="BO17" i="24"/>
  <c r="DN12" i="58"/>
  <c r="DO9" i="58" s="1"/>
  <c r="DO10" i="58" s="1"/>
  <c r="DP40" i="1" s="1"/>
  <c r="DP41" i="1" s="1"/>
  <c r="BO8" i="24" l="1"/>
  <c r="BP37" i="1" s="1"/>
  <c r="BO18" i="24"/>
  <c r="BP15" i="24" s="1"/>
  <c r="BP17" i="1"/>
  <c r="BP39" i="1"/>
  <c r="DO12" i="58"/>
  <c r="DP9" i="58" s="1"/>
  <c r="BP16" i="24" l="1"/>
  <c r="BP41" i="1"/>
  <c r="DP10" i="58"/>
  <c r="DQ40" i="1" s="1"/>
  <c r="DQ41" i="1" s="1"/>
  <c r="BP7" i="24" l="1"/>
  <c r="BP17" i="24"/>
  <c r="DP12" i="58"/>
  <c r="DQ9" i="58" s="1"/>
  <c r="DQ10" i="58" s="1"/>
  <c r="DR40" i="1" s="1"/>
  <c r="DR41" i="1" s="1"/>
  <c r="BP8" i="24" l="1"/>
  <c r="BQ37" i="1" s="1"/>
  <c r="BP18" i="24"/>
  <c r="BQ15" i="24" s="1"/>
  <c r="BQ39" i="1"/>
  <c r="BQ17" i="1"/>
  <c r="DQ12" i="58"/>
  <c r="DR9" i="58" s="1"/>
  <c r="BQ41" i="1" l="1"/>
  <c r="BQ16" i="24"/>
  <c r="DR10" i="58"/>
  <c r="DS40" i="1" s="1"/>
  <c r="BQ7" i="24" l="1"/>
  <c r="BQ17" i="24"/>
  <c r="DR12" i="58"/>
  <c r="DS41" i="1"/>
  <c r="M41" i="20"/>
  <c r="M42" i="20" s="1"/>
  <c r="BQ8" i="24" l="1"/>
  <c r="BR37" i="1" s="1"/>
  <c r="BQ18" i="24"/>
  <c r="BR15" i="24" s="1"/>
  <c r="BR39" i="1"/>
  <c r="BR17" i="1"/>
  <c r="BR16" i="24" l="1"/>
  <c r="BR41" i="1"/>
  <c r="BR7" i="24" l="1"/>
  <c r="BR17" i="24"/>
  <c r="BR8" i="24" l="1"/>
  <c r="BS37" i="1" s="1"/>
  <c r="BR18" i="24"/>
  <c r="BS15" i="24" s="1"/>
  <c r="BS17" i="1"/>
  <c r="BS39" i="1"/>
  <c r="BS41" i="1" l="1"/>
  <c r="BS16" i="24"/>
  <c r="BS7" i="24" l="1"/>
  <c r="BS17" i="24"/>
  <c r="BS8" i="24" l="1"/>
  <c r="BT37" i="1" s="1"/>
  <c r="BS18" i="24"/>
  <c r="BT15" i="24" s="1"/>
  <c r="BT17" i="1"/>
  <c r="BT39" i="1"/>
  <c r="BT16" i="24" l="1"/>
  <c r="BT41" i="1"/>
  <c r="BT7" i="24" l="1"/>
  <c r="BT17" i="24"/>
  <c r="BT8" i="24" l="1"/>
  <c r="BU37" i="1" s="1"/>
  <c r="BT18" i="24"/>
  <c r="BU15" i="24" s="1"/>
  <c r="BU39" i="1"/>
  <c r="BU17" i="1"/>
  <c r="BU41" i="1" l="1"/>
  <c r="BU16" i="24"/>
  <c r="BU7" i="24" l="1"/>
  <c r="BU17" i="24"/>
  <c r="BU8" i="24" l="1"/>
  <c r="BV37" i="1" s="1"/>
  <c r="BU18" i="24"/>
  <c r="BV15" i="24" s="1"/>
  <c r="BV17" i="1"/>
  <c r="BV39" i="1"/>
  <c r="BV41" i="1" l="1"/>
  <c r="BV16" i="24"/>
  <c r="BV7" i="24" l="1"/>
  <c r="BV17" i="24"/>
  <c r="BV8" i="24" l="1"/>
  <c r="BW37" i="1" s="1"/>
  <c r="BV18" i="24"/>
  <c r="BW39" i="1"/>
  <c r="I40" i="20" s="1"/>
  <c r="BW17" i="1"/>
  <c r="I15" i="20" l="1"/>
  <c r="BW41" i="1"/>
  <c r="I38" i="20"/>
  <c r="I42" i="20" s="1"/>
  <c r="P5" i="44" l="1"/>
  <c r="O36" i="60" l="1"/>
  <c r="O11" i="1" s="1"/>
  <c r="O26" i="1" l="1"/>
  <c r="O28" i="1" s="1"/>
  <c r="D9" i="20"/>
  <c r="D11" i="20" s="1"/>
  <c r="O13" i="1"/>
  <c r="D27" i="20" l="1"/>
  <c r="D29" i="20" s="1"/>
  <c r="BA51" i="72" l="1"/>
  <c r="L69" i="74"/>
  <c r="M51" i="74"/>
  <c r="AD18" i="72" l="1"/>
  <c r="AD136" i="72" s="1"/>
  <c r="L72" i="74"/>
  <c r="BB51" i="72"/>
  <c r="BN52" i="72"/>
  <c r="BZ53" i="72" s="1"/>
  <c r="CL54" i="72" s="1"/>
  <c r="CX55" i="72" s="1"/>
  <c r="DJ56" i="72" s="1"/>
  <c r="BO52" i="72"/>
  <c r="CA53" i="72" s="1"/>
  <c r="CM54" i="72" s="1"/>
  <c r="CY55" i="72" s="1"/>
  <c r="DK56" i="72" s="1"/>
  <c r="BP52" i="72"/>
  <c r="CB53" i="72" s="1"/>
  <c r="CN54" i="72" s="1"/>
  <c r="CZ55" i="72" s="1"/>
  <c r="DL56" i="72" s="1"/>
  <c r="BC51" i="72"/>
  <c r="BD51" i="72"/>
  <c r="BM52" i="72"/>
  <c r="M52" i="74"/>
  <c r="M66" i="74"/>
  <c r="M65" i="74"/>
  <c r="N61" i="74" s="1"/>
  <c r="M53" i="74"/>
  <c r="BY53" i="72" l="1"/>
  <c r="AD47" i="72"/>
  <c r="AP137" i="72"/>
  <c r="AD146" i="72"/>
  <c r="L73" i="74"/>
  <c r="L74" i="74" s="1"/>
  <c r="AD28" i="72"/>
  <c r="AD6" i="44" s="1"/>
  <c r="AP19" i="72"/>
  <c r="M54" i="74"/>
  <c r="M67" i="74"/>
  <c r="AE95" i="72" s="1"/>
  <c r="AQ96" i="72" s="1"/>
  <c r="BC97" i="72" s="1"/>
  <c r="BO98" i="72" s="1"/>
  <c r="CA99" i="72" s="1"/>
  <c r="N68" i="74"/>
  <c r="N62" i="74"/>
  <c r="N63" i="74" s="1"/>
  <c r="M59" i="74"/>
  <c r="CK54" i="72" l="1"/>
  <c r="AP48" i="72"/>
  <c r="AD58" i="72"/>
  <c r="CM100" i="72"/>
  <c r="CA105" i="72"/>
  <c r="BB138" i="72"/>
  <c r="AP146" i="72"/>
  <c r="AP28" i="72"/>
  <c r="AP6" i="44" s="1"/>
  <c r="BB20" i="72"/>
  <c r="N71" i="74"/>
  <c r="N55" i="74"/>
  <c r="N64" i="74"/>
  <c r="N51" i="74"/>
  <c r="M69" i="74"/>
  <c r="AE18" i="72" s="1"/>
  <c r="AE136" i="72" s="1"/>
  <c r="Z78" i="72"/>
  <c r="M56" i="74"/>
  <c r="AD8" i="44" l="1"/>
  <c r="CW55" i="72"/>
  <c r="BB49" i="72"/>
  <c r="CY101" i="72"/>
  <c r="CM105" i="72"/>
  <c r="AQ137" i="72"/>
  <c r="AE146" i="72"/>
  <c r="BN139" i="72"/>
  <c r="BB146" i="72"/>
  <c r="BB28" i="72"/>
  <c r="BB6" i="44" s="1"/>
  <c r="BN21" i="72"/>
  <c r="AQ19" i="72"/>
  <c r="AE28" i="72"/>
  <c r="AE6" i="44" s="1"/>
  <c r="M72" i="74"/>
  <c r="N52" i="74"/>
  <c r="N66" i="74"/>
  <c r="N53" i="74"/>
  <c r="N65" i="74"/>
  <c r="O61" i="74" s="1"/>
  <c r="AC38" i="60" l="1"/>
  <c r="AC37" i="60"/>
  <c r="DI56" i="72"/>
  <c r="N59" i="74"/>
  <c r="N69" i="74" s="1"/>
  <c r="AF18" i="72" s="1"/>
  <c r="AF136" i="72" s="1"/>
  <c r="BN50" i="72"/>
  <c r="AE47" i="72"/>
  <c r="DK102" i="72"/>
  <c r="DK105" i="72" s="1"/>
  <c r="CY105" i="72"/>
  <c r="BZ140" i="72"/>
  <c r="BN146" i="72"/>
  <c r="BC138" i="72"/>
  <c r="AQ146" i="72"/>
  <c r="BC20" i="72"/>
  <c r="AQ28" i="72"/>
  <c r="AQ6" i="44" s="1"/>
  <c r="BN28" i="72"/>
  <c r="BN6" i="44" s="1"/>
  <c r="BZ22" i="72"/>
  <c r="M73" i="74"/>
  <c r="N67" i="74"/>
  <c r="AF95" i="72" s="1"/>
  <c r="AR96" i="72" s="1"/>
  <c r="BD97" i="72" s="1"/>
  <c r="BP98" i="72" s="1"/>
  <c r="CB99" i="72" s="1"/>
  <c r="N54" i="74"/>
  <c r="O62" i="74"/>
  <c r="O63" i="74" s="1"/>
  <c r="D58" i="75"/>
  <c r="R5" i="75" s="1"/>
  <c r="E33" i="75" s="1"/>
  <c r="O51" i="74" l="1"/>
  <c r="AQ48" i="72"/>
  <c r="AE58" i="72"/>
  <c r="AE8" i="44" s="1"/>
  <c r="BZ51" i="72"/>
  <c r="CN100" i="72"/>
  <c r="CB105" i="72"/>
  <c r="BO139" i="72"/>
  <c r="BC146" i="72"/>
  <c r="AR137" i="72"/>
  <c r="AF146" i="72"/>
  <c r="CL141" i="72"/>
  <c r="BZ146" i="72"/>
  <c r="BZ28" i="72"/>
  <c r="BZ6" i="44" s="1"/>
  <c r="CL23" i="72"/>
  <c r="AR19" i="72"/>
  <c r="AF28" i="72"/>
  <c r="AF6" i="44" s="1"/>
  <c r="BO21" i="72"/>
  <c r="BC28" i="72"/>
  <c r="BC6" i="44" s="1"/>
  <c r="E35" i="75"/>
  <c r="E34" i="75"/>
  <c r="O55" i="74"/>
  <c r="O53" i="74" s="1"/>
  <c r="O67" i="74" s="1"/>
  <c r="AG95" i="72" s="1"/>
  <c r="AS96" i="72" s="1"/>
  <c r="BE97" i="72" s="1"/>
  <c r="BQ98" i="72" s="1"/>
  <c r="CC99" i="72" s="1"/>
  <c r="O71" i="74"/>
  <c r="M74" i="74"/>
  <c r="N56" i="74"/>
  <c r="O66" i="74"/>
  <c r="O52" i="74"/>
  <c r="D59" i="75"/>
  <c r="D60" i="75" s="1"/>
  <c r="N72" i="74"/>
  <c r="AD38" i="60" l="1"/>
  <c r="AD37" i="60"/>
  <c r="CL52" i="72"/>
  <c r="AF47" i="72"/>
  <c r="BC49" i="72"/>
  <c r="CO100" i="72"/>
  <c r="CC105" i="72"/>
  <c r="CZ101" i="72"/>
  <c r="CN105" i="72"/>
  <c r="BD138" i="72"/>
  <c r="AR146" i="72"/>
  <c r="CX142" i="72"/>
  <c r="CL146" i="72"/>
  <c r="CA140" i="72"/>
  <c r="BO146" i="72"/>
  <c r="BD20" i="72"/>
  <c r="AR28" i="72"/>
  <c r="AR6" i="44" s="1"/>
  <c r="CL28" i="72"/>
  <c r="CL6" i="44" s="1"/>
  <c r="CX24" i="72"/>
  <c r="CA22" i="72"/>
  <c r="BO28" i="72"/>
  <c r="BO6" i="44" s="1"/>
  <c r="O57" i="74"/>
  <c r="N73" i="74"/>
  <c r="D61" i="75"/>
  <c r="D68" i="75"/>
  <c r="D53" i="75"/>
  <c r="O54" i="74"/>
  <c r="O59" i="74" l="1"/>
  <c r="AF58" i="72"/>
  <c r="AF8" i="44" s="1"/>
  <c r="AR48" i="72"/>
  <c r="BO50" i="72"/>
  <c r="CX53" i="72"/>
  <c r="DL102" i="72"/>
  <c r="DL105" i="72" s="1"/>
  <c r="CZ105" i="72"/>
  <c r="DA101" i="72"/>
  <c r="CO105" i="72"/>
  <c r="DJ143" i="72"/>
  <c r="DJ146" i="72" s="1"/>
  <c r="CX146" i="72"/>
  <c r="CM141" i="72"/>
  <c r="CA146" i="72"/>
  <c r="BP139" i="72"/>
  <c r="BD146" i="72"/>
  <c r="CX28" i="72"/>
  <c r="CX6" i="44" s="1"/>
  <c r="DJ25" i="72"/>
  <c r="DJ28" i="72" s="1"/>
  <c r="DJ6" i="44" s="1"/>
  <c r="CM23" i="72"/>
  <c r="CA28" i="72"/>
  <c r="CA6" i="44" s="1"/>
  <c r="BP21" i="72"/>
  <c r="BD28" i="72"/>
  <c r="BD6" i="44" s="1"/>
  <c r="D49" i="75"/>
  <c r="D62" i="75" s="1"/>
  <c r="O68" i="74"/>
  <c r="O64" i="74"/>
  <c r="O65" i="74" s="1"/>
  <c r="P61" i="74" s="1"/>
  <c r="P51" i="74"/>
  <c r="P52" i="74" s="1"/>
  <c r="N74" i="74"/>
  <c r="O56" i="74"/>
  <c r="AE38" i="60" l="1"/>
  <c r="AE37" i="60"/>
  <c r="DJ54" i="72"/>
  <c r="CA51" i="72"/>
  <c r="BD49" i="72"/>
  <c r="DM102" i="72"/>
  <c r="DM105" i="72" s="1"/>
  <c r="DA105" i="72"/>
  <c r="CY142" i="72"/>
  <c r="CM146" i="72"/>
  <c r="CB140" i="72"/>
  <c r="BP146" i="72"/>
  <c r="CY24" i="72"/>
  <c r="CM28" i="72"/>
  <c r="CM6" i="44" s="1"/>
  <c r="CB22" i="72"/>
  <c r="BP28" i="72"/>
  <c r="BP6" i="44" s="1"/>
  <c r="E58" i="75"/>
  <c r="E59" i="75" s="1"/>
  <c r="E60" i="75" s="1"/>
  <c r="E68" i="75" s="1"/>
  <c r="D70" i="75"/>
  <c r="P66" i="74"/>
  <c r="O69" i="74"/>
  <c r="AG18" i="72" s="1"/>
  <c r="AG136" i="72" s="1"/>
  <c r="D63" i="75"/>
  <c r="P62" i="74"/>
  <c r="P63" i="74" s="1"/>
  <c r="P68" i="74"/>
  <c r="D51" i="75"/>
  <c r="BP50" i="72" l="1"/>
  <c r="CM52" i="72"/>
  <c r="E55" i="75"/>
  <c r="E65" i="75" s="1"/>
  <c r="T79" i="72" s="1"/>
  <c r="T81" i="72" s="1"/>
  <c r="CN141" i="72"/>
  <c r="CB146" i="72"/>
  <c r="AS137" i="72"/>
  <c r="AG146" i="72"/>
  <c r="DK143" i="72"/>
  <c r="DK146" i="72" s="1"/>
  <c r="CY146" i="72"/>
  <c r="CB28" i="72"/>
  <c r="CB6" i="44" s="1"/>
  <c r="CN23" i="72"/>
  <c r="AS19" i="72"/>
  <c r="AG28" i="72"/>
  <c r="AG6" i="44" s="1"/>
  <c r="DK25" i="72"/>
  <c r="DK28" i="72" s="1"/>
  <c r="DK6" i="44" s="1"/>
  <c r="CY28" i="72"/>
  <c r="CY6" i="44" s="1"/>
  <c r="E53" i="75"/>
  <c r="D56" i="75"/>
  <c r="D64" i="75"/>
  <c r="AS109" i="72" s="1"/>
  <c r="AS111" i="72" s="1"/>
  <c r="D52" i="75"/>
  <c r="O72" i="74"/>
  <c r="P55" i="74"/>
  <c r="P53" i="74" s="1"/>
  <c r="P71" i="74"/>
  <c r="P64" i="74"/>
  <c r="P65" i="74" s="1"/>
  <c r="Q61" i="74" s="1"/>
  <c r="E61" i="75" l="1"/>
  <c r="AG47" i="72"/>
  <c r="CY53" i="72"/>
  <c r="CB51" i="72"/>
  <c r="BE112" i="72"/>
  <c r="BQ113" i="72" s="1"/>
  <c r="CC114" i="72" s="1"/>
  <c r="CO115" i="72" s="1"/>
  <c r="DA116" i="72" s="1"/>
  <c r="DM117" i="72" s="1"/>
  <c r="AS121" i="72"/>
  <c r="AF31" i="60" s="1"/>
  <c r="BE138" i="72"/>
  <c r="AS146" i="72"/>
  <c r="CZ142" i="72"/>
  <c r="CN146" i="72"/>
  <c r="AS28" i="72"/>
  <c r="AS6" i="44" s="1"/>
  <c r="BE20" i="72"/>
  <c r="CN28" i="72"/>
  <c r="CN6" i="44" s="1"/>
  <c r="CZ24" i="72"/>
  <c r="P67" i="74"/>
  <c r="AH95" i="72" s="1"/>
  <c r="AT96" i="72" s="1"/>
  <c r="BF97" i="72" s="1"/>
  <c r="BR98" i="72" s="1"/>
  <c r="CD99" i="72" s="1"/>
  <c r="P59" i="74"/>
  <c r="P54" i="74"/>
  <c r="P56" i="74" s="1"/>
  <c r="V42" i="60"/>
  <c r="V36" i="60"/>
  <c r="Q62" i="74"/>
  <c r="Q63" i="74" s="1"/>
  <c r="Q68" i="74"/>
  <c r="O73" i="74"/>
  <c r="O74" i="74" s="1"/>
  <c r="W121" i="72"/>
  <c r="D66" i="75"/>
  <c r="AG32" i="72" s="1"/>
  <c r="E49" i="75"/>
  <c r="AR83" i="72"/>
  <c r="CB86" i="72"/>
  <c r="DL89" i="72"/>
  <c r="AF82" i="72"/>
  <c r="CN87" i="72"/>
  <c r="BD84" i="72"/>
  <c r="BP85" i="72"/>
  <c r="CZ88" i="72"/>
  <c r="T92" i="72"/>
  <c r="T10" i="44" s="1"/>
  <c r="DK54" i="72" l="1"/>
  <c r="CN52" i="72"/>
  <c r="AS48" i="72"/>
  <c r="AG58" i="72"/>
  <c r="AG8" i="44" s="1"/>
  <c r="T12" i="44"/>
  <c r="T11" i="44"/>
  <c r="T14" i="44" s="1"/>
  <c r="T13" i="44"/>
  <c r="T17" i="44" s="1"/>
  <c r="CP100" i="72"/>
  <c r="CD105" i="72"/>
  <c r="AR36" i="60"/>
  <c r="AR42" i="60"/>
  <c r="DL143" i="72"/>
  <c r="DL146" i="72" s="1"/>
  <c r="CZ146" i="72"/>
  <c r="AG34" i="72"/>
  <c r="DA40" i="72" s="1"/>
  <c r="AG150" i="72"/>
  <c r="AG153" i="72" s="1"/>
  <c r="BQ139" i="72"/>
  <c r="BE146" i="72"/>
  <c r="CZ28" i="72"/>
  <c r="CZ6" i="44" s="1"/>
  <c r="DL25" i="72"/>
  <c r="DL28" i="72" s="1"/>
  <c r="DL6" i="44" s="1"/>
  <c r="BE28" i="72"/>
  <c r="BE6" i="44" s="1"/>
  <c r="BQ21" i="72"/>
  <c r="BE36" i="72"/>
  <c r="AB34" i="72"/>
  <c r="D69" i="75"/>
  <c r="AG63" i="72" s="1"/>
  <c r="AG65" i="72" s="1"/>
  <c r="AI121" i="72"/>
  <c r="D54" i="75"/>
  <c r="E63" i="75"/>
  <c r="E62" i="75"/>
  <c r="E51" i="75"/>
  <c r="Q64" i="74"/>
  <c r="Q55" i="74"/>
  <c r="Q71" i="74"/>
  <c r="Q51" i="74"/>
  <c r="P69" i="74"/>
  <c r="AH18" i="72" s="1"/>
  <c r="AH136" i="72" s="1"/>
  <c r="AF37" i="60" l="1"/>
  <c r="AF38" i="60"/>
  <c r="T15" i="44"/>
  <c r="T16" i="44"/>
  <c r="CZ53" i="72"/>
  <c r="BE49" i="72"/>
  <c r="CC38" i="72"/>
  <c r="BQ37" i="72"/>
  <c r="CO39" i="72"/>
  <c r="DB101" i="72"/>
  <c r="CP105" i="72"/>
  <c r="AT137" i="72"/>
  <c r="AH146" i="72"/>
  <c r="AG163" i="72"/>
  <c r="AS154" i="72"/>
  <c r="BE155" i="72" s="1"/>
  <c r="BQ156" i="72" s="1"/>
  <c r="CC157" i="72" s="1"/>
  <c r="CO158" i="72" s="1"/>
  <c r="DA159" i="72" s="1"/>
  <c r="DM160" i="72" s="1"/>
  <c r="CC140" i="72"/>
  <c r="BQ146" i="72"/>
  <c r="DM72" i="72"/>
  <c r="BE67" i="72"/>
  <c r="AS66" i="72"/>
  <c r="DA71" i="72"/>
  <c r="CO70" i="72"/>
  <c r="BQ68" i="72"/>
  <c r="CC69" i="72"/>
  <c r="AG75" i="72"/>
  <c r="AG9" i="44" s="1"/>
  <c r="BQ28" i="72"/>
  <c r="BQ6" i="44" s="1"/>
  <c r="CC22" i="72"/>
  <c r="AT19" i="72"/>
  <c r="AH28" i="72"/>
  <c r="AH6" i="44" s="1"/>
  <c r="AN51" i="72"/>
  <c r="AN58" i="72" s="1"/>
  <c r="AN8" i="44" s="1"/>
  <c r="BL53" i="72"/>
  <c r="BX54" i="72" s="1"/>
  <c r="CJ55" i="72" s="1"/>
  <c r="CV56" i="72" s="1"/>
  <c r="DH57" i="72" s="1"/>
  <c r="AZ52" i="72"/>
  <c r="Q53" i="74"/>
  <c r="Q67" i="74" s="1"/>
  <c r="AI95" i="72" s="1"/>
  <c r="AU96" i="72" s="1"/>
  <c r="BG97" i="72" s="1"/>
  <c r="BS98" i="72" s="1"/>
  <c r="CE99" i="72" s="1"/>
  <c r="AH36" i="60"/>
  <c r="AH42" i="60"/>
  <c r="Q66" i="74"/>
  <c r="Q52" i="74"/>
  <c r="Q65" i="74"/>
  <c r="R61" i="74" s="1"/>
  <c r="E56" i="75"/>
  <c r="E64" i="75"/>
  <c r="AT109" i="72" s="1"/>
  <c r="AT111" i="72" s="1"/>
  <c r="E52" i="75"/>
  <c r="E54" i="75" s="1"/>
  <c r="BG114" i="72"/>
  <c r="BS115" i="72" s="1"/>
  <c r="CE116" i="72" s="1"/>
  <c r="CQ117" i="72" s="1"/>
  <c r="DC118" i="72" s="1"/>
  <c r="DO119" i="72" s="1"/>
  <c r="P72" i="74"/>
  <c r="F58" i="75"/>
  <c r="E70" i="75"/>
  <c r="DH41" i="72"/>
  <c r="AZ36" i="72"/>
  <c r="AN35" i="72"/>
  <c r="BX38" i="72"/>
  <c r="CJ39" i="72"/>
  <c r="CV40" i="72"/>
  <c r="BL37" i="72"/>
  <c r="DT42" i="72"/>
  <c r="AB44" i="72"/>
  <c r="T28" i="44"/>
  <c r="AM37" i="60" l="1"/>
  <c r="AM38" i="60"/>
  <c r="AF22" i="60"/>
  <c r="AF23" i="60"/>
  <c r="AH47" i="72"/>
  <c r="BQ50" i="72"/>
  <c r="DL54" i="72"/>
  <c r="BF112" i="72"/>
  <c r="BR113" i="72" s="1"/>
  <c r="CD114" i="72" s="1"/>
  <c r="CP115" i="72" s="1"/>
  <c r="DB116" i="72" s="1"/>
  <c r="DN117" i="72" s="1"/>
  <c r="AT121" i="72"/>
  <c r="AG31" i="60" s="1"/>
  <c r="DN102" i="72"/>
  <c r="DN105" i="72" s="1"/>
  <c r="DB105" i="72"/>
  <c r="CQ100" i="72"/>
  <c r="CE105" i="72"/>
  <c r="CO141" i="72"/>
  <c r="CC146" i="72"/>
  <c r="BF138" i="72"/>
  <c r="AT146" i="72"/>
  <c r="BF20" i="72"/>
  <c r="AT28" i="72"/>
  <c r="AT6" i="44" s="1"/>
  <c r="CO23" i="72"/>
  <c r="CC28" i="72"/>
  <c r="CC6" i="44" s="1"/>
  <c r="Q59" i="74"/>
  <c r="Q69" i="74" s="1"/>
  <c r="AI18" i="72" s="1"/>
  <c r="AI136" i="72" s="1"/>
  <c r="Q54" i="74"/>
  <c r="Q56" i="74" s="1"/>
  <c r="E66" i="75"/>
  <c r="AH32" i="72" s="1"/>
  <c r="F49" i="75"/>
  <c r="F55" i="75"/>
  <c r="F59" i="75"/>
  <c r="F60" i="75" s="1"/>
  <c r="R68" i="74"/>
  <c r="D58" i="76"/>
  <c r="R62" i="74"/>
  <c r="R63" i="74" s="1"/>
  <c r="P73" i="74"/>
  <c r="P74" i="74" s="1"/>
  <c r="T29" i="44"/>
  <c r="T30" i="44" s="1"/>
  <c r="U27" i="44" s="1"/>
  <c r="S9" i="29"/>
  <c r="CC51" i="72" l="1"/>
  <c r="AT48" i="72"/>
  <c r="AH58" i="72"/>
  <c r="AH8" i="44" s="1"/>
  <c r="R51" i="74"/>
  <c r="R52" i="74" s="1"/>
  <c r="AS36" i="60"/>
  <c r="AS42" i="60"/>
  <c r="DC101" i="72"/>
  <c r="CQ105" i="72"/>
  <c r="BR139" i="72"/>
  <c r="BF146" i="72"/>
  <c r="AU137" i="72"/>
  <c r="AI146" i="72"/>
  <c r="AH34" i="72"/>
  <c r="CD38" i="72" s="1"/>
  <c r="AH150" i="72"/>
  <c r="AH153" i="72" s="1"/>
  <c r="DA142" i="72"/>
  <c r="CO146" i="72"/>
  <c r="AU19" i="72"/>
  <c r="AI28" i="72"/>
  <c r="AI6" i="44" s="1"/>
  <c r="D59" i="76"/>
  <c r="D60" i="76" s="1"/>
  <c r="D68" i="76" s="1"/>
  <c r="R5" i="76"/>
  <c r="E33" i="76" s="1"/>
  <c r="DA24" i="72"/>
  <c r="CO28" i="72"/>
  <c r="CO6" i="44" s="1"/>
  <c r="CP39" i="72"/>
  <c r="BR21" i="72"/>
  <c r="BF28" i="72"/>
  <c r="BF6" i="44" s="1"/>
  <c r="F63" i="75"/>
  <c r="R64" i="74"/>
  <c r="R71" i="74"/>
  <c r="R55" i="74"/>
  <c r="AC34" i="72"/>
  <c r="E69" i="75"/>
  <c r="AH63" i="72" s="1"/>
  <c r="AH65" i="72" s="1"/>
  <c r="R66" i="74"/>
  <c r="F53" i="75"/>
  <c r="F51" i="75" s="1"/>
  <c r="F56" i="75" s="1"/>
  <c r="F68" i="75"/>
  <c r="Q72" i="74"/>
  <c r="F61" i="75"/>
  <c r="F62" i="75" s="1"/>
  <c r="G58" i="75" s="1"/>
  <c r="F65" i="75"/>
  <c r="AN81" i="72"/>
  <c r="T9" i="16"/>
  <c r="AG38" i="60" l="1"/>
  <c r="AG37" i="60"/>
  <c r="R65" i="74"/>
  <c r="R53" i="74"/>
  <c r="R67" i="74" s="1"/>
  <c r="AJ95" i="72" s="1"/>
  <c r="AV96" i="72" s="1"/>
  <c r="BH97" i="72" s="1"/>
  <c r="BT98" i="72" s="1"/>
  <c r="CF99" i="72" s="1"/>
  <c r="BF36" i="72"/>
  <c r="DB40" i="72"/>
  <c r="BR37" i="72"/>
  <c r="CO52" i="72"/>
  <c r="BF49" i="72"/>
  <c r="AI47" i="72"/>
  <c r="D53" i="76"/>
  <c r="DO102" i="72"/>
  <c r="DO105" i="72" s="1"/>
  <c r="DC105" i="72"/>
  <c r="DM143" i="72"/>
  <c r="DM146" i="72" s="1"/>
  <c r="DA146" i="72"/>
  <c r="BG138" i="72"/>
  <c r="AU146" i="72"/>
  <c r="AT154" i="72"/>
  <c r="BF155" i="72" s="1"/>
  <c r="BR156" i="72" s="1"/>
  <c r="CD157" i="72" s="1"/>
  <c r="CP158" i="72" s="1"/>
  <c r="DB159" i="72" s="1"/>
  <c r="DN160" i="72" s="1"/>
  <c r="AH163" i="72"/>
  <c r="CD140" i="72"/>
  <c r="BR146" i="72"/>
  <c r="D61" i="76"/>
  <c r="DM25" i="72"/>
  <c r="DM28" i="72" s="1"/>
  <c r="DM6" i="44" s="1"/>
  <c r="DA28" i="72"/>
  <c r="DA6" i="44" s="1"/>
  <c r="AH75" i="72"/>
  <c r="AH9" i="44" s="1"/>
  <c r="BF67" i="72"/>
  <c r="BR68" i="72"/>
  <c r="CD69" i="72"/>
  <c r="DN72" i="72"/>
  <c r="AT66" i="72"/>
  <c r="CP70" i="72"/>
  <c r="DB71" i="72"/>
  <c r="BR28" i="72"/>
  <c r="BR6" i="44" s="1"/>
  <c r="CD22" i="72"/>
  <c r="E35" i="76"/>
  <c r="E34" i="76"/>
  <c r="BG20" i="72"/>
  <c r="AU28" i="72"/>
  <c r="AU6" i="44" s="1"/>
  <c r="U79" i="72"/>
  <c r="U81" i="72" s="1"/>
  <c r="AS83" i="72" s="1"/>
  <c r="G49" i="75"/>
  <c r="F66" i="75"/>
  <c r="AI32" i="72" s="1"/>
  <c r="G59" i="75"/>
  <c r="G60" i="75" s="1"/>
  <c r="G55" i="75"/>
  <c r="AC44" i="72"/>
  <c r="BA36" i="72"/>
  <c r="CK39" i="72"/>
  <c r="BY38" i="72"/>
  <c r="BM37" i="72"/>
  <c r="AO35" i="72"/>
  <c r="CW40" i="72"/>
  <c r="DI41" i="72"/>
  <c r="Q73" i="74"/>
  <c r="Q74" i="74" s="1"/>
  <c r="F70" i="75"/>
  <c r="F52" i="75"/>
  <c r="F54" i="75" s="1"/>
  <c r="F64" i="75"/>
  <c r="AU109" i="72" s="1"/>
  <c r="AU111" i="72" s="1"/>
  <c r="R58" i="74"/>
  <c r="BA52" i="72"/>
  <c r="BA58" i="72" s="1"/>
  <c r="BA8" i="44" s="1"/>
  <c r="AO51" i="72"/>
  <c r="AO58" i="72" s="1"/>
  <c r="AO8" i="44" s="1"/>
  <c r="BM53" i="72"/>
  <c r="AZ82" i="72"/>
  <c r="CV86" i="72"/>
  <c r="BX84" i="72"/>
  <c r="DH87" i="72"/>
  <c r="BL83" i="72"/>
  <c r="DT88" i="72"/>
  <c r="CJ85" i="72"/>
  <c r="R54" i="74" l="1"/>
  <c r="R56" i="74" s="1"/>
  <c r="AZ38" i="60"/>
  <c r="AZ37" i="60"/>
  <c r="AN38" i="60"/>
  <c r="AN37" i="60"/>
  <c r="AG22" i="60"/>
  <c r="AG23" i="60"/>
  <c r="BY54" i="72"/>
  <c r="BM58" i="72"/>
  <c r="BM8" i="44" s="1"/>
  <c r="D49" i="76"/>
  <c r="D62" i="76" s="1"/>
  <c r="E58" i="76" s="1"/>
  <c r="R9" i="74"/>
  <c r="AI58" i="72"/>
  <c r="AI8" i="44" s="1"/>
  <c r="AU48" i="72"/>
  <c r="BR50" i="72"/>
  <c r="DA53" i="72"/>
  <c r="BE84" i="72"/>
  <c r="CR100" i="72"/>
  <c r="CF105" i="72"/>
  <c r="BG112" i="72"/>
  <c r="BS113" i="72" s="1"/>
  <c r="CE114" i="72" s="1"/>
  <c r="CQ115" i="72" s="1"/>
  <c r="DC116" i="72" s="1"/>
  <c r="DO117" i="72" s="1"/>
  <c r="AU121" i="72"/>
  <c r="AH31" i="60" s="1"/>
  <c r="U92" i="72"/>
  <c r="U10" i="44" s="1"/>
  <c r="CP141" i="72"/>
  <c r="CD146" i="72"/>
  <c r="BS139" i="72"/>
  <c r="BG146" i="72"/>
  <c r="AI34" i="72"/>
  <c r="AI152" i="72" s="1"/>
  <c r="AI150" i="72"/>
  <c r="BQ85" i="72"/>
  <c r="AG82" i="72"/>
  <c r="DM89" i="72"/>
  <c r="CO87" i="72"/>
  <c r="CC86" i="72"/>
  <c r="DA88" i="72"/>
  <c r="CQ39" i="72"/>
  <c r="BG28" i="72"/>
  <c r="BG6" i="44" s="1"/>
  <c r="BS21" i="72"/>
  <c r="CD28" i="72"/>
  <c r="CD6" i="44" s="1"/>
  <c r="CP23" i="72"/>
  <c r="R59" i="74"/>
  <c r="R69" i="74" s="1"/>
  <c r="AJ18" i="72" s="1"/>
  <c r="G53" i="75"/>
  <c r="G51" i="75" s="1"/>
  <c r="G68" i="75"/>
  <c r="D63" i="76"/>
  <c r="D70" i="76" s="1"/>
  <c r="F69" i="75"/>
  <c r="G65" i="75"/>
  <c r="G61" i="75"/>
  <c r="G62" i="75" s="1"/>
  <c r="H58" i="75" s="1"/>
  <c r="G63" i="75"/>
  <c r="BS37" i="72" l="1"/>
  <c r="BL37" i="60"/>
  <c r="BL38" i="60"/>
  <c r="AH37" i="60"/>
  <c r="AH38" i="60"/>
  <c r="D51" i="76"/>
  <c r="CK55" i="72"/>
  <c r="BY58" i="72"/>
  <c r="BY8" i="44" s="1"/>
  <c r="DC40" i="72"/>
  <c r="AI153" i="72"/>
  <c r="AI163" i="72" s="1"/>
  <c r="CE38" i="72"/>
  <c r="DM54" i="72"/>
  <c r="BG49" i="72"/>
  <c r="CD51" i="72"/>
  <c r="U13" i="44"/>
  <c r="U17" i="44" s="1"/>
  <c r="U12" i="44"/>
  <c r="U11" i="44"/>
  <c r="U14" i="44" s="1"/>
  <c r="BG36" i="72"/>
  <c r="AT42" i="60"/>
  <c r="AT36" i="60"/>
  <c r="DD101" i="72"/>
  <c r="CR105" i="72"/>
  <c r="CE140" i="72"/>
  <c r="BS146" i="72"/>
  <c r="DB142" i="72"/>
  <c r="CP146" i="72"/>
  <c r="AV19" i="72"/>
  <c r="AJ28" i="72"/>
  <c r="AJ6" i="44" s="1"/>
  <c r="BN53" i="72"/>
  <c r="AI63" i="72"/>
  <c r="AI65" i="72" s="1"/>
  <c r="DB24" i="72"/>
  <c r="CP28" i="72"/>
  <c r="CP6" i="44" s="1"/>
  <c r="BS28" i="72"/>
  <c r="BS6" i="44" s="1"/>
  <c r="CE22" i="72"/>
  <c r="V79" i="72"/>
  <c r="V81" i="72" s="1"/>
  <c r="CP87" i="72" s="1"/>
  <c r="AP51" i="72"/>
  <c r="AP58" i="72" s="1"/>
  <c r="AP8" i="44" s="1"/>
  <c r="BB52" i="72"/>
  <c r="BB58" i="72" s="1"/>
  <c r="BB8" i="44" s="1"/>
  <c r="G56" i="75"/>
  <c r="G52" i="75"/>
  <c r="G54" i="75" s="1"/>
  <c r="G64" i="75"/>
  <c r="AV109" i="72" s="1"/>
  <c r="D56" i="76"/>
  <c r="D64" i="76"/>
  <c r="AV110" i="72" s="1"/>
  <c r="D52" i="76"/>
  <c r="T9" i="29"/>
  <c r="E59" i="76"/>
  <c r="E60" i="76" s="1"/>
  <c r="E55" i="76"/>
  <c r="G70" i="75"/>
  <c r="H55" i="75"/>
  <c r="H59" i="75"/>
  <c r="H60" i="75" s="1"/>
  <c r="BZ38" i="72"/>
  <c r="AD44" i="72"/>
  <c r="AD7" i="44" s="1"/>
  <c r="AP35" i="72"/>
  <c r="CL39" i="72"/>
  <c r="BB36" i="72"/>
  <c r="CX40" i="72"/>
  <c r="DJ41" i="72"/>
  <c r="BN37" i="72"/>
  <c r="R73" i="74"/>
  <c r="R74" i="74" s="1"/>
  <c r="DB88" i="72" l="1"/>
  <c r="BA37" i="60"/>
  <c r="BA38" i="60"/>
  <c r="AO38" i="60"/>
  <c r="AO37" i="60"/>
  <c r="U15" i="44"/>
  <c r="U16" i="44"/>
  <c r="BX38" i="60"/>
  <c r="BX37" i="60"/>
  <c r="V92" i="72"/>
  <c r="V10" i="44" s="1"/>
  <c r="V11" i="44" s="1"/>
  <c r="V14" i="44" s="1"/>
  <c r="AU154" i="72"/>
  <c r="BG155" i="72" s="1"/>
  <c r="BS156" i="72" s="1"/>
  <c r="CE157" i="72" s="1"/>
  <c r="CQ158" i="72" s="1"/>
  <c r="DC159" i="72" s="1"/>
  <c r="DO160" i="72" s="1"/>
  <c r="BF84" i="72"/>
  <c r="BZ54" i="72"/>
  <c r="BN58" i="72"/>
  <c r="BN8" i="44" s="1"/>
  <c r="CW56" i="72"/>
  <c r="CK58" i="72"/>
  <c r="CK8" i="44" s="1"/>
  <c r="AT83" i="72"/>
  <c r="CD86" i="72"/>
  <c r="BR85" i="72"/>
  <c r="AH82" i="72"/>
  <c r="AH92" i="72" s="1"/>
  <c r="AH10" i="44" s="1"/>
  <c r="AH13" i="44" s="1"/>
  <c r="AH17" i="44" s="1"/>
  <c r="DN89" i="72"/>
  <c r="CP52" i="72"/>
  <c r="U28" i="44"/>
  <c r="BS50" i="72"/>
  <c r="AV111" i="72"/>
  <c r="DP102" i="72"/>
  <c r="DP105" i="72" s="1"/>
  <c r="DD105" i="72"/>
  <c r="DN143" i="72"/>
  <c r="DN146" i="72" s="1"/>
  <c r="DB146" i="72"/>
  <c r="CQ141" i="72"/>
  <c r="CE146" i="72"/>
  <c r="CE28" i="72"/>
  <c r="CE6" i="44" s="1"/>
  <c r="CQ23" i="72"/>
  <c r="AU66" i="72"/>
  <c r="DC71" i="72"/>
  <c r="CQ70" i="72"/>
  <c r="CE69" i="72"/>
  <c r="BG67" i="72"/>
  <c r="DO72" i="72"/>
  <c r="BS68" i="72"/>
  <c r="AI75" i="72"/>
  <c r="AI9" i="44" s="1"/>
  <c r="DB28" i="72"/>
  <c r="DB6" i="44" s="1"/>
  <c r="DN25" i="72"/>
  <c r="DN28" i="72" s="1"/>
  <c r="DN6" i="44" s="1"/>
  <c r="BH20" i="72"/>
  <c r="AV28" i="72"/>
  <c r="AV6" i="44" s="1"/>
  <c r="H53" i="75"/>
  <c r="H68" i="75"/>
  <c r="Z121" i="72"/>
  <c r="H65" i="75"/>
  <c r="H61" i="75"/>
  <c r="Y42" i="60"/>
  <c r="Y36" i="60"/>
  <c r="E61" i="76"/>
  <c r="E65" i="76"/>
  <c r="D66" i="76"/>
  <c r="AJ33" i="72" s="1"/>
  <c r="AJ151" i="72" s="1"/>
  <c r="E49" i="76"/>
  <c r="E68" i="76"/>
  <c r="E53" i="76"/>
  <c r="G66" i="75"/>
  <c r="AJ32" i="72" s="1"/>
  <c r="H49" i="75"/>
  <c r="V12" i="44" l="1"/>
  <c r="V16" i="44" s="1"/>
  <c r="V13" i="44"/>
  <c r="V17" i="44" s="1"/>
  <c r="AH22" i="60"/>
  <c r="AH23" i="60"/>
  <c r="CJ38" i="60"/>
  <c r="CJ37" i="60"/>
  <c r="BM38" i="60"/>
  <c r="BM37" i="60"/>
  <c r="V28" i="44"/>
  <c r="U29" i="44"/>
  <c r="U9" i="16" s="1"/>
  <c r="DI57" i="72"/>
  <c r="DI58" i="72" s="1"/>
  <c r="DI8" i="44" s="1"/>
  <c r="CW58" i="72"/>
  <c r="CW8" i="44" s="1"/>
  <c r="CL55" i="72"/>
  <c r="BZ58" i="72"/>
  <c r="BZ8" i="44" s="1"/>
  <c r="AH12" i="44"/>
  <c r="AH11" i="44"/>
  <c r="AH14" i="44" s="1"/>
  <c r="CE51" i="72"/>
  <c r="DB53" i="72"/>
  <c r="BH112" i="72"/>
  <c r="BT113" i="72" s="1"/>
  <c r="CF114" i="72" s="1"/>
  <c r="CR115" i="72" s="1"/>
  <c r="DD116" i="72" s="1"/>
  <c r="DP117" i="72" s="1"/>
  <c r="AV121" i="72"/>
  <c r="AI31" i="60" s="1"/>
  <c r="AJ34" i="72"/>
  <c r="CR39" i="72" s="1"/>
  <c r="AJ150" i="72"/>
  <c r="AJ153" i="72" s="1"/>
  <c r="DC142" i="72"/>
  <c r="CQ146" i="72"/>
  <c r="BT21" i="72"/>
  <c r="BH28" i="72"/>
  <c r="BH6" i="44" s="1"/>
  <c r="CQ28" i="72"/>
  <c r="CQ6" i="44" s="1"/>
  <c r="DC24" i="72"/>
  <c r="W80" i="72"/>
  <c r="W79" i="72"/>
  <c r="E51" i="76"/>
  <c r="E64" i="76" s="1"/>
  <c r="E62" i="76"/>
  <c r="F58" i="76" s="1"/>
  <c r="F59" i="76" s="1"/>
  <c r="F60" i="76" s="1"/>
  <c r="H63" i="75"/>
  <c r="E63" i="76"/>
  <c r="E70" i="76" s="1"/>
  <c r="G69" i="75"/>
  <c r="AJ63" i="72" s="1"/>
  <c r="D69" i="76"/>
  <c r="AJ64" i="72" s="1"/>
  <c r="U9" i="29"/>
  <c r="D54" i="76"/>
  <c r="H62" i="75"/>
  <c r="I58" i="75" s="1"/>
  <c r="AL121" i="72"/>
  <c r="H51" i="75"/>
  <c r="H56" i="75" s="1"/>
  <c r="V15" i="44" l="1"/>
  <c r="E56" i="76"/>
  <c r="F49" i="76" s="1"/>
  <c r="F63" i="76" s="1"/>
  <c r="U30" i="44"/>
  <c r="V27" i="44" s="1"/>
  <c r="V29" i="44" s="1"/>
  <c r="V9" i="16" s="1"/>
  <c r="BY37" i="60"/>
  <c r="BY38" i="60"/>
  <c r="CV38" i="60"/>
  <c r="CV37" i="60"/>
  <c r="AH15" i="44"/>
  <c r="AH16" i="44"/>
  <c r="DH38" i="60"/>
  <c r="DH37" i="60"/>
  <c r="AH28" i="44"/>
  <c r="CX56" i="72"/>
  <c r="CL58" i="72"/>
  <c r="CL8" i="44" s="1"/>
  <c r="DN54" i="72"/>
  <c r="CQ52" i="72"/>
  <c r="DD40" i="72"/>
  <c r="BT37" i="72"/>
  <c r="CF38" i="72"/>
  <c r="AU36" i="60"/>
  <c r="AU42" i="60"/>
  <c r="AW110" i="72"/>
  <c r="BH36" i="72"/>
  <c r="DO143" i="72"/>
  <c r="DO146" i="72" s="1"/>
  <c r="DC146" i="72"/>
  <c r="AV154" i="72"/>
  <c r="BH155" i="72" s="1"/>
  <c r="BT156" i="72" s="1"/>
  <c r="CF157" i="72" s="1"/>
  <c r="CR158" i="72" s="1"/>
  <c r="DD159" i="72" s="1"/>
  <c r="DP160" i="72" s="1"/>
  <c r="AJ163" i="72"/>
  <c r="AJ65" i="72"/>
  <c r="DC28" i="72"/>
  <c r="DC6" i="44" s="1"/>
  <c r="DO25" i="72"/>
  <c r="DO28" i="72" s="1"/>
  <c r="DO6" i="44" s="1"/>
  <c r="CF22" i="72"/>
  <c r="BT28" i="72"/>
  <c r="BT6" i="44" s="1"/>
  <c r="W81" i="72"/>
  <c r="AU83" i="72" s="1"/>
  <c r="E52" i="76"/>
  <c r="E54" i="76" s="1"/>
  <c r="F55" i="76"/>
  <c r="I49" i="75"/>
  <c r="H66" i="75"/>
  <c r="AK32" i="72" s="1"/>
  <c r="F68" i="76"/>
  <c r="F53" i="76"/>
  <c r="AK42" i="60"/>
  <c r="AK36" i="60"/>
  <c r="BJ114" i="72"/>
  <c r="BV115" i="72" s="1"/>
  <c r="CH116" i="72" s="1"/>
  <c r="CT117" i="72" s="1"/>
  <c r="DF118" i="72" s="1"/>
  <c r="DR119" i="72" s="1"/>
  <c r="I59" i="75"/>
  <c r="I60" i="75" s="1"/>
  <c r="I55" i="75"/>
  <c r="H70" i="75"/>
  <c r="H64" i="75"/>
  <c r="AW109" i="72" s="1"/>
  <c r="H52" i="75"/>
  <c r="H54" i="75" s="1"/>
  <c r="E66" i="76" l="1"/>
  <c r="AK33" i="72" s="1"/>
  <c r="AK151" i="72" s="1"/>
  <c r="V30" i="44"/>
  <c r="W27" i="44" s="1"/>
  <c r="CK38" i="60"/>
  <c r="CK37" i="60"/>
  <c r="DC88" i="72"/>
  <c r="BS85" i="72"/>
  <c r="CE86" i="72"/>
  <c r="F61" i="76"/>
  <c r="F62" i="76" s="1"/>
  <c r="G58" i="76" s="1"/>
  <c r="G59" i="76" s="1"/>
  <c r="G60" i="76" s="1"/>
  <c r="W92" i="72"/>
  <c r="W10" i="44" s="1"/>
  <c r="W11" i="44" s="1"/>
  <c r="W14" i="44" s="1"/>
  <c r="BG84" i="72"/>
  <c r="AI82" i="72"/>
  <c r="AI92" i="72" s="1"/>
  <c r="AI10" i="44" s="1"/>
  <c r="AI13" i="44" s="1"/>
  <c r="AI17" i="44" s="1"/>
  <c r="DJ57" i="72"/>
  <c r="DJ58" i="72" s="1"/>
  <c r="DJ8" i="44" s="1"/>
  <c r="CX58" i="72"/>
  <c r="CX8" i="44" s="1"/>
  <c r="CQ87" i="72"/>
  <c r="F51" i="76"/>
  <c r="F52" i="76" s="1"/>
  <c r="F54" i="76" s="1"/>
  <c r="B17" i="81"/>
  <c r="K9" i="81" s="1"/>
  <c r="L9" i="81" s="1"/>
  <c r="O9" i="81" s="1"/>
  <c r="Q9" i="81" s="1"/>
  <c r="DO89" i="72"/>
  <c r="AW111" i="72"/>
  <c r="AW121" i="72" s="1"/>
  <c r="AJ31" i="60" s="1"/>
  <c r="F70" i="76"/>
  <c r="DC53" i="72"/>
  <c r="AK34" i="72"/>
  <c r="CG38" i="72" s="1"/>
  <c r="AK150" i="72"/>
  <c r="CR23" i="72"/>
  <c r="CF28" i="72"/>
  <c r="CF6" i="44" s="1"/>
  <c r="BI36" i="72"/>
  <c r="DP72" i="72"/>
  <c r="CR70" i="72"/>
  <c r="BH67" i="72"/>
  <c r="DD71" i="72"/>
  <c r="AJ75" i="72"/>
  <c r="AJ9" i="44" s="1"/>
  <c r="AV66" i="72"/>
  <c r="BT68" i="72"/>
  <c r="CF69" i="72"/>
  <c r="F65" i="76"/>
  <c r="BO53" i="72"/>
  <c r="BC52" i="72"/>
  <c r="BC58" i="72" s="1"/>
  <c r="BC8" i="44" s="1"/>
  <c r="AQ51" i="72"/>
  <c r="AQ58" i="72" s="1"/>
  <c r="AQ8" i="44" s="1"/>
  <c r="E69" i="76"/>
  <c r="AK64" i="72" s="1"/>
  <c r="I61" i="75"/>
  <c r="I62" i="75" s="1"/>
  <c r="J58" i="75" s="1"/>
  <c r="I65" i="75"/>
  <c r="X79" i="72" s="1"/>
  <c r="H69" i="75"/>
  <c r="AK63" i="72" s="1"/>
  <c r="I68" i="75"/>
  <c r="I53" i="75"/>
  <c r="I51" i="75" s="1"/>
  <c r="AE44" i="72"/>
  <c r="AE7" i="44" s="1"/>
  <c r="DK41" i="72"/>
  <c r="AQ35" i="72"/>
  <c r="I63" i="75"/>
  <c r="F56" i="76" l="1"/>
  <c r="AK153" i="72"/>
  <c r="BB38" i="60"/>
  <c r="BB37" i="60"/>
  <c r="AI23" i="60"/>
  <c r="AI22" i="60"/>
  <c r="AP37" i="60"/>
  <c r="AP38" i="60"/>
  <c r="CW38" i="60"/>
  <c r="CW37" i="60"/>
  <c r="DI37" i="60"/>
  <c r="DI38" i="60"/>
  <c r="AI11" i="44"/>
  <c r="AI14" i="44" s="1"/>
  <c r="F64" i="76"/>
  <c r="AX110" i="72" s="1"/>
  <c r="W13" i="44"/>
  <c r="W17" i="44" s="1"/>
  <c r="W12" i="44"/>
  <c r="BI112" i="72"/>
  <c r="BU113" i="72" s="1"/>
  <c r="CG114" i="72" s="1"/>
  <c r="CS115" i="72" s="1"/>
  <c r="DE116" i="72" s="1"/>
  <c r="DQ117" i="72" s="1"/>
  <c r="AI12" i="44"/>
  <c r="G55" i="76"/>
  <c r="G65" i="76" s="1"/>
  <c r="Y80" i="72" s="1"/>
  <c r="CA54" i="72"/>
  <c r="BO58" i="72"/>
  <c r="BO8" i="44" s="1"/>
  <c r="W28" i="44"/>
  <c r="W29" i="44" s="1"/>
  <c r="W30" i="44" s="1"/>
  <c r="X27" i="44" s="1"/>
  <c r="B18" i="81"/>
  <c r="D30" i="91"/>
  <c r="D37" i="91" s="1"/>
  <c r="F37" i="91" s="1"/>
  <c r="D17" i="81"/>
  <c r="M9" i="81"/>
  <c r="P9" i="81" s="1"/>
  <c r="R9" i="81" s="1"/>
  <c r="DO54" i="72"/>
  <c r="BU37" i="72"/>
  <c r="AV42" i="60"/>
  <c r="AV36" i="60"/>
  <c r="CS39" i="72"/>
  <c r="DE40" i="72"/>
  <c r="AK163" i="72"/>
  <c r="AW154" i="72"/>
  <c r="BI155" i="72" s="1"/>
  <c r="BU156" i="72" s="1"/>
  <c r="CG157" i="72" s="1"/>
  <c r="CS158" i="72" s="1"/>
  <c r="DE159" i="72" s="1"/>
  <c r="DQ160" i="72" s="1"/>
  <c r="AK65" i="72"/>
  <c r="DQ72" i="72" s="1"/>
  <c r="DD24" i="72"/>
  <c r="CR28" i="72"/>
  <c r="CR6" i="44" s="1"/>
  <c r="X80" i="72"/>
  <c r="X81" i="72" s="1"/>
  <c r="DL41" i="72"/>
  <c r="BP53" i="72"/>
  <c r="I56" i="75"/>
  <c r="I52" i="75"/>
  <c r="I54" i="75" s="1"/>
  <c r="I64" i="75"/>
  <c r="AX109" i="72" s="1"/>
  <c r="I70" i="75"/>
  <c r="G53" i="76"/>
  <c r="G68" i="76"/>
  <c r="J55" i="75"/>
  <c r="J59" i="75"/>
  <c r="J60" i="75" s="1"/>
  <c r="V9" i="29"/>
  <c r="F66" i="76"/>
  <c r="G49" i="76"/>
  <c r="D35" i="91" l="1"/>
  <c r="F35" i="91" s="1"/>
  <c r="E17" i="81"/>
  <c r="G17" i="81"/>
  <c r="G18" i="81" s="1"/>
  <c r="G61" i="76"/>
  <c r="G62" i="76" s="1"/>
  <c r="H58" i="76" s="1"/>
  <c r="AX111" i="72"/>
  <c r="BJ112" i="72" s="1"/>
  <c r="BV113" i="72" s="1"/>
  <c r="CH114" i="72" s="1"/>
  <c r="CT115" i="72" s="1"/>
  <c r="DF116" i="72" s="1"/>
  <c r="DR117" i="72" s="1"/>
  <c r="AI15" i="44"/>
  <c r="AI16" i="44"/>
  <c r="BN38" i="60"/>
  <c r="BN37" i="60"/>
  <c r="AI28" i="44"/>
  <c r="W15" i="44"/>
  <c r="W16" i="44"/>
  <c r="W9" i="16"/>
  <c r="AL33" i="72"/>
  <c r="AL151" i="72" s="1"/>
  <c r="F69" i="76"/>
  <c r="AL64" i="72" s="1"/>
  <c r="D18" i="81"/>
  <c r="CB54" i="72"/>
  <c r="BP58" i="72"/>
  <c r="BP8" i="44" s="1"/>
  <c r="CM55" i="72"/>
  <c r="CA58" i="72"/>
  <c r="CA8" i="44" s="1"/>
  <c r="D31" i="91"/>
  <c r="F31" i="91" s="1"/>
  <c r="F30" i="91"/>
  <c r="D34" i="91"/>
  <c r="F34" i="91" s="1"/>
  <c r="D33" i="91"/>
  <c r="F33" i="91" s="1"/>
  <c r="D32" i="47"/>
  <c r="BE32" i="47" s="1"/>
  <c r="D32" i="91"/>
  <c r="F32" i="91" s="1"/>
  <c r="H17" i="81"/>
  <c r="H18" i="81" s="1"/>
  <c r="D53" i="91" s="1"/>
  <c r="F53" i="91" s="1"/>
  <c r="E18" i="81"/>
  <c r="CG69" i="72"/>
  <c r="AW42" i="60"/>
  <c r="AW36" i="60"/>
  <c r="BU68" i="72"/>
  <c r="AW66" i="72"/>
  <c r="AK75" i="72"/>
  <c r="AK9" i="44" s="1"/>
  <c r="CS70" i="72"/>
  <c r="DE71" i="72"/>
  <c r="BI67" i="72"/>
  <c r="DP25" i="72"/>
  <c r="DP28" i="72" s="1"/>
  <c r="DP6" i="44" s="1"/>
  <c r="DD28" i="72"/>
  <c r="DD6" i="44" s="1"/>
  <c r="BH84" i="72"/>
  <c r="CR87" i="72"/>
  <c r="DD88" i="72"/>
  <c r="BT85" i="72"/>
  <c r="DP89" i="72"/>
  <c r="CF86" i="72"/>
  <c r="AV83" i="72"/>
  <c r="X92" i="72"/>
  <c r="X10" i="44" s="1"/>
  <c r="AJ82" i="72"/>
  <c r="AJ92" i="72" s="1"/>
  <c r="AJ10" i="44" s="1"/>
  <c r="AF44" i="72"/>
  <c r="AF7" i="44" s="1"/>
  <c r="AR35" i="72"/>
  <c r="BD52" i="72"/>
  <c r="BD58" i="72" s="1"/>
  <c r="BD8" i="44" s="1"/>
  <c r="AR51" i="72"/>
  <c r="AR58" i="72" s="1"/>
  <c r="AR8" i="44" s="1"/>
  <c r="G63" i="76"/>
  <c r="G70" i="76" s="1"/>
  <c r="G51" i="76"/>
  <c r="J53" i="75"/>
  <c r="J68" i="75"/>
  <c r="J61" i="75"/>
  <c r="J65" i="75"/>
  <c r="Y79" i="72" s="1"/>
  <c r="Y81" i="72" s="1"/>
  <c r="I66" i="75"/>
  <c r="AL32" i="72" s="1"/>
  <c r="J49" i="75"/>
  <c r="AX121" i="72" l="1"/>
  <c r="AK31" i="60" s="1"/>
  <c r="AQ37" i="60"/>
  <c r="AQ38" i="60"/>
  <c r="BO37" i="60"/>
  <c r="BO38" i="60"/>
  <c r="BC37" i="60"/>
  <c r="BC38" i="60"/>
  <c r="AJ23" i="60"/>
  <c r="AJ22" i="60"/>
  <c r="BZ37" i="60"/>
  <c r="BZ38" i="60"/>
  <c r="DJ32" i="47"/>
  <c r="DA32" i="47"/>
  <c r="DO32" i="47"/>
  <c r="CY32" i="47"/>
  <c r="DN32" i="47"/>
  <c r="CP32" i="47"/>
  <c r="CX32" i="47"/>
  <c r="CU32" i="47"/>
  <c r="CK32" i="47"/>
  <c r="CA32" i="47"/>
  <c r="BP32" i="47"/>
  <c r="DS32" i="47"/>
  <c r="DT32" i="47"/>
  <c r="DK32" i="47"/>
  <c r="DC32" i="47"/>
  <c r="DI32" i="47"/>
  <c r="DF32" i="47"/>
  <c r="CT32" i="47"/>
  <c r="CO32" i="47"/>
  <c r="CW32" i="47"/>
  <c r="CG32" i="47"/>
  <c r="CI32" i="47"/>
  <c r="BW32" i="47"/>
  <c r="DQ32" i="47"/>
  <c r="DM32" i="47"/>
  <c r="DL32" i="47"/>
  <c r="DB32" i="47"/>
  <c r="CZ32" i="47"/>
  <c r="DG32" i="47"/>
  <c r="CR32" i="47"/>
  <c r="CQ32" i="47"/>
  <c r="CS32" i="47"/>
  <c r="CC32" i="47"/>
  <c r="CD32" i="47"/>
  <c r="BI32" i="47"/>
  <c r="DU32" i="47"/>
  <c r="DP32" i="47"/>
  <c r="DR32" i="47"/>
  <c r="DD32" i="47"/>
  <c r="DE32" i="47"/>
  <c r="DH32" i="47"/>
  <c r="CM32" i="47"/>
  <c r="CL32" i="47"/>
  <c r="CV32" i="47"/>
  <c r="CJ32" i="47"/>
  <c r="BN32" i="47"/>
  <c r="BF32" i="47"/>
  <c r="CH32" i="47"/>
  <c r="CF32" i="47"/>
  <c r="BQ32" i="47"/>
  <c r="BX32" i="47"/>
  <c r="BR32" i="47"/>
  <c r="BD32" i="47"/>
  <c r="BK32" i="47"/>
  <c r="CN32" i="47"/>
  <c r="CE32" i="47"/>
  <c r="CB32" i="47"/>
  <c r="BZ32" i="47"/>
  <c r="BY32" i="47"/>
  <c r="BT32" i="47"/>
  <c r="BV32" i="47"/>
  <c r="BJ32" i="47"/>
  <c r="BG32" i="47"/>
  <c r="BS32" i="47"/>
  <c r="BU32" i="47"/>
  <c r="BO32" i="47"/>
  <c r="BC32" i="47"/>
  <c r="BB32" i="47"/>
  <c r="AC32" i="47"/>
  <c r="CY56" i="72"/>
  <c r="CM58" i="72"/>
  <c r="CM8" i="44" s="1"/>
  <c r="BH32" i="47"/>
  <c r="AR32" i="47"/>
  <c r="T32" i="47"/>
  <c r="V32" i="47"/>
  <c r="W32" i="47"/>
  <c r="U32" i="47"/>
  <c r="S32" i="47"/>
  <c r="BL32" i="47"/>
  <c r="CN55" i="72"/>
  <c r="CB58" i="72"/>
  <c r="CB8" i="44" s="1"/>
  <c r="AU32" i="47"/>
  <c r="BM32" i="47"/>
  <c r="AA32" i="47"/>
  <c r="AS32" i="47"/>
  <c r="AX32" i="47"/>
  <c r="AQ32" i="47"/>
  <c r="AV32" i="47"/>
  <c r="AT32" i="47"/>
  <c r="AP32" i="47"/>
  <c r="AF32" i="47"/>
  <c r="AB32" i="47"/>
  <c r="AG32" i="47"/>
  <c r="AK32" i="47"/>
  <c r="BA32" i="47"/>
  <c r="AW32" i="47"/>
  <c r="X32" i="47"/>
  <c r="Y32" i="47"/>
  <c r="AE32" i="47"/>
  <c r="Z32" i="47"/>
  <c r="AI32" i="47"/>
  <c r="AH32" i="47"/>
  <c r="AY32" i="47"/>
  <c r="AD32" i="47"/>
  <c r="AM32" i="47"/>
  <c r="AJ32" i="47"/>
  <c r="AN32" i="47"/>
  <c r="AO32" i="47"/>
  <c r="AZ32" i="47"/>
  <c r="AL32" i="47"/>
  <c r="D31" i="47"/>
  <c r="DP31" i="47" s="1"/>
  <c r="X12" i="44"/>
  <c r="X11" i="44"/>
  <c r="X14" i="44" s="1"/>
  <c r="X13" i="44"/>
  <c r="X17" i="44" s="1"/>
  <c r="AJ12" i="44"/>
  <c r="AJ11" i="44"/>
  <c r="AJ14" i="44" s="1"/>
  <c r="AJ13" i="44"/>
  <c r="AJ17" i="44" s="1"/>
  <c r="B38" i="81"/>
  <c r="B82" i="81"/>
  <c r="B70" i="81"/>
  <c r="AL34" i="72"/>
  <c r="CH38" i="72" s="1"/>
  <c r="AL150" i="72"/>
  <c r="AL153" i="72" s="1"/>
  <c r="J63" i="75"/>
  <c r="I69" i="75"/>
  <c r="AL63" i="72" s="1"/>
  <c r="AL65" i="72" s="1"/>
  <c r="J62" i="75"/>
  <c r="K58" i="75" s="1"/>
  <c r="J51" i="75"/>
  <c r="H55" i="76"/>
  <c r="H59" i="76"/>
  <c r="H60" i="76" s="1"/>
  <c r="DE88" i="72"/>
  <c r="DQ89" i="72"/>
  <c r="BU85" i="72"/>
  <c r="CS87" i="72"/>
  <c r="CG86" i="72"/>
  <c r="AK82" i="72"/>
  <c r="AK92" i="72" s="1"/>
  <c r="AK10" i="44" s="1"/>
  <c r="AW83" i="72"/>
  <c r="BI84" i="72"/>
  <c r="Y92" i="72"/>
  <c r="Y10" i="44" s="1"/>
  <c r="G64" i="76"/>
  <c r="AY110" i="72" s="1"/>
  <c r="G52" i="76"/>
  <c r="G56" i="76"/>
  <c r="DN39" i="60" l="1"/>
  <c r="AJ15" i="44"/>
  <c r="AJ16" i="44"/>
  <c r="CA37" i="60"/>
  <c r="CA38" i="60"/>
  <c r="X15" i="44"/>
  <c r="X16" i="44"/>
  <c r="CL37" i="60"/>
  <c r="CL38" i="60"/>
  <c r="AX31" i="47"/>
  <c r="AV39" i="60" s="1"/>
  <c r="U31" i="47"/>
  <c r="S39" i="60" s="1"/>
  <c r="S11" i="1" s="1"/>
  <c r="W31" i="47"/>
  <c r="U39" i="60" s="1"/>
  <c r="S31" i="47"/>
  <c r="T31" i="47"/>
  <c r="V31" i="47"/>
  <c r="T39" i="60" s="1"/>
  <c r="R40" i="60"/>
  <c r="X40" i="60"/>
  <c r="AD40" i="60"/>
  <c r="AJ40" i="60"/>
  <c r="AV40" i="60"/>
  <c r="AP40" i="60"/>
  <c r="BB40" i="60"/>
  <c r="BN40" i="60"/>
  <c r="BH40" i="60"/>
  <c r="BT40" i="60"/>
  <c r="BZ40" i="60"/>
  <c r="CF40" i="60"/>
  <c r="CR40" i="60"/>
  <c r="CL40" i="60"/>
  <c r="CX40" i="60"/>
  <c r="DD40" i="60"/>
  <c r="DJ40" i="60"/>
  <c r="DP40" i="60"/>
  <c r="DO31" i="47"/>
  <c r="DM39" i="60" s="1"/>
  <c r="DK57" i="72"/>
  <c r="DK58" i="72" s="1"/>
  <c r="DK8" i="44" s="1"/>
  <c r="CY58" i="72"/>
  <c r="CY8" i="44" s="1"/>
  <c r="DF31" i="47"/>
  <c r="DD39" i="60" s="1"/>
  <c r="DB31" i="47"/>
  <c r="CZ39" i="60" s="1"/>
  <c r="CZ56" i="72"/>
  <c r="CN58" i="72"/>
  <c r="CN8" i="44" s="1"/>
  <c r="CX31" i="47"/>
  <c r="CV39" i="60" s="1"/>
  <c r="X28" i="44"/>
  <c r="X29" i="44" s="1"/>
  <c r="X30" i="44" s="1"/>
  <c r="Y27" i="44" s="1"/>
  <c r="DN31" i="47"/>
  <c r="DL39" i="60" s="1"/>
  <c r="DA31" i="47"/>
  <c r="CY39" i="60" s="1"/>
  <c r="DG31" i="47"/>
  <c r="DE39" i="60" s="1"/>
  <c r="CW31" i="47"/>
  <c r="CU39" i="60" s="1"/>
  <c r="DT31" i="47"/>
  <c r="DR39" i="60" s="1"/>
  <c r="DL31" i="47"/>
  <c r="DJ39" i="60" s="1"/>
  <c r="CY31" i="47"/>
  <c r="CW39" i="60" s="1"/>
  <c r="DI31" i="47"/>
  <c r="DG39" i="60" s="1"/>
  <c r="CP31" i="47"/>
  <c r="CN39" i="60" s="1"/>
  <c r="CG31" i="47"/>
  <c r="CE39" i="60" s="1"/>
  <c r="CT31" i="47"/>
  <c r="CR39" i="60" s="1"/>
  <c r="CJ31" i="47"/>
  <c r="CH39" i="60" s="1"/>
  <c r="CL31" i="47"/>
  <c r="CJ39" i="60" s="1"/>
  <c r="BO31" i="47"/>
  <c r="BM39" i="60" s="1"/>
  <c r="BH31" i="47"/>
  <c r="BF39" i="60" s="1"/>
  <c r="CI31" i="47"/>
  <c r="CG39" i="60" s="1"/>
  <c r="BN31" i="47"/>
  <c r="BL39" i="60" s="1"/>
  <c r="AR31" i="47"/>
  <c r="AP39" i="60" s="1"/>
  <c r="BC31" i="47"/>
  <c r="BA39" i="60" s="1"/>
  <c r="BM31" i="47"/>
  <c r="BK39" i="60" s="1"/>
  <c r="AT31" i="47"/>
  <c r="AR39" i="60" s="1"/>
  <c r="BZ31" i="47"/>
  <c r="BX39" i="60" s="1"/>
  <c r="BP31" i="47"/>
  <c r="BN39" i="60" s="1"/>
  <c r="BF31" i="47"/>
  <c r="BD39" i="60" s="1"/>
  <c r="BK31" i="47"/>
  <c r="BI39" i="60" s="1"/>
  <c r="AY31" i="47"/>
  <c r="AW39" i="60" s="1"/>
  <c r="AC31" i="47"/>
  <c r="AA39" i="60" s="1"/>
  <c r="CQ31" i="47"/>
  <c r="CO39" i="60" s="1"/>
  <c r="CK31" i="47"/>
  <c r="CI39" i="60" s="1"/>
  <c r="CF31" i="47"/>
  <c r="CD39" i="60" s="1"/>
  <c r="BR31" i="47"/>
  <c r="BP39" i="60" s="1"/>
  <c r="BU31" i="47"/>
  <c r="BS39" i="60" s="1"/>
  <c r="BB31" i="47"/>
  <c r="AZ39" i="60" s="1"/>
  <c r="BG31" i="47"/>
  <c r="BE39" i="60" s="1"/>
  <c r="BA31" i="47"/>
  <c r="AY39" i="60" s="1"/>
  <c r="DR31" i="47"/>
  <c r="DP39" i="60" s="1"/>
  <c r="DK31" i="47"/>
  <c r="DI39" i="60" s="1"/>
  <c r="DS31" i="47"/>
  <c r="DQ39" i="60" s="1"/>
  <c r="CZ31" i="47"/>
  <c r="CX39" i="60" s="1"/>
  <c r="DE31" i="47"/>
  <c r="DC39" i="60" s="1"/>
  <c r="CU31" i="47"/>
  <c r="CS39" i="60" s="1"/>
  <c r="CR31" i="47"/>
  <c r="CP39" i="60" s="1"/>
  <c r="CO31" i="47"/>
  <c r="CM39" i="60" s="1"/>
  <c r="CB31" i="47"/>
  <c r="BZ39" i="60" s="1"/>
  <c r="CE31" i="47"/>
  <c r="CC39" i="60" s="1"/>
  <c r="CH31" i="47"/>
  <c r="CF39" i="60" s="1"/>
  <c r="BQ31" i="47"/>
  <c r="BO39" i="60" s="1"/>
  <c r="BX31" i="47"/>
  <c r="BV39" i="60" s="1"/>
  <c r="BT31" i="47"/>
  <c r="BR39" i="60" s="1"/>
  <c r="BL31" i="47"/>
  <c r="BJ39" i="60" s="1"/>
  <c r="BE31" i="47"/>
  <c r="BC39" i="60" s="1"/>
  <c r="BI31" i="47"/>
  <c r="BG39" i="60" s="1"/>
  <c r="AS31" i="47"/>
  <c r="AQ39" i="60" s="1"/>
  <c r="AB31" i="47"/>
  <c r="AJ31" i="47"/>
  <c r="AH39" i="60" s="1"/>
  <c r="DM31" i="47"/>
  <c r="DK39" i="60" s="1"/>
  <c r="DJ31" i="47"/>
  <c r="DH39" i="60" s="1"/>
  <c r="DU31" i="47"/>
  <c r="DS39" i="60" s="1"/>
  <c r="DQ31" i="47"/>
  <c r="DO39" i="60" s="1"/>
  <c r="DH31" i="47"/>
  <c r="DF39" i="60" s="1"/>
  <c r="DD31" i="47"/>
  <c r="DB39" i="60" s="1"/>
  <c r="DC31" i="47"/>
  <c r="DA39" i="60" s="1"/>
  <c r="CS31" i="47"/>
  <c r="CQ39" i="60" s="1"/>
  <c r="CV31" i="47"/>
  <c r="CT39" i="60" s="1"/>
  <c r="CN31" i="47"/>
  <c r="CL39" i="60" s="1"/>
  <c r="CM31" i="47"/>
  <c r="CK39" i="60" s="1"/>
  <c r="CD31" i="47"/>
  <c r="CB39" i="60" s="1"/>
  <c r="CC31" i="47"/>
  <c r="CA39" i="60" s="1"/>
  <c r="CA31" i="47"/>
  <c r="BY39" i="60" s="1"/>
  <c r="BS31" i="47"/>
  <c r="BQ39" i="60" s="1"/>
  <c r="BY31" i="47"/>
  <c r="BW39" i="60" s="1"/>
  <c r="BV31" i="47"/>
  <c r="BT39" i="60" s="1"/>
  <c r="BW31" i="47"/>
  <c r="BU39" i="60" s="1"/>
  <c r="BJ31" i="47"/>
  <c r="BH39" i="60" s="1"/>
  <c r="BD31" i="47"/>
  <c r="BB39" i="60" s="1"/>
  <c r="AW31" i="47"/>
  <c r="AU39" i="60" s="1"/>
  <c r="AA31" i="47"/>
  <c r="X31" i="47"/>
  <c r="V39" i="60" s="1"/>
  <c r="V11" i="1" s="1"/>
  <c r="AD31" i="47"/>
  <c r="AB39" i="60" s="1"/>
  <c r="AO31" i="47"/>
  <c r="AM39" i="60" s="1"/>
  <c r="T11" i="1"/>
  <c r="AP31" i="47"/>
  <c r="AN39" i="60" s="1"/>
  <c r="AI31" i="47"/>
  <c r="AG39" i="60" s="1"/>
  <c r="AG31" i="47"/>
  <c r="AE39" i="60" s="1"/>
  <c r="AV31" i="47"/>
  <c r="AT39" i="60" s="1"/>
  <c r="Y31" i="47"/>
  <c r="W39" i="60" s="1"/>
  <c r="W11" i="1" s="1"/>
  <c r="AF31" i="47"/>
  <c r="AD39" i="60" s="1"/>
  <c r="AL31" i="47"/>
  <c r="AJ39" i="60" s="1"/>
  <c r="AQ31" i="47"/>
  <c r="AO39" i="60" s="1"/>
  <c r="AH31" i="47"/>
  <c r="AF39" i="60" s="1"/>
  <c r="Z31" i="47"/>
  <c r="AK31" i="47"/>
  <c r="AI39" i="60" s="1"/>
  <c r="AU31" i="47"/>
  <c r="AS39" i="60" s="1"/>
  <c r="AE31" i="47"/>
  <c r="AC39" i="60" s="1"/>
  <c r="AM31" i="47"/>
  <c r="AK39" i="60" s="1"/>
  <c r="AZ31" i="47"/>
  <c r="AX39" i="60" s="1"/>
  <c r="AN31" i="47"/>
  <c r="AL39" i="60" s="1"/>
  <c r="AJ28" i="44"/>
  <c r="AK13" i="44"/>
  <c r="AK17" i="44" s="1"/>
  <c r="AK12" i="44"/>
  <c r="AK11" i="44"/>
  <c r="AK14" i="44" s="1"/>
  <c r="Y13" i="44"/>
  <c r="Y17" i="44" s="1"/>
  <c r="Y12" i="44"/>
  <c r="Y11" i="44"/>
  <c r="Y14" i="44" s="1"/>
  <c r="DF40" i="72"/>
  <c r="CT39" i="72"/>
  <c r="BV37" i="72"/>
  <c r="BJ36" i="72"/>
  <c r="AL163" i="72"/>
  <c r="AX154" i="72"/>
  <c r="BJ155" i="72" s="1"/>
  <c r="BV156" i="72" s="1"/>
  <c r="CH157" i="72" s="1"/>
  <c r="CT158" i="72" s="1"/>
  <c r="DF159" i="72" s="1"/>
  <c r="DR160" i="72" s="1"/>
  <c r="CT70" i="72"/>
  <c r="BV68" i="72"/>
  <c r="CH69" i="72"/>
  <c r="DR72" i="72"/>
  <c r="BJ67" i="72"/>
  <c r="DF71" i="72"/>
  <c r="AL75" i="72"/>
  <c r="AL9" i="44" s="1"/>
  <c r="AX66" i="72"/>
  <c r="J70" i="75"/>
  <c r="W9" i="29"/>
  <c r="G66" i="76"/>
  <c r="H49" i="76"/>
  <c r="J64" i="75"/>
  <c r="AY109" i="72" s="1"/>
  <c r="AY111" i="72" s="1"/>
  <c r="J52" i="75"/>
  <c r="BQ53" i="72"/>
  <c r="BE52" i="72"/>
  <c r="BE58" i="72" s="1"/>
  <c r="BE8" i="44" s="1"/>
  <c r="AS51" i="72"/>
  <c r="AS58" i="72" s="1"/>
  <c r="AS8" i="44" s="1"/>
  <c r="DM41" i="72"/>
  <c r="AS35" i="72"/>
  <c r="AG44" i="72"/>
  <c r="AG7" i="44" s="1"/>
  <c r="H68" i="76"/>
  <c r="H53" i="76"/>
  <c r="J56" i="75"/>
  <c r="G54" i="76"/>
  <c r="H65" i="76"/>
  <c r="H61" i="76"/>
  <c r="K55" i="75"/>
  <c r="K59" i="75"/>
  <c r="K60" i="75" s="1"/>
  <c r="U47" i="47" l="1"/>
  <c r="X9" i="16"/>
  <c r="AK28" i="44"/>
  <c r="AC47" i="47"/>
  <c r="W47" i="47"/>
  <c r="Y15" i="44"/>
  <c r="Y16" i="44"/>
  <c r="CM37" i="60"/>
  <c r="CM38" i="60"/>
  <c r="CX37" i="60"/>
  <c r="CX38" i="60"/>
  <c r="AR38" i="60"/>
  <c r="AR37" i="60"/>
  <c r="AK23" i="60"/>
  <c r="AK22" i="60"/>
  <c r="DJ38" i="60"/>
  <c r="DJ37" i="60"/>
  <c r="BD38" i="60"/>
  <c r="BD37" i="60"/>
  <c r="AK15" i="44"/>
  <c r="AK16" i="44"/>
  <c r="Y47" i="47"/>
  <c r="X47" i="47"/>
  <c r="AM33" i="72"/>
  <c r="AM151" i="72" s="1"/>
  <c r="G69" i="76"/>
  <c r="AM64" i="72" s="1"/>
  <c r="AD47" i="47"/>
  <c r="CC54" i="72"/>
  <c r="BQ58" i="72"/>
  <c r="BQ8" i="44" s="1"/>
  <c r="AB47" i="47"/>
  <c r="Z39" i="60"/>
  <c r="Z11" i="1" s="1"/>
  <c r="Q11" i="1"/>
  <c r="Q26" i="1" s="1"/>
  <c r="Q28" i="1" s="1"/>
  <c r="S47" i="47"/>
  <c r="AA47" i="47"/>
  <c r="Y39" i="60"/>
  <c r="Y11" i="1" s="1"/>
  <c r="DL57" i="72"/>
  <c r="DL58" i="72" s="1"/>
  <c r="DL8" i="44" s="1"/>
  <c r="CZ58" i="72"/>
  <c r="CZ8" i="44" s="1"/>
  <c r="Z47" i="47"/>
  <c r="X39" i="60"/>
  <c r="X11" i="1" s="1"/>
  <c r="R39" i="60"/>
  <c r="T47" i="47"/>
  <c r="U11" i="1"/>
  <c r="V47" i="47"/>
  <c r="Y28" i="44"/>
  <c r="Y29" i="44" s="1"/>
  <c r="Y9" i="16" s="1"/>
  <c r="BK112" i="72"/>
  <c r="BW113" i="72" s="1"/>
  <c r="CI114" i="72" s="1"/>
  <c r="CU115" i="72" s="1"/>
  <c r="DG116" i="72" s="1"/>
  <c r="DS117" i="72" s="1"/>
  <c r="AY121" i="72"/>
  <c r="Z80" i="72"/>
  <c r="K68" i="75"/>
  <c r="K53" i="75"/>
  <c r="K61" i="75"/>
  <c r="K65" i="75"/>
  <c r="Z79" i="72" s="1"/>
  <c r="J66" i="75"/>
  <c r="AM32" i="72" s="1"/>
  <c r="K49" i="75"/>
  <c r="X9" i="29"/>
  <c r="J54" i="75"/>
  <c r="H62" i="76"/>
  <c r="I58" i="76" s="1"/>
  <c r="H63" i="76"/>
  <c r="H70" i="76" s="1"/>
  <c r="H51" i="76"/>
  <c r="CY37" i="60" l="1"/>
  <c r="CY38" i="60"/>
  <c r="BP38" i="60"/>
  <c r="BP37" i="60"/>
  <c r="R11" i="1"/>
  <c r="DK38" i="60"/>
  <c r="DK37" i="60"/>
  <c r="AX42" i="60"/>
  <c r="AL31" i="60"/>
  <c r="CO55" i="72"/>
  <c r="CC58" i="72"/>
  <c r="CC8" i="44" s="1"/>
  <c r="Y30" i="44"/>
  <c r="Z27" i="44" s="1"/>
  <c r="Z81" i="72"/>
  <c r="Z92" i="72" s="1"/>
  <c r="Z10" i="44" s="1"/>
  <c r="AX36" i="60"/>
  <c r="AM34" i="72"/>
  <c r="CI38" i="72" s="1"/>
  <c r="AM150" i="72"/>
  <c r="AM153" i="72" s="1"/>
  <c r="K62" i="75"/>
  <c r="L58" i="75" s="1"/>
  <c r="L55" i="75" s="1"/>
  <c r="H64" i="76"/>
  <c r="AZ110" i="72" s="1"/>
  <c r="H52" i="76"/>
  <c r="K63" i="75"/>
  <c r="I59" i="76"/>
  <c r="I60" i="76" s="1"/>
  <c r="I55" i="76"/>
  <c r="J69" i="75"/>
  <c r="AM63" i="72" s="1"/>
  <c r="AM65" i="72" s="1"/>
  <c r="H56" i="76"/>
  <c r="K51" i="75"/>
  <c r="K56" i="75" s="1"/>
  <c r="CB37" i="60" l="1"/>
  <c r="CB38" i="60"/>
  <c r="CT87" i="72"/>
  <c r="BJ84" i="72"/>
  <c r="L59" i="75"/>
  <c r="L60" i="75" s="1"/>
  <c r="L68" i="75" s="1"/>
  <c r="DR89" i="72"/>
  <c r="DA56" i="72"/>
  <c r="CO58" i="72"/>
  <c r="CO8" i="44" s="1"/>
  <c r="DF88" i="72"/>
  <c r="AX83" i="72"/>
  <c r="CH86" i="72"/>
  <c r="AL82" i="72"/>
  <c r="AL92" i="72" s="1"/>
  <c r="AL10" i="44" s="1"/>
  <c r="AL13" i="44" s="1"/>
  <c r="AL17" i="44" s="1"/>
  <c r="BV85" i="72"/>
  <c r="Z13" i="44"/>
  <c r="Z17" i="44" s="1"/>
  <c r="Z12" i="44"/>
  <c r="Z11" i="44"/>
  <c r="Z14" i="44" s="1"/>
  <c r="BW37" i="72"/>
  <c r="BK36" i="72"/>
  <c r="DG40" i="72"/>
  <c r="CU39" i="72"/>
  <c r="AY154" i="72"/>
  <c r="AM163" i="72"/>
  <c r="CI69" i="72"/>
  <c r="AY66" i="72"/>
  <c r="AM75" i="72"/>
  <c r="AM9" i="44" s="1"/>
  <c r="CU70" i="72"/>
  <c r="DG71" i="72"/>
  <c r="DS72" i="72"/>
  <c r="BK67" i="72"/>
  <c r="BW68" i="72"/>
  <c r="K70" i="75"/>
  <c r="L65" i="75"/>
  <c r="AA79" i="72" s="1"/>
  <c r="L49" i="75"/>
  <c r="K66" i="75"/>
  <c r="AN32" i="72" s="1"/>
  <c r="K64" i="75"/>
  <c r="AZ109" i="72" s="1"/>
  <c r="AZ111" i="72" s="1"/>
  <c r="K52" i="75"/>
  <c r="AT35" i="72"/>
  <c r="DN41" i="72"/>
  <c r="AH44" i="72"/>
  <c r="AH7" i="44" s="1"/>
  <c r="I61" i="76"/>
  <c r="I65" i="76"/>
  <c r="I53" i="76"/>
  <c r="I68" i="76"/>
  <c r="H54" i="76"/>
  <c r="AT51" i="72"/>
  <c r="AT58" i="72" s="1"/>
  <c r="AT8" i="44" s="1"/>
  <c r="BF52" i="72"/>
  <c r="BF58" i="72" s="1"/>
  <c r="BF8" i="44" s="1"/>
  <c r="I49" i="76"/>
  <c r="H66" i="76"/>
  <c r="AS38" i="60" l="1"/>
  <c r="AS37" i="60"/>
  <c r="CN37" i="60"/>
  <c r="CN38" i="60"/>
  <c r="AL22" i="60"/>
  <c r="AL23" i="60"/>
  <c r="Z15" i="44"/>
  <c r="Z16" i="44"/>
  <c r="BE38" i="60"/>
  <c r="BE37" i="60"/>
  <c r="L61" i="75"/>
  <c r="L62" i="75" s="1"/>
  <c r="M58" i="75" s="1"/>
  <c r="L53" i="75"/>
  <c r="L51" i="75" s="1"/>
  <c r="L64" i="75" s="1"/>
  <c r="BA109" i="72" s="1"/>
  <c r="AN33" i="72"/>
  <c r="AN151" i="72" s="1"/>
  <c r="H69" i="76"/>
  <c r="DM57" i="72"/>
  <c r="DM58" i="72" s="1"/>
  <c r="DM8" i="44" s="1"/>
  <c r="DA58" i="72"/>
  <c r="DA8" i="44" s="1"/>
  <c r="Z28" i="44"/>
  <c r="Z29" i="44" s="1"/>
  <c r="Z30" i="44" s="1"/>
  <c r="AA27" i="44" s="1"/>
  <c r="AL11" i="44"/>
  <c r="AL12" i="44"/>
  <c r="BL112" i="72"/>
  <c r="BX113" i="72" s="1"/>
  <c r="CJ114" i="72" s="1"/>
  <c r="CV115" i="72" s="1"/>
  <c r="DH116" i="72" s="1"/>
  <c r="DT117" i="72" s="1"/>
  <c r="AZ121" i="72"/>
  <c r="AN150" i="72"/>
  <c r="BK155" i="72"/>
  <c r="BR53" i="72"/>
  <c r="AA80" i="72"/>
  <c r="AA81" i="72" s="1"/>
  <c r="AN64" i="72"/>
  <c r="K54" i="75"/>
  <c r="I62" i="76"/>
  <c r="J58" i="76" s="1"/>
  <c r="I63" i="76"/>
  <c r="I70" i="76" s="1"/>
  <c r="I51" i="76"/>
  <c r="K69" i="75"/>
  <c r="AN63" i="72" s="1"/>
  <c r="L63" i="75"/>
  <c r="CZ38" i="60" l="1"/>
  <c r="CZ37" i="60"/>
  <c r="AL15" i="44"/>
  <c r="AL16" i="44"/>
  <c r="DL38" i="60"/>
  <c r="DL37" i="60"/>
  <c r="AN153" i="72"/>
  <c r="AN163" i="72" s="1"/>
  <c r="AN34" i="72"/>
  <c r="CJ38" i="72" s="1"/>
  <c r="CD54" i="72"/>
  <c r="BR58" i="72"/>
  <c r="BR8" i="44" s="1"/>
  <c r="AY36" i="60"/>
  <c r="AM31" i="60"/>
  <c r="Z9" i="16"/>
  <c r="AL14" i="44"/>
  <c r="AL28" i="44"/>
  <c r="AY42" i="60"/>
  <c r="BW156" i="72"/>
  <c r="AN65" i="72"/>
  <c r="BX68" i="72" s="1"/>
  <c r="AU51" i="72"/>
  <c r="AU58" i="72" s="1"/>
  <c r="AU8" i="44" s="1"/>
  <c r="L70" i="75"/>
  <c r="I56" i="76"/>
  <c r="I64" i="76"/>
  <c r="BA110" i="72" s="1"/>
  <c r="BA111" i="72" s="1"/>
  <c r="I52" i="76"/>
  <c r="L52" i="75"/>
  <c r="L54" i="75" s="1"/>
  <c r="M55" i="75"/>
  <c r="M59" i="75"/>
  <c r="M60" i="75" s="1"/>
  <c r="Y9" i="29"/>
  <c r="L56" i="75"/>
  <c r="J55" i="76"/>
  <c r="J59" i="76"/>
  <c r="J60" i="76" s="1"/>
  <c r="AU35" i="72"/>
  <c r="DS89" i="72"/>
  <c r="BW85" i="72"/>
  <c r="CU87" i="72"/>
  <c r="AY83" i="72"/>
  <c r="DG88" i="72"/>
  <c r="AM82" i="72"/>
  <c r="AM92" i="72" s="1"/>
  <c r="AM10" i="44" s="1"/>
  <c r="AA92" i="72"/>
  <c r="AA10" i="44" s="1"/>
  <c r="BK84" i="72"/>
  <c r="CI86" i="72"/>
  <c r="AZ154" i="72" l="1"/>
  <c r="BQ38" i="60"/>
  <c r="BQ37" i="60"/>
  <c r="AT37" i="60"/>
  <c r="AT38" i="60"/>
  <c r="CV39" i="72"/>
  <c r="BL36" i="72"/>
  <c r="BX37" i="72"/>
  <c r="DH40" i="72"/>
  <c r="CP55" i="72"/>
  <c r="CD58" i="72"/>
  <c r="CD8" i="44" s="1"/>
  <c r="AA11" i="44"/>
  <c r="AA14" i="44" s="1"/>
  <c r="AA13" i="44"/>
  <c r="AA17" i="44" s="1"/>
  <c r="AA12" i="44"/>
  <c r="AM11" i="44"/>
  <c r="AM14" i="44" s="1"/>
  <c r="AM12" i="44"/>
  <c r="AM13" i="44"/>
  <c r="AM17" i="44" s="1"/>
  <c r="DT72" i="72"/>
  <c r="CV70" i="72"/>
  <c r="BM112" i="72"/>
  <c r="BY113" i="72" s="1"/>
  <c r="CK114" i="72" s="1"/>
  <c r="CW115" i="72" s="1"/>
  <c r="DI116" i="72" s="1"/>
  <c r="BA121" i="72"/>
  <c r="AN31" i="60" s="1"/>
  <c r="DH71" i="72"/>
  <c r="AN75" i="72"/>
  <c r="AN9" i="44" s="1"/>
  <c r="BL67" i="72"/>
  <c r="BL155" i="72"/>
  <c r="CI157" i="72"/>
  <c r="AZ66" i="72"/>
  <c r="CJ69" i="72"/>
  <c r="AI44" i="72"/>
  <c r="AI7" i="44" s="1"/>
  <c r="DO41" i="72"/>
  <c r="BG52" i="72"/>
  <c r="J68" i="76"/>
  <c r="J53" i="76"/>
  <c r="L66" i="75"/>
  <c r="AO32" i="72" s="1"/>
  <c r="M49" i="75"/>
  <c r="M50" i="75" s="1"/>
  <c r="M61" i="75"/>
  <c r="I66" i="76"/>
  <c r="J49" i="76"/>
  <c r="J50" i="76" s="1"/>
  <c r="J61" i="76"/>
  <c r="I54" i="76"/>
  <c r="M68" i="75"/>
  <c r="M53" i="75"/>
  <c r="AM15" i="44" l="1"/>
  <c r="AM16" i="44"/>
  <c r="AM23" i="60"/>
  <c r="AM22" i="60"/>
  <c r="CC37" i="60"/>
  <c r="CC38" i="60"/>
  <c r="AA15" i="44"/>
  <c r="AA16" i="44"/>
  <c r="AO33" i="72"/>
  <c r="AO151" i="72" s="1"/>
  <c r="I69" i="76"/>
  <c r="AO64" i="72" s="1"/>
  <c r="BS53" i="72"/>
  <c r="BG58" i="72"/>
  <c r="BG8" i="44" s="1"/>
  <c r="DB56" i="72"/>
  <c r="CP58" i="72"/>
  <c r="CP8" i="44" s="1"/>
  <c r="AA28" i="44"/>
  <c r="AA29" i="44" s="1"/>
  <c r="AA30" i="44" s="1"/>
  <c r="AB27" i="44" s="1"/>
  <c r="AM28" i="44"/>
  <c r="AZ36" i="60"/>
  <c r="AZ42" i="60"/>
  <c r="AO150" i="72"/>
  <c r="AO153" i="72" s="1"/>
  <c r="CU158" i="72"/>
  <c r="BX156" i="72"/>
  <c r="J62" i="76"/>
  <c r="K58" i="76" s="1"/>
  <c r="K59" i="76" s="1"/>
  <c r="K60" i="76" s="1"/>
  <c r="M62" i="75"/>
  <c r="N58" i="75" s="1"/>
  <c r="M51" i="75"/>
  <c r="M63" i="75"/>
  <c r="M65" i="75"/>
  <c r="AP79" i="72" s="1"/>
  <c r="J65" i="76"/>
  <c r="AP80" i="72" s="1"/>
  <c r="J63" i="76"/>
  <c r="J70" i="76" s="1"/>
  <c r="L69" i="75"/>
  <c r="AO63" i="72" s="1"/>
  <c r="Z9" i="29"/>
  <c r="J51" i="76"/>
  <c r="BF38" i="60" l="1"/>
  <c r="BF37" i="60"/>
  <c r="CO38" i="60"/>
  <c r="CO37" i="60"/>
  <c r="AO34" i="72"/>
  <c r="BA35" i="72" s="1"/>
  <c r="DN57" i="72"/>
  <c r="DN58" i="72" s="1"/>
  <c r="DN8" i="44" s="1"/>
  <c r="DB58" i="72"/>
  <c r="DB8" i="44" s="1"/>
  <c r="CE54" i="72"/>
  <c r="BS58" i="72"/>
  <c r="BS8" i="44" s="1"/>
  <c r="DG159" i="72"/>
  <c r="AO163" i="72"/>
  <c r="BA154" i="72"/>
  <c r="CJ157" i="72"/>
  <c r="AO65" i="72"/>
  <c r="AP81" i="72"/>
  <c r="K55" i="76"/>
  <c r="J56" i="76"/>
  <c r="J66" i="76" s="1"/>
  <c r="M56" i="75"/>
  <c r="N49" i="75" s="1"/>
  <c r="N50" i="75" s="1"/>
  <c r="N59" i="75"/>
  <c r="N60" i="75" s="1"/>
  <c r="N55" i="75"/>
  <c r="K68" i="76"/>
  <c r="K53" i="76"/>
  <c r="AB81" i="72"/>
  <c r="J64" i="76"/>
  <c r="BB110" i="72" s="1"/>
  <c r="J52" i="76"/>
  <c r="AA9" i="16"/>
  <c r="M64" i="75"/>
  <c r="BB109" i="72" s="1"/>
  <c r="M52" i="75"/>
  <c r="M54" i="75" s="1"/>
  <c r="M70" i="75"/>
  <c r="CK38" i="72" l="1"/>
  <c r="DA38" i="60"/>
  <c r="DA37" i="60"/>
  <c r="DM37" i="60"/>
  <c r="DM38" i="60"/>
  <c r="BR38" i="60"/>
  <c r="BR37" i="60"/>
  <c r="DI40" i="72"/>
  <c r="CW39" i="72"/>
  <c r="AO44" i="72"/>
  <c r="AO7" i="44" s="1"/>
  <c r="BM36" i="72"/>
  <c r="BY37" i="72"/>
  <c r="AP33" i="72"/>
  <c r="AP151" i="72" s="1"/>
  <c r="J69" i="76"/>
  <c r="AP64" i="72" s="1"/>
  <c r="K61" i="76"/>
  <c r="CQ55" i="72"/>
  <c r="CE58" i="72"/>
  <c r="CE8" i="44" s="1"/>
  <c r="K49" i="76"/>
  <c r="K50" i="76" s="1"/>
  <c r="K65" i="76" s="1"/>
  <c r="AQ80" i="72" s="1"/>
  <c r="BB111" i="72"/>
  <c r="BN112" i="72" s="1"/>
  <c r="BZ113" i="72" s="1"/>
  <c r="CL114" i="72" s="1"/>
  <c r="CX115" i="72" s="1"/>
  <c r="DJ116" i="72" s="1"/>
  <c r="BM155" i="72"/>
  <c r="CV158" i="72"/>
  <c r="DS160" i="72"/>
  <c r="DJ87" i="72"/>
  <c r="CX86" i="72"/>
  <c r="CL85" i="72"/>
  <c r="BZ84" i="72"/>
  <c r="BN83" i="72"/>
  <c r="BB82" i="72"/>
  <c r="CK69" i="72"/>
  <c r="CW70" i="72"/>
  <c r="BA66" i="72"/>
  <c r="BY68" i="72"/>
  <c r="BM67" i="72"/>
  <c r="DI71" i="72"/>
  <c r="AO75" i="72"/>
  <c r="AO9" i="44" s="1"/>
  <c r="M66" i="75"/>
  <c r="AP32" i="72" s="1"/>
  <c r="DP41" i="72"/>
  <c r="AV35" i="72"/>
  <c r="AJ44" i="72"/>
  <c r="AJ7" i="44" s="1"/>
  <c r="N63" i="75"/>
  <c r="AV51" i="72"/>
  <c r="AV58" i="72" s="1"/>
  <c r="AV8" i="44" s="1"/>
  <c r="BH52" i="72"/>
  <c r="CJ86" i="72"/>
  <c r="AN82" i="72"/>
  <c r="AN92" i="72" s="1"/>
  <c r="AN10" i="44" s="1"/>
  <c r="AB92" i="72"/>
  <c r="AB10" i="44" s="1"/>
  <c r="DH88" i="72"/>
  <c r="BL84" i="72"/>
  <c r="DT89" i="72"/>
  <c r="CV87" i="72"/>
  <c r="AZ83" i="72"/>
  <c r="BX85" i="72"/>
  <c r="N61" i="75"/>
  <c r="N62" i="75" s="1"/>
  <c r="O58" i="75" s="1"/>
  <c r="N53" i="75"/>
  <c r="N51" i="75" s="1"/>
  <c r="N68" i="75"/>
  <c r="J54" i="76"/>
  <c r="K51" i="76"/>
  <c r="K64" i="76" s="1"/>
  <c r="BC110" i="72" s="1"/>
  <c r="M69" i="75" l="1"/>
  <c r="AP63" i="72" s="1"/>
  <c r="K62" i="76"/>
  <c r="L58" i="76" s="1"/>
  <c r="CD38" i="60"/>
  <c r="CD37" i="60"/>
  <c r="AN22" i="60"/>
  <c r="AN23" i="60"/>
  <c r="AU38" i="60"/>
  <c r="AU37" i="60"/>
  <c r="K63" i="76"/>
  <c r="K70" i="76" s="1"/>
  <c r="BT53" i="72"/>
  <c r="BH58" i="72"/>
  <c r="BH8" i="44" s="1"/>
  <c r="DC56" i="72"/>
  <c r="CQ58" i="72"/>
  <c r="CQ8" i="44" s="1"/>
  <c r="AB12" i="44"/>
  <c r="AB11" i="44"/>
  <c r="AB14" i="44" s="1"/>
  <c r="AB13" i="44"/>
  <c r="AB17" i="44" s="1"/>
  <c r="AN12" i="44"/>
  <c r="AN11" i="44"/>
  <c r="AN14" i="44" s="1"/>
  <c r="AN13" i="44"/>
  <c r="AN17" i="44" s="1"/>
  <c r="BB121" i="72"/>
  <c r="DH159" i="72"/>
  <c r="BY156" i="72"/>
  <c r="AP65" i="72"/>
  <c r="DJ71" i="72" s="1"/>
  <c r="DJ75" i="72" s="1"/>
  <c r="DJ9" i="44" s="1"/>
  <c r="AP34" i="72"/>
  <c r="BZ37" i="72" s="1"/>
  <c r="BZ44" i="72" s="1"/>
  <c r="BZ7" i="44" s="1"/>
  <c r="AP150" i="72"/>
  <c r="AP153" i="72" s="1"/>
  <c r="N64" i="75"/>
  <c r="BC109" i="72" s="1"/>
  <c r="BC111" i="72" s="1"/>
  <c r="N52" i="75"/>
  <c r="N54" i="75" s="1"/>
  <c r="O55" i="75"/>
  <c r="O59" i="75"/>
  <c r="O60" i="75" s="1"/>
  <c r="K56" i="76"/>
  <c r="K52" i="76"/>
  <c r="N65" i="75"/>
  <c r="N56" i="75"/>
  <c r="L59" i="76"/>
  <c r="L60" i="76" s="1"/>
  <c r="L55" i="76"/>
  <c r="N70" i="75"/>
  <c r="AB15" i="44" l="1"/>
  <c r="AB16" i="44"/>
  <c r="AN15" i="44"/>
  <c r="AN16" i="44"/>
  <c r="CP38" i="60"/>
  <c r="CP37" i="60"/>
  <c r="DJ16" i="44"/>
  <c r="DI22" i="60"/>
  <c r="DI23" i="60"/>
  <c r="BG37" i="60"/>
  <c r="BG38" i="60"/>
  <c r="AB28" i="44"/>
  <c r="BA42" i="60"/>
  <c r="AO31" i="60"/>
  <c r="DO57" i="72"/>
  <c r="DO58" i="72" s="1"/>
  <c r="DO8" i="44" s="1"/>
  <c r="DC58" i="72"/>
  <c r="DC8" i="44" s="1"/>
  <c r="CF54" i="72"/>
  <c r="BT58" i="72"/>
  <c r="BT8" i="44" s="1"/>
  <c r="BA36" i="60"/>
  <c r="BN36" i="72"/>
  <c r="BN44" i="72" s="1"/>
  <c r="BN7" i="44" s="1"/>
  <c r="CX39" i="72"/>
  <c r="CX44" i="72" s="1"/>
  <c r="CX7" i="44" s="1"/>
  <c r="BO112" i="72"/>
  <c r="CA113" i="72" s="1"/>
  <c r="CM114" i="72" s="1"/>
  <c r="CY115" i="72" s="1"/>
  <c r="DK116" i="72" s="1"/>
  <c r="BC121" i="72"/>
  <c r="CL69" i="72"/>
  <c r="CL75" i="72" s="1"/>
  <c r="CL9" i="44" s="1"/>
  <c r="BB35" i="72"/>
  <c r="BB44" i="72" s="1"/>
  <c r="BB7" i="44" s="1"/>
  <c r="BZ68" i="72"/>
  <c r="BZ75" i="72" s="1"/>
  <c r="BZ9" i="44" s="1"/>
  <c r="CX70" i="72"/>
  <c r="CX75" i="72" s="1"/>
  <c r="CX9" i="44" s="1"/>
  <c r="DJ40" i="72"/>
  <c r="DJ44" i="72" s="1"/>
  <c r="DJ7" i="44" s="1"/>
  <c r="CL38" i="72"/>
  <c r="CL44" i="72" s="1"/>
  <c r="CL7" i="44" s="1"/>
  <c r="AP75" i="72"/>
  <c r="AP9" i="44" s="1"/>
  <c r="BN67" i="72"/>
  <c r="BN75" i="72" s="1"/>
  <c r="BN9" i="44" s="1"/>
  <c r="DT160" i="72"/>
  <c r="AP44" i="72"/>
  <c r="AP7" i="44" s="1"/>
  <c r="BB66" i="72"/>
  <c r="BB75" i="72" s="1"/>
  <c r="BB9" i="44" s="1"/>
  <c r="AP163" i="72"/>
  <c r="BB154" i="72"/>
  <c r="CK157" i="72"/>
  <c r="AC81" i="72"/>
  <c r="BM84" i="72" s="1"/>
  <c r="AQ79" i="72"/>
  <c r="AQ81" i="72" s="1"/>
  <c r="AM18" i="60"/>
  <c r="AW35" i="72"/>
  <c r="AK44" i="72"/>
  <c r="AK7" i="44" s="1"/>
  <c r="DQ41" i="72"/>
  <c r="BI52" i="72"/>
  <c r="AW51" i="72"/>
  <c r="AW58" i="72" s="1"/>
  <c r="AW8" i="44" s="1"/>
  <c r="N66" i="75"/>
  <c r="AQ32" i="72" s="1"/>
  <c r="O49" i="75"/>
  <c r="L61" i="76"/>
  <c r="L65" i="76"/>
  <c r="L53" i="76"/>
  <c r="L68" i="76"/>
  <c r="O53" i="75"/>
  <c r="O68" i="75"/>
  <c r="K54" i="76"/>
  <c r="CW87" i="72"/>
  <c r="AC92" i="72"/>
  <c r="AC10" i="44" s="1"/>
  <c r="BA83" i="72"/>
  <c r="BY85" i="72"/>
  <c r="AO82" i="72"/>
  <c r="AO92" i="72" s="1"/>
  <c r="AO10" i="44" s="1"/>
  <c r="CK86" i="72"/>
  <c r="L49" i="76"/>
  <c r="K66" i="76"/>
  <c r="O61" i="75"/>
  <c r="O65" i="75"/>
  <c r="CL16" i="44" l="1"/>
  <c r="CK22" i="60"/>
  <c r="CK23" i="60"/>
  <c r="DB37" i="60"/>
  <c r="DB38" i="60"/>
  <c r="BN16" i="44"/>
  <c r="BM22" i="60"/>
  <c r="BM23" i="60"/>
  <c r="CX16" i="44"/>
  <c r="CW23" i="60"/>
  <c r="CW22" i="60"/>
  <c r="DN38" i="60"/>
  <c r="DN37" i="60"/>
  <c r="BB16" i="44"/>
  <c r="BA22" i="60"/>
  <c r="BA23" i="60"/>
  <c r="AP16" i="44"/>
  <c r="AO22" i="60"/>
  <c r="AO23" i="60"/>
  <c r="BZ16" i="44"/>
  <c r="BY23" i="60"/>
  <c r="BY22" i="60"/>
  <c r="BS38" i="60"/>
  <c r="BS37" i="60"/>
  <c r="AV37" i="60"/>
  <c r="AV38" i="60"/>
  <c r="AB29" i="44"/>
  <c r="AB9" i="16" s="1"/>
  <c r="AQ33" i="72"/>
  <c r="AQ151" i="72" s="1"/>
  <c r="K69" i="76"/>
  <c r="AQ64" i="72" s="1"/>
  <c r="DI88" i="72"/>
  <c r="BU53" i="72"/>
  <c r="BI58" i="72"/>
  <c r="BI8" i="44" s="1"/>
  <c r="BB42" i="60"/>
  <c r="AP31" i="60"/>
  <c r="CR55" i="72"/>
  <c r="CF58" i="72"/>
  <c r="CF8" i="44" s="1"/>
  <c r="AO13" i="44"/>
  <c r="AO17" i="44" s="1"/>
  <c r="AO12" i="44"/>
  <c r="AO11" i="44"/>
  <c r="AO14" i="44" s="1"/>
  <c r="AC13" i="44"/>
  <c r="AC17" i="44" s="1"/>
  <c r="AC12" i="44"/>
  <c r="AC11" i="44"/>
  <c r="AC14" i="44" s="1"/>
  <c r="BB36" i="60"/>
  <c r="AQ34" i="72"/>
  <c r="BC35" i="72" s="1"/>
  <c r="BC44" i="72" s="1"/>
  <c r="BC7" i="44" s="1"/>
  <c r="AQ150" i="72"/>
  <c r="CW158" i="72"/>
  <c r="BB163" i="72"/>
  <c r="BN155" i="72"/>
  <c r="AD79" i="72"/>
  <c r="AR79" i="72"/>
  <c r="BC82" i="72"/>
  <c r="CA84" i="72"/>
  <c r="CM85" i="72"/>
  <c r="BO83" i="72"/>
  <c r="CY86" i="72"/>
  <c r="DK87" i="72"/>
  <c r="AD80" i="72"/>
  <c r="AR80" i="72"/>
  <c r="AN28" i="44"/>
  <c r="AA11" i="1"/>
  <c r="E9" i="20" s="1"/>
  <c r="AA9" i="29"/>
  <c r="O63" i="75"/>
  <c r="O50" i="75"/>
  <c r="O51" i="75"/>
  <c r="O62" i="75"/>
  <c r="L63" i="76"/>
  <c r="L70" i="76" s="1"/>
  <c r="L62" i="76"/>
  <c r="M58" i="76" s="1"/>
  <c r="L51" i="76"/>
  <c r="N69" i="75"/>
  <c r="AQ63" i="72" s="1"/>
  <c r="CE38" i="60" l="1"/>
  <c r="CE37" i="60"/>
  <c r="BH38" i="60"/>
  <c r="BH37" i="60"/>
  <c r="AB30" i="44"/>
  <c r="AC27" i="44" s="1"/>
  <c r="AO15" i="44"/>
  <c r="AO16" i="44"/>
  <c r="AC15" i="44"/>
  <c r="AC16" i="44"/>
  <c r="AQ153" i="72"/>
  <c r="DD56" i="72"/>
  <c r="CR58" i="72"/>
  <c r="CR8" i="44" s="1"/>
  <c r="CG54" i="72"/>
  <c r="BU58" i="72"/>
  <c r="BU8" i="44" s="1"/>
  <c r="CY39" i="72"/>
  <c r="CY44" i="72" s="1"/>
  <c r="CY7" i="44" s="1"/>
  <c r="AD81" i="72"/>
  <c r="DJ88" i="72" s="1"/>
  <c r="DJ92" i="72" s="1"/>
  <c r="DJ10" i="44" s="1"/>
  <c r="CM38" i="72"/>
  <c r="CM44" i="72" s="1"/>
  <c r="CM7" i="44" s="1"/>
  <c r="DK40" i="72"/>
  <c r="DK44" i="72" s="1"/>
  <c r="DK7" i="44" s="1"/>
  <c r="CA37" i="72"/>
  <c r="CA44" i="72" s="1"/>
  <c r="CA7" i="44" s="1"/>
  <c r="BO36" i="72"/>
  <c r="BO44" i="72" s="1"/>
  <c r="BO7" i="44" s="1"/>
  <c r="AQ44" i="72"/>
  <c r="AQ7" i="44" s="1"/>
  <c r="BN163" i="72"/>
  <c r="BZ156" i="72"/>
  <c r="DI159" i="72"/>
  <c r="AQ163" i="72"/>
  <c r="BC154" i="72"/>
  <c r="AQ65" i="72"/>
  <c r="CY70" i="72" s="1"/>
  <c r="CY75" i="72" s="1"/>
  <c r="CY9" i="44" s="1"/>
  <c r="AR81" i="72"/>
  <c r="AN18" i="60"/>
  <c r="L56" i="76"/>
  <c r="M49" i="76" s="1"/>
  <c r="E8" i="20"/>
  <c r="O56" i="75"/>
  <c r="O66" i="75" s="1"/>
  <c r="AR32" i="72" s="1"/>
  <c r="M55" i="76"/>
  <c r="M59" i="76"/>
  <c r="M60" i="76" s="1"/>
  <c r="O64" i="75"/>
  <c r="BD109" i="72" s="1"/>
  <c r="O52" i="75"/>
  <c r="O54" i="75" s="1"/>
  <c r="AC28" i="44"/>
  <c r="AX51" i="72"/>
  <c r="AX58" i="72" s="1"/>
  <c r="AX8" i="44" s="1"/>
  <c r="AX35" i="72"/>
  <c r="AL44" i="72"/>
  <c r="AL7" i="44" s="1"/>
  <c r="DR41" i="72"/>
  <c r="L64" i="76"/>
  <c r="BD110" i="72" s="1"/>
  <c r="L52" i="76"/>
  <c r="P58" i="75"/>
  <c r="O70" i="75"/>
  <c r="CX87" i="72" l="1"/>
  <c r="AC29" i="44"/>
  <c r="AC9" i="16" s="1"/>
  <c r="BZ85" i="72"/>
  <c r="AD92" i="72"/>
  <c r="AD10" i="44" s="1"/>
  <c r="AD12" i="44" s="1"/>
  <c r="BB83" i="72"/>
  <c r="AP82" i="72"/>
  <c r="AP92" i="72" s="1"/>
  <c r="AP10" i="44" s="1"/>
  <c r="BN84" i="72"/>
  <c r="BN92" i="72" s="1"/>
  <c r="BN10" i="44" s="1"/>
  <c r="AW38" i="60"/>
  <c r="AW37" i="60"/>
  <c r="CY16" i="44"/>
  <c r="CX23" i="60"/>
  <c r="CX22" i="60"/>
  <c r="BT38" i="60"/>
  <c r="BT37" i="60"/>
  <c r="CQ38" i="60"/>
  <c r="CQ37" i="60"/>
  <c r="CL86" i="72"/>
  <c r="CL92" i="72" s="1"/>
  <c r="CL10" i="44" s="1"/>
  <c r="CS55" i="72"/>
  <c r="CG58" i="72"/>
  <c r="CG8" i="44" s="1"/>
  <c r="DP57" i="72"/>
  <c r="DP58" i="72" s="1"/>
  <c r="DP8" i="44" s="1"/>
  <c r="DD58" i="72"/>
  <c r="DD8" i="44" s="1"/>
  <c r="DJ15" i="44"/>
  <c r="DJ11" i="44"/>
  <c r="DJ13" i="44"/>
  <c r="DJ14" i="44"/>
  <c r="DJ12" i="44"/>
  <c r="L66" i="76"/>
  <c r="BD111" i="72"/>
  <c r="BP112" i="72" s="1"/>
  <c r="CA68" i="72"/>
  <c r="CA75" i="72" s="1"/>
  <c r="CA9" i="44" s="1"/>
  <c r="BC66" i="72"/>
  <c r="BC75" i="72" s="1"/>
  <c r="BC9" i="44" s="1"/>
  <c r="AR150" i="72"/>
  <c r="BO67" i="72"/>
  <c r="BO75" i="72" s="1"/>
  <c r="CM69" i="72"/>
  <c r="CM75" i="72" s="1"/>
  <c r="CM9" i="44" s="1"/>
  <c r="CX92" i="72"/>
  <c r="CX10" i="44" s="1"/>
  <c r="BZ92" i="72"/>
  <c r="BZ10" i="44" s="1"/>
  <c r="AQ75" i="72"/>
  <c r="AQ9" i="44" s="1"/>
  <c r="BC163" i="72"/>
  <c r="BO155" i="72"/>
  <c r="BZ163" i="72"/>
  <c r="CL157" i="72"/>
  <c r="BB92" i="72"/>
  <c r="BB10" i="44" s="1"/>
  <c r="DK71" i="72"/>
  <c r="DK75" i="72" s="1"/>
  <c r="DK9" i="44" s="1"/>
  <c r="BP83" i="72"/>
  <c r="BD82" i="72"/>
  <c r="DL87" i="72"/>
  <c r="CZ86" i="72"/>
  <c r="CB84" i="72"/>
  <c r="CN85" i="72"/>
  <c r="AO28" i="44"/>
  <c r="BJ52" i="72"/>
  <c r="P49" i="75"/>
  <c r="P63" i="75" s="1"/>
  <c r="O69" i="75"/>
  <c r="AR63" i="72" s="1"/>
  <c r="AB11" i="1"/>
  <c r="AB9" i="29"/>
  <c r="P55" i="75"/>
  <c r="P59" i="75"/>
  <c r="P60" i="75" s="1"/>
  <c r="M63" i="76"/>
  <c r="M50" i="76"/>
  <c r="L54" i="76"/>
  <c r="M68" i="76"/>
  <c r="M53" i="76"/>
  <c r="M51" i="76" s="1"/>
  <c r="M64" i="76" s="1"/>
  <c r="BE110" i="72" s="1"/>
  <c r="AC30" i="44"/>
  <c r="AD27" i="44" s="1"/>
  <c r="M65" i="76"/>
  <c r="M61" i="76"/>
  <c r="M62" i="76" s="1"/>
  <c r="N58" i="76" s="1"/>
  <c r="AD11" i="44" l="1"/>
  <c r="AD14" i="44" s="1"/>
  <c r="AD13" i="44"/>
  <c r="AD17" i="44" s="1"/>
  <c r="AQ16" i="44"/>
  <c r="AP22" i="60"/>
  <c r="AP23" i="60"/>
  <c r="CM16" i="44"/>
  <c r="CL22" i="60"/>
  <c r="CL23" i="60"/>
  <c r="BC16" i="44"/>
  <c r="BB23" i="60"/>
  <c r="BB22" i="60"/>
  <c r="AD15" i="44"/>
  <c r="AD16" i="44"/>
  <c r="DC37" i="60"/>
  <c r="DC38" i="60"/>
  <c r="DK16" i="44"/>
  <c r="DJ23" i="60"/>
  <c r="DJ22" i="60"/>
  <c r="CA16" i="44"/>
  <c r="BZ23" i="60"/>
  <c r="BZ22" i="60"/>
  <c r="DO37" i="60"/>
  <c r="DO38" i="60"/>
  <c r="CF37" i="60"/>
  <c r="CF38" i="60"/>
  <c r="DJ28" i="44"/>
  <c r="DJ17" i="44"/>
  <c r="DJ22" i="44"/>
  <c r="AR33" i="72"/>
  <c r="L69" i="76"/>
  <c r="AR64" i="72" s="1"/>
  <c r="BV53" i="72"/>
  <c r="BJ58" i="72"/>
  <c r="BJ8" i="44" s="1"/>
  <c r="BO9" i="44"/>
  <c r="D19" i="47" s="1"/>
  <c r="D20" i="47" s="1"/>
  <c r="DE56" i="72"/>
  <c r="CS58" i="72"/>
  <c r="CS8" i="44" s="1"/>
  <c r="BD121" i="72"/>
  <c r="AQ31" i="60" s="1"/>
  <c r="BZ15" i="44"/>
  <c r="BZ12" i="44"/>
  <c r="BZ13" i="44"/>
  <c r="BZ11" i="44"/>
  <c r="BZ14" i="44"/>
  <c r="AP14" i="44"/>
  <c r="AP15" i="44"/>
  <c r="AP11" i="44"/>
  <c r="AP12" i="44"/>
  <c r="AP13" i="44"/>
  <c r="CX15" i="44"/>
  <c r="CX12" i="44"/>
  <c r="CX13" i="44"/>
  <c r="CX11" i="44"/>
  <c r="CX14" i="44"/>
  <c r="CL12" i="44"/>
  <c r="CL15" i="44"/>
  <c r="CL13" i="44"/>
  <c r="CL11" i="44"/>
  <c r="CL14" i="44"/>
  <c r="BB13" i="44"/>
  <c r="BB15" i="44"/>
  <c r="BB14" i="44"/>
  <c r="BB12" i="44"/>
  <c r="BB11" i="44"/>
  <c r="BN13" i="44"/>
  <c r="BN15" i="44"/>
  <c r="BN14" i="44"/>
  <c r="BN12" i="44"/>
  <c r="BN11" i="44"/>
  <c r="DI18" i="60"/>
  <c r="BC42" i="60"/>
  <c r="BC36" i="60"/>
  <c r="CB113" i="72"/>
  <c r="BP121" i="72"/>
  <c r="BC31" i="60" s="1"/>
  <c r="BO163" i="72"/>
  <c r="CA156" i="72"/>
  <c r="CL163" i="72"/>
  <c r="CX158" i="72"/>
  <c r="AE80" i="72"/>
  <c r="AE81" i="72" s="1"/>
  <c r="DK88" i="72" s="1"/>
  <c r="AS80" i="72"/>
  <c r="AR65" i="72"/>
  <c r="P50" i="75"/>
  <c r="M70" i="76"/>
  <c r="N59" i="76"/>
  <c r="N60" i="76" s="1"/>
  <c r="N55" i="76"/>
  <c r="M52" i="76"/>
  <c r="AY35" i="72"/>
  <c r="DS41" i="72"/>
  <c r="AM44" i="72"/>
  <c r="AM7" i="44" s="1"/>
  <c r="P53" i="75"/>
  <c r="P51" i="75" s="1"/>
  <c r="P68" i="75"/>
  <c r="M56" i="76"/>
  <c r="P61" i="75"/>
  <c r="P62" i="75" s="1"/>
  <c r="Q58" i="75" s="1"/>
  <c r="P65" i="75"/>
  <c r="AS79" i="72" s="1"/>
  <c r="AD28" i="44" l="1"/>
  <c r="AD29" i="44" s="1"/>
  <c r="AD9" i="16" s="1"/>
  <c r="BO16" i="44"/>
  <c r="BN22" i="60"/>
  <c r="BN23" i="60"/>
  <c r="BI37" i="60"/>
  <c r="BI38" i="60"/>
  <c r="CR37" i="60"/>
  <c r="CR38" i="60"/>
  <c r="BB28" i="44"/>
  <c r="BB22" i="44"/>
  <c r="BB17" i="44"/>
  <c r="AP22" i="44"/>
  <c r="AP28" i="44"/>
  <c r="AP17" i="44"/>
  <c r="BZ28" i="44"/>
  <c r="BZ22" i="44"/>
  <c r="BZ17" i="44"/>
  <c r="CL28" i="44"/>
  <c r="CL22" i="44"/>
  <c r="CL17" i="44"/>
  <c r="BN28" i="44"/>
  <c r="BN17" i="44"/>
  <c r="BN22" i="44"/>
  <c r="CX28" i="44"/>
  <c r="CX17" i="44"/>
  <c r="CX22" i="44"/>
  <c r="AO18" i="60"/>
  <c r="BY18" i="60"/>
  <c r="AR151" i="72"/>
  <c r="AR153" i="72" s="1"/>
  <c r="AR34" i="72"/>
  <c r="AS81" i="72"/>
  <c r="CO85" i="72" s="1"/>
  <c r="DQ57" i="72"/>
  <c r="DQ58" i="72" s="1"/>
  <c r="DQ8" i="44" s="1"/>
  <c r="DE58" i="72"/>
  <c r="DE8" i="44" s="1"/>
  <c r="CH54" i="72"/>
  <c r="BV58" i="72"/>
  <c r="BV8" i="44" s="1"/>
  <c r="DI11" i="60"/>
  <c r="BA18" i="60"/>
  <c r="BM18" i="60"/>
  <c r="CY87" i="72"/>
  <c r="CY92" i="72" s="1"/>
  <c r="CY10" i="44" s="1"/>
  <c r="CW18" i="60"/>
  <c r="CK18" i="60"/>
  <c r="BO36" i="60"/>
  <c r="BO42" i="60"/>
  <c r="CN114" i="72"/>
  <c r="CB121" i="72"/>
  <c r="BO31" i="60" s="1"/>
  <c r="CX163" i="72"/>
  <c r="DJ159" i="72"/>
  <c r="DJ163" i="72" s="1"/>
  <c r="CA163" i="72"/>
  <c r="CM157" i="72"/>
  <c r="DK92" i="72"/>
  <c r="DK10" i="44" s="1"/>
  <c r="AC9" i="29"/>
  <c r="BC83" i="72"/>
  <c r="BC92" i="72" s="1"/>
  <c r="BC10" i="44" s="1"/>
  <c r="AQ82" i="72"/>
  <c r="CM86" i="72"/>
  <c r="AE92" i="72"/>
  <c r="AE10" i="44" s="1"/>
  <c r="BO84" i="72"/>
  <c r="CA85" i="72"/>
  <c r="DA86" i="72"/>
  <c r="DM87" i="72"/>
  <c r="CC84" i="72"/>
  <c r="CZ70" i="72"/>
  <c r="CZ75" i="72" s="1"/>
  <c r="CZ9" i="44" s="1"/>
  <c r="CN69" i="72"/>
  <c r="CN75" i="72" s="1"/>
  <c r="CN9" i="44" s="1"/>
  <c r="BD66" i="72"/>
  <c r="BD75" i="72" s="1"/>
  <c r="BD9" i="44" s="1"/>
  <c r="DL71" i="72"/>
  <c r="DL75" i="72" s="1"/>
  <c r="DL9" i="44" s="1"/>
  <c r="CB68" i="72"/>
  <c r="CB75" i="72" s="1"/>
  <c r="CB9" i="44" s="1"/>
  <c r="BP67" i="72"/>
  <c r="BP75" i="72" s="1"/>
  <c r="BP9" i="44" s="1"/>
  <c r="AR75" i="72"/>
  <c r="AR9" i="44" s="1"/>
  <c r="AY51" i="72"/>
  <c r="AY58" i="72" s="1"/>
  <c r="AY8" i="44" s="1"/>
  <c r="BK52" i="72"/>
  <c r="AD30" i="44"/>
  <c r="AE27" i="44" s="1"/>
  <c r="N61" i="76"/>
  <c r="N65" i="76"/>
  <c r="M54" i="76"/>
  <c r="N68" i="76"/>
  <c r="N53" i="76"/>
  <c r="Q55" i="75"/>
  <c r="Q59" i="75"/>
  <c r="Q60" i="75" s="1"/>
  <c r="P70" i="75"/>
  <c r="N49" i="76"/>
  <c r="M66" i="76"/>
  <c r="P56" i="75"/>
  <c r="P64" i="75"/>
  <c r="BE109" i="72" s="1"/>
  <c r="BE111" i="72" s="1"/>
  <c r="P52" i="75"/>
  <c r="BQ83" i="72" l="1"/>
  <c r="BE82" i="72"/>
  <c r="CB16" i="44"/>
  <c r="CA22" i="60"/>
  <c r="CA23" i="60"/>
  <c r="CZ16" i="44"/>
  <c r="CY22" i="60"/>
  <c r="CY23" i="60"/>
  <c r="DP37" i="60"/>
  <c r="DP38" i="60"/>
  <c r="AX38" i="60"/>
  <c r="AX37" i="60"/>
  <c r="BU37" i="60"/>
  <c r="BU38" i="60"/>
  <c r="DL16" i="44"/>
  <c r="DK22" i="60"/>
  <c r="DK23" i="60"/>
  <c r="AR16" i="44"/>
  <c r="AQ23" i="60"/>
  <c r="AQ22" i="60"/>
  <c r="BD16" i="44"/>
  <c r="BC23" i="60"/>
  <c r="BC22" i="60"/>
  <c r="BP16" i="44"/>
  <c r="BO23" i="60"/>
  <c r="BO22" i="60"/>
  <c r="CN16" i="44"/>
  <c r="CM23" i="60"/>
  <c r="CM22" i="60"/>
  <c r="DD38" i="60"/>
  <c r="DD37" i="60"/>
  <c r="AP15" i="60"/>
  <c r="AT15" i="60"/>
  <c r="AX15" i="60"/>
  <c r="BB15" i="60"/>
  <c r="BF15" i="60"/>
  <c r="BJ15" i="60"/>
  <c r="BN15" i="60"/>
  <c r="BR15" i="60"/>
  <c r="BV15" i="60"/>
  <c r="BZ15" i="60"/>
  <c r="CD15" i="60"/>
  <c r="CH15" i="60"/>
  <c r="CL15" i="60"/>
  <c r="CP15" i="60"/>
  <c r="CT15" i="60"/>
  <c r="CX15" i="60"/>
  <c r="DB15" i="60"/>
  <c r="DF15" i="60"/>
  <c r="DJ15" i="60"/>
  <c r="DN15" i="60"/>
  <c r="DR15" i="60"/>
  <c r="DK15" i="60"/>
  <c r="DS15" i="60"/>
  <c r="BA15" i="60"/>
  <c r="BI15" i="60"/>
  <c r="BQ15" i="60"/>
  <c r="CC15" i="60"/>
  <c r="CO15" i="60"/>
  <c r="DA15" i="60"/>
  <c r="DI15" i="60"/>
  <c r="AQ15" i="60"/>
  <c r="AU15" i="60"/>
  <c r="AY15" i="60"/>
  <c r="BC15" i="60"/>
  <c r="BG15" i="60"/>
  <c r="BK15" i="60"/>
  <c r="BO15" i="60"/>
  <c r="BS15" i="60"/>
  <c r="BW15" i="60"/>
  <c r="CA15" i="60"/>
  <c r="CE15" i="60"/>
  <c r="CI15" i="60"/>
  <c r="CM15" i="60"/>
  <c r="CQ15" i="60"/>
  <c r="CU15" i="60"/>
  <c r="CY15" i="60"/>
  <c r="DC15" i="60"/>
  <c r="DG15" i="60"/>
  <c r="DO15" i="60"/>
  <c r="AW15" i="60"/>
  <c r="BM15" i="60"/>
  <c r="BY15" i="60"/>
  <c r="CK15" i="60"/>
  <c r="CW15" i="60"/>
  <c r="DM15" i="60"/>
  <c r="AR15" i="60"/>
  <c r="AV15" i="60"/>
  <c r="AZ15" i="60"/>
  <c r="BD15" i="60"/>
  <c r="BH15" i="60"/>
  <c r="BL15" i="60"/>
  <c r="BP15" i="60"/>
  <c r="BT15" i="60"/>
  <c r="BX15" i="60"/>
  <c r="CB15" i="60"/>
  <c r="CF15" i="60"/>
  <c r="CJ15" i="60"/>
  <c r="CN15" i="60"/>
  <c r="CR15" i="60"/>
  <c r="CV15" i="60"/>
  <c r="CZ15" i="60"/>
  <c r="DD15" i="60"/>
  <c r="DH15" i="60"/>
  <c r="DL15" i="60"/>
  <c r="DP15" i="60"/>
  <c r="AO15" i="60"/>
  <c r="AS15" i="60"/>
  <c r="BE15" i="60"/>
  <c r="BU15" i="60"/>
  <c r="CG15" i="60"/>
  <c r="CS15" i="60"/>
  <c r="DE15" i="60"/>
  <c r="DQ15" i="60"/>
  <c r="AO11" i="60"/>
  <c r="AS33" i="72"/>
  <c r="AS151" i="72" s="1"/>
  <c r="M69" i="76"/>
  <c r="AS64" i="72" s="1"/>
  <c r="CZ39" i="72"/>
  <c r="CZ44" i="72" s="1"/>
  <c r="CZ7" i="44" s="1"/>
  <c r="BP36" i="72"/>
  <c r="BP44" i="72" s="1"/>
  <c r="BP7" i="44" s="1"/>
  <c r="AR44" i="72"/>
  <c r="AR7" i="44" s="1"/>
  <c r="CB37" i="72"/>
  <c r="CB44" i="72" s="1"/>
  <c r="CB7" i="44" s="1"/>
  <c r="DL40" i="72"/>
  <c r="DL44" i="72" s="1"/>
  <c r="DL7" i="44" s="1"/>
  <c r="BD35" i="72"/>
  <c r="BD44" i="72" s="1"/>
  <c r="BD7" i="44" s="1"/>
  <c r="CN38" i="72"/>
  <c r="CN44" i="72" s="1"/>
  <c r="CN7" i="44" s="1"/>
  <c r="AR163" i="72"/>
  <c r="BD154" i="72"/>
  <c r="BM11" i="60"/>
  <c r="BA11" i="60"/>
  <c r="CT55" i="72"/>
  <c r="CH58" i="72"/>
  <c r="CH8" i="44" s="1"/>
  <c r="BW53" i="72"/>
  <c r="BK58" i="72"/>
  <c r="BK8" i="44" s="1"/>
  <c r="AP14" i="60"/>
  <c r="AY13" i="60"/>
  <c r="AQ14" i="60"/>
  <c r="AV14" i="60"/>
  <c r="AO13" i="60"/>
  <c r="BQ14" i="60"/>
  <c r="BT14" i="60"/>
  <c r="BW14" i="60"/>
  <c r="BN14" i="60"/>
  <c r="BM13" i="60"/>
  <c r="BL14" i="60"/>
  <c r="BV14" i="60"/>
  <c r="BG14" i="60"/>
  <c r="BU13" i="60"/>
  <c r="BJ14" i="60"/>
  <c r="BU14" i="60"/>
  <c r="BH14" i="60"/>
  <c r="CC14" i="60"/>
  <c r="CH14" i="60"/>
  <c r="CG13" i="60"/>
  <c r="CC13" i="60"/>
  <c r="CH13" i="60"/>
  <c r="CF14" i="60"/>
  <c r="CO14" i="60"/>
  <c r="CL14" i="60"/>
  <c r="CR14" i="60"/>
  <c r="CK14" i="60"/>
  <c r="CP14" i="60"/>
  <c r="CJ14" i="60"/>
  <c r="DA14" i="60"/>
  <c r="CW14" i="60"/>
  <c r="DD14" i="60"/>
  <c r="DA13" i="60"/>
  <c r="CW13" i="60"/>
  <c r="CZ13" i="60"/>
  <c r="DQ14" i="60"/>
  <c r="DI14" i="60"/>
  <c r="DR14" i="60"/>
  <c r="DQ13" i="60"/>
  <c r="DI13" i="60"/>
  <c r="DO13" i="60"/>
  <c r="AQ19" i="47"/>
  <c r="AO9" i="60" s="1"/>
  <c r="AS19" i="47"/>
  <c r="AQ9" i="60" s="1"/>
  <c r="AV19" i="47"/>
  <c r="AT9" i="60" s="1"/>
  <c r="BJ19" i="47"/>
  <c r="BH9" i="60" s="1"/>
  <c r="BH19" i="47"/>
  <c r="BF9" i="60" s="1"/>
  <c r="BK19" i="47"/>
  <c r="BI9" i="60" s="1"/>
  <c r="BN19" i="47"/>
  <c r="BL9" i="60" s="1"/>
  <c r="BQ19" i="47"/>
  <c r="BO9" i="60" s="1"/>
  <c r="BU19" i="47"/>
  <c r="BS9" i="60" s="1"/>
  <c r="CI19" i="47"/>
  <c r="CG9" i="60" s="1"/>
  <c r="BZ19" i="47"/>
  <c r="BX9" i="60" s="1"/>
  <c r="CJ19" i="47"/>
  <c r="CH9" i="60" s="1"/>
  <c r="CW19" i="47"/>
  <c r="CU9" i="60" s="1"/>
  <c r="CS19" i="47"/>
  <c r="CQ9" i="60" s="1"/>
  <c r="CR19" i="47"/>
  <c r="CP9" i="60" s="1"/>
  <c r="DB19" i="47"/>
  <c r="CZ9" i="60" s="1"/>
  <c r="DA19" i="47"/>
  <c r="CY9" i="60" s="1"/>
  <c r="DH19" i="47"/>
  <c r="DF9" i="60" s="1"/>
  <c r="DK19" i="47"/>
  <c r="DI9" i="60" s="1"/>
  <c r="DQ19" i="47"/>
  <c r="DO9" i="60" s="1"/>
  <c r="DR19" i="47"/>
  <c r="DP9" i="60" s="1"/>
  <c r="AS13" i="60"/>
  <c r="AT14" i="60"/>
  <c r="AX13" i="60"/>
  <c r="AU14" i="60"/>
  <c r="AQ13" i="60"/>
  <c r="BN13" i="60"/>
  <c r="BR13" i="60"/>
  <c r="BD13" i="60"/>
  <c r="BJ13" i="60"/>
  <c r="BQ13" i="60"/>
  <c r="BT13" i="60"/>
  <c r="BW13" i="60"/>
  <c r="BO13" i="60"/>
  <c r="BB14" i="60"/>
  <c r="BL13" i="60"/>
  <c r="BV13" i="60"/>
  <c r="BG13" i="60"/>
  <c r="CB13" i="60"/>
  <c r="CI13" i="60"/>
  <c r="CB14" i="60"/>
  <c r="CA14" i="60"/>
  <c r="CG14" i="60"/>
  <c r="BZ13" i="60"/>
  <c r="CR13" i="60"/>
  <c r="CU13" i="60"/>
  <c r="CT14" i="60"/>
  <c r="CQ13" i="60"/>
  <c r="CM14" i="60"/>
  <c r="CM13" i="60"/>
  <c r="CX13" i="60"/>
  <c r="DG13" i="60"/>
  <c r="DB13" i="60"/>
  <c r="CY14" i="60"/>
  <c r="CZ14" i="60"/>
  <c r="CX14" i="60"/>
  <c r="DL13" i="60"/>
  <c r="DH13" i="60"/>
  <c r="DM13" i="60"/>
  <c r="DP14" i="60"/>
  <c r="DO14" i="60"/>
  <c r="DL14" i="60"/>
  <c r="AR19" i="47"/>
  <c r="AP9" i="60" s="1"/>
  <c r="AX19" i="47"/>
  <c r="AV9" i="60" s="1"/>
  <c r="AT19" i="47"/>
  <c r="AR9" i="60" s="1"/>
  <c r="BM19" i="47"/>
  <c r="BK9" i="60" s="1"/>
  <c r="BE19" i="47"/>
  <c r="BC9" i="60" s="1"/>
  <c r="BD19" i="47"/>
  <c r="BB9" i="60" s="1"/>
  <c r="BV19" i="47"/>
  <c r="BT9" i="60" s="1"/>
  <c r="BO19" i="47"/>
  <c r="BM9" i="60" s="1"/>
  <c r="BT19" i="47"/>
  <c r="BR9" i="60" s="1"/>
  <c r="CA19" i="47"/>
  <c r="BY9" i="60" s="1"/>
  <c r="CB19" i="47"/>
  <c r="BZ9" i="60" s="1"/>
  <c r="CC19" i="47"/>
  <c r="CA9" i="60" s="1"/>
  <c r="CL19" i="47"/>
  <c r="CJ9" i="60" s="1"/>
  <c r="CO19" i="47"/>
  <c r="CM9" i="60" s="1"/>
  <c r="CT19" i="47"/>
  <c r="CR9" i="60" s="1"/>
  <c r="DE19" i="47"/>
  <c r="DC9" i="60" s="1"/>
  <c r="DC19" i="47"/>
  <c r="DA9" i="60" s="1"/>
  <c r="DF19" i="47"/>
  <c r="DD9" i="60" s="1"/>
  <c r="DP19" i="47"/>
  <c r="DN9" i="60" s="1"/>
  <c r="DJ19" i="47"/>
  <c r="DH9" i="60" s="1"/>
  <c r="DS19" i="47"/>
  <c r="DQ9" i="60" s="1"/>
  <c r="AY14" i="60"/>
  <c r="AX14" i="60"/>
  <c r="AP13" i="60"/>
  <c r="AU13" i="60"/>
  <c r="AT13" i="60"/>
  <c r="AR14" i="60"/>
  <c r="BF14" i="60"/>
  <c r="BE14" i="60"/>
  <c r="AZ14" i="60"/>
  <c r="BR14" i="60"/>
  <c r="BC14" i="60"/>
  <c r="BI14" i="60"/>
  <c r="BP14" i="60"/>
  <c r="BA14" i="60"/>
  <c r="BO14" i="60"/>
  <c r="BS14" i="60"/>
  <c r="BM14" i="60"/>
  <c r="BD14" i="60"/>
  <c r="CD14" i="60"/>
  <c r="CA13" i="60"/>
  <c r="BX13" i="60"/>
  <c r="CD13" i="60"/>
  <c r="BZ14" i="60"/>
  <c r="CE14" i="60"/>
  <c r="CQ14" i="60"/>
  <c r="CN13" i="60"/>
  <c r="CJ13" i="60"/>
  <c r="CN14" i="60"/>
  <c r="CK13" i="60"/>
  <c r="CS13" i="60"/>
  <c r="DE14" i="60"/>
  <c r="CY13" i="60"/>
  <c r="DC13" i="60"/>
  <c r="DE13" i="60"/>
  <c r="DB14" i="60"/>
  <c r="DF14" i="60"/>
  <c r="DS14" i="60"/>
  <c r="DP13" i="60"/>
  <c r="DJ14" i="60"/>
  <c r="DS13" i="60"/>
  <c r="DM14" i="60"/>
  <c r="DN13" i="60"/>
  <c r="BA19" i="47"/>
  <c r="AY9" i="60" s="1"/>
  <c r="AZ19" i="47"/>
  <c r="AX9" i="60" s="1"/>
  <c r="AU19" i="47"/>
  <c r="AS9" i="60" s="1"/>
  <c r="BI19" i="47"/>
  <c r="BG9" i="60" s="1"/>
  <c r="BF19" i="47"/>
  <c r="BD9" i="60" s="1"/>
  <c r="BB19" i="47"/>
  <c r="AZ9" i="60" s="1"/>
  <c r="BS19" i="47"/>
  <c r="BQ9" i="60" s="1"/>
  <c r="BY19" i="47"/>
  <c r="BW9" i="60" s="1"/>
  <c r="BP19" i="47"/>
  <c r="BN9" i="60" s="1"/>
  <c r="CF19" i="47"/>
  <c r="CD9" i="60" s="1"/>
  <c r="CK19" i="47"/>
  <c r="CI9" i="60" s="1"/>
  <c r="CG19" i="47"/>
  <c r="CE9" i="60" s="1"/>
  <c r="CQ19" i="47"/>
  <c r="CO9" i="60" s="1"/>
  <c r="CM19" i="47"/>
  <c r="CK9" i="60" s="1"/>
  <c r="CU19" i="47"/>
  <c r="CS9" i="60" s="1"/>
  <c r="CY19" i="47"/>
  <c r="CW9" i="60" s="1"/>
  <c r="DI19" i="47"/>
  <c r="DG9" i="60" s="1"/>
  <c r="DG19" i="47"/>
  <c r="DE9" i="60" s="1"/>
  <c r="DN19" i="47"/>
  <c r="DL9" i="60" s="1"/>
  <c r="DO19" i="47"/>
  <c r="DM9" i="60" s="1"/>
  <c r="DT19" i="47"/>
  <c r="DR9" i="60" s="1"/>
  <c r="AR13" i="60"/>
  <c r="AV13" i="60"/>
  <c r="AO14" i="60"/>
  <c r="AW13" i="60"/>
  <c r="AW14" i="60"/>
  <c r="AS14" i="60"/>
  <c r="BA13" i="60"/>
  <c r="BK13" i="60"/>
  <c r="BB13" i="60"/>
  <c r="BK14" i="60"/>
  <c r="BF13" i="60"/>
  <c r="BE13" i="60"/>
  <c r="AZ13" i="60"/>
  <c r="BS13" i="60"/>
  <c r="BC13" i="60"/>
  <c r="BI13" i="60"/>
  <c r="BP13" i="60"/>
  <c r="BH13" i="60"/>
  <c r="CE13" i="60"/>
  <c r="BX14" i="60"/>
  <c r="CF13" i="60"/>
  <c r="BY14" i="60"/>
  <c r="BY13" i="60"/>
  <c r="CI14" i="60"/>
  <c r="CT13" i="60"/>
  <c r="CP13" i="60"/>
  <c r="CO13" i="60"/>
  <c r="CL13" i="60"/>
  <c r="CS14" i="60"/>
  <c r="CU14" i="60"/>
  <c r="DF13" i="60"/>
  <c r="CV13" i="60"/>
  <c r="DD13" i="60"/>
  <c r="CV14" i="60"/>
  <c r="DC14" i="60"/>
  <c r="DG14" i="60"/>
  <c r="DJ13" i="60"/>
  <c r="DK13" i="60"/>
  <c r="DR13" i="60"/>
  <c r="DK14" i="60"/>
  <c r="DN14" i="60"/>
  <c r="DH14" i="60"/>
  <c r="AW19" i="47"/>
  <c r="AU9" i="60" s="1"/>
  <c r="AY19" i="47"/>
  <c r="AW9" i="60" s="1"/>
  <c r="BL19" i="47"/>
  <c r="BJ9" i="60" s="1"/>
  <c r="BG19" i="47"/>
  <c r="BE9" i="60" s="1"/>
  <c r="BC19" i="47"/>
  <c r="BA9" i="60" s="1"/>
  <c r="BR19" i="47"/>
  <c r="BP9" i="60" s="1"/>
  <c r="BX19" i="47"/>
  <c r="BV9" i="60" s="1"/>
  <c r="BW19" i="47"/>
  <c r="BU9" i="60" s="1"/>
  <c r="CE19" i="47"/>
  <c r="CC9" i="60" s="1"/>
  <c r="CD19" i="47"/>
  <c r="CB9" i="60" s="1"/>
  <c r="CH19" i="47"/>
  <c r="CF9" i="60" s="1"/>
  <c r="CV19" i="47"/>
  <c r="CT9" i="60" s="1"/>
  <c r="CN19" i="47"/>
  <c r="CL9" i="60" s="1"/>
  <c r="CP19" i="47"/>
  <c r="CN9" i="60" s="1"/>
  <c r="CZ19" i="47"/>
  <c r="CX9" i="60" s="1"/>
  <c r="CX19" i="47"/>
  <c r="CV9" i="60" s="1"/>
  <c r="DD19" i="47"/>
  <c r="DB9" i="60" s="1"/>
  <c r="DM19" i="47"/>
  <c r="DK9" i="60" s="1"/>
  <c r="DL19" i="47"/>
  <c r="DJ9" i="60" s="1"/>
  <c r="DU19" i="47"/>
  <c r="DS9" i="60" s="1"/>
  <c r="BY11" i="60"/>
  <c r="CK11" i="60"/>
  <c r="CW11" i="60"/>
  <c r="BC13" i="44"/>
  <c r="BC12" i="44"/>
  <c r="BC15" i="44"/>
  <c r="BC14" i="44"/>
  <c r="BC11" i="44"/>
  <c r="DK13" i="44"/>
  <c r="DK15" i="44"/>
  <c r="DK14" i="44"/>
  <c r="DK12" i="44"/>
  <c r="DK11" i="44"/>
  <c r="CY13" i="44"/>
  <c r="CY12" i="44"/>
  <c r="CY15" i="44"/>
  <c r="CY14" i="44"/>
  <c r="CY11" i="44"/>
  <c r="AE11" i="44"/>
  <c r="AE14" i="44" s="1"/>
  <c r="AE13" i="44"/>
  <c r="AE17" i="44" s="1"/>
  <c r="AE12" i="44"/>
  <c r="BQ112" i="72"/>
  <c r="BE121" i="72"/>
  <c r="AR31" i="60" s="1"/>
  <c r="CA42" i="60"/>
  <c r="CA36" i="60"/>
  <c r="CZ115" i="72"/>
  <c r="CN121" i="72"/>
  <c r="CA31" i="60" s="1"/>
  <c r="CA92" i="72"/>
  <c r="CA10" i="44" s="1"/>
  <c r="CM92" i="72"/>
  <c r="CM10" i="44" s="1"/>
  <c r="CM163" i="72"/>
  <c r="CY158" i="72"/>
  <c r="BO92" i="72"/>
  <c r="BO10" i="44" s="1"/>
  <c r="AQ92" i="72"/>
  <c r="AQ10" i="44" s="1"/>
  <c r="AF80" i="72"/>
  <c r="AF81" i="72" s="1"/>
  <c r="CN86" i="72" s="1"/>
  <c r="AT80" i="72"/>
  <c r="Q53" i="75"/>
  <c r="Q68" i="75"/>
  <c r="P66" i="75"/>
  <c r="AS32" i="72" s="1"/>
  <c r="Q49" i="75"/>
  <c r="Q65" i="75"/>
  <c r="AT79" i="72" s="1"/>
  <c r="Q61" i="75"/>
  <c r="P54" i="75"/>
  <c r="N50" i="76"/>
  <c r="N63" i="76"/>
  <c r="N70" i="76" s="1"/>
  <c r="N51" i="76"/>
  <c r="N62" i="76"/>
  <c r="O58" i="76" s="1"/>
  <c r="BJ38" i="60" l="1"/>
  <c r="BJ37" i="60"/>
  <c r="AE15" i="44"/>
  <c r="AE16" i="44"/>
  <c r="CG37" i="60"/>
  <c r="CG38" i="60"/>
  <c r="DK22" i="44"/>
  <c r="DK28" i="44"/>
  <c r="DK17" i="44"/>
  <c r="BC22" i="44"/>
  <c r="BC28" i="44"/>
  <c r="BC17" i="44"/>
  <c r="CY22" i="44"/>
  <c r="CY28" i="44"/>
  <c r="CY17" i="44"/>
  <c r="BP155" i="72"/>
  <c r="BD163" i="72"/>
  <c r="CI54" i="72"/>
  <c r="BW58" i="72"/>
  <c r="BW8" i="44" s="1"/>
  <c r="DF56" i="72"/>
  <c r="CT58" i="72"/>
  <c r="CT8" i="44" s="1"/>
  <c r="DJ18" i="60"/>
  <c r="DL88" i="72"/>
  <c r="DL92" i="72" s="1"/>
  <c r="DL10" i="44" s="1"/>
  <c r="CZ87" i="72"/>
  <c r="Q62" i="75"/>
  <c r="R58" i="75" s="1"/>
  <c r="R59" i="75" s="1"/>
  <c r="R60" i="75" s="1"/>
  <c r="BO13" i="44"/>
  <c r="BO12" i="44"/>
  <c r="BO15" i="44"/>
  <c r="BO14" i="44"/>
  <c r="BO11" i="44"/>
  <c r="CA13" i="44"/>
  <c r="CA12" i="44"/>
  <c r="CA15" i="44"/>
  <c r="CA14" i="44"/>
  <c r="CA11" i="44"/>
  <c r="AQ11" i="44"/>
  <c r="AQ12" i="44"/>
  <c r="AQ14" i="44"/>
  <c r="AQ13" i="44"/>
  <c r="AQ15" i="44"/>
  <c r="CM12" i="44"/>
  <c r="CM15" i="44"/>
  <c r="CM14" i="44"/>
  <c r="CM11" i="44"/>
  <c r="CM13" i="44"/>
  <c r="AE28" i="44"/>
  <c r="CX18" i="60"/>
  <c r="BD36" i="60"/>
  <c r="BD42" i="60"/>
  <c r="CC113" i="72"/>
  <c r="BQ121" i="72"/>
  <c r="BD31" i="60" s="1"/>
  <c r="CM42" i="60"/>
  <c r="CM36" i="60"/>
  <c r="DL116" i="72"/>
  <c r="DL121" i="72" s="1"/>
  <c r="CY31" i="60" s="1"/>
  <c r="DK31" i="60" s="1"/>
  <c r="CZ121" i="72"/>
  <c r="CM31" i="60" s="1"/>
  <c r="CZ92" i="72"/>
  <c r="CZ10" i="44" s="1"/>
  <c r="AS34" i="72"/>
  <c r="BE35" i="72" s="1"/>
  <c r="BE44" i="72" s="1"/>
  <c r="BE7" i="44" s="1"/>
  <c r="AS150" i="72"/>
  <c r="AS153" i="72" s="1"/>
  <c r="CN92" i="72"/>
  <c r="CN10" i="44" s="1"/>
  <c r="CY163" i="72"/>
  <c r="DK159" i="72"/>
  <c r="DK163" i="72" s="1"/>
  <c r="BP84" i="72"/>
  <c r="AR82" i="72"/>
  <c r="CB85" i="72"/>
  <c r="BD83" i="72"/>
  <c r="AF92" i="72"/>
  <c r="AF10" i="44" s="1"/>
  <c r="AT81" i="72"/>
  <c r="DN87" i="72" s="1"/>
  <c r="BB18" i="60"/>
  <c r="N56" i="76"/>
  <c r="O49" i="76" s="1"/>
  <c r="P69" i="75"/>
  <c r="AS63" i="72" s="1"/>
  <c r="AS65" i="72" s="1"/>
  <c r="AD9" i="29"/>
  <c r="O59" i="76"/>
  <c r="O60" i="76" s="1"/>
  <c r="O55" i="76"/>
  <c r="N64" i="76"/>
  <c r="BF110" i="72" s="1"/>
  <c r="N52" i="76"/>
  <c r="Q51" i="75"/>
  <c r="Q50" i="75"/>
  <c r="Q63" i="75"/>
  <c r="CS37" i="60" l="1"/>
  <c r="CS38" i="60"/>
  <c r="BV38" i="60"/>
  <c r="BV37" i="60"/>
  <c r="BO22" i="44"/>
  <c r="BO28" i="44"/>
  <c r="BO17" i="44"/>
  <c r="CM22" i="44"/>
  <c r="CM28" i="44"/>
  <c r="CM17" i="44"/>
  <c r="AQ22" i="44"/>
  <c r="AQ28" i="44"/>
  <c r="AQ17" i="44"/>
  <c r="CA22" i="44"/>
  <c r="CA28" i="44"/>
  <c r="CA17" i="44"/>
  <c r="CX11" i="60"/>
  <c r="DA39" i="72"/>
  <c r="DA44" i="72" s="1"/>
  <c r="DA7" i="44" s="1"/>
  <c r="CB156" i="72"/>
  <c r="BP163" i="72"/>
  <c r="DR57" i="72"/>
  <c r="DR58" i="72" s="1"/>
  <c r="DR8" i="44" s="1"/>
  <c r="DF58" i="72"/>
  <c r="DF8" i="44" s="1"/>
  <c r="CU55" i="72"/>
  <c r="CI58" i="72"/>
  <c r="CI8" i="44" s="1"/>
  <c r="BB11" i="60"/>
  <c r="DJ11" i="60"/>
  <c r="Q70" i="75"/>
  <c r="AS44" i="72"/>
  <c r="AS7" i="44" s="1"/>
  <c r="CC37" i="72"/>
  <c r="CC44" i="72" s="1"/>
  <c r="CC7" i="44" s="1"/>
  <c r="CO38" i="72"/>
  <c r="CO44" i="72" s="1"/>
  <c r="CO7" i="44" s="1"/>
  <c r="DM40" i="72"/>
  <c r="DM44" i="72" s="1"/>
  <c r="DM7" i="44" s="1"/>
  <c r="CN14" i="44"/>
  <c r="CN13" i="44"/>
  <c r="CN11" i="44"/>
  <c r="CN12" i="44"/>
  <c r="CN15" i="44"/>
  <c r="DL11" i="44"/>
  <c r="DL13" i="44"/>
  <c r="DL12" i="44"/>
  <c r="DL14" i="44"/>
  <c r="DL15" i="44"/>
  <c r="CZ15" i="44"/>
  <c r="CZ12" i="44"/>
  <c r="CZ14" i="44"/>
  <c r="CZ13" i="44"/>
  <c r="CZ11" i="44"/>
  <c r="BZ18" i="60"/>
  <c r="AE29" i="44"/>
  <c r="AE30" i="44" s="1"/>
  <c r="AF27" i="44" s="1"/>
  <c r="AF12" i="44"/>
  <c r="AF11" i="44"/>
  <c r="AF14" i="44" s="1"/>
  <c r="AF13" i="44"/>
  <c r="AF17" i="44" s="1"/>
  <c r="CD84" i="72"/>
  <c r="CD92" i="72" s="1"/>
  <c r="CD10" i="44" s="1"/>
  <c r="AP18" i="60"/>
  <c r="BN18" i="60"/>
  <c r="CL18" i="60"/>
  <c r="BP36" i="60"/>
  <c r="BP42" i="60"/>
  <c r="CO114" i="72"/>
  <c r="CC121" i="72"/>
  <c r="BP31" i="60" s="1"/>
  <c r="BQ36" i="72"/>
  <c r="BQ44" i="72" s="1"/>
  <c r="BQ7" i="44" s="1"/>
  <c r="CY36" i="60"/>
  <c r="CY42" i="60"/>
  <c r="DK42" i="60"/>
  <c r="DK36" i="60"/>
  <c r="BD92" i="72"/>
  <c r="BD10" i="44" s="1"/>
  <c r="AS163" i="72"/>
  <c r="BE154" i="72"/>
  <c r="CB92" i="72"/>
  <c r="CB10" i="44" s="1"/>
  <c r="AR92" i="72"/>
  <c r="AR10" i="44" s="1"/>
  <c r="DN92" i="72"/>
  <c r="DN10" i="44" s="1"/>
  <c r="CP85" i="72"/>
  <c r="AT92" i="72"/>
  <c r="AT10" i="44" s="1"/>
  <c r="BP92" i="72"/>
  <c r="BP10" i="44" s="1"/>
  <c r="DB86" i="72"/>
  <c r="BF82" i="72"/>
  <c r="BR83" i="72"/>
  <c r="DM71" i="72"/>
  <c r="DM75" i="72" s="1"/>
  <c r="DM9" i="44" s="1"/>
  <c r="BQ67" i="72"/>
  <c r="BQ75" i="72" s="1"/>
  <c r="BQ9" i="44" s="1"/>
  <c r="CC68" i="72"/>
  <c r="CC75" i="72" s="1"/>
  <c r="CC9" i="44" s="1"/>
  <c r="BE66" i="72"/>
  <c r="BE75" i="72" s="1"/>
  <c r="BE9" i="44" s="1"/>
  <c r="AS75" i="72"/>
  <c r="AS9" i="44" s="1"/>
  <c r="CO69" i="72"/>
  <c r="CO75" i="72" s="1"/>
  <c r="CO9" i="44" s="1"/>
  <c r="DA70" i="72"/>
  <c r="DA75" i="72" s="1"/>
  <c r="DA9" i="44" s="1"/>
  <c r="N66" i="76"/>
  <c r="R53" i="75"/>
  <c r="R68" i="75"/>
  <c r="DT41" i="72"/>
  <c r="AN44" i="72"/>
  <c r="AN7" i="44" s="1"/>
  <c r="AZ35" i="72"/>
  <c r="BL52" i="72"/>
  <c r="AZ51" i="72"/>
  <c r="AZ58" i="72" s="1"/>
  <c r="AZ8" i="44" s="1"/>
  <c r="O63" i="76"/>
  <c r="O50" i="76"/>
  <c r="Q56" i="75"/>
  <c r="N54" i="76"/>
  <c r="O65" i="76"/>
  <c r="O61" i="76"/>
  <c r="O62" i="76" s="1"/>
  <c r="P58" i="76" s="1"/>
  <c r="Q64" i="75"/>
  <c r="BF109" i="72" s="1"/>
  <c r="BF111" i="72" s="1"/>
  <c r="Q52" i="75"/>
  <c r="O68" i="76"/>
  <c r="O53" i="76"/>
  <c r="O51" i="76" s="1"/>
  <c r="O64" i="76" s="1"/>
  <c r="BG110" i="72" s="1"/>
  <c r="DM16" i="44" l="1"/>
  <c r="DL23" i="60"/>
  <c r="DL22" i="60"/>
  <c r="BE16" i="44"/>
  <c r="BD23" i="60"/>
  <c r="BD22" i="60"/>
  <c r="CH37" i="60"/>
  <c r="CH38" i="60"/>
  <c r="CC16" i="44"/>
  <c r="CB22" i="60"/>
  <c r="CB23" i="60"/>
  <c r="AY37" i="60"/>
  <c r="AY38" i="60"/>
  <c r="DA16" i="44"/>
  <c r="CZ23" i="60"/>
  <c r="CZ22" i="60"/>
  <c r="CO16" i="44"/>
  <c r="CN22" i="60"/>
  <c r="CN23" i="60"/>
  <c r="BQ16" i="44"/>
  <c r="BP23" i="60"/>
  <c r="BP22" i="60"/>
  <c r="DE38" i="60"/>
  <c r="DE37" i="60"/>
  <c r="AS16" i="44"/>
  <c r="AR22" i="60"/>
  <c r="AR23" i="60"/>
  <c r="AF15" i="44"/>
  <c r="AF16" i="44"/>
  <c r="DQ37" i="60"/>
  <c r="DQ38" i="60"/>
  <c r="CZ22" i="44"/>
  <c r="CZ28" i="44"/>
  <c r="CZ17" i="44"/>
  <c r="CN22" i="44"/>
  <c r="CN28" i="44"/>
  <c r="CN17" i="44"/>
  <c r="DL22" i="44"/>
  <c r="DL28" i="44"/>
  <c r="DL17" i="44"/>
  <c r="CL11" i="60"/>
  <c r="BN11" i="60"/>
  <c r="CB163" i="72"/>
  <c r="CN157" i="72"/>
  <c r="AF28" i="44"/>
  <c r="AF29" i="44" s="1"/>
  <c r="AT33" i="72"/>
  <c r="AT151" i="72" s="1"/>
  <c r="N69" i="76"/>
  <c r="DG56" i="72"/>
  <c r="CU58" i="72"/>
  <c r="CU8" i="44" s="1"/>
  <c r="BX53" i="72"/>
  <c r="BL58" i="72"/>
  <c r="BL8" i="44" s="1"/>
  <c r="BZ11" i="60"/>
  <c r="CY18" i="60"/>
  <c r="AE9" i="16"/>
  <c r="AT14" i="44"/>
  <c r="AT12" i="44"/>
  <c r="AT11" i="44"/>
  <c r="AT13" i="44"/>
  <c r="AT15" i="44"/>
  <c r="CD15" i="44"/>
  <c r="CD13" i="44"/>
  <c r="CD11" i="44"/>
  <c r="CD12" i="44"/>
  <c r="CD14" i="44"/>
  <c r="CB14" i="44"/>
  <c r="CB12" i="44"/>
  <c r="CB15" i="44"/>
  <c r="CB13" i="44"/>
  <c r="CB11" i="44"/>
  <c r="DN12" i="44"/>
  <c r="DN11" i="44"/>
  <c r="DN13" i="44"/>
  <c r="DN14" i="44"/>
  <c r="DN15" i="44"/>
  <c r="BD12" i="44"/>
  <c r="BD15" i="44"/>
  <c r="BD13" i="44"/>
  <c r="BD14" i="44"/>
  <c r="BD11" i="44"/>
  <c r="BP12" i="44"/>
  <c r="BP15" i="44"/>
  <c r="BP13" i="44"/>
  <c r="BP14" i="44"/>
  <c r="BP11" i="44"/>
  <c r="AR12" i="44"/>
  <c r="AR13" i="44"/>
  <c r="AR11" i="44"/>
  <c r="AR14" i="44"/>
  <c r="AR15" i="44"/>
  <c r="DK18" i="60"/>
  <c r="BR112" i="72"/>
  <c r="CD113" i="72" s="1"/>
  <c r="BF121" i="72"/>
  <c r="AS31" i="60" s="1"/>
  <c r="DA115" i="72"/>
  <c r="CO121" i="72"/>
  <c r="CB31" i="60" s="1"/>
  <c r="CB42" i="60"/>
  <c r="CB36" i="60"/>
  <c r="CM18" i="60"/>
  <c r="BE36" i="60"/>
  <c r="BE42" i="60"/>
  <c r="BE163" i="72"/>
  <c r="BQ155" i="72"/>
  <c r="CP92" i="72"/>
  <c r="CP10" i="44" s="1"/>
  <c r="BR92" i="72"/>
  <c r="BR10" i="44" s="1"/>
  <c r="BF92" i="72"/>
  <c r="BF10" i="44" s="1"/>
  <c r="DB92" i="72"/>
  <c r="DB10" i="44" s="1"/>
  <c r="AP11" i="60"/>
  <c r="AG80" i="72"/>
  <c r="AG81" i="72" s="1"/>
  <c r="CC85" i="72" s="1"/>
  <c r="AU80" i="72"/>
  <c r="AT64" i="72"/>
  <c r="O52" i="76"/>
  <c r="Q54" i="75"/>
  <c r="Q66" i="75"/>
  <c r="AT32" i="72" s="1"/>
  <c r="R49" i="75"/>
  <c r="O70" i="76"/>
  <c r="AE9" i="29"/>
  <c r="O56" i="76"/>
  <c r="P55" i="76"/>
  <c r="P59" i="76"/>
  <c r="P60" i="76" s="1"/>
  <c r="BK38" i="60" l="1"/>
  <c r="BK37" i="60"/>
  <c r="CT38" i="60"/>
  <c r="CT37" i="60"/>
  <c r="BO18" i="60"/>
  <c r="BP22" i="44"/>
  <c r="BP28" i="44"/>
  <c r="BP17" i="44"/>
  <c r="CB22" i="44"/>
  <c r="CB28" i="44"/>
  <c r="CB17" i="44"/>
  <c r="AR17" i="44"/>
  <c r="AR22" i="44"/>
  <c r="AR28" i="44"/>
  <c r="BC18" i="60"/>
  <c r="BD22" i="44"/>
  <c r="BD28" i="44"/>
  <c r="BD17" i="44"/>
  <c r="CZ158" i="72"/>
  <c r="CN163" i="72"/>
  <c r="CJ54" i="72"/>
  <c r="BX58" i="72"/>
  <c r="BX8" i="44" s="1"/>
  <c r="DS57" i="72"/>
  <c r="DS58" i="72" s="1"/>
  <c r="DS8" i="44" s="1"/>
  <c r="DG58" i="72"/>
  <c r="DG8" i="44" s="1"/>
  <c r="DK11" i="60"/>
  <c r="CY11" i="60"/>
  <c r="CM11" i="60"/>
  <c r="BE83" i="72"/>
  <c r="BE92" i="72" s="1"/>
  <c r="BE10" i="44" s="1"/>
  <c r="BE15" i="44" s="1"/>
  <c r="DM18" i="60"/>
  <c r="AS82" i="72"/>
  <c r="AS92" i="72" s="1"/>
  <c r="AS10" i="44" s="1"/>
  <c r="BF12" i="44"/>
  <c r="BF15" i="44"/>
  <c r="BF13" i="44"/>
  <c r="BF11" i="44"/>
  <c r="BF14" i="44"/>
  <c r="CP15" i="44"/>
  <c r="CP13" i="44"/>
  <c r="CP11" i="44"/>
  <c r="CP12" i="44"/>
  <c r="CP14" i="44"/>
  <c r="BR121" i="72"/>
  <c r="BE31" i="60" s="1"/>
  <c r="DB15" i="44"/>
  <c r="DB12" i="44"/>
  <c r="DB13" i="44"/>
  <c r="DB11" i="44"/>
  <c r="DB14" i="44"/>
  <c r="BR15" i="44"/>
  <c r="BR13" i="44"/>
  <c r="BR12" i="44"/>
  <c r="BR11" i="44"/>
  <c r="BR14" i="44"/>
  <c r="CC18" i="60"/>
  <c r="AS18" i="60"/>
  <c r="CN42" i="60"/>
  <c r="CN36" i="60"/>
  <c r="DM116" i="72"/>
  <c r="DM121" i="72" s="1"/>
  <c r="CZ31" i="60" s="1"/>
  <c r="DL31" i="60" s="1"/>
  <c r="DA121" i="72"/>
  <c r="CN31" i="60" s="1"/>
  <c r="AQ18" i="60"/>
  <c r="BQ42" i="60"/>
  <c r="BQ36" i="60"/>
  <c r="CP114" i="72"/>
  <c r="CD121" i="72"/>
  <c r="BQ31" i="60" s="1"/>
  <c r="BQ163" i="72"/>
  <c r="CC156" i="72"/>
  <c r="CC92" i="72"/>
  <c r="CC10" i="44" s="1"/>
  <c r="AT34" i="72"/>
  <c r="BF35" i="72" s="1"/>
  <c r="BF44" i="72" s="1"/>
  <c r="BF7" i="44" s="1"/>
  <c r="AT150" i="72"/>
  <c r="AT153" i="72" s="1"/>
  <c r="CA18" i="60"/>
  <c r="DM88" i="72"/>
  <c r="BQ84" i="72"/>
  <c r="DA87" i="72"/>
  <c r="CO86" i="72"/>
  <c r="AG92" i="72"/>
  <c r="AG10" i="44" s="1"/>
  <c r="R55" i="75"/>
  <c r="P68" i="76"/>
  <c r="P53" i="76"/>
  <c r="P65" i="76"/>
  <c r="AV80" i="72" s="1"/>
  <c r="P61" i="76"/>
  <c r="O54" i="76"/>
  <c r="R51" i="75"/>
  <c r="R50" i="75"/>
  <c r="R63" i="75"/>
  <c r="AF9" i="16"/>
  <c r="O66" i="76"/>
  <c r="P49" i="76"/>
  <c r="Q69" i="75"/>
  <c r="AT63" i="72" s="1"/>
  <c r="AT65" i="72" s="1"/>
  <c r="AF30" i="44"/>
  <c r="AG27" i="44" s="1"/>
  <c r="DF37" i="60" l="1"/>
  <c r="DF38" i="60"/>
  <c r="DR38" i="60"/>
  <c r="DR37" i="60"/>
  <c r="BW38" i="60"/>
  <c r="BW37" i="60"/>
  <c r="DL159" i="72"/>
  <c r="DL163" i="72" s="1"/>
  <c r="CZ163" i="72"/>
  <c r="AU33" i="72"/>
  <c r="AU151" i="72" s="1"/>
  <c r="O69" i="76"/>
  <c r="BE12" i="44"/>
  <c r="BC11" i="60"/>
  <c r="BE14" i="44"/>
  <c r="BE11" i="44"/>
  <c r="BE13" i="44"/>
  <c r="BO11" i="60"/>
  <c r="CV55" i="72"/>
  <c r="CJ58" i="72"/>
  <c r="CJ8" i="44" s="1"/>
  <c r="CA11" i="60"/>
  <c r="DN40" i="72"/>
  <c r="DN44" i="72" s="1"/>
  <c r="DN7" i="44" s="1"/>
  <c r="AT44" i="72"/>
  <c r="AT7" i="44" s="1"/>
  <c r="CD37" i="72"/>
  <c r="CD44" i="72" s="1"/>
  <c r="CD7" i="44" s="1"/>
  <c r="DB39" i="72"/>
  <c r="DB44" i="72" s="1"/>
  <c r="DB7" i="44" s="1"/>
  <c r="CP38" i="72"/>
  <c r="CP44" i="72" s="1"/>
  <c r="CP7" i="44" s="1"/>
  <c r="CC13" i="44"/>
  <c r="CC11" i="44"/>
  <c r="CC12" i="44"/>
  <c r="CC15" i="44"/>
  <c r="CC14" i="44"/>
  <c r="AS13" i="44"/>
  <c r="AS14" i="44"/>
  <c r="AS15" i="44"/>
  <c r="AS11" i="44"/>
  <c r="AS12" i="44"/>
  <c r="AG13" i="44"/>
  <c r="AG17" i="44" s="1"/>
  <c r="AG12" i="44"/>
  <c r="AG11" i="44"/>
  <c r="AG14" i="44" s="1"/>
  <c r="BR36" i="72"/>
  <c r="BR44" i="72" s="1"/>
  <c r="BR7" i="44" s="1"/>
  <c r="BQ18" i="60"/>
  <c r="DA18" i="60"/>
  <c r="CZ42" i="60"/>
  <c r="CZ36" i="60"/>
  <c r="DL36" i="60"/>
  <c r="DL42" i="60"/>
  <c r="CO18" i="60"/>
  <c r="BE18" i="60"/>
  <c r="CC36" i="60"/>
  <c r="CC42" i="60"/>
  <c r="DB115" i="72"/>
  <c r="CP121" i="72"/>
  <c r="CC31" i="60" s="1"/>
  <c r="CC163" i="72"/>
  <c r="CO157" i="72"/>
  <c r="CO92" i="72"/>
  <c r="CO10" i="44" s="1"/>
  <c r="BQ92" i="72"/>
  <c r="BQ10" i="44" s="1"/>
  <c r="AQ11" i="60"/>
  <c r="DA92" i="72"/>
  <c r="DA10" i="44" s="1"/>
  <c r="AT163" i="72"/>
  <c r="BF154" i="72"/>
  <c r="DM92" i="72"/>
  <c r="DM10" i="44" s="1"/>
  <c r="CP69" i="72"/>
  <c r="CP75" i="72" s="1"/>
  <c r="CP9" i="44" s="1"/>
  <c r="DB70" i="72"/>
  <c r="DB75" i="72" s="1"/>
  <c r="DB9" i="44" s="1"/>
  <c r="CD68" i="72"/>
  <c r="CD75" i="72" s="1"/>
  <c r="CD9" i="44" s="1"/>
  <c r="BF66" i="72"/>
  <c r="BF75" i="72" s="1"/>
  <c r="BF9" i="44" s="1"/>
  <c r="DN71" i="72"/>
  <c r="DN75" i="72" s="1"/>
  <c r="DN9" i="44" s="1"/>
  <c r="BR67" i="72"/>
  <c r="BR75" i="72" s="1"/>
  <c r="BR9" i="44" s="1"/>
  <c r="AT75" i="72"/>
  <c r="AT9" i="44" s="1"/>
  <c r="R65" i="75"/>
  <c r="AU79" i="72" s="1"/>
  <c r="AU81" i="72" s="1"/>
  <c r="AU92" i="72" s="1"/>
  <c r="AU10" i="44" s="1"/>
  <c r="R61" i="75"/>
  <c r="R62" i="75" s="1"/>
  <c r="R64" i="75"/>
  <c r="BG109" i="72" s="1"/>
  <c r="BG111" i="72" s="1"/>
  <c r="R52" i="75"/>
  <c r="P63" i="76"/>
  <c r="P70" i="76" s="1"/>
  <c r="P50" i="76"/>
  <c r="P62" i="76"/>
  <c r="Q58" i="76" s="1"/>
  <c r="P51" i="76"/>
  <c r="R56" i="75"/>
  <c r="AU64" i="72"/>
  <c r="DN16" i="44" l="1"/>
  <c r="DM23" i="60"/>
  <c r="DM22" i="60"/>
  <c r="CP16" i="44"/>
  <c r="CO22" i="60"/>
  <c r="CO23" i="60"/>
  <c r="AG15" i="44"/>
  <c r="AG16" i="44"/>
  <c r="CI37" i="60"/>
  <c r="CI38" i="60"/>
  <c r="BF16" i="44"/>
  <c r="BE23" i="60"/>
  <c r="BE22" i="60"/>
  <c r="AT16" i="44"/>
  <c r="AS23" i="60"/>
  <c r="AS22" i="60"/>
  <c r="CD16" i="44"/>
  <c r="CC22" i="60"/>
  <c r="CC23" i="60"/>
  <c r="BR16" i="44"/>
  <c r="BQ23" i="60"/>
  <c r="BQ22" i="60"/>
  <c r="DB16" i="44"/>
  <c r="DA22" i="60"/>
  <c r="DA23" i="60"/>
  <c r="CC22" i="44"/>
  <c r="CC28" i="44"/>
  <c r="CC17" i="44"/>
  <c r="AS22" i="44"/>
  <c r="AS28" i="44"/>
  <c r="AS17" i="44"/>
  <c r="BE22" i="44"/>
  <c r="BE28" i="44"/>
  <c r="BE17" i="44"/>
  <c r="AR18" i="60"/>
  <c r="DH56" i="72"/>
  <c r="CV58" i="72"/>
  <c r="CV8" i="44" s="1"/>
  <c r="CB18" i="60"/>
  <c r="DM11" i="44"/>
  <c r="DM12" i="44"/>
  <c r="DM15" i="44"/>
  <c r="DM14" i="44"/>
  <c r="DM13" i="44"/>
  <c r="BQ11" i="44"/>
  <c r="BQ12" i="44"/>
  <c r="BQ15" i="44"/>
  <c r="BQ14" i="44"/>
  <c r="BQ13" i="44"/>
  <c r="AU11" i="44"/>
  <c r="AU12" i="44"/>
  <c r="AU14" i="44"/>
  <c r="AU13" i="44"/>
  <c r="AU15" i="44"/>
  <c r="CO14" i="44"/>
  <c r="CO15" i="44"/>
  <c r="CO12" i="44"/>
  <c r="CO13" i="44"/>
  <c r="CO11" i="44"/>
  <c r="DA15" i="44"/>
  <c r="DA13" i="44"/>
  <c r="DA14" i="44"/>
  <c r="DA12" i="44"/>
  <c r="DA11" i="44"/>
  <c r="AG28" i="44"/>
  <c r="AG29" i="44" s="1"/>
  <c r="AG9" i="16" s="1"/>
  <c r="BD18" i="60"/>
  <c r="BS112" i="72"/>
  <c r="BG121" i="72"/>
  <c r="AT31" i="60" s="1"/>
  <c r="CO36" i="60"/>
  <c r="CO42" i="60"/>
  <c r="DN116" i="72"/>
  <c r="DN121" i="72" s="1"/>
  <c r="DA31" i="60" s="1"/>
  <c r="DM31" i="60" s="1"/>
  <c r="DB121" i="72"/>
  <c r="CO31" i="60" s="1"/>
  <c r="BF163" i="72"/>
  <c r="BR155" i="72"/>
  <c r="CO163" i="72"/>
  <c r="DA158" i="72"/>
  <c r="BS83" i="72"/>
  <c r="DC86" i="72"/>
  <c r="CE84" i="72"/>
  <c r="DO87" i="72"/>
  <c r="CQ85" i="72"/>
  <c r="BG82" i="72"/>
  <c r="BG92" i="72" s="1"/>
  <c r="BG10" i="44" s="1"/>
  <c r="S58" i="75"/>
  <c r="S59" i="75" s="1"/>
  <c r="S60" i="75" s="1"/>
  <c r="R70" i="75"/>
  <c r="P56" i="76"/>
  <c r="Q49" i="76" s="1"/>
  <c r="Q55" i="76" s="1"/>
  <c r="P64" i="76"/>
  <c r="BH110" i="72" s="1"/>
  <c r="P52" i="76"/>
  <c r="Q59" i="76"/>
  <c r="Q60" i="76" s="1"/>
  <c r="S49" i="75"/>
  <c r="R66" i="75"/>
  <c r="AU32" i="72" s="1"/>
  <c r="R54" i="75"/>
  <c r="AF9" i="29"/>
  <c r="DB28" i="44" l="1"/>
  <c r="DB22" i="44"/>
  <c r="DB17" i="44"/>
  <c r="CP17" i="44"/>
  <c r="CP28" i="44"/>
  <c r="CP22" i="44"/>
  <c r="AR11" i="60"/>
  <c r="AT28" i="44"/>
  <c r="AT17" i="44"/>
  <c r="AT22" i="44"/>
  <c r="BF28" i="44"/>
  <c r="BF22" i="44"/>
  <c r="BF17" i="44"/>
  <c r="CU37" i="60"/>
  <c r="CU38" i="60"/>
  <c r="CD22" i="44"/>
  <c r="CD28" i="44"/>
  <c r="CD17" i="44"/>
  <c r="BR17" i="44"/>
  <c r="BR22" i="44"/>
  <c r="BR28" i="44"/>
  <c r="DN22" i="44"/>
  <c r="DN28" i="44"/>
  <c r="DN17" i="44"/>
  <c r="DA22" i="44"/>
  <c r="DA17" i="44"/>
  <c r="DA28" i="44"/>
  <c r="BQ22" i="44"/>
  <c r="BQ28" i="44"/>
  <c r="BQ17" i="44"/>
  <c r="CO22" i="44"/>
  <c r="CO28" i="44"/>
  <c r="CO17" i="44"/>
  <c r="DM22" i="44"/>
  <c r="DM28" i="44"/>
  <c r="DM17" i="44"/>
  <c r="BD11" i="60"/>
  <c r="BP18" i="60"/>
  <c r="DT57" i="72"/>
  <c r="DT58" i="72" s="1"/>
  <c r="DT8" i="44" s="1"/>
  <c r="DH58" i="72"/>
  <c r="DH8" i="44" s="1"/>
  <c r="CB11" i="60"/>
  <c r="AG30" i="44"/>
  <c r="AH27" i="44" s="1"/>
  <c r="AH29" i="44" s="1"/>
  <c r="AH9" i="16" s="1"/>
  <c r="BG12" i="44"/>
  <c r="BG15" i="44"/>
  <c r="BG11" i="44"/>
  <c r="BG14" i="44"/>
  <c r="BG13" i="44"/>
  <c r="BF36" i="60"/>
  <c r="BF42" i="60"/>
  <c r="CE113" i="72"/>
  <c r="BS121" i="72"/>
  <c r="BF31" i="60" s="1"/>
  <c r="CZ18" i="60"/>
  <c r="CN18" i="60"/>
  <c r="DM36" i="60"/>
  <c r="DM42" i="60"/>
  <c r="DL18" i="60"/>
  <c r="DA36" i="60"/>
  <c r="DA42" i="60"/>
  <c r="CE92" i="72"/>
  <c r="CE10" i="44" s="1"/>
  <c r="DC92" i="72"/>
  <c r="DC10" i="44" s="1"/>
  <c r="CQ92" i="72"/>
  <c r="CQ10" i="44" s="1"/>
  <c r="BS92" i="72"/>
  <c r="BS10" i="44" s="1"/>
  <c r="DA163" i="72"/>
  <c r="DM159" i="72"/>
  <c r="DM163" i="72" s="1"/>
  <c r="BR163" i="72"/>
  <c r="CD156" i="72"/>
  <c r="AU34" i="72"/>
  <c r="BS36" i="72" s="1"/>
  <c r="BS44" i="72" s="1"/>
  <c r="BS7" i="44" s="1"/>
  <c r="AU150" i="72"/>
  <c r="AU153" i="72" s="1"/>
  <c r="DO92" i="72"/>
  <c r="DO10" i="44" s="1"/>
  <c r="P66" i="76"/>
  <c r="S68" i="75"/>
  <c r="S53" i="75"/>
  <c r="S51" i="75" s="1"/>
  <c r="Q68" i="76"/>
  <c r="Q53" i="76"/>
  <c r="Q51" i="76" s="1"/>
  <c r="Q64" i="76" s="1"/>
  <c r="R69" i="75"/>
  <c r="AU63" i="72" s="1"/>
  <c r="AU65" i="72" s="1"/>
  <c r="P54" i="76"/>
  <c r="S55" i="75"/>
  <c r="S63" i="75"/>
  <c r="S50" i="75"/>
  <c r="Q65" i="76"/>
  <c r="AW80" i="72" s="1"/>
  <c r="Q61" i="76"/>
  <c r="Q62" i="76" s="1"/>
  <c r="R58" i="76" s="1"/>
  <c r="R59" i="76" s="1"/>
  <c r="R60" i="76" s="1"/>
  <c r="Q50" i="76"/>
  <c r="Q63" i="76"/>
  <c r="DM11" i="60" l="1"/>
  <c r="AS11" i="60"/>
  <c r="DG37" i="60"/>
  <c r="DG38" i="60"/>
  <c r="BQ11" i="60"/>
  <c r="CC11" i="60"/>
  <c r="BE11" i="60"/>
  <c r="DS37" i="60"/>
  <c r="DS38" i="60"/>
  <c r="CO11" i="60"/>
  <c r="DA11" i="60"/>
  <c r="AV33" i="72"/>
  <c r="AV151" i="72" s="1"/>
  <c r="P69" i="76"/>
  <c r="AV64" i="72" s="1"/>
  <c r="BI110" i="72"/>
  <c r="BP11" i="60"/>
  <c r="CN11" i="60"/>
  <c r="DL11" i="60"/>
  <c r="CZ11" i="60"/>
  <c r="AH30" i="44"/>
  <c r="AI27" i="44" s="1"/>
  <c r="AI29" i="44" s="1"/>
  <c r="AI30" i="44" s="1"/>
  <c r="AJ27" i="44" s="1"/>
  <c r="AJ29" i="44" s="1"/>
  <c r="AJ9" i="16" s="1"/>
  <c r="AU44" i="72"/>
  <c r="AU7" i="44" s="1"/>
  <c r="CE37" i="72"/>
  <c r="CE44" i="72" s="1"/>
  <c r="CE7" i="44" s="1"/>
  <c r="DO13" i="44"/>
  <c r="DO15" i="44"/>
  <c r="DO11" i="44"/>
  <c r="DO12" i="44"/>
  <c r="DO14" i="44"/>
  <c r="CQ13" i="44"/>
  <c r="CQ12" i="44"/>
  <c r="CQ15" i="44"/>
  <c r="CQ14" i="44"/>
  <c r="CQ11" i="44"/>
  <c r="DC12" i="44"/>
  <c r="DC15" i="44"/>
  <c r="DC14" i="44"/>
  <c r="DC11" i="44"/>
  <c r="DC13" i="44"/>
  <c r="BG35" i="72"/>
  <c r="BG44" i="72" s="1"/>
  <c r="BG7" i="44" s="1"/>
  <c r="BS13" i="44"/>
  <c r="BS12" i="44"/>
  <c r="BS15" i="44"/>
  <c r="BS14" i="44"/>
  <c r="BS11" i="44"/>
  <c r="CE13" i="44"/>
  <c r="CE12" i="44"/>
  <c r="CE15" i="44"/>
  <c r="CE14" i="44"/>
  <c r="CE11" i="44"/>
  <c r="DC39" i="72"/>
  <c r="DC44" i="72" s="1"/>
  <c r="DC7" i="44" s="1"/>
  <c r="DO40" i="72"/>
  <c r="DO44" i="72" s="1"/>
  <c r="DO7" i="44" s="1"/>
  <c r="CQ38" i="72"/>
  <c r="CQ44" i="72" s="1"/>
  <c r="CQ7" i="44" s="1"/>
  <c r="CQ114" i="72"/>
  <c r="CE121" i="72"/>
  <c r="BR31" i="60" s="1"/>
  <c r="BR42" i="60"/>
  <c r="BR36" i="60"/>
  <c r="BG154" i="72"/>
  <c r="AU163" i="72"/>
  <c r="CD163" i="72"/>
  <c r="CP157" i="72"/>
  <c r="AT18" i="60"/>
  <c r="CE68" i="72"/>
  <c r="CE75" i="72" s="1"/>
  <c r="CE9" i="44" s="1"/>
  <c r="CQ69" i="72"/>
  <c r="CQ75" i="72" s="1"/>
  <c r="CQ9" i="44" s="1"/>
  <c r="BG66" i="72"/>
  <c r="BG75" i="72" s="1"/>
  <c r="BG9" i="44" s="1"/>
  <c r="BS67" i="72"/>
  <c r="BS75" i="72" s="1"/>
  <c r="BS9" i="44" s="1"/>
  <c r="DO71" i="72"/>
  <c r="DO75" i="72" s="1"/>
  <c r="DO9" i="44" s="1"/>
  <c r="DC70" i="72"/>
  <c r="DC75" i="72" s="1"/>
  <c r="DC9" i="44" s="1"/>
  <c r="AU75" i="72"/>
  <c r="AU9" i="44" s="1"/>
  <c r="Q56" i="76"/>
  <c r="Q66" i="76" s="1"/>
  <c r="S64" i="75"/>
  <c r="BH109" i="72" s="1"/>
  <c r="BH111" i="72" s="1"/>
  <c r="S52" i="75"/>
  <c r="S61" i="75"/>
  <c r="S62" i="75" s="1"/>
  <c r="S65" i="75"/>
  <c r="AV79" i="72" s="1"/>
  <c r="AV81" i="72" s="1"/>
  <c r="AV92" i="72" s="1"/>
  <c r="AV10" i="44" s="1"/>
  <c r="S56" i="75"/>
  <c r="Q70" i="76"/>
  <c r="R53" i="76"/>
  <c r="R68" i="76"/>
  <c r="Q52" i="76"/>
  <c r="AG9" i="29"/>
  <c r="AJ30" i="44" l="1"/>
  <c r="AK27" i="44" s="1"/>
  <c r="AK29" i="44" s="1"/>
  <c r="AK30" i="44" s="1"/>
  <c r="AL27" i="44" s="1"/>
  <c r="AL29" i="44" s="1"/>
  <c r="AL30" i="44" s="1"/>
  <c r="AM27" i="44" s="1"/>
  <c r="AM29" i="44" s="1"/>
  <c r="AM30" i="44" s="1"/>
  <c r="AN27" i="44" s="1"/>
  <c r="BS16" i="44"/>
  <c r="BS28" i="44" s="1"/>
  <c r="BR23" i="60"/>
  <c r="BR22" i="60"/>
  <c r="AU16" i="44"/>
  <c r="AT22" i="60"/>
  <c r="AT23" i="60"/>
  <c r="BG16" i="44"/>
  <c r="BF22" i="60"/>
  <c r="BF23" i="60"/>
  <c r="DC16" i="44"/>
  <c r="DC28" i="44" s="1"/>
  <c r="DB23" i="60"/>
  <c r="DB22" i="60"/>
  <c r="CQ16" i="44"/>
  <c r="CQ28" i="44" s="1"/>
  <c r="CP23" i="60"/>
  <c r="CP22" i="60"/>
  <c r="DO16" i="44"/>
  <c r="DO28" i="44" s="1"/>
  <c r="DN23" i="60"/>
  <c r="DN22" i="60"/>
  <c r="CE16" i="44"/>
  <c r="CE28" i="44" s="1"/>
  <c r="CD23" i="60"/>
  <c r="CD22" i="60"/>
  <c r="DC22" i="44"/>
  <c r="DC17" i="44"/>
  <c r="BS17" i="44"/>
  <c r="AI9" i="16"/>
  <c r="AW33" i="72"/>
  <c r="AW151" i="72" s="1"/>
  <c r="Q69" i="76"/>
  <c r="AW64" i="72" s="1"/>
  <c r="BR18" i="60"/>
  <c r="DN18" i="60"/>
  <c r="AV12" i="44"/>
  <c r="AV13" i="44"/>
  <c r="AV15" i="44"/>
  <c r="AV14" i="44"/>
  <c r="AV11" i="44"/>
  <c r="BF18" i="60"/>
  <c r="DB18" i="60"/>
  <c r="CD18" i="60"/>
  <c r="CP18" i="60"/>
  <c r="BH121" i="72"/>
  <c r="AU31" i="60" s="1"/>
  <c r="BT112" i="72"/>
  <c r="CD36" i="60"/>
  <c r="CD42" i="60"/>
  <c r="CQ121" i="72"/>
  <c r="CD31" i="60" s="1"/>
  <c r="DC115" i="72"/>
  <c r="BG163" i="72"/>
  <c r="BS155" i="72"/>
  <c r="CP163" i="72"/>
  <c r="DB158" i="72"/>
  <c r="BH82" i="72"/>
  <c r="BH92" i="72" s="1"/>
  <c r="BH10" i="44" s="1"/>
  <c r="DP87" i="72"/>
  <c r="CR85" i="72"/>
  <c r="BT83" i="72"/>
  <c r="CF84" i="72"/>
  <c r="DD86" i="72"/>
  <c r="AH9" i="29"/>
  <c r="R49" i="76"/>
  <c r="R51" i="76" s="1"/>
  <c r="Q54" i="76"/>
  <c r="T49" i="75"/>
  <c r="S66" i="75"/>
  <c r="AV32" i="72" s="1"/>
  <c r="S54" i="75"/>
  <c r="T58" i="75"/>
  <c r="T59" i="75" s="1"/>
  <c r="T60" i="75" s="1"/>
  <c r="S70" i="75"/>
  <c r="CE17" i="44" l="1"/>
  <c r="AL9" i="16"/>
  <c r="AK9" i="16"/>
  <c r="CQ22" i="44"/>
  <c r="DO17" i="44"/>
  <c r="BS22" i="44"/>
  <c r="BR11" i="60" s="1"/>
  <c r="CQ17" i="44"/>
  <c r="DO22" i="44"/>
  <c r="DN11" i="60" s="1"/>
  <c r="CE22" i="44"/>
  <c r="CD11" i="60" s="1"/>
  <c r="AU22" i="44"/>
  <c r="AU28" i="44"/>
  <c r="AU17" i="44"/>
  <c r="BG22" i="44"/>
  <c r="BG28" i="44"/>
  <c r="BG17" i="44"/>
  <c r="CP11" i="60"/>
  <c r="DB11" i="60"/>
  <c r="BH14" i="44"/>
  <c r="BH12" i="44"/>
  <c r="BH15" i="44"/>
  <c r="BH13" i="44"/>
  <c r="BH11" i="44"/>
  <c r="DO116" i="72"/>
  <c r="DO121" i="72" s="1"/>
  <c r="DB31" i="60" s="1"/>
  <c r="DN31" i="60" s="1"/>
  <c r="DC121" i="72"/>
  <c r="CP31" i="60" s="1"/>
  <c r="CF113" i="72"/>
  <c r="BT121" i="72"/>
  <c r="BG31" i="60" s="1"/>
  <c r="CP36" i="60"/>
  <c r="CP42" i="60"/>
  <c r="BG36" i="60"/>
  <c r="BG42" i="60"/>
  <c r="BT92" i="72"/>
  <c r="BT10" i="44" s="1"/>
  <c r="CR92" i="72"/>
  <c r="CR10" i="44" s="1"/>
  <c r="BS163" i="72"/>
  <c r="CE156" i="72"/>
  <c r="DD92" i="72"/>
  <c r="DD10" i="44" s="1"/>
  <c r="DP92" i="72"/>
  <c r="DP10" i="44" s="1"/>
  <c r="AV34" i="72"/>
  <c r="DD39" i="72" s="1"/>
  <c r="DD44" i="72" s="1"/>
  <c r="DD7" i="44" s="1"/>
  <c r="AV150" i="72"/>
  <c r="AV153" i="72" s="1"/>
  <c r="CF92" i="72"/>
  <c r="CF10" i="44" s="1"/>
  <c r="DB163" i="72"/>
  <c r="DN159" i="72"/>
  <c r="DN163" i="72" s="1"/>
  <c r="R50" i="76"/>
  <c r="R63" i="76"/>
  <c r="R70" i="76" s="1"/>
  <c r="R55" i="76"/>
  <c r="R64" i="76"/>
  <c r="R52" i="76"/>
  <c r="R54" i="76" s="1"/>
  <c r="T63" i="75"/>
  <c r="T50" i="75"/>
  <c r="T53" i="75"/>
  <c r="T51" i="75" s="1"/>
  <c r="T55" i="75" s="1"/>
  <c r="T68" i="75"/>
  <c r="S69" i="75"/>
  <c r="AV63" i="72" s="1"/>
  <c r="AV65" i="72" s="1"/>
  <c r="AN29" i="44"/>
  <c r="AM9" i="16"/>
  <c r="AT11" i="60" l="1"/>
  <c r="BF11" i="60"/>
  <c r="R65" i="76"/>
  <c r="AX80" i="72" s="1"/>
  <c r="BJ110" i="72"/>
  <c r="CR38" i="72"/>
  <c r="CR44" i="72" s="1"/>
  <c r="CR7" i="44" s="1"/>
  <c r="DP12" i="44"/>
  <c r="DP13" i="44"/>
  <c r="DP14" i="44"/>
  <c r="DP11" i="44"/>
  <c r="DP15" i="44"/>
  <c r="CR15" i="44"/>
  <c r="CR14" i="44"/>
  <c r="CR12" i="44"/>
  <c r="CR11" i="44"/>
  <c r="CR13" i="44"/>
  <c r="CF12" i="44"/>
  <c r="CF15" i="44"/>
  <c r="CF13" i="44"/>
  <c r="CF11" i="44"/>
  <c r="CF14" i="44"/>
  <c r="DD14" i="44"/>
  <c r="DD13" i="44"/>
  <c r="DD11" i="44"/>
  <c r="DD15" i="44"/>
  <c r="DD12" i="44"/>
  <c r="BT12" i="44"/>
  <c r="BT15" i="44"/>
  <c r="BT14" i="44"/>
  <c r="BT13" i="44"/>
  <c r="BT11" i="44"/>
  <c r="CF37" i="72"/>
  <c r="CF44" i="72" s="1"/>
  <c r="CF7" i="44" s="1"/>
  <c r="BH35" i="72"/>
  <c r="BH44" i="72" s="1"/>
  <c r="BH7" i="44" s="1"/>
  <c r="AV44" i="72"/>
  <c r="AV7" i="44" s="1"/>
  <c r="DP40" i="72"/>
  <c r="DP44" i="72" s="1"/>
  <c r="DP7" i="44" s="1"/>
  <c r="BT36" i="72"/>
  <c r="BT44" i="72" s="1"/>
  <c r="BT7" i="44" s="1"/>
  <c r="BS42" i="60"/>
  <c r="BS36" i="60"/>
  <c r="CR114" i="72"/>
  <c r="CF121" i="72"/>
  <c r="BS31" i="60" s="1"/>
  <c r="DB36" i="60"/>
  <c r="DB42" i="60"/>
  <c r="DN36" i="60"/>
  <c r="DN42" i="60"/>
  <c r="AU18" i="60"/>
  <c r="AV163" i="72"/>
  <c r="BH154" i="72"/>
  <c r="CE163" i="72"/>
  <c r="CQ157" i="72"/>
  <c r="BT67" i="72"/>
  <c r="BT75" i="72" s="1"/>
  <c r="BT9" i="44" s="1"/>
  <c r="CF68" i="72"/>
  <c r="CF75" i="72" s="1"/>
  <c r="CF9" i="44" s="1"/>
  <c r="CR69" i="72"/>
  <c r="CR75" i="72" s="1"/>
  <c r="CR9" i="44" s="1"/>
  <c r="AV75" i="72"/>
  <c r="AV9" i="44" s="1"/>
  <c r="DD70" i="72"/>
  <c r="DD75" i="72" s="1"/>
  <c r="DD9" i="44" s="1"/>
  <c r="BH66" i="72"/>
  <c r="BH75" i="72" s="1"/>
  <c r="BH9" i="44" s="1"/>
  <c r="DP71" i="72"/>
  <c r="DP75" i="72" s="1"/>
  <c r="DP9" i="44" s="1"/>
  <c r="R56" i="76"/>
  <c r="S49" i="76" s="1"/>
  <c r="S50" i="76" s="1"/>
  <c r="R61" i="76"/>
  <c r="R62" i="76" s="1"/>
  <c r="S58" i="76" s="1"/>
  <c r="S59" i="76" s="1"/>
  <c r="S60" i="76" s="1"/>
  <c r="T56" i="75"/>
  <c r="U49" i="75" s="1"/>
  <c r="T64" i="75"/>
  <c r="BI109" i="72" s="1"/>
  <c r="BI111" i="72" s="1"/>
  <c r="T52" i="75"/>
  <c r="AI9" i="29"/>
  <c r="T61" i="75"/>
  <c r="T62" i="75" s="1"/>
  <c r="U58" i="75" s="1"/>
  <c r="T65" i="75"/>
  <c r="AW79" i="72" s="1"/>
  <c r="AW81" i="72" s="1"/>
  <c r="AW92" i="72" s="1"/>
  <c r="AW10" i="44" s="1"/>
  <c r="AN9" i="16"/>
  <c r="AP32" i="16" s="1"/>
  <c r="AN30" i="44"/>
  <c r="AO27" i="44" s="1"/>
  <c r="BH16" i="44" l="1"/>
  <c r="BG23" i="60"/>
  <c r="BG22" i="60"/>
  <c r="CF16" i="44"/>
  <c r="CF22" i="44" s="1"/>
  <c r="CE23" i="60"/>
  <c r="CE22" i="60"/>
  <c r="DD16" i="44"/>
  <c r="DD22" i="44" s="1"/>
  <c r="DC23" i="60"/>
  <c r="DC22" i="60"/>
  <c r="BT16" i="44"/>
  <c r="BS22" i="60"/>
  <c r="BS23" i="60"/>
  <c r="AV16" i="44"/>
  <c r="AU23" i="60"/>
  <c r="AU22" i="60"/>
  <c r="DP16" i="44"/>
  <c r="DP17" i="44" s="1"/>
  <c r="DO22" i="60"/>
  <c r="DO23" i="60"/>
  <c r="CR16" i="44"/>
  <c r="CR28" i="44" s="1"/>
  <c r="CQ23" i="60"/>
  <c r="CQ22" i="60"/>
  <c r="BS18" i="60"/>
  <c r="BT22" i="44"/>
  <c r="BT28" i="44"/>
  <c r="BT17" i="44"/>
  <c r="DO18" i="60"/>
  <c r="AW13" i="44"/>
  <c r="AW14" i="44"/>
  <c r="AW12" i="44"/>
  <c r="AW11" i="44"/>
  <c r="AW15" i="44"/>
  <c r="CE18" i="60"/>
  <c r="CQ18" i="60"/>
  <c r="DD115" i="72"/>
  <c r="CR121" i="72"/>
  <c r="CE31" i="60" s="1"/>
  <c r="BI121" i="72"/>
  <c r="AV31" i="60" s="1"/>
  <c r="BU112" i="72"/>
  <c r="CE36" i="60"/>
  <c r="CE42" i="60"/>
  <c r="BH163" i="72"/>
  <c r="BT155" i="72"/>
  <c r="CQ163" i="72"/>
  <c r="DC158" i="72"/>
  <c r="DC18" i="60"/>
  <c r="BG18" i="60"/>
  <c r="DE86" i="72"/>
  <c r="BI82" i="72"/>
  <c r="BI92" i="72" s="1"/>
  <c r="BI10" i="44" s="1"/>
  <c r="BU83" i="72"/>
  <c r="CS85" i="72"/>
  <c r="CG84" i="72"/>
  <c r="DQ87" i="72"/>
  <c r="U59" i="75"/>
  <c r="U60" i="75" s="1"/>
  <c r="U63" i="75"/>
  <c r="U50" i="75"/>
  <c r="R8" i="75"/>
  <c r="S63" i="76"/>
  <c r="R66" i="76"/>
  <c r="S68" i="76"/>
  <c r="S53" i="76"/>
  <c r="S51" i="76" s="1"/>
  <c r="S55" i="76" s="1"/>
  <c r="T54" i="75"/>
  <c r="T66" i="75"/>
  <c r="T70" i="75"/>
  <c r="AO29" i="44"/>
  <c r="DP28" i="44" l="1"/>
  <c r="CR22" i="44"/>
  <c r="CQ11" i="60" s="1"/>
  <c r="DD17" i="44"/>
  <c r="DD28" i="44"/>
  <c r="DC11" i="60" s="1"/>
  <c r="CR17" i="44"/>
  <c r="CF28" i="44"/>
  <c r="CE11" i="60" s="1"/>
  <c r="DP22" i="44"/>
  <c r="CF17" i="44"/>
  <c r="AV28" i="44"/>
  <c r="AV17" i="44"/>
  <c r="AV22" i="44"/>
  <c r="BH22" i="44"/>
  <c r="BH28" i="44"/>
  <c r="BH17" i="44"/>
  <c r="AX33" i="72"/>
  <c r="AX151" i="72" s="1"/>
  <c r="R69" i="76"/>
  <c r="AX64" i="72" s="1"/>
  <c r="S61" i="76"/>
  <c r="S62" i="76" s="1"/>
  <c r="T58" i="76" s="1"/>
  <c r="T59" i="76" s="1"/>
  <c r="T60" i="76" s="1"/>
  <c r="T68" i="76" s="1"/>
  <c r="BS11" i="60"/>
  <c r="AW32" i="72"/>
  <c r="AW34" i="72" s="1"/>
  <c r="CG37" i="72" s="1"/>
  <c r="CG44" i="72" s="1"/>
  <c r="CG7" i="44" s="1"/>
  <c r="T69" i="75"/>
  <c r="AW63" i="72" s="1"/>
  <c r="AW65" i="72" s="1"/>
  <c r="BI14" i="44"/>
  <c r="BI12" i="44"/>
  <c r="BI11" i="44"/>
  <c r="BI15" i="44"/>
  <c r="BI13" i="44"/>
  <c r="S70" i="76"/>
  <c r="CG113" i="72"/>
  <c r="BU121" i="72"/>
  <c r="BH31" i="60" s="1"/>
  <c r="BH42" i="60"/>
  <c r="BH36" i="60"/>
  <c r="CQ42" i="60"/>
  <c r="CQ36" i="60"/>
  <c r="DP116" i="72"/>
  <c r="DP121" i="72" s="1"/>
  <c r="DC31" i="60" s="1"/>
  <c r="DO31" i="60" s="1"/>
  <c r="DD121" i="72"/>
  <c r="CQ31" i="60" s="1"/>
  <c r="CG92" i="72"/>
  <c r="CG10" i="44" s="1"/>
  <c r="DE92" i="72"/>
  <c r="DE10" i="44" s="1"/>
  <c r="DC163" i="72"/>
  <c r="DO159" i="72"/>
  <c r="DO163" i="72" s="1"/>
  <c r="CS92" i="72"/>
  <c r="CS10" i="44" s="1"/>
  <c r="BU92" i="72"/>
  <c r="BU10" i="44" s="1"/>
  <c r="BT163" i="72"/>
  <c r="CF156" i="72"/>
  <c r="DQ92" i="72"/>
  <c r="DQ10" i="44" s="1"/>
  <c r="U53" i="75"/>
  <c r="U51" i="75" s="1"/>
  <c r="U68" i="75"/>
  <c r="S65" i="76"/>
  <c r="AY80" i="72" s="1"/>
  <c r="AJ9" i="29"/>
  <c r="S64" i="76"/>
  <c r="S52" i="76"/>
  <c r="S56" i="76"/>
  <c r="AO9" i="16"/>
  <c r="AQ32" i="16" s="1"/>
  <c r="AO30" i="44"/>
  <c r="AP27" i="44" s="1"/>
  <c r="DO11" i="60" l="1"/>
  <c r="AU11" i="60"/>
  <c r="BG11" i="60"/>
  <c r="AW150" i="72"/>
  <c r="AW153" i="72" s="1"/>
  <c r="BI154" i="72" s="1"/>
  <c r="T53" i="76"/>
  <c r="BK110" i="72"/>
  <c r="BK111" i="72" s="1"/>
  <c r="BW112" i="72" s="1"/>
  <c r="DQ40" i="72"/>
  <c r="DQ44" i="72" s="1"/>
  <c r="DQ7" i="44" s="1"/>
  <c r="BU67" i="72"/>
  <c r="BU75" i="72" s="1"/>
  <c r="BU9" i="44" s="1"/>
  <c r="CS69" i="72"/>
  <c r="CS75" i="72" s="1"/>
  <c r="CS9" i="44" s="1"/>
  <c r="BI66" i="72"/>
  <c r="BI75" i="72" s="1"/>
  <c r="BI9" i="44" s="1"/>
  <c r="DE70" i="72"/>
  <c r="DE75" i="72" s="1"/>
  <c r="DE9" i="44" s="1"/>
  <c r="CG68" i="72"/>
  <c r="CG75" i="72" s="1"/>
  <c r="CG9" i="44" s="1"/>
  <c r="DQ71" i="72"/>
  <c r="DQ75" i="72" s="1"/>
  <c r="DQ9" i="44" s="1"/>
  <c r="AW75" i="72"/>
  <c r="AW9" i="44" s="1"/>
  <c r="DE39" i="72"/>
  <c r="DE44" i="72" s="1"/>
  <c r="DE7" i="44" s="1"/>
  <c r="CS38" i="72"/>
  <c r="CS44" i="72" s="1"/>
  <c r="CS7" i="44" s="1"/>
  <c r="BU36" i="72"/>
  <c r="BU44" i="72" s="1"/>
  <c r="BU7" i="44" s="1"/>
  <c r="CS15" i="44"/>
  <c r="CS13" i="44"/>
  <c r="CS12" i="44"/>
  <c r="CS14" i="44"/>
  <c r="CS11" i="44"/>
  <c r="CG11" i="44"/>
  <c r="CG12" i="44"/>
  <c r="CG14" i="44"/>
  <c r="CG13" i="44"/>
  <c r="CG15" i="44"/>
  <c r="DQ13" i="44"/>
  <c r="DQ14" i="44"/>
  <c r="DQ15" i="44"/>
  <c r="DQ12" i="44"/>
  <c r="DQ11" i="44"/>
  <c r="BU15" i="44"/>
  <c r="BU13" i="44"/>
  <c r="BU14" i="44"/>
  <c r="BU12" i="44"/>
  <c r="BU11" i="44"/>
  <c r="DE14" i="44"/>
  <c r="DE11" i="44"/>
  <c r="DE12" i="44"/>
  <c r="DE15" i="44"/>
  <c r="DE13" i="44"/>
  <c r="DO42" i="60"/>
  <c r="DO36" i="60"/>
  <c r="BT36" i="60"/>
  <c r="BT42" i="60"/>
  <c r="CS114" i="72"/>
  <c r="CG121" i="72"/>
  <c r="BT31" i="60" s="1"/>
  <c r="DC42" i="60"/>
  <c r="DC36" i="60"/>
  <c r="AW44" i="72"/>
  <c r="AW7" i="44" s="1"/>
  <c r="BI35" i="72"/>
  <c r="BI44" i="72" s="1"/>
  <c r="BI7" i="44" s="1"/>
  <c r="CF163" i="72"/>
  <c r="CR157" i="72"/>
  <c r="AV18" i="60"/>
  <c r="U64" i="75"/>
  <c r="BJ109" i="72" s="1"/>
  <c r="BJ111" i="72" s="1"/>
  <c r="U52" i="75"/>
  <c r="U55" i="75"/>
  <c r="AN8" i="16"/>
  <c r="T49" i="76"/>
  <c r="S66" i="76"/>
  <c r="S54" i="76"/>
  <c r="AP29" i="44"/>
  <c r="AW163" i="72" l="1"/>
  <c r="T51" i="76"/>
  <c r="T52" i="76" s="1"/>
  <c r="BK121" i="72"/>
  <c r="AX31" i="60" s="1"/>
  <c r="CG16" i="44"/>
  <c r="CG17" i="44" s="1"/>
  <c r="CF22" i="60"/>
  <c r="CF23" i="60"/>
  <c r="BU16" i="44"/>
  <c r="BU17" i="44" s="1"/>
  <c r="BT23" i="60"/>
  <c r="BT22" i="60"/>
  <c r="DE16" i="44"/>
  <c r="DE28" i="44" s="1"/>
  <c r="DD22" i="60"/>
  <c r="DD23" i="60"/>
  <c r="AW16" i="44"/>
  <c r="AV23" i="60"/>
  <c r="AV22" i="60"/>
  <c r="BI16" i="44"/>
  <c r="BH23" i="60"/>
  <c r="BH22" i="60"/>
  <c r="DQ16" i="44"/>
  <c r="DQ28" i="44" s="1"/>
  <c r="DP22" i="60"/>
  <c r="DP23" i="60"/>
  <c r="CS16" i="44"/>
  <c r="CS28" i="44" s="1"/>
  <c r="CR22" i="60"/>
  <c r="CR23" i="60"/>
  <c r="AP30" i="44"/>
  <c r="AQ27" i="44" s="1"/>
  <c r="AQ29" i="44" s="1"/>
  <c r="AO11" i="29"/>
  <c r="DQ22" i="44"/>
  <c r="DE22" i="44"/>
  <c r="CS22" i="44"/>
  <c r="AY33" i="72"/>
  <c r="AY151" i="72" s="1"/>
  <c r="AY153" i="72" s="1"/>
  <c r="AY163" i="72" s="1"/>
  <c r="S69" i="76"/>
  <c r="AY64" i="72" s="1"/>
  <c r="BT18" i="60"/>
  <c r="CF18" i="60"/>
  <c r="DP18" i="60"/>
  <c r="DD18" i="60"/>
  <c r="CR18" i="60"/>
  <c r="BV112" i="72"/>
  <c r="BJ121" i="72"/>
  <c r="AW31" i="60" s="1"/>
  <c r="CF36" i="60"/>
  <c r="CF42" i="60"/>
  <c r="DE115" i="72"/>
  <c r="CS121" i="72"/>
  <c r="CF31" i="60" s="1"/>
  <c r="BJ36" i="60"/>
  <c r="BJ42" i="60"/>
  <c r="CI113" i="72"/>
  <c r="BW121" i="72"/>
  <c r="BJ31" i="60" s="1"/>
  <c r="CR163" i="72"/>
  <c r="DD158" i="72"/>
  <c r="BI163" i="72"/>
  <c r="BU155" i="72"/>
  <c r="BH18" i="60"/>
  <c r="U56" i="75"/>
  <c r="U61" i="75"/>
  <c r="U62" i="75" s="1"/>
  <c r="U65" i="75"/>
  <c r="AX79" i="72" s="1"/>
  <c r="AX81" i="72" s="1"/>
  <c r="AX92" i="72" s="1"/>
  <c r="AX10" i="44" s="1"/>
  <c r="U54" i="75"/>
  <c r="AO8" i="16"/>
  <c r="T54" i="76"/>
  <c r="AK9" i="29"/>
  <c r="T55" i="76"/>
  <c r="T69" i="76" s="1"/>
  <c r="T64" i="76"/>
  <c r="T50" i="76"/>
  <c r="T63" i="76"/>
  <c r="T70" i="76" s="1"/>
  <c r="AP9" i="16"/>
  <c r="BU28" i="44" l="1"/>
  <c r="CG28" i="44"/>
  <c r="CG22" i="44"/>
  <c r="BU22" i="44"/>
  <c r="BT11" i="60" s="1"/>
  <c r="DQ17" i="44"/>
  <c r="CS17" i="44"/>
  <c r="DE17" i="44"/>
  <c r="BK154" i="72"/>
  <c r="BW155" i="72" s="1"/>
  <c r="AW17" i="44"/>
  <c r="AW22" i="44"/>
  <c r="AW28" i="44"/>
  <c r="BI22" i="44"/>
  <c r="BI28" i="44"/>
  <c r="BI17" i="44"/>
  <c r="AQ30" i="44"/>
  <c r="AR27" i="44" s="1"/>
  <c r="AR29" i="44" s="1"/>
  <c r="AP11" i="29"/>
  <c r="AP28" i="16"/>
  <c r="AR32" i="16" s="1"/>
  <c r="CR11" i="60"/>
  <c r="CF11" i="60"/>
  <c r="DD11" i="60"/>
  <c r="BL110" i="72"/>
  <c r="BL111" i="72" s="1"/>
  <c r="BX112" i="72" s="1"/>
  <c r="DP11" i="60"/>
  <c r="V58" i="75"/>
  <c r="V59" i="75" s="1"/>
  <c r="V60" i="75" s="1"/>
  <c r="U70" i="75"/>
  <c r="AX14" i="44"/>
  <c r="AX12" i="44"/>
  <c r="AX15" i="44"/>
  <c r="AX11" i="44"/>
  <c r="AX13" i="44"/>
  <c r="CR42" i="60"/>
  <c r="CR36" i="60"/>
  <c r="BI36" i="60"/>
  <c r="BI42" i="60"/>
  <c r="DQ116" i="72"/>
  <c r="DQ121" i="72" s="1"/>
  <c r="DD31" i="60" s="1"/>
  <c r="DP31" i="60" s="1"/>
  <c r="DE121" i="72"/>
  <c r="CR31" i="60" s="1"/>
  <c r="CH113" i="72"/>
  <c r="BV121" i="72"/>
  <c r="BI31" i="60" s="1"/>
  <c r="BV42" i="60"/>
  <c r="BV36" i="60"/>
  <c r="CU114" i="72"/>
  <c r="CI121" i="72"/>
  <c r="BV31" i="60" s="1"/>
  <c r="BU163" i="72"/>
  <c r="CG156" i="72"/>
  <c r="DD163" i="72"/>
  <c r="DP159" i="72"/>
  <c r="DP163" i="72" s="1"/>
  <c r="U66" i="75"/>
  <c r="V49" i="75"/>
  <c r="BV83" i="72"/>
  <c r="BJ82" i="72"/>
  <c r="BJ92" i="72" s="1"/>
  <c r="BJ10" i="44" s="1"/>
  <c r="DR87" i="72"/>
  <c r="DF86" i="72"/>
  <c r="CT85" i="72"/>
  <c r="CH84" i="72"/>
  <c r="AP21" i="44"/>
  <c r="AP23" i="44" s="1"/>
  <c r="T56" i="76"/>
  <c r="U49" i="76" s="1"/>
  <c r="AL9" i="29"/>
  <c r="T61" i="76"/>
  <c r="T62" i="76" s="1"/>
  <c r="U58" i="76" s="1"/>
  <c r="T65" i="76"/>
  <c r="AZ80" i="72" s="1"/>
  <c r="AQ9" i="16"/>
  <c r="BK163" i="72" l="1"/>
  <c r="AV11" i="60"/>
  <c r="BH11" i="60"/>
  <c r="AO10" i="29"/>
  <c r="AO10" i="1" s="1"/>
  <c r="AR30" i="44"/>
  <c r="AS27" i="44" s="1"/>
  <c r="AS29" i="44" s="1"/>
  <c r="AQ11" i="29"/>
  <c r="AQ28" i="16"/>
  <c r="AS32" i="16" s="1"/>
  <c r="BL121" i="72"/>
  <c r="AY31" i="60" s="1"/>
  <c r="V68" i="75"/>
  <c r="V53" i="75"/>
  <c r="V51" i="75" s="1"/>
  <c r="V55" i="75" s="1"/>
  <c r="BJ15" i="44"/>
  <c r="BJ13" i="44"/>
  <c r="BJ12" i="44"/>
  <c r="BJ11" i="44"/>
  <c r="BJ14" i="44"/>
  <c r="AP8" i="16"/>
  <c r="AP27" i="16" s="1"/>
  <c r="BU36" i="60"/>
  <c r="BU42" i="60"/>
  <c r="CH121" i="72"/>
  <c r="BU31" i="60" s="1"/>
  <c r="CT114" i="72"/>
  <c r="DD36" i="60"/>
  <c r="DD42" i="60"/>
  <c r="DP36" i="60"/>
  <c r="DP42" i="60"/>
  <c r="BK36" i="60"/>
  <c r="BK42" i="60"/>
  <c r="CI156" i="72"/>
  <c r="BW163" i="72"/>
  <c r="CJ113" i="72"/>
  <c r="BX121" i="72"/>
  <c r="BK31" i="60" s="1"/>
  <c r="CH36" i="60"/>
  <c r="CH42" i="60"/>
  <c r="DG115" i="72"/>
  <c r="CU121" i="72"/>
  <c r="CH31" i="60" s="1"/>
  <c r="CT92" i="72"/>
  <c r="CT10" i="44" s="1"/>
  <c r="BV92" i="72"/>
  <c r="BV10" i="44" s="1"/>
  <c r="DF92" i="72"/>
  <c r="DF10" i="44" s="1"/>
  <c r="DR92" i="72"/>
  <c r="DR10" i="44" s="1"/>
  <c r="CG163" i="72"/>
  <c r="CS157" i="72"/>
  <c r="CH92" i="72"/>
  <c r="CH10" i="44" s="1"/>
  <c r="V50" i="75"/>
  <c r="V63" i="75"/>
  <c r="V62" i="75"/>
  <c r="AX32" i="72"/>
  <c r="U69" i="75"/>
  <c r="AP24" i="44"/>
  <c r="AM9" i="29"/>
  <c r="U63" i="76"/>
  <c r="U50" i="76"/>
  <c r="U59" i="76"/>
  <c r="U60" i="76" s="1"/>
  <c r="T66" i="76"/>
  <c r="AR9" i="16"/>
  <c r="H22" i="99" l="1"/>
  <c r="AS30" i="44"/>
  <c r="AT27" i="44" s="1"/>
  <c r="AT29" i="44" s="1"/>
  <c r="AS11" i="29" s="1"/>
  <c r="AR11" i="29"/>
  <c r="AR28" i="16"/>
  <c r="AT32" i="16" s="1"/>
  <c r="AZ33" i="72"/>
  <c r="AZ151" i="72" s="1"/>
  <c r="AZ153" i="72" s="1"/>
  <c r="AZ163" i="72" s="1"/>
  <c r="AZ64" i="72"/>
  <c r="BV13" i="44"/>
  <c r="BV15" i="44"/>
  <c r="BV14" i="44"/>
  <c r="BV12" i="44"/>
  <c r="BV11" i="44"/>
  <c r="CT13" i="44"/>
  <c r="CT15" i="44"/>
  <c r="CT14" i="44"/>
  <c r="CT11" i="44"/>
  <c r="CT12" i="44"/>
  <c r="AQ31" i="16"/>
  <c r="DR14" i="44"/>
  <c r="DR15" i="44"/>
  <c r="DR11" i="44"/>
  <c r="DR12" i="44"/>
  <c r="DR13" i="44"/>
  <c r="CH13" i="44"/>
  <c r="CH15" i="44"/>
  <c r="CH14" i="44"/>
  <c r="CH11" i="44"/>
  <c r="CH12" i="44"/>
  <c r="DF13" i="44"/>
  <c r="DF11" i="44"/>
  <c r="DF12" i="44"/>
  <c r="DF15" i="44"/>
  <c r="DF14" i="44"/>
  <c r="AQ21" i="44"/>
  <c r="AQ23" i="44" s="1"/>
  <c r="V56" i="75"/>
  <c r="W49" i="75" s="1"/>
  <c r="DF115" i="72"/>
  <c r="CT121" i="72"/>
  <c r="CG31" i="60" s="1"/>
  <c r="CG36" i="60"/>
  <c r="CG42" i="60"/>
  <c r="CU157" i="72"/>
  <c r="CI163" i="72"/>
  <c r="CT36" i="60"/>
  <c r="CT42" i="60"/>
  <c r="BW42" i="60"/>
  <c r="BW36" i="60"/>
  <c r="BL154" i="72"/>
  <c r="DS116" i="72"/>
  <c r="DS121" i="72" s="1"/>
  <c r="DF31" i="60" s="1"/>
  <c r="DR31" i="60" s="1"/>
  <c r="DG121" i="72"/>
  <c r="CT31" i="60" s="1"/>
  <c r="CV114" i="72"/>
  <c r="CJ121" i="72"/>
  <c r="BW31" i="60" s="1"/>
  <c r="AX34" i="72"/>
  <c r="DF39" i="72" s="1"/>
  <c r="DF44" i="72" s="1"/>
  <c r="DF7" i="44" s="1"/>
  <c r="AX150" i="72"/>
  <c r="AX153" i="72" s="1"/>
  <c r="CS163" i="72"/>
  <c r="DE158" i="72"/>
  <c r="AW18" i="60"/>
  <c r="V65" i="75"/>
  <c r="AY79" i="72" s="1"/>
  <c r="AY81" i="72" s="1"/>
  <c r="AY92" i="72" s="1"/>
  <c r="AY10" i="44" s="1"/>
  <c r="V61" i="75"/>
  <c r="U71" i="75"/>
  <c r="AX63" i="72"/>
  <c r="AX65" i="72" s="1"/>
  <c r="W58" i="75"/>
  <c r="V70" i="75"/>
  <c r="V64" i="75"/>
  <c r="V52" i="75"/>
  <c r="F8" i="20"/>
  <c r="AN9" i="29"/>
  <c r="U68" i="76"/>
  <c r="U70" i="76" s="1"/>
  <c r="U53" i="76"/>
  <c r="U51" i="76" s="1"/>
  <c r="U55" i="76" s="1"/>
  <c r="AS9" i="16"/>
  <c r="AP10" i="29" l="1"/>
  <c r="AS28" i="16"/>
  <c r="AU32" i="16" s="1"/>
  <c r="U61" i="76"/>
  <c r="U62" i="76" s="1"/>
  <c r="V58" i="76" s="1"/>
  <c r="V59" i="76" s="1"/>
  <c r="V60" i="76" s="1"/>
  <c r="U69" i="76"/>
  <c r="CG18" i="60"/>
  <c r="BU18" i="60"/>
  <c r="V66" i="75"/>
  <c r="AY32" i="72" s="1"/>
  <c r="AY34" i="72" s="1"/>
  <c r="DS40" i="72" s="1"/>
  <c r="DS44" i="72" s="1"/>
  <c r="DS7" i="44" s="1"/>
  <c r="DR40" i="72"/>
  <c r="DR44" i="72" s="1"/>
  <c r="DR7" i="44" s="1"/>
  <c r="CT38" i="72"/>
  <c r="CT44" i="72" s="1"/>
  <c r="CT7" i="44" s="1"/>
  <c r="AQ24" i="44"/>
  <c r="AR21" i="44" s="1"/>
  <c r="AR23" i="44" s="1"/>
  <c r="AY11" i="44"/>
  <c r="AY12" i="44"/>
  <c r="AY13" i="44"/>
  <c r="AY14" i="44"/>
  <c r="AY15" i="44"/>
  <c r="AQ8" i="16"/>
  <c r="AQ27" i="16" s="1"/>
  <c r="DE18" i="60"/>
  <c r="DQ18" i="60"/>
  <c r="CS18" i="60"/>
  <c r="BJ35" i="72"/>
  <c r="BJ44" i="72" s="1"/>
  <c r="BJ7" i="44" s="1"/>
  <c r="BV36" i="72"/>
  <c r="BV44" i="72" s="1"/>
  <c r="BV7" i="44" s="1"/>
  <c r="CH37" i="72"/>
  <c r="CH44" i="72" s="1"/>
  <c r="CH7" i="44" s="1"/>
  <c r="AX44" i="72"/>
  <c r="AX7" i="44" s="1"/>
  <c r="CS42" i="60"/>
  <c r="CS36" i="60"/>
  <c r="DR116" i="72"/>
  <c r="DR121" i="72" s="1"/>
  <c r="DE31" i="60" s="1"/>
  <c r="DQ31" i="60" s="1"/>
  <c r="DF121" i="72"/>
  <c r="CS31" i="60" s="1"/>
  <c r="CI36" i="60"/>
  <c r="CI42" i="60"/>
  <c r="DH115" i="72"/>
  <c r="CV121" i="72"/>
  <c r="CI31" i="60" s="1"/>
  <c r="BX155" i="72"/>
  <c r="BL163" i="72"/>
  <c r="DF42" i="60"/>
  <c r="DF36" i="60"/>
  <c r="DR42" i="60"/>
  <c r="DR36" i="60"/>
  <c r="DG158" i="72"/>
  <c r="CU163" i="72"/>
  <c r="BJ154" i="72"/>
  <c r="AX163" i="72"/>
  <c r="DE163" i="72"/>
  <c r="DQ159" i="72"/>
  <c r="DQ163" i="72" s="1"/>
  <c r="BI18" i="60"/>
  <c r="V54" i="75"/>
  <c r="BW83" i="72"/>
  <c r="DG86" i="72"/>
  <c r="CU85" i="72"/>
  <c r="BK82" i="72"/>
  <c r="BK92" i="72" s="1"/>
  <c r="BK10" i="44" s="1"/>
  <c r="DS87" i="72"/>
  <c r="CI84" i="72"/>
  <c r="CH68" i="72"/>
  <c r="CH75" i="72" s="1"/>
  <c r="CH9" i="44" s="1"/>
  <c r="CT69" i="72"/>
  <c r="CT75" i="72" s="1"/>
  <c r="CT9" i="44" s="1"/>
  <c r="BV67" i="72"/>
  <c r="BV75" i="72" s="1"/>
  <c r="BV9" i="44" s="1"/>
  <c r="DF70" i="72"/>
  <c r="DF75" i="72" s="1"/>
  <c r="DF9" i="44" s="1"/>
  <c r="DR71" i="72"/>
  <c r="DR75" i="72" s="1"/>
  <c r="DR9" i="44" s="1"/>
  <c r="BJ66" i="72"/>
  <c r="BJ75" i="72" s="1"/>
  <c r="BJ9" i="44" s="1"/>
  <c r="AX75" i="72"/>
  <c r="AX9" i="44" s="1"/>
  <c r="BW36" i="72"/>
  <c r="BW44" i="72" s="1"/>
  <c r="BW7" i="44" s="1"/>
  <c r="W59" i="75"/>
  <c r="W60" i="75" s="1"/>
  <c r="W50" i="75"/>
  <c r="W62" i="75"/>
  <c r="X58" i="75" s="1"/>
  <c r="W63" i="75"/>
  <c r="U65" i="76"/>
  <c r="BA80" i="72" s="1"/>
  <c r="BA81" i="72" s="1"/>
  <c r="AO9" i="29"/>
  <c r="U64" i="76"/>
  <c r="U52" i="76"/>
  <c r="U56" i="76"/>
  <c r="V49" i="76" s="1"/>
  <c r="AT9" i="16"/>
  <c r="AT30" i="44"/>
  <c r="AU27" i="44" s="1"/>
  <c r="DG39" i="72" l="1"/>
  <c r="DG44" i="72" s="1"/>
  <c r="DG7" i="44" s="1"/>
  <c r="BK35" i="72"/>
  <c r="BK44" i="72" s="1"/>
  <c r="BK7" i="44" s="1"/>
  <c r="V69" i="75"/>
  <c r="AY63" i="72" s="1"/>
  <c r="AY65" i="72" s="1"/>
  <c r="DG70" i="72" s="1"/>
  <c r="DG75" i="72" s="1"/>
  <c r="DG9" i="44" s="1"/>
  <c r="DF23" i="60" s="1"/>
  <c r="CI37" i="72"/>
  <c r="CI44" i="72" s="1"/>
  <c r="CI7" i="44" s="1"/>
  <c r="DR16" i="44"/>
  <c r="DQ22" i="60"/>
  <c r="DQ23" i="60"/>
  <c r="CH16" i="44"/>
  <c r="CG23" i="60"/>
  <c r="CG22" i="60"/>
  <c r="AX16" i="44"/>
  <c r="AW23" i="60"/>
  <c r="AW22" i="60"/>
  <c r="BV16" i="44"/>
  <c r="BU23" i="60"/>
  <c r="BU22" i="60"/>
  <c r="BJ16" i="44"/>
  <c r="BI22" i="60"/>
  <c r="BI23" i="60"/>
  <c r="CT16" i="44"/>
  <c r="CS22" i="60"/>
  <c r="CS23" i="60"/>
  <c r="DG16" i="44"/>
  <c r="DF16" i="44"/>
  <c r="DE22" i="60"/>
  <c r="DE23" i="60"/>
  <c r="AP10" i="1"/>
  <c r="AR8" i="16"/>
  <c r="AR27" i="16" s="1"/>
  <c r="AS31" i="16" s="1"/>
  <c r="AQ10" i="29"/>
  <c r="AQ10" i="1" s="1"/>
  <c r="AR31" i="16"/>
  <c r="AT28" i="16"/>
  <c r="AV32" i="16" s="1"/>
  <c r="BM110" i="72"/>
  <c r="BM111" i="72" s="1"/>
  <c r="BY112" i="72" s="1"/>
  <c r="Q71" i="76"/>
  <c r="S71" i="76"/>
  <c r="T71" i="76"/>
  <c r="R71" i="76"/>
  <c r="U71" i="76"/>
  <c r="BK66" i="72"/>
  <c r="BK75" i="72" s="1"/>
  <c r="BK9" i="44" s="1"/>
  <c r="CU38" i="72"/>
  <c r="CU44" i="72" s="1"/>
  <c r="CU7" i="44" s="1"/>
  <c r="AY44" i="72"/>
  <c r="AY7" i="44" s="1"/>
  <c r="AY75" i="72"/>
  <c r="AY9" i="44" s="1"/>
  <c r="CI68" i="72"/>
  <c r="CI75" i="72" s="1"/>
  <c r="CI9" i="44" s="1"/>
  <c r="CU69" i="72"/>
  <c r="CU75" i="72" s="1"/>
  <c r="CU9" i="44" s="1"/>
  <c r="BK13" i="44"/>
  <c r="BK12" i="44"/>
  <c r="BK15" i="44"/>
  <c r="BK14" i="44"/>
  <c r="BK11" i="44"/>
  <c r="AR24" i="44"/>
  <c r="AS21" i="44" s="1"/>
  <c r="AS23" i="44" s="1"/>
  <c r="V71" i="75"/>
  <c r="DE42" i="60"/>
  <c r="DE36" i="60"/>
  <c r="DQ36" i="60"/>
  <c r="DQ42" i="60"/>
  <c r="CU36" i="60"/>
  <c r="CU42" i="60"/>
  <c r="DS159" i="72"/>
  <c r="DS163" i="72" s="1"/>
  <c r="DG163" i="72"/>
  <c r="DT116" i="72"/>
  <c r="DT121" i="72" s="1"/>
  <c r="DG31" i="60" s="1"/>
  <c r="DS31" i="60" s="1"/>
  <c r="DH121" i="72"/>
  <c r="CU31" i="60" s="1"/>
  <c r="CJ156" i="72"/>
  <c r="BX163" i="72"/>
  <c r="CU92" i="72"/>
  <c r="CU10" i="44" s="1"/>
  <c r="CI92" i="72"/>
  <c r="CI10" i="44" s="1"/>
  <c r="DG92" i="72"/>
  <c r="DG10" i="44" s="1"/>
  <c r="DS92" i="72"/>
  <c r="DS10" i="44" s="1"/>
  <c r="BW92" i="72"/>
  <c r="BW10" i="44" s="1"/>
  <c r="DI86" i="72"/>
  <c r="DI92" i="72" s="1"/>
  <c r="DI10" i="44" s="1"/>
  <c r="CK84" i="72"/>
  <c r="CK92" i="72" s="1"/>
  <c r="CK10" i="44" s="1"/>
  <c r="BA92" i="72"/>
  <c r="BA10" i="44" s="1"/>
  <c r="BM82" i="72"/>
  <c r="BM92" i="72" s="1"/>
  <c r="BM10" i="44" s="1"/>
  <c r="CW85" i="72"/>
  <c r="CW92" i="72" s="1"/>
  <c r="CW10" i="44" s="1"/>
  <c r="BY83" i="72"/>
  <c r="BY92" i="72" s="1"/>
  <c r="BY10" i="44" s="1"/>
  <c r="BJ163" i="72"/>
  <c r="BV155" i="72"/>
  <c r="V50" i="76"/>
  <c r="V63" i="76"/>
  <c r="X59" i="75"/>
  <c r="X60" i="75" s="1"/>
  <c r="W53" i="75"/>
  <c r="W51" i="75" s="1"/>
  <c r="W68" i="75"/>
  <c r="W70" i="75" s="1"/>
  <c r="V53" i="76"/>
  <c r="V51" i="76" s="1"/>
  <c r="V64" i="76" s="1"/>
  <c r="V68" i="76"/>
  <c r="U66" i="76"/>
  <c r="BA33" i="72" s="1"/>
  <c r="BA151" i="72" s="1"/>
  <c r="BA153" i="72" s="1"/>
  <c r="U54" i="76"/>
  <c r="AU29" i="44"/>
  <c r="BW67" i="72" l="1"/>
  <c r="BW75" i="72" s="1"/>
  <c r="BW9" i="44" s="1"/>
  <c r="BV23" i="60" s="1"/>
  <c r="DS71" i="72"/>
  <c r="DS75" i="72" s="1"/>
  <c r="DS9" i="44" s="1"/>
  <c r="BM121" i="72"/>
  <c r="AZ31" i="60" s="1"/>
  <c r="DF22" i="60"/>
  <c r="CT28" i="44"/>
  <c r="CT17" i="44"/>
  <c r="CT22" i="44"/>
  <c r="CH28" i="44"/>
  <c r="CH22" i="44"/>
  <c r="CH17" i="44"/>
  <c r="CU16" i="44"/>
  <c r="CT23" i="60"/>
  <c r="CT22" i="60"/>
  <c r="AX28" i="44"/>
  <c r="AX22" i="44"/>
  <c r="AX17" i="44"/>
  <c r="BK16" i="44"/>
  <c r="BK28" i="44" s="1"/>
  <c r="BJ23" i="60"/>
  <c r="BJ22" i="60"/>
  <c r="CI16" i="44"/>
  <c r="CH22" i="60"/>
  <c r="CH23" i="60"/>
  <c r="DF28" i="44"/>
  <c r="DF22" i="44"/>
  <c r="DF17" i="44"/>
  <c r="BV22" i="44"/>
  <c r="BV17" i="44"/>
  <c r="BV28" i="44"/>
  <c r="DS16" i="44"/>
  <c r="DR23" i="60"/>
  <c r="DR22" i="60"/>
  <c r="AY16" i="44"/>
  <c r="AX22" i="60"/>
  <c r="AX23" i="60"/>
  <c r="BW16" i="44"/>
  <c r="BV22" i="60"/>
  <c r="BJ17" i="44"/>
  <c r="BJ28" i="44"/>
  <c r="BJ22" i="44"/>
  <c r="DR17" i="44"/>
  <c r="DR28" i="44"/>
  <c r="DR22" i="44"/>
  <c r="AR10" i="29"/>
  <c r="AR10" i="1" s="1"/>
  <c r="AU30" i="44"/>
  <c r="AV27" i="44" s="1"/>
  <c r="AV29" i="44" s="1"/>
  <c r="AU11" i="29" s="1"/>
  <c r="AT11" i="29"/>
  <c r="BK22" i="44"/>
  <c r="BN110" i="72"/>
  <c r="BN111" i="72" s="1"/>
  <c r="BZ112" i="72" s="1"/>
  <c r="V70" i="76"/>
  <c r="BY14" i="44"/>
  <c r="BY12" i="44"/>
  <c r="BY11" i="44"/>
  <c r="BY13" i="44"/>
  <c r="BY15" i="44"/>
  <c r="CK15" i="44"/>
  <c r="CK13" i="44"/>
  <c r="CK14" i="44"/>
  <c r="CK12" i="44"/>
  <c r="CK11" i="44"/>
  <c r="DG13" i="44"/>
  <c r="DG15" i="44"/>
  <c r="DG11" i="44"/>
  <c r="DG14" i="44"/>
  <c r="DG12" i="44"/>
  <c r="AS24" i="44"/>
  <c r="AT21" i="44" s="1"/>
  <c r="AT23" i="44" s="1"/>
  <c r="AS8" i="16"/>
  <c r="AS27" i="16" s="1"/>
  <c r="AT31" i="16" s="1"/>
  <c r="CW11" i="44"/>
  <c r="CW12" i="44"/>
  <c r="CW14" i="44"/>
  <c r="CW13" i="44"/>
  <c r="CW15" i="44"/>
  <c r="DI11" i="44"/>
  <c r="DI13" i="44"/>
  <c r="DI12" i="44"/>
  <c r="DI14" i="44"/>
  <c r="DI15" i="44"/>
  <c r="CI13" i="44"/>
  <c r="CI12" i="44"/>
  <c r="CI15" i="44"/>
  <c r="CI14" i="44"/>
  <c r="CI11" i="44"/>
  <c r="BM13" i="44"/>
  <c r="BM15" i="44"/>
  <c r="BM12" i="44"/>
  <c r="BM11" i="44"/>
  <c r="BM14" i="44"/>
  <c r="BW12" i="44"/>
  <c r="BW15" i="44"/>
  <c r="BW14" i="44"/>
  <c r="BW11" i="44"/>
  <c r="BW13" i="44"/>
  <c r="CU13" i="44"/>
  <c r="CU12" i="44"/>
  <c r="CU15" i="44"/>
  <c r="CU14" i="44"/>
  <c r="CU11" i="44"/>
  <c r="BA13" i="44"/>
  <c r="BA14" i="44"/>
  <c r="BA15" i="44"/>
  <c r="BA12" i="44"/>
  <c r="BA11" i="44"/>
  <c r="DS15" i="44"/>
  <c r="DS12" i="44"/>
  <c r="DS14" i="44"/>
  <c r="DS13" i="44"/>
  <c r="DS11" i="44"/>
  <c r="BL36" i="60"/>
  <c r="BL42" i="60"/>
  <c r="CK113" i="72"/>
  <c r="BY121" i="72"/>
  <c r="BL31" i="60" s="1"/>
  <c r="DG36" i="60"/>
  <c r="DG42" i="60"/>
  <c r="CV157" i="72"/>
  <c r="CJ163" i="72"/>
  <c r="DS36" i="60"/>
  <c r="DS42" i="60"/>
  <c r="BM154" i="72"/>
  <c r="BA163" i="72"/>
  <c r="BV163" i="72"/>
  <c r="CH156" i="72"/>
  <c r="V55" i="76"/>
  <c r="X53" i="75"/>
  <c r="X68" i="75"/>
  <c r="V52" i="76"/>
  <c r="W64" i="75"/>
  <c r="W55" i="75"/>
  <c r="W56" i="75" s="1"/>
  <c r="W52" i="75"/>
  <c r="AX18" i="60"/>
  <c r="AP9" i="29"/>
  <c r="AU9" i="16"/>
  <c r="BN121" i="72" l="1"/>
  <c r="BA31" i="60" s="1"/>
  <c r="BK17" i="44"/>
  <c r="CS11" i="60"/>
  <c r="DQ11" i="60"/>
  <c r="AW11" i="60"/>
  <c r="CG11" i="60"/>
  <c r="BI11" i="60"/>
  <c r="AY22" i="44"/>
  <c r="AY28" i="44"/>
  <c r="AY17" i="44"/>
  <c r="DE11" i="60"/>
  <c r="BU11" i="60"/>
  <c r="CI22" i="44"/>
  <c r="CI28" i="44"/>
  <c r="CI17" i="44"/>
  <c r="DG22" i="44"/>
  <c r="DG28" i="44"/>
  <c r="DG17" i="44"/>
  <c r="DS22" i="44"/>
  <c r="DS28" i="44"/>
  <c r="DS17" i="44"/>
  <c r="CU22" i="44"/>
  <c r="CU28" i="44"/>
  <c r="CU17" i="44"/>
  <c r="AS10" i="29"/>
  <c r="AS10" i="1" s="1"/>
  <c r="BW22" i="44"/>
  <c r="BW28" i="44"/>
  <c r="BW17" i="44"/>
  <c r="AU28" i="16"/>
  <c r="AW32" i="16" s="1"/>
  <c r="CH18" i="60"/>
  <c r="BJ11" i="60"/>
  <c r="AZ18" i="60"/>
  <c r="BV18" i="60"/>
  <c r="BL18" i="60"/>
  <c r="DF18" i="60"/>
  <c r="DR18" i="60"/>
  <c r="AT24" i="44"/>
  <c r="AU21" i="44" s="1"/>
  <c r="AU23" i="44" s="1"/>
  <c r="AT8" i="16"/>
  <c r="AT27" i="16" s="1"/>
  <c r="AU31" i="16" s="1"/>
  <c r="CT18" i="60"/>
  <c r="DH18" i="60"/>
  <c r="CV18" i="60"/>
  <c r="BX18" i="60"/>
  <c r="BX36" i="60"/>
  <c r="BX42" i="60"/>
  <c r="CJ18" i="60"/>
  <c r="DH158" i="72"/>
  <c r="CV163" i="72"/>
  <c r="CW114" i="72"/>
  <c r="CK121" i="72"/>
  <c r="BX31" i="60" s="1"/>
  <c r="BM36" i="60"/>
  <c r="BM42" i="60"/>
  <c r="CL113" i="72"/>
  <c r="BZ121" i="72"/>
  <c r="BM31" i="60" s="1"/>
  <c r="BY155" i="72"/>
  <c r="BM163" i="72"/>
  <c r="CH163" i="72"/>
  <c r="CT157" i="72"/>
  <c r="X49" i="75"/>
  <c r="W66" i="75"/>
  <c r="AZ32" i="72" s="1"/>
  <c r="AZ34" i="72" s="1"/>
  <c r="V54" i="76"/>
  <c r="DI70" i="72"/>
  <c r="DI75" i="72" s="1"/>
  <c r="DI9" i="44" s="1"/>
  <c r="BY67" i="72"/>
  <c r="BY75" i="72" s="1"/>
  <c r="BY9" i="44" s="1"/>
  <c r="CW69" i="72"/>
  <c r="CW75" i="72" s="1"/>
  <c r="CW9" i="44" s="1"/>
  <c r="BM66" i="72"/>
  <c r="BM75" i="72" s="1"/>
  <c r="BM9" i="44" s="1"/>
  <c r="CK68" i="72"/>
  <c r="CK75" i="72" s="1"/>
  <c r="CK9" i="44" s="1"/>
  <c r="BA75" i="72"/>
  <c r="BA9" i="44" s="1"/>
  <c r="W54" i="75"/>
  <c r="V65" i="76"/>
  <c r="BB80" i="72" s="1"/>
  <c r="V61" i="76"/>
  <c r="V62" i="76" s="1"/>
  <c r="W58" i="76" s="1"/>
  <c r="W59" i="76" s="1"/>
  <c r="W60" i="76" s="1"/>
  <c r="W53" i="76" s="1"/>
  <c r="BJ18" i="60"/>
  <c r="W61" i="75"/>
  <c r="W65" i="75"/>
  <c r="AZ79" i="72" s="1"/>
  <c r="AZ81" i="72" s="1"/>
  <c r="V56" i="76"/>
  <c r="AV9" i="16"/>
  <c r="AV30" i="44"/>
  <c r="AW27" i="44" s="1"/>
  <c r="DI16" i="44" l="1"/>
  <c r="DH23" i="60"/>
  <c r="DH22" i="60"/>
  <c r="BM16" i="44"/>
  <c r="BL23" i="60"/>
  <c r="BL22" i="60"/>
  <c r="CW16" i="44"/>
  <c r="CV23" i="60"/>
  <c r="CV22" i="60"/>
  <c r="BA16" i="44"/>
  <c r="AZ23" i="60"/>
  <c r="AZ22" i="60"/>
  <c r="BY16" i="44"/>
  <c r="BX22" i="60"/>
  <c r="BX23" i="60"/>
  <c r="AX11" i="60"/>
  <c r="CK16" i="44"/>
  <c r="CJ23" i="60"/>
  <c r="CJ22" i="60"/>
  <c r="AT10" i="29"/>
  <c r="CT11" i="60"/>
  <c r="DF11" i="60"/>
  <c r="AV28" i="16"/>
  <c r="AX32" i="16" s="1"/>
  <c r="CH11" i="60"/>
  <c r="DR11" i="60"/>
  <c r="BV11" i="60"/>
  <c r="AU24" i="44"/>
  <c r="AV21" i="44" s="1"/>
  <c r="AV23" i="44" s="1"/>
  <c r="AU8" i="16"/>
  <c r="AU27" i="16" s="1"/>
  <c r="AV31" i="16" s="1"/>
  <c r="W69" i="75"/>
  <c r="AZ63" i="72" s="1"/>
  <c r="AZ65" i="72" s="1"/>
  <c r="DH70" i="72" s="1"/>
  <c r="DH75" i="72" s="1"/>
  <c r="DH9" i="44" s="1"/>
  <c r="DT159" i="72"/>
  <c r="DT163" i="72" s="1"/>
  <c r="DH163" i="72"/>
  <c r="W68" i="76"/>
  <c r="CJ42" i="60"/>
  <c r="CJ36" i="60"/>
  <c r="DI115" i="72"/>
  <c r="DI121" i="72" s="1"/>
  <c r="CV31" i="60" s="1"/>
  <c r="DH31" i="60" s="1"/>
  <c r="CW121" i="72"/>
  <c r="CJ31" i="60" s="1"/>
  <c r="BY36" i="60"/>
  <c r="BY42" i="60"/>
  <c r="CX114" i="72"/>
  <c r="CL121" i="72"/>
  <c r="BY31" i="60" s="1"/>
  <c r="CK156" i="72"/>
  <c r="BY163" i="72"/>
  <c r="CT163" i="72"/>
  <c r="DF158" i="72"/>
  <c r="CJ84" i="72"/>
  <c r="CJ92" i="72" s="1"/>
  <c r="CJ10" i="44" s="1"/>
  <c r="C63" i="80" s="1"/>
  <c r="AZ92" i="72"/>
  <c r="AZ10" i="44" s="1"/>
  <c r="DT87" i="72"/>
  <c r="DT92" i="72" s="1"/>
  <c r="DT10" i="44" s="1"/>
  <c r="W49" i="76"/>
  <c r="V66" i="76"/>
  <c r="BB33" i="72" s="1"/>
  <c r="BB151" i="72" s="1"/>
  <c r="DH86" i="72"/>
  <c r="CV85" i="72"/>
  <c r="BX83" i="72"/>
  <c r="BL82" i="72"/>
  <c r="BL35" i="72"/>
  <c r="BL44" i="72" s="1"/>
  <c r="BL7" i="44" s="1"/>
  <c r="CJ37" i="72"/>
  <c r="CJ44" i="72" s="1"/>
  <c r="CJ7" i="44" s="1"/>
  <c r="DT40" i="72"/>
  <c r="DT44" i="72" s="1"/>
  <c r="DT7" i="44" s="1"/>
  <c r="DH39" i="72"/>
  <c r="DH44" i="72" s="1"/>
  <c r="DH7" i="44" s="1"/>
  <c r="CV38" i="72"/>
  <c r="CV44" i="72" s="1"/>
  <c r="CV7" i="44" s="1"/>
  <c r="BX36" i="72"/>
  <c r="BX44" i="72" s="1"/>
  <c r="BX7" i="44" s="1"/>
  <c r="AZ44" i="72"/>
  <c r="AZ7" i="44" s="1"/>
  <c r="X51" i="75"/>
  <c r="X50" i="75"/>
  <c r="X63" i="75"/>
  <c r="X62" i="75"/>
  <c r="X55" i="75"/>
  <c r="AQ9" i="29"/>
  <c r="AW29" i="44"/>
  <c r="W71" i="75" l="1"/>
  <c r="BM22" i="44"/>
  <c r="BM28" i="44"/>
  <c r="BM17" i="44"/>
  <c r="DH16" i="44"/>
  <c r="DG22" i="60"/>
  <c r="DG23" i="60"/>
  <c r="CW17" i="44"/>
  <c r="CW22" i="44"/>
  <c r="CW28" i="44"/>
  <c r="BA22" i="44"/>
  <c r="BA28" i="44"/>
  <c r="BA17" i="44"/>
  <c r="CK17" i="44"/>
  <c r="CK22" i="44"/>
  <c r="CK28" i="44"/>
  <c r="BY28" i="44"/>
  <c r="BY22" i="44"/>
  <c r="BY17" i="44"/>
  <c r="DI28" i="44"/>
  <c r="DI17" i="44"/>
  <c r="DI22" i="44"/>
  <c r="AT10" i="1"/>
  <c r="AU10" i="29"/>
  <c r="AU10" i="1" s="1"/>
  <c r="AW30" i="44"/>
  <c r="AX27" i="44" s="1"/>
  <c r="AX29" i="44" s="1"/>
  <c r="AV11" i="29"/>
  <c r="BL66" i="72"/>
  <c r="BL75" i="72" s="1"/>
  <c r="BL9" i="44" s="1"/>
  <c r="AZ75" i="72"/>
  <c r="AZ9" i="44" s="1"/>
  <c r="DT71" i="72"/>
  <c r="DT75" i="72" s="1"/>
  <c r="DT9" i="44" s="1"/>
  <c r="CJ68" i="72"/>
  <c r="CJ75" i="72" s="1"/>
  <c r="CJ9" i="44" s="1"/>
  <c r="BX67" i="72"/>
  <c r="BX75" i="72" s="1"/>
  <c r="BX9" i="44" s="1"/>
  <c r="CV69" i="72"/>
  <c r="CV75" i="72" s="1"/>
  <c r="CV9" i="44" s="1"/>
  <c r="DT14" i="44"/>
  <c r="DT13" i="44"/>
  <c r="DT11" i="44"/>
  <c r="DT15" i="44"/>
  <c r="DT12" i="44"/>
  <c r="AZ12" i="44"/>
  <c r="AZ13" i="44"/>
  <c r="AZ11" i="44"/>
  <c r="AZ15" i="44"/>
  <c r="AZ14" i="44"/>
  <c r="CJ12" i="44"/>
  <c r="CJ15" i="44"/>
  <c r="CJ13" i="44"/>
  <c r="CJ14" i="44"/>
  <c r="CJ11" i="44"/>
  <c r="AV24" i="44"/>
  <c r="AW21" i="44" s="1"/>
  <c r="AV8" i="16"/>
  <c r="AV27" i="16" s="1"/>
  <c r="AW31" i="16" s="1"/>
  <c r="X56" i="75"/>
  <c r="Y49" i="75" s="1"/>
  <c r="CV36" i="60"/>
  <c r="CV42" i="60"/>
  <c r="DH42" i="60"/>
  <c r="DH36" i="60"/>
  <c r="CK42" i="60"/>
  <c r="CK36" i="60"/>
  <c r="DJ115" i="72"/>
  <c r="DJ121" i="72" s="1"/>
  <c r="CW31" i="60" s="1"/>
  <c r="DI31" i="60" s="1"/>
  <c r="CX121" i="72"/>
  <c r="CK31" i="60" s="1"/>
  <c r="CW157" i="72"/>
  <c r="CK163" i="72"/>
  <c r="BL92" i="72"/>
  <c r="BL10" i="44" s="1"/>
  <c r="H4" i="99" s="1"/>
  <c r="DF163" i="72"/>
  <c r="DR159" i="72"/>
  <c r="DR163" i="72" s="1"/>
  <c r="BX92" i="72"/>
  <c r="BX10" i="44" s="1"/>
  <c r="CV92" i="72"/>
  <c r="CV10" i="44" s="1"/>
  <c r="DH92" i="72"/>
  <c r="DH10" i="44" s="1"/>
  <c r="Y58" i="75"/>
  <c r="X70" i="75"/>
  <c r="BC33" i="72"/>
  <c r="BC151" i="72" s="1"/>
  <c r="V69" i="76"/>
  <c r="X61" i="75"/>
  <c r="X65" i="75"/>
  <c r="X64" i="75"/>
  <c r="X52" i="75"/>
  <c r="W50" i="76"/>
  <c r="W63" i="76"/>
  <c r="W70" i="76" s="1"/>
  <c r="W51" i="76"/>
  <c r="W55" i="76" s="1"/>
  <c r="AW9" i="16"/>
  <c r="CJ11" i="60" l="1"/>
  <c r="DH11" i="60"/>
  <c r="H31" i="99"/>
  <c r="H33" i="99"/>
  <c r="C30" i="100" s="1"/>
  <c r="E30" i="100" s="1"/>
  <c r="E52" i="100" s="1"/>
  <c r="BX11" i="60"/>
  <c r="AZ11" i="60"/>
  <c r="BL11" i="60"/>
  <c r="BX16" i="44"/>
  <c r="BW22" i="60"/>
  <c r="BW23" i="60"/>
  <c r="BL16" i="44"/>
  <c r="BK23" i="60"/>
  <c r="BK22" i="60"/>
  <c r="CJ16" i="44"/>
  <c r="CJ22" i="44" s="1"/>
  <c r="CI23" i="60"/>
  <c r="CI22" i="60"/>
  <c r="DT16" i="44"/>
  <c r="DT17" i="44" s="1"/>
  <c r="DS23" i="60"/>
  <c r="DS22" i="60"/>
  <c r="CV11" i="60"/>
  <c r="CV16" i="44"/>
  <c r="CU23" i="60"/>
  <c r="CU22" i="60"/>
  <c r="AZ16" i="44"/>
  <c r="AZ22" i="44" s="1"/>
  <c r="AY23" i="60"/>
  <c r="AY22" i="60"/>
  <c r="AX30" i="44"/>
  <c r="AY27" i="44" s="1"/>
  <c r="AY29" i="44" s="1"/>
  <c r="AW11" i="29"/>
  <c r="DT28" i="44"/>
  <c r="AW28" i="16"/>
  <c r="AY32" i="16" s="1"/>
  <c r="BB64" i="72"/>
  <c r="V71" i="76"/>
  <c r="X66" i="75"/>
  <c r="BA32" i="72" s="1"/>
  <c r="BA34" i="72" s="1"/>
  <c r="BY36" i="72" s="1"/>
  <c r="BY44" i="72" s="1"/>
  <c r="BY7" i="44" s="1"/>
  <c r="DH14" i="44"/>
  <c r="DH12" i="44"/>
  <c r="DH11" i="44"/>
  <c r="DH13" i="44"/>
  <c r="DH15" i="44"/>
  <c r="AW23" i="44"/>
  <c r="CV11" i="44"/>
  <c r="CV13" i="44"/>
  <c r="CV12" i="44"/>
  <c r="CV15" i="44"/>
  <c r="CV14" i="44"/>
  <c r="BL14" i="44"/>
  <c r="BL12" i="44"/>
  <c r="BL15" i="44"/>
  <c r="BL13" i="44"/>
  <c r="BL11" i="44"/>
  <c r="BX14" i="44"/>
  <c r="BX12" i="44"/>
  <c r="BX15" i="44"/>
  <c r="BX13" i="44"/>
  <c r="BX11" i="44"/>
  <c r="DS18" i="60"/>
  <c r="CI18" i="60"/>
  <c r="CW42" i="60"/>
  <c r="CW36" i="60"/>
  <c r="W56" i="76"/>
  <c r="X49" i="76" s="1"/>
  <c r="DI36" i="60"/>
  <c r="DI42" i="60"/>
  <c r="DI158" i="72"/>
  <c r="DI163" i="72" s="1"/>
  <c r="CW163" i="72"/>
  <c r="W61" i="76"/>
  <c r="W62" i="76" s="1"/>
  <c r="X58" i="76" s="1"/>
  <c r="X59" i="76" s="1"/>
  <c r="X60" i="76" s="1"/>
  <c r="X53" i="76" s="1"/>
  <c r="W65" i="76"/>
  <c r="BC80" i="72" s="1"/>
  <c r="Y59" i="75"/>
  <c r="Y60" i="75" s="1"/>
  <c r="X54" i="75"/>
  <c r="Y50" i="75"/>
  <c r="Y62" i="75"/>
  <c r="Z58" i="75" s="1"/>
  <c r="Y63" i="75"/>
  <c r="W64" i="76"/>
  <c r="W52" i="76"/>
  <c r="AY18" i="60"/>
  <c r="CW38" i="72"/>
  <c r="CW44" i="72" s="1"/>
  <c r="CW7" i="44" s="1"/>
  <c r="CK37" i="72"/>
  <c r="CK44" i="72" s="1"/>
  <c r="CK7" i="44" s="1"/>
  <c r="BA44" i="72"/>
  <c r="BA7" i="44" s="1"/>
  <c r="F71" i="76"/>
  <c r="J71" i="76"/>
  <c r="N71" i="76"/>
  <c r="E71" i="76"/>
  <c r="K71" i="76"/>
  <c r="G71" i="76"/>
  <c r="L71" i="76"/>
  <c r="P71" i="76"/>
  <c r="D71" i="76"/>
  <c r="I71" i="76"/>
  <c r="M71" i="76"/>
  <c r="H71" i="76"/>
  <c r="O71" i="76"/>
  <c r="O71" i="75"/>
  <c r="M71" i="75"/>
  <c r="G71" i="75"/>
  <c r="N71" i="75"/>
  <c r="P71" i="75"/>
  <c r="R71" i="75"/>
  <c r="T71" i="75"/>
  <c r="Q71" i="75"/>
  <c r="K71" i="75"/>
  <c r="E71" i="75"/>
  <c r="S71" i="75"/>
  <c r="F71" i="75"/>
  <c r="L71" i="75"/>
  <c r="I71" i="75"/>
  <c r="D71" i="75"/>
  <c r="J71" i="75"/>
  <c r="H71" i="75"/>
  <c r="R8" i="76"/>
  <c r="AR9" i="29"/>
  <c r="AX9" i="16"/>
  <c r="E53" i="100" l="1"/>
  <c r="E54" i="100"/>
  <c r="K30" i="100"/>
  <c r="K52" i="100" s="1"/>
  <c r="G30" i="100"/>
  <c r="G52" i="100" s="1"/>
  <c r="H30" i="100"/>
  <c r="H52" i="100" s="1"/>
  <c r="J30" i="100"/>
  <c r="J52" i="100" s="1"/>
  <c r="F30" i="100"/>
  <c r="F52" i="100" s="1"/>
  <c r="I30" i="100"/>
  <c r="I52" i="100" s="1"/>
  <c r="H25" i="99"/>
  <c r="H34" i="99" s="1"/>
  <c r="C31" i="100" s="1"/>
  <c r="E31" i="100" s="1"/>
  <c r="E56" i="100" s="1"/>
  <c r="C28" i="100"/>
  <c r="E28" i="100" s="1"/>
  <c r="CJ28" i="44"/>
  <c r="CI11" i="60" s="1"/>
  <c r="P30" i="100"/>
  <c r="P52" i="100" s="1"/>
  <c r="Q30" i="100"/>
  <c r="Q52" i="100" s="1"/>
  <c r="L30" i="100"/>
  <c r="L52" i="100" s="1"/>
  <c r="C52" i="100"/>
  <c r="R30" i="100"/>
  <c r="R52" i="100" s="1"/>
  <c r="M30" i="100"/>
  <c r="M52" i="100" s="1"/>
  <c r="N30" i="100"/>
  <c r="N52" i="100" s="1"/>
  <c r="O30" i="100"/>
  <c r="O52" i="100" s="1"/>
  <c r="CJ17" i="44"/>
  <c r="DT22" i="44"/>
  <c r="DS11" i="60" s="1"/>
  <c r="AZ28" i="44"/>
  <c r="AY11" i="60" s="1"/>
  <c r="AZ17" i="44"/>
  <c r="BX22" i="44"/>
  <c r="BX28" i="44"/>
  <c r="BX17" i="44"/>
  <c r="AY30" i="44"/>
  <c r="AZ27" i="44" s="1"/>
  <c r="AX11" i="29"/>
  <c r="BL22" i="44"/>
  <c r="BL28" i="44"/>
  <c r="BL17" i="44"/>
  <c r="H5" i="99" s="1"/>
  <c r="CV22" i="44"/>
  <c r="CV28" i="44"/>
  <c r="CV17" i="44"/>
  <c r="DH22" i="44"/>
  <c r="DH28" i="44"/>
  <c r="DH17" i="44"/>
  <c r="AW8" i="16"/>
  <c r="AW27" i="16" s="1"/>
  <c r="AX31" i="16" s="1"/>
  <c r="AV10" i="29"/>
  <c r="AX28" i="16"/>
  <c r="AZ32" i="16" s="1"/>
  <c r="DI39" i="72"/>
  <c r="DI44" i="72" s="1"/>
  <c r="DI7" i="44" s="1"/>
  <c r="BM35" i="72"/>
  <c r="BM44" i="72" s="1"/>
  <c r="BM7" i="44" s="1"/>
  <c r="BO110" i="72"/>
  <c r="BO111" i="72" s="1"/>
  <c r="BO121" i="72" s="1"/>
  <c r="BB31" i="60" s="1"/>
  <c r="CU18" i="60"/>
  <c r="X68" i="76"/>
  <c r="X69" i="75"/>
  <c r="X71" i="75" s="1"/>
  <c r="B21" i="81"/>
  <c r="B22" i="81" s="1"/>
  <c r="W66" i="76"/>
  <c r="BD33" i="72" s="1"/>
  <c r="AW24" i="44"/>
  <c r="AX21" i="44" s="1"/>
  <c r="AX23" i="44" s="1"/>
  <c r="DG18" i="60"/>
  <c r="BW18" i="60"/>
  <c r="BK18" i="60"/>
  <c r="Y53" i="75"/>
  <c r="Y51" i="75" s="1"/>
  <c r="Y68" i="75"/>
  <c r="Y70" i="75" s="1"/>
  <c r="W54" i="76"/>
  <c r="Z59" i="75"/>
  <c r="Z60" i="75" s="1"/>
  <c r="X63" i="76"/>
  <c r="X51" i="76"/>
  <c r="X50" i="76"/>
  <c r="AY9" i="16"/>
  <c r="E44" i="100" l="1"/>
  <c r="E58" i="100"/>
  <c r="E57" i="100"/>
  <c r="J28" i="100"/>
  <c r="J44" i="100" s="1"/>
  <c r="J45" i="100" s="1"/>
  <c r="K28" i="100"/>
  <c r="K44" i="100" s="1"/>
  <c r="N28" i="100"/>
  <c r="N44" i="100" s="1"/>
  <c r="N46" i="100" s="1"/>
  <c r="F28" i="100"/>
  <c r="F44" i="100" s="1"/>
  <c r="I28" i="100"/>
  <c r="I44" i="100" s="1"/>
  <c r="I46" i="100" s="1"/>
  <c r="G28" i="100"/>
  <c r="H28" i="100"/>
  <c r="H44" i="100" s="1"/>
  <c r="H46" i="100" s="1"/>
  <c r="AZ29" i="44"/>
  <c r="AZ9" i="16" s="1"/>
  <c r="CA112" i="72"/>
  <c r="CA121" i="72" s="1"/>
  <c r="BN31" i="60" s="1"/>
  <c r="G54" i="100"/>
  <c r="G53" i="100"/>
  <c r="F53" i="100"/>
  <c r="F54" i="100"/>
  <c r="L28" i="100"/>
  <c r="L44" i="100" s="1"/>
  <c r="L46" i="100" s="1"/>
  <c r="Q28" i="100"/>
  <c r="Q44" i="100" s="1"/>
  <c r="Q46" i="100" s="1"/>
  <c r="R28" i="100"/>
  <c r="R44" i="100" s="1"/>
  <c r="R45" i="100" s="1"/>
  <c r="M28" i="100"/>
  <c r="M44" i="100" s="1"/>
  <c r="M46" i="100" s="1"/>
  <c r="D28" i="100"/>
  <c r="P28" i="100"/>
  <c r="P44" i="100" s="1"/>
  <c r="P46" i="100" s="1"/>
  <c r="G44" i="100"/>
  <c r="G31" i="100"/>
  <c r="F31" i="100"/>
  <c r="C44" i="100"/>
  <c r="O28" i="100"/>
  <c r="O44" i="100" s="1"/>
  <c r="M31" i="100"/>
  <c r="M56" i="100" s="1"/>
  <c r="Q31" i="100"/>
  <c r="Q56" i="100" s="1"/>
  <c r="O31" i="100"/>
  <c r="O56" i="100" s="1"/>
  <c r="L31" i="100"/>
  <c r="L56" i="100" s="1"/>
  <c r="N31" i="100"/>
  <c r="N56" i="100" s="1"/>
  <c r="R31" i="100"/>
  <c r="R56" i="100" s="1"/>
  <c r="P31" i="100"/>
  <c r="P56" i="100" s="1"/>
  <c r="D31" i="100"/>
  <c r="K31" i="100"/>
  <c r="K56" i="100" s="1"/>
  <c r="C56" i="100"/>
  <c r="I31" i="100"/>
  <c r="I56" i="100" s="1"/>
  <c r="H31" i="100"/>
  <c r="H56" i="100" s="1"/>
  <c r="J31" i="100"/>
  <c r="J56" i="100" s="1"/>
  <c r="AW10" i="29"/>
  <c r="AV10" i="1"/>
  <c r="AY28" i="16"/>
  <c r="BA32" i="16" s="1"/>
  <c r="X70" i="76"/>
  <c r="DG11" i="60"/>
  <c r="CU11" i="60"/>
  <c r="BW11" i="60"/>
  <c r="BK11" i="60"/>
  <c r="D5" i="92"/>
  <c r="D27" i="47" s="1"/>
  <c r="AX27" i="47" s="1"/>
  <c r="W69" i="76"/>
  <c r="W71" i="76" s="1"/>
  <c r="AX24" i="44"/>
  <c r="AY21" i="44" s="1"/>
  <c r="AY23" i="44" s="1"/>
  <c r="AX8" i="16"/>
  <c r="D11" i="92"/>
  <c r="F11" i="92" s="1"/>
  <c r="BN36" i="60"/>
  <c r="BN42" i="60"/>
  <c r="CM113" i="72"/>
  <c r="X55" i="76"/>
  <c r="X56" i="76" s="1"/>
  <c r="X64" i="76"/>
  <c r="X52" i="76"/>
  <c r="Z53" i="75"/>
  <c r="Z68" i="75"/>
  <c r="Y64" i="75"/>
  <c r="Y55" i="75"/>
  <c r="Y52" i="75"/>
  <c r="AS9" i="29"/>
  <c r="AZ30" i="44"/>
  <c r="BA27" i="44" s="1"/>
  <c r="AY11" i="29" l="1"/>
  <c r="E45" i="100"/>
  <c r="E46" i="100"/>
  <c r="L45" i="100"/>
  <c r="N45" i="100"/>
  <c r="P45" i="100"/>
  <c r="I45" i="100"/>
  <c r="BC64" i="72"/>
  <c r="M45" i="100"/>
  <c r="J46" i="100"/>
  <c r="H28" i="99"/>
  <c r="H41" i="99" s="1"/>
  <c r="C34" i="100" s="1"/>
  <c r="E34" i="100" s="1"/>
  <c r="E60" i="100" s="1"/>
  <c r="Q45" i="100"/>
  <c r="R46" i="100"/>
  <c r="H45" i="100"/>
  <c r="G45" i="100"/>
  <c r="G46" i="100"/>
  <c r="F45" i="100"/>
  <c r="F46" i="100"/>
  <c r="G56" i="100"/>
  <c r="F56" i="100"/>
  <c r="K46" i="100"/>
  <c r="K45" i="100"/>
  <c r="O45" i="100"/>
  <c r="O46" i="100"/>
  <c r="D6" i="92"/>
  <c r="F6" i="92" s="1"/>
  <c r="H57" i="100"/>
  <c r="H58" i="100"/>
  <c r="L57" i="100"/>
  <c r="L58" i="100"/>
  <c r="I57" i="100"/>
  <c r="I58" i="100"/>
  <c r="P58" i="100"/>
  <c r="P57" i="100"/>
  <c r="O58" i="100"/>
  <c r="O57" i="100"/>
  <c r="R57" i="100"/>
  <c r="R58" i="100"/>
  <c r="Q57" i="100"/>
  <c r="Q58" i="100"/>
  <c r="J58" i="100"/>
  <c r="J57" i="100"/>
  <c r="K57" i="100"/>
  <c r="K58" i="100"/>
  <c r="N57" i="100"/>
  <c r="N58" i="100"/>
  <c r="M58" i="100"/>
  <c r="M57" i="100"/>
  <c r="F5" i="92"/>
  <c r="D12" i="92"/>
  <c r="F12" i="92" s="1"/>
  <c r="D7" i="92"/>
  <c r="AX27" i="16"/>
  <c r="AY31" i="16" s="1"/>
  <c r="AZ28" i="16"/>
  <c r="DK27" i="47"/>
  <c r="DM27" i="47"/>
  <c r="DR27" i="47"/>
  <c r="DO27" i="47"/>
  <c r="DU27" i="47"/>
  <c r="CY27" i="47"/>
  <c r="DT27" i="47"/>
  <c r="DD27" i="47"/>
  <c r="DL27" i="47"/>
  <c r="DQ27" i="47"/>
  <c r="DN27" i="47"/>
  <c r="CU27" i="47"/>
  <c r="DS27" i="47"/>
  <c r="DP27" i="47"/>
  <c r="DJ27" i="47"/>
  <c r="CW27" i="47"/>
  <c r="DE27" i="47"/>
  <c r="DH27" i="47"/>
  <c r="CX27" i="47"/>
  <c r="CR27" i="47"/>
  <c r="CH27" i="47"/>
  <c r="DC27" i="47"/>
  <c r="DB27" i="47"/>
  <c r="DI27" i="47"/>
  <c r="CL27" i="47"/>
  <c r="CJ27" i="47"/>
  <c r="DG27" i="47"/>
  <c r="DA27" i="47"/>
  <c r="CQ27" i="47"/>
  <c r="CT27" i="47"/>
  <c r="DF27" i="47"/>
  <c r="CZ27" i="47"/>
  <c r="CS27" i="47"/>
  <c r="CV27" i="47"/>
  <c r="CM27" i="47"/>
  <c r="BZ27" i="47"/>
  <c r="CO27" i="47"/>
  <c r="CN27" i="47"/>
  <c r="CP27" i="47"/>
  <c r="CB27" i="47"/>
  <c r="BX27" i="47"/>
  <c r="CK27" i="47"/>
  <c r="CD27" i="47"/>
  <c r="BU27" i="47"/>
  <c r="CI27" i="47"/>
  <c r="CA27" i="47"/>
  <c r="BP27" i="47"/>
  <c r="BD27" i="47"/>
  <c r="CC27" i="47"/>
  <c r="BT27" i="47"/>
  <c r="BO27" i="47"/>
  <c r="BB27" i="47"/>
  <c r="BE27" i="47"/>
  <c r="AV27" i="47"/>
  <c r="BY27" i="47"/>
  <c r="BL27" i="47"/>
  <c r="BK27" i="47"/>
  <c r="BF27" i="47"/>
  <c r="AU27" i="47"/>
  <c r="BQ27" i="47"/>
  <c r="BV27" i="47"/>
  <c r="BS27" i="47"/>
  <c r="BM27" i="47"/>
  <c r="BC27" i="47"/>
  <c r="BJ27" i="47"/>
  <c r="D26" i="47"/>
  <c r="AO26" i="47" s="1"/>
  <c r="CG27" i="47"/>
  <c r="CE27" i="47"/>
  <c r="CF27" i="47"/>
  <c r="BR27" i="47"/>
  <c r="BN27" i="47"/>
  <c r="BW27" i="47"/>
  <c r="BI27" i="47"/>
  <c r="BH27" i="47"/>
  <c r="BG27" i="47"/>
  <c r="AI27" i="47"/>
  <c r="AL27" i="47"/>
  <c r="AF27" i="47"/>
  <c r="AG27" i="47"/>
  <c r="AY27" i="47"/>
  <c r="AN27" i="47"/>
  <c r="AP27" i="47"/>
  <c r="AM27" i="47"/>
  <c r="BA27" i="47"/>
  <c r="AZ27" i="47"/>
  <c r="AH27" i="47"/>
  <c r="AT27" i="47"/>
  <c r="AO27" i="47"/>
  <c r="AE27" i="47"/>
  <c r="AS27" i="47"/>
  <c r="AJ27" i="47"/>
  <c r="AW27" i="47"/>
  <c r="AR27" i="47"/>
  <c r="AK27" i="47"/>
  <c r="AQ27" i="47"/>
  <c r="AY24" i="44"/>
  <c r="AZ21" i="44" s="1"/>
  <c r="AZ23" i="44" s="1"/>
  <c r="AY8" i="16"/>
  <c r="F7" i="92"/>
  <c r="C33" i="60" s="1"/>
  <c r="D9" i="92"/>
  <c r="F9" i="92" s="1"/>
  <c r="BZ36" i="60"/>
  <c r="BZ42" i="60"/>
  <c r="CY114" i="72"/>
  <c r="CM121" i="72"/>
  <c r="BZ31" i="60" s="1"/>
  <c r="Y54" i="75"/>
  <c r="Y61" i="75"/>
  <c r="Y65" i="75"/>
  <c r="Y56" i="75"/>
  <c r="X54" i="76"/>
  <c r="X65" i="76"/>
  <c r="BD80" i="72" s="1"/>
  <c r="X61" i="76"/>
  <c r="X62" i="76" s="1"/>
  <c r="Y58" i="76" s="1"/>
  <c r="Y59" i="76" s="1"/>
  <c r="Y60" i="76" s="1"/>
  <c r="Y53" i="76" s="1"/>
  <c r="Y49" i="76"/>
  <c r="BA29" i="44"/>
  <c r="E61" i="100" l="1"/>
  <c r="E62" i="100"/>
  <c r="G34" i="100"/>
  <c r="G60" i="100" s="1"/>
  <c r="G62" i="100" s="1"/>
  <c r="F34" i="100"/>
  <c r="F60" i="100" s="1"/>
  <c r="F62" i="100" s="1"/>
  <c r="CW26" i="47"/>
  <c r="AM26" i="47"/>
  <c r="DD26" i="47"/>
  <c r="CK26" i="47"/>
  <c r="CI24" i="60" s="1"/>
  <c r="BN26" i="47"/>
  <c r="DS26" i="47"/>
  <c r="DQ24" i="60" s="1"/>
  <c r="DR26" i="47"/>
  <c r="DP24" i="60" s="1"/>
  <c r="CP26" i="47"/>
  <c r="CN24" i="60" s="1"/>
  <c r="CA26" i="47"/>
  <c r="BY24" i="60" s="1"/>
  <c r="BB26" i="47"/>
  <c r="DM26" i="47"/>
  <c r="DK24" i="60" s="1"/>
  <c r="DE26" i="47"/>
  <c r="DC24" i="60" s="1"/>
  <c r="BQ26" i="47"/>
  <c r="DJ26" i="47"/>
  <c r="DH24" i="60" s="1"/>
  <c r="DC26" i="47"/>
  <c r="DA24" i="60" s="1"/>
  <c r="CV26" i="47"/>
  <c r="CT24" i="60" s="1"/>
  <c r="CI26" i="47"/>
  <c r="AE26" i="47"/>
  <c r="DB26" i="47"/>
  <c r="CZ24" i="60" s="1"/>
  <c r="CR26" i="47"/>
  <c r="CP24" i="60" s="1"/>
  <c r="BT26" i="47"/>
  <c r="BR24" i="60" s="1"/>
  <c r="DU26" i="47"/>
  <c r="DS24" i="60" s="1"/>
  <c r="CY26" i="47"/>
  <c r="CW24" i="60" s="1"/>
  <c r="CQ26" i="47"/>
  <c r="CO24" i="60" s="1"/>
  <c r="CF26" i="47"/>
  <c r="CD24" i="60" s="1"/>
  <c r="BR26" i="47"/>
  <c r="BP24" i="60" s="1"/>
  <c r="AJ26" i="47"/>
  <c r="AH24" i="60" s="1"/>
  <c r="DQ26" i="47"/>
  <c r="DO24" i="60" s="1"/>
  <c r="DP26" i="47"/>
  <c r="DN24" i="60" s="1"/>
  <c r="DN26" i="47"/>
  <c r="DL24" i="60" s="1"/>
  <c r="DF26" i="47"/>
  <c r="DD24" i="60" s="1"/>
  <c r="DG26" i="47"/>
  <c r="DE24" i="60" s="1"/>
  <c r="CZ26" i="47"/>
  <c r="CX24" i="60" s="1"/>
  <c r="CT26" i="47"/>
  <c r="CR24" i="60" s="1"/>
  <c r="CN26" i="47"/>
  <c r="CL24" i="60" s="1"/>
  <c r="CM26" i="47"/>
  <c r="CK24" i="60" s="1"/>
  <c r="CE26" i="47"/>
  <c r="CB26" i="47"/>
  <c r="BZ24" i="60" s="1"/>
  <c r="CJ26" i="47"/>
  <c r="CH24" i="60" s="1"/>
  <c r="BU26" i="47"/>
  <c r="BS24" i="60" s="1"/>
  <c r="BJ26" i="47"/>
  <c r="BH24" i="60" s="1"/>
  <c r="BA26" i="47"/>
  <c r="AV26" i="47"/>
  <c r="AT24" i="60" s="1"/>
  <c r="DK26" i="47"/>
  <c r="DI24" i="60" s="1"/>
  <c r="DA26" i="47"/>
  <c r="CS26" i="47"/>
  <c r="CQ24" i="60" s="1"/>
  <c r="CG26" i="47"/>
  <c r="CE24" i="60" s="1"/>
  <c r="CC26" i="47"/>
  <c r="CA24" i="60" s="1"/>
  <c r="BH26" i="47"/>
  <c r="BF24" i="60" s="1"/>
  <c r="DO26" i="47"/>
  <c r="DT26" i="47"/>
  <c r="DR24" i="60" s="1"/>
  <c r="DL26" i="47"/>
  <c r="DJ24" i="60" s="1"/>
  <c r="DH26" i="47"/>
  <c r="DF24" i="60" s="1"/>
  <c r="CX26" i="47"/>
  <c r="CV24" i="60" s="1"/>
  <c r="DI26" i="47"/>
  <c r="DG24" i="60" s="1"/>
  <c r="CL26" i="47"/>
  <c r="CJ24" i="60" s="1"/>
  <c r="CO26" i="47"/>
  <c r="CM24" i="60" s="1"/>
  <c r="CU26" i="47"/>
  <c r="CH26" i="47"/>
  <c r="CF24" i="60" s="1"/>
  <c r="CD26" i="47"/>
  <c r="CB24" i="60" s="1"/>
  <c r="BZ26" i="47"/>
  <c r="BX24" i="60" s="1"/>
  <c r="BP26" i="47"/>
  <c r="BN24" i="60" s="1"/>
  <c r="BX26" i="47"/>
  <c r="BV24" i="60" s="1"/>
  <c r="BC26" i="47"/>
  <c r="BC47" i="47" s="1"/>
  <c r="AZ26" i="47"/>
  <c r="AX24" i="60" s="1"/>
  <c r="AL26" i="47"/>
  <c r="AJ24" i="60" s="1"/>
  <c r="I34" i="100"/>
  <c r="I60" i="100" s="1"/>
  <c r="I62" i="100" s="1"/>
  <c r="K34" i="100"/>
  <c r="K60" i="100" s="1"/>
  <c r="K61" i="100" s="1"/>
  <c r="D34" i="100"/>
  <c r="R34" i="100"/>
  <c r="R60" i="100" s="1"/>
  <c r="R61" i="100" s="1"/>
  <c r="C60" i="100"/>
  <c r="L34" i="100"/>
  <c r="L60" i="100" s="1"/>
  <c r="L62" i="100" s="1"/>
  <c r="CG24" i="60"/>
  <c r="P34" i="100"/>
  <c r="P60" i="100" s="1"/>
  <c r="P61" i="100" s="1"/>
  <c r="N34" i="100"/>
  <c r="N60" i="100" s="1"/>
  <c r="N61" i="100" s="1"/>
  <c r="Q34" i="100"/>
  <c r="Q60" i="100" s="1"/>
  <c r="Q61" i="100" s="1"/>
  <c r="J34" i="100"/>
  <c r="J60" i="100" s="1"/>
  <c r="J61" i="100" s="1"/>
  <c r="O34" i="100"/>
  <c r="O60" i="100" s="1"/>
  <c r="O61" i="100" s="1"/>
  <c r="M34" i="100"/>
  <c r="M60" i="100" s="1"/>
  <c r="M62" i="100" s="1"/>
  <c r="H34" i="100"/>
  <c r="H60" i="100" s="1"/>
  <c r="H62" i="100" s="1"/>
  <c r="F57" i="100"/>
  <c r="F58" i="100"/>
  <c r="G58" i="100"/>
  <c r="G57" i="100"/>
  <c r="BL24" i="60"/>
  <c r="AC24" i="60"/>
  <c r="AK24" i="60"/>
  <c r="BM26" i="47"/>
  <c r="BK24" i="60" s="1"/>
  <c r="BG26" i="47"/>
  <c r="BE24" i="60" s="1"/>
  <c r="AH26" i="47"/>
  <c r="AF24" i="60" s="1"/>
  <c r="AF26" i="47"/>
  <c r="AD24" i="60" s="1"/>
  <c r="AG26" i="47"/>
  <c r="AE24" i="60" s="1"/>
  <c r="AN26" i="47"/>
  <c r="AL24" i="60" s="1"/>
  <c r="AS26" i="47"/>
  <c r="AQ24" i="60" s="1"/>
  <c r="AU26" i="47"/>
  <c r="AS24" i="60" s="1"/>
  <c r="AZ24" i="44"/>
  <c r="BA21" i="44" s="1"/>
  <c r="BA23" i="44" s="1"/>
  <c r="BA8" i="16" s="1"/>
  <c r="BA27" i="16" s="1"/>
  <c r="BB32" i="16"/>
  <c r="AZ11" i="29"/>
  <c r="AX10" i="29"/>
  <c r="AY27" i="16"/>
  <c r="AZ31" i="16" s="1"/>
  <c r="AW10" i="1"/>
  <c r="DM24" i="60"/>
  <c r="CS24" i="60"/>
  <c r="DB24" i="60"/>
  <c r="CU24" i="60"/>
  <c r="BA24" i="60"/>
  <c r="AY24" i="60"/>
  <c r="CY24" i="60"/>
  <c r="AZ24" i="60"/>
  <c r="BW26" i="47"/>
  <c r="BW47" i="47" s="1"/>
  <c r="BO26" i="47"/>
  <c r="BM24" i="60" s="1"/>
  <c r="BK26" i="47"/>
  <c r="BI24" i="60" s="1"/>
  <c r="BE26" i="47"/>
  <c r="BC24" i="60" s="1"/>
  <c r="BL26" i="47"/>
  <c r="BJ24" i="60" s="1"/>
  <c r="AR26" i="47"/>
  <c r="AP24" i="60" s="1"/>
  <c r="AP26" i="47"/>
  <c r="AN24" i="60" s="1"/>
  <c r="AY26" i="47"/>
  <c r="AW24" i="60" s="1"/>
  <c r="AT26" i="47"/>
  <c r="AR24" i="60" s="1"/>
  <c r="BV26" i="47"/>
  <c r="BT24" i="60" s="1"/>
  <c r="BS26" i="47"/>
  <c r="BQ24" i="60" s="1"/>
  <c r="BY26" i="47"/>
  <c r="BW24" i="60" s="1"/>
  <c r="BI26" i="47"/>
  <c r="BG24" i="60" s="1"/>
  <c r="BF26" i="47"/>
  <c r="BD24" i="60" s="1"/>
  <c r="BD26" i="47"/>
  <c r="BB24" i="60" s="1"/>
  <c r="AI26" i="47"/>
  <c r="AG24" i="60" s="1"/>
  <c r="AQ26" i="47"/>
  <c r="AO24" i="60" s="1"/>
  <c r="AW26" i="47"/>
  <c r="AU24" i="60" s="1"/>
  <c r="AX26" i="47"/>
  <c r="AV24" i="60" s="1"/>
  <c r="AK26" i="47"/>
  <c r="AI24" i="60" s="1"/>
  <c r="AM24" i="60"/>
  <c r="D45" i="47"/>
  <c r="DO25" i="60"/>
  <c r="CK25" i="60"/>
  <c r="DC25" i="60"/>
  <c r="CW25" i="60"/>
  <c r="BG25" i="60"/>
  <c r="DI25" i="60"/>
  <c r="AI25" i="60"/>
  <c r="CQ25" i="60"/>
  <c r="BM25" i="60"/>
  <c r="CE25" i="60"/>
  <c r="BY25" i="60"/>
  <c r="BA25" i="60"/>
  <c r="AU25" i="60"/>
  <c r="AC25" i="60"/>
  <c r="BS25" i="60"/>
  <c r="AO25" i="60"/>
  <c r="BY33" i="60"/>
  <c r="CC24" i="60"/>
  <c r="BO24" i="60"/>
  <c r="AZ8" i="16"/>
  <c r="Y68" i="76"/>
  <c r="X66" i="76"/>
  <c r="BE33" i="72" s="1"/>
  <c r="DO47" i="47"/>
  <c r="DJ47" i="47"/>
  <c r="DS47" i="47"/>
  <c r="DH47" i="47"/>
  <c r="DF47" i="47"/>
  <c r="CY47" i="47"/>
  <c r="CU47" i="47"/>
  <c r="CH47" i="47"/>
  <c r="BV47" i="47"/>
  <c r="BX47" i="47"/>
  <c r="BB47" i="47"/>
  <c r="AV47" i="47"/>
  <c r="DQ47" i="47"/>
  <c r="DM47" i="47"/>
  <c r="DR47" i="47"/>
  <c r="DC47" i="47"/>
  <c r="CX47" i="47"/>
  <c r="DI47" i="47"/>
  <c r="CZ47" i="47"/>
  <c r="CW47" i="47"/>
  <c r="CA47" i="47"/>
  <c r="CB47" i="47"/>
  <c r="CJ47" i="47"/>
  <c r="BY47" i="47"/>
  <c r="BH47" i="47"/>
  <c r="AZ47" i="47"/>
  <c r="AY47" i="47"/>
  <c r="DU47" i="47"/>
  <c r="DB47" i="47"/>
  <c r="DD47" i="47"/>
  <c r="CT47" i="47"/>
  <c r="CS47" i="47"/>
  <c r="CG47" i="47"/>
  <c r="BZ47" i="47"/>
  <c r="BQ47" i="47"/>
  <c r="BN47" i="47"/>
  <c r="BJ47" i="47"/>
  <c r="BF47" i="47"/>
  <c r="BD47" i="47"/>
  <c r="BA47" i="47"/>
  <c r="AR47" i="47"/>
  <c r="AS47" i="47"/>
  <c r="AU47" i="47"/>
  <c r="DT47" i="47"/>
  <c r="DP47" i="47"/>
  <c r="DN47" i="47"/>
  <c r="DA47" i="47"/>
  <c r="CP47" i="47"/>
  <c r="CO47" i="47"/>
  <c r="CN47" i="47"/>
  <c r="CE47" i="47"/>
  <c r="CF47" i="47"/>
  <c r="CI47" i="47"/>
  <c r="BP47" i="47"/>
  <c r="BR47" i="47"/>
  <c r="BO47" i="47"/>
  <c r="BT47" i="47"/>
  <c r="BE47" i="47"/>
  <c r="BG47" i="47"/>
  <c r="AW47" i="47"/>
  <c r="AX47" i="47"/>
  <c r="AN47" i="47"/>
  <c r="AH47" i="47"/>
  <c r="AP47" i="47"/>
  <c r="AL47" i="47"/>
  <c r="AM47" i="47"/>
  <c r="AE47" i="47"/>
  <c r="AJ47" i="47"/>
  <c r="AF47" i="47"/>
  <c r="AO47" i="47"/>
  <c r="F18" i="92"/>
  <c r="F11" i="84" s="1"/>
  <c r="C15" i="13" s="1"/>
  <c r="T25" i="22" s="1"/>
  <c r="DK115" i="72"/>
  <c r="DK121" i="72" s="1"/>
  <c r="CX31" i="60" s="1"/>
  <c r="DJ31" i="60" s="1"/>
  <c r="CY121" i="72"/>
  <c r="CL31" i="60" s="1"/>
  <c r="CL36" i="60"/>
  <c r="CL42" i="60"/>
  <c r="Z49" i="75"/>
  <c r="Y66" i="75"/>
  <c r="Y63" i="76"/>
  <c r="Y51" i="76"/>
  <c r="Y55" i="76" s="1"/>
  <c r="Y50" i="76"/>
  <c r="AT9" i="29"/>
  <c r="BA9" i="16"/>
  <c r="BA30" i="44"/>
  <c r="BB27" i="44" s="1"/>
  <c r="BB29" i="44" s="1"/>
  <c r="BK47" i="47" l="1"/>
  <c r="BS47" i="47"/>
  <c r="O62" i="100"/>
  <c r="N62" i="100"/>
  <c r="K62" i="100"/>
  <c r="L61" i="100"/>
  <c r="CR47" i="47"/>
  <c r="CD47" i="47"/>
  <c r="DG47" i="47"/>
  <c r="F61" i="100"/>
  <c r="BA24" i="44"/>
  <c r="BB21" i="44" s="1"/>
  <c r="BB23" i="44" s="1"/>
  <c r="BA10" i="29" s="1"/>
  <c r="H61" i="100"/>
  <c r="M61" i="100"/>
  <c r="P62" i="100"/>
  <c r="Q62" i="100"/>
  <c r="G61" i="100"/>
  <c r="R62" i="100"/>
  <c r="AG47" i="47"/>
  <c r="BM47" i="47"/>
  <c r="CM47" i="47"/>
  <c r="CQ47" i="47"/>
  <c r="DE47" i="47"/>
  <c r="BU47" i="47"/>
  <c r="CK47" i="47"/>
  <c r="DK47" i="47"/>
  <c r="I61" i="100"/>
  <c r="J62" i="100"/>
  <c r="AK47" i="47"/>
  <c r="AI47" i="47"/>
  <c r="CL47" i="47"/>
  <c r="CV47" i="47"/>
  <c r="CC47" i="47"/>
  <c r="DL47" i="47"/>
  <c r="H23" i="99"/>
  <c r="H32" i="99" s="1"/>
  <c r="C29" i="100" s="1"/>
  <c r="E29" i="100" s="1"/>
  <c r="BB24" i="44"/>
  <c r="BC21" i="44" s="1"/>
  <c r="BC23" i="44" s="1"/>
  <c r="BC8" i="16" s="1"/>
  <c r="BC27" i="16" s="1"/>
  <c r="BD31" i="16" s="1"/>
  <c r="BB30" i="44"/>
  <c r="BC27" i="44" s="1"/>
  <c r="BC29" i="44" s="1"/>
  <c r="BA11" i="29"/>
  <c r="AY10" i="29"/>
  <c r="BB31" i="16"/>
  <c r="BA8" i="1" s="1"/>
  <c r="AZ27" i="16"/>
  <c r="BA31" i="16" s="1"/>
  <c r="BA28" i="16"/>
  <c r="BC32" i="16" s="1"/>
  <c r="AX10" i="1"/>
  <c r="BA25" i="1"/>
  <c r="BL47" i="47"/>
  <c r="BU24" i="60"/>
  <c r="AT47" i="47"/>
  <c r="X69" i="76"/>
  <c r="X71" i="76" s="1"/>
  <c r="AQ47" i="47"/>
  <c r="BI47" i="47"/>
  <c r="Y70" i="76"/>
  <c r="AQ15" i="13"/>
  <c r="AQ20" i="13" s="1"/>
  <c r="AL15" i="13"/>
  <c r="AF15" i="13"/>
  <c r="AC15" i="13"/>
  <c r="AI15" i="13"/>
  <c r="AM15" i="13"/>
  <c r="AG15" i="13"/>
  <c r="AD15" i="13"/>
  <c r="AR15" i="13"/>
  <c r="AR20" i="13" s="1"/>
  <c r="AN15" i="13"/>
  <c r="AE15" i="13"/>
  <c r="AP15" i="13"/>
  <c r="AP20" i="13" s="1"/>
  <c r="AO15" i="13"/>
  <c r="AO20" i="13" s="1"/>
  <c r="AA15" i="13"/>
  <c r="AK15" i="13"/>
  <c r="AH15" i="13"/>
  <c r="AJ15" i="13"/>
  <c r="AB15" i="13"/>
  <c r="BB8" i="16"/>
  <c r="BB27" i="16" s="1"/>
  <c r="BC31" i="16" s="1"/>
  <c r="CX42" i="60"/>
  <c r="CX36" i="60"/>
  <c r="DJ36" i="60"/>
  <c r="DJ42" i="60"/>
  <c r="Y56" i="76"/>
  <c r="Z49" i="76" s="1"/>
  <c r="Y64" i="76"/>
  <c r="Y52" i="76"/>
  <c r="BB32" i="72"/>
  <c r="Y69" i="75"/>
  <c r="Y71" i="75" s="1"/>
  <c r="Y61" i="76"/>
  <c r="Y62" i="76" s="1"/>
  <c r="Z58" i="76" s="1"/>
  <c r="Z59" i="76" s="1"/>
  <c r="Z60" i="76" s="1"/>
  <c r="Y65" i="76"/>
  <c r="Z63" i="75"/>
  <c r="Z62" i="75"/>
  <c r="Z50" i="75"/>
  <c r="Z51" i="75"/>
  <c r="Z55" i="75" s="1"/>
  <c r="E48" i="100" l="1"/>
  <c r="BD64" i="72"/>
  <c r="K29" i="100"/>
  <c r="J29" i="100"/>
  <c r="J48" i="100" s="1"/>
  <c r="I29" i="100"/>
  <c r="I48" i="100" s="1"/>
  <c r="H29" i="100"/>
  <c r="H48" i="100" s="1"/>
  <c r="F29" i="100"/>
  <c r="G29" i="100"/>
  <c r="P29" i="100"/>
  <c r="P48" i="100" s="1"/>
  <c r="R29" i="100"/>
  <c r="R48" i="100" s="1"/>
  <c r="L29" i="100"/>
  <c r="L48" i="100" s="1"/>
  <c r="Q29" i="100"/>
  <c r="Q48" i="100" s="1"/>
  <c r="N29" i="100"/>
  <c r="N48" i="100" s="1"/>
  <c r="M29" i="100"/>
  <c r="M48" i="100" s="1"/>
  <c r="O29" i="100"/>
  <c r="O48" i="100" s="1"/>
  <c r="C48" i="100"/>
  <c r="D29" i="100"/>
  <c r="K48" i="100"/>
  <c r="BC30" i="44"/>
  <c r="BD27" i="44" s="1"/>
  <c r="BD29" i="44" s="1"/>
  <c r="BB11" i="29"/>
  <c r="AZ10" i="29"/>
  <c r="BC24" i="44"/>
  <c r="BD21" i="44" s="1"/>
  <c r="BD23" i="44" s="1"/>
  <c r="BD8" i="16" s="1"/>
  <c r="BD27" i="16" s="1"/>
  <c r="BE31" i="16" s="1"/>
  <c r="BB10" i="29"/>
  <c r="BB25" i="1"/>
  <c r="BB8" i="1"/>
  <c r="AY10" i="1"/>
  <c r="AO23" i="13"/>
  <c r="AN31" i="1" s="1"/>
  <c r="AP23" i="13"/>
  <c r="AO31" i="1" s="1"/>
  <c r="AO33" i="1" s="1"/>
  <c r="AR23" i="13"/>
  <c r="AQ31" i="1" s="1"/>
  <c r="AQ33" i="1" s="1"/>
  <c r="AQ23" i="13"/>
  <c r="AP31" i="1" s="1"/>
  <c r="AP33" i="1" s="1"/>
  <c r="Z56" i="75"/>
  <c r="AA49" i="75" s="1"/>
  <c r="Y66" i="76"/>
  <c r="BF33" i="72" s="1"/>
  <c r="Y54" i="76"/>
  <c r="Z64" i="75"/>
  <c r="Z52" i="75"/>
  <c r="Z53" i="76"/>
  <c r="Z51" i="76" s="1"/>
  <c r="Z68" i="76"/>
  <c r="Z65" i="75"/>
  <c r="Z61" i="75"/>
  <c r="AA58" i="75"/>
  <c r="Z70" i="75"/>
  <c r="Z62" i="76"/>
  <c r="AA58" i="76" s="1"/>
  <c r="Z50" i="76"/>
  <c r="Z63" i="76"/>
  <c r="AU9" i="29"/>
  <c r="BB9" i="16"/>
  <c r="E49" i="100" l="1"/>
  <c r="E50" i="100"/>
  <c r="F48" i="100"/>
  <c r="G48" i="100"/>
  <c r="N49" i="100"/>
  <c r="N50" i="100"/>
  <c r="L49" i="100"/>
  <c r="L50" i="100"/>
  <c r="J50" i="100"/>
  <c r="J49" i="100"/>
  <c r="Q49" i="100"/>
  <c r="Q50" i="100"/>
  <c r="I50" i="100"/>
  <c r="I49" i="100"/>
  <c r="K50" i="100"/>
  <c r="K49" i="100"/>
  <c r="O50" i="100"/>
  <c r="O49" i="100"/>
  <c r="H50" i="100"/>
  <c r="H49" i="100"/>
  <c r="R49" i="100"/>
  <c r="R50" i="100"/>
  <c r="M50" i="100"/>
  <c r="M49" i="100"/>
  <c r="P50" i="100"/>
  <c r="P49" i="100"/>
  <c r="AZ10" i="1"/>
  <c r="BD24" i="44"/>
  <c r="BE21" i="44" s="1"/>
  <c r="BE23" i="44" s="1"/>
  <c r="BC10" i="29"/>
  <c r="BD30" i="44"/>
  <c r="BE27" i="44" s="1"/>
  <c r="BE29" i="44" s="1"/>
  <c r="BC11" i="29"/>
  <c r="BA10" i="1"/>
  <c r="BB28" i="16"/>
  <c r="BD32" i="16" s="1"/>
  <c r="AN33" i="1"/>
  <c r="G32" i="20"/>
  <c r="G34" i="20" s="1"/>
  <c r="Z66" i="75"/>
  <c r="BC32" i="72" s="1"/>
  <c r="Y69" i="76"/>
  <c r="Y71" i="76" s="1"/>
  <c r="Z64" i="76"/>
  <c r="Z55" i="76"/>
  <c r="Z56" i="76" s="1"/>
  <c r="Z52" i="76"/>
  <c r="AA59" i="75"/>
  <c r="AA60" i="75" s="1"/>
  <c r="Z70" i="76"/>
  <c r="AA59" i="76"/>
  <c r="AA60" i="76" s="1"/>
  <c r="Z54" i="75"/>
  <c r="AA63" i="75"/>
  <c r="AA62" i="75"/>
  <c r="AA50" i="75"/>
  <c r="BB10" i="1"/>
  <c r="BC9" i="16"/>
  <c r="BC28" i="16" s="1"/>
  <c r="F49" i="100" l="1"/>
  <c r="F50" i="100"/>
  <c r="G50" i="100"/>
  <c r="G49" i="100"/>
  <c r="BE30" i="44"/>
  <c r="BF27" i="44" s="1"/>
  <c r="BF29" i="44" s="1"/>
  <c r="BD11" i="29"/>
  <c r="BE24" i="44"/>
  <c r="BF21" i="44" s="1"/>
  <c r="BF23" i="44" s="1"/>
  <c r="BD10" i="29"/>
  <c r="BE8" i="16"/>
  <c r="BE27" i="16" s="1"/>
  <c r="BC8" i="1"/>
  <c r="BC25" i="1"/>
  <c r="BE32" i="16"/>
  <c r="BD8" i="1" s="1"/>
  <c r="Z69" i="75"/>
  <c r="Z71" i="75" s="1"/>
  <c r="BE64" i="72"/>
  <c r="AA53" i="76"/>
  <c r="AA68" i="76"/>
  <c r="AA49" i="76"/>
  <c r="Z66" i="76"/>
  <c r="Z54" i="76"/>
  <c r="Z61" i="76"/>
  <c r="Z65" i="76"/>
  <c r="AA53" i="75"/>
  <c r="AA51" i="75" s="1"/>
  <c r="AA68" i="75"/>
  <c r="AA70" i="75" s="1"/>
  <c r="AV9" i="29"/>
  <c r="BC10" i="1"/>
  <c r="BD9" i="16"/>
  <c r="BF31" i="16" l="1"/>
  <c r="BF30" i="44"/>
  <c r="BG27" i="44" s="1"/>
  <c r="BG29" i="44" s="1"/>
  <c r="BE11" i="29"/>
  <c r="BF24" i="44"/>
  <c r="BG21" i="44" s="1"/>
  <c r="BG23" i="44" s="1"/>
  <c r="BE10" i="29"/>
  <c r="BF8" i="16"/>
  <c r="BF27" i="16" s="1"/>
  <c r="BG31" i="16" s="1"/>
  <c r="BD28" i="16"/>
  <c r="BF32" i="16" s="1"/>
  <c r="BD25" i="1"/>
  <c r="Z69" i="76"/>
  <c r="AA62" i="76"/>
  <c r="AA51" i="76"/>
  <c r="AA55" i="76" s="1"/>
  <c r="AA63" i="76"/>
  <c r="AA70" i="76" s="1"/>
  <c r="AA50" i="76"/>
  <c r="AA64" i="75"/>
  <c r="AA55" i="75"/>
  <c r="AA56" i="75" s="1"/>
  <c r="AA66" i="75" s="1"/>
  <c r="BD32" i="72" s="1"/>
  <c r="AA52" i="75"/>
  <c r="AA54" i="75" s="1"/>
  <c r="BE9" i="16"/>
  <c r="BE28" i="16" s="1"/>
  <c r="BD10" i="1"/>
  <c r="BG30" i="44" l="1"/>
  <c r="BH27" i="44" s="1"/>
  <c r="BH29" i="44" s="1"/>
  <c r="BF11" i="29"/>
  <c r="BG24" i="44"/>
  <c r="BH21" i="44" s="1"/>
  <c r="BH23" i="44" s="1"/>
  <c r="BF10" i="29"/>
  <c r="BG8" i="16"/>
  <c r="BG27" i="16" s="1"/>
  <c r="BH31" i="16" s="1"/>
  <c r="BE25" i="1"/>
  <c r="BE8" i="1"/>
  <c r="BF64" i="72"/>
  <c r="Z71" i="76"/>
  <c r="BG32" i="16"/>
  <c r="BF25" i="1" s="1"/>
  <c r="AA56" i="76"/>
  <c r="AA66" i="76" s="1"/>
  <c r="AA65" i="75"/>
  <c r="AA69" i="75" s="1"/>
  <c r="AA71" i="75" s="1"/>
  <c r="AA61" i="75"/>
  <c r="AA64" i="76"/>
  <c r="AA52" i="76"/>
  <c r="AA54" i="76" s="1"/>
  <c r="AA65" i="76"/>
  <c r="AA61" i="76"/>
  <c r="AW9" i="29"/>
  <c r="BE10" i="1"/>
  <c r="BF9" i="16"/>
  <c r="BH24" i="44" l="1"/>
  <c r="BI21" i="44" s="1"/>
  <c r="BI23" i="44" s="1"/>
  <c r="BG10" i="29"/>
  <c r="BH8" i="16"/>
  <c r="BH27" i="16" s="1"/>
  <c r="BI31" i="16" s="1"/>
  <c r="BH30" i="44"/>
  <c r="BI27" i="44" s="1"/>
  <c r="BI29" i="44" s="1"/>
  <c r="BG11" i="29"/>
  <c r="BF28" i="16"/>
  <c r="BH32" i="16" s="1"/>
  <c r="BG8" i="1" s="1"/>
  <c r="BF8" i="1"/>
  <c r="AA69" i="76"/>
  <c r="BG64" i="72" s="1"/>
  <c r="BF10" i="1"/>
  <c r="BG9" i="16"/>
  <c r="BI30" i="44" l="1"/>
  <c r="BJ27" i="44" s="1"/>
  <c r="BJ29" i="44" s="1"/>
  <c r="BH11" i="29"/>
  <c r="BI24" i="44"/>
  <c r="BJ21" i="44" s="1"/>
  <c r="BJ23" i="44" s="1"/>
  <c r="BH10" i="29"/>
  <c r="BI8" i="16"/>
  <c r="BI27" i="16" s="1"/>
  <c r="BJ31" i="16" s="1"/>
  <c r="BG28" i="16"/>
  <c r="BI32" i="16" s="1"/>
  <c r="BG25" i="1"/>
  <c r="AA71" i="76"/>
  <c r="AX9" i="29"/>
  <c r="BG10" i="1"/>
  <c r="BH9" i="16"/>
  <c r="BJ24" i="44" l="1"/>
  <c r="BK21" i="44" s="1"/>
  <c r="BK23" i="44" s="1"/>
  <c r="BK8" i="16" s="1"/>
  <c r="BK27" i="16" s="1"/>
  <c r="BL31" i="16" s="1"/>
  <c r="BI10" i="29"/>
  <c r="BJ8" i="16"/>
  <c r="BJ27" i="16" s="1"/>
  <c r="BK31" i="16" s="1"/>
  <c r="BJ30" i="44"/>
  <c r="BK27" i="44" s="1"/>
  <c r="BK29" i="44" s="1"/>
  <c r="BI11" i="29"/>
  <c r="BH25" i="1"/>
  <c r="BH8" i="1"/>
  <c r="BH28" i="16"/>
  <c r="BJ32" i="16" s="1"/>
  <c r="BH10" i="1"/>
  <c r="BI9" i="16"/>
  <c r="BK30" i="44" l="1"/>
  <c r="BL27" i="44" s="1"/>
  <c r="BL29" i="44" s="1"/>
  <c r="BJ11" i="29"/>
  <c r="BK24" i="44"/>
  <c r="BL21" i="44" s="1"/>
  <c r="BL23" i="44" s="1"/>
  <c r="BJ10" i="29"/>
  <c r="BI25" i="1"/>
  <c r="BI8" i="1"/>
  <c r="BI28" i="16"/>
  <c r="BK32" i="16" s="1"/>
  <c r="AY9" i="29"/>
  <c r="BL24" i="44" l="1"/>
  <c r="BM21" i="44" s="1"/>
  <c r="BM23" i="44" s="1"/>
  <c r="BK10" i="29"/>
  <c r="H6" i="99"/>
  <c r="H7" i="99"/>
  <c r="BL30" i="44"/>
  <c r="BM27" i="44" s="1"/>
  <c r="BM29" i="44" s="1"/>
  <c r="BK11" i="29"/>
  <c r="H8" i="99"/>
  <c r="BJ8" i="1"/>
  <c r="BJ25" i="1"/>
  <c r="G8" i="20"/>
  <c r="BL8" i="16"/>
  <c r="BL27" i="16" s="1"/>
  <c r="BI10" i="1"/>
  <c r="BJ9" i="16"/>
  <c r="H29" i="99" l="1"/>
  <c r="H43" i="99" s="1"/>
  <c r="C36" i="100" s="1"/>
  <c r="BM31" i="16"/>
  <c r="BM30" i="44"/>
  <c r="BN27" i="44" s="1"/>
  <c r="BN29" i="44" s="1"/>
  <c r="BL11" i="29"/>
  <c r="BM24" i="44"/>
  <c r="BN21" i="44" s="1"/>
  <c r="BN23" i="44" s="1"/>
  <c r="BL10" i="29"/>
  <c r="BJ28" i="16"/>
  <c r="BL32" i="16" s="1"/>
  <c r="AZ9" i="29"/>
  <c r="BJ10" i="1"/>
  <c r="BK9" i="16"/>
  <c r="BK28" i="16" s="1"/>
  <c r="F36" i="100" l="1"/>
  <c r="E36" i="100"/>
  <c r="E64" i="100" s="1"/>
  <c r="G36" i="100"/>
  <c r="K36" i="100"/>
  <c r="K64" i="100" s="1"/>
  <c r="J36" i="100"/>
  <c r="Q36" i="100"/>
  <c r="N36" i="100"/>
  <c r="P36" i="100"/>
  <c r="C64" i="100"/>
  <c r="O36" i="100"/>
  <c r="M36" i="100"/>
  <c r="L36" i="100"/>
  <c r="R36" i="100"/>
  <c r="I36" i="100"/>
  <c r="H36" i="100"/>
  <c r="D36" i="100"/>
  <c r="D38" i="100" s="1"/>
  <c r="BN24" i="44"/>
  <c r="BO21" i="44" s="1"/>
  <c r="BO23" i="44" s="1"/>
  <c r="BN30" i="44"/>
  <c r="BO27" i="44" s="1"/>
  <c r="BO29" i="44" s="1"/>
  <c r="BM11" i="29"/>
  <c r="BK8" i="1"/>
  <c r="BK25" i="1"/>
  <c r="BM32" i="16"/>
  <c r="BL25" i="1" s="1"/>
  <c r="BM8" i="16"/>
  <c r="BM27" i="16" s="1"/>
  <c r="BN31" i="16" s="1"/>
  <c r="BK10" i="1"/>
  <c r="BL9" i="16"/>
  <c r="E65" i="100" l="1"/>
  <c r="E66" i="100"/>
  <c r="F64" i="100"/>
  <c r="G64" i="100"/>
  <c r="R64" i="100"/>
  <c r="R66" i="100" s="1"/>
  <c r="Q64" i="100"/>
  <c r="Q66" i="100" s="1"/>
  <c r="L64" i="100"/>
  <c r="L65" i="100" s="1"/>
  <c r="J64" i="100"/>
  <c r="J66" i="100" s="1"/>
  <c r="H64" i="100"/>
  <c r="H65" i="100" s="1"/>
  <c r="M64" i="100"/>
  <c r="M66" i="100" s="1"/>
  <c r="P64" i="100"/>
  <c r="P65" i="100" s="1"/>
  <c r="I64" i="100"/>
  <c r="I65" i="100" s="1"/>
  <c r="O64" i="100"/>
  <c r="O65" i="100" s="1"/>
  <c r="N64" i="100"/>
  <c r="N66" i="100" s="1"/>
  <c r="K54" i="100"/>
  <c r="K53" i="100"/>
  <c r="R65" i="100"/>
  <c r="K66" i="100"/>
  <c r="K65" i="100"/>
  <c r="BO30" i="44"/>
  <c r="BP27" i="44" s="1"/>
  <c r="BP29" i="44" s="1"/>
  <c r="BN11" i="29"/>
  <c r="BM10" i="29"/>
  <c r="BO24" i="44"/>
  <c r="BP21" i="44" s="1"/>
  <c r="BP23" i="44" s="1"/>
  <c r="BL28" i="16"/>
  <c r="H9" i="99" s="1"/>
  <c r="BL8" i="1"/>
  <c r="BA9" i="29"/>
  <c r="Q65" i="100" l="1"/>
  <c r="F65" i="100"/>
  <c r="F66" i="100"/>
  <c r="G66" i="100"/>
  <c r="G65" i="100"/>
  <c r="J65" i="100"/>
  <c r="L66" i="100"/>
  <c r="O66" i="100"/>
  <c r="H66" i="100"/>
  <c r="P66" i="100"/>
  <c r="I66" i="100"/>
  <c r="N65" i="100"/>
  <c r="M65" i="100"/>
  <c r="N54" i="100"/>
  <c r="N53" i="100"/>
  <c r="I53" i="100"/>
  <c r="I54" i="100"/>
  <c r="M53" i="100"/>
  <c r="M54" i="100"/>
  <c r="J54" i="100"/>
  <c r="J53" i="100"/>
  <c r="Q53" i="100"/>
  <c r="Q54" i="100"/>
  <c r="O54" i="100"/>
  <c r="O53" i="100"/>
  <c r="P53" i="100"/>
  <c r="P54" i="100"/>
  <c r="H53" i="100"/>
  <c r="H54" i="100"/>
  <c r="L53" i="100"/>
  <c r="L54" i="100"/>
  <c r="R54" i="100"/>
  <c r="R53" i="100"/>
  <c r="BP24" i="44"/>
  <c r="BQ21" i="44" s="1"/>
  <c r="BQ23" i="44" s="1"/>
  <c r="BN32" i="16"/>
  <c r="BM25" i="1" s="1"/>
  <c r="H10" i="99"/>
  <c r="F47" i="99" s="1"/>
  <c r="BP30" i="44"/>
  <c r="BQ27" i="44" s="1"/>
  <c r="BQ29" i="44" s="1"/>
  <c r="BO11" i="29"/>
  <c r="BM8" i="1"/>
  <c r="BN8" i="16"/>
  <c r="BN27" i="16" s="1"/>
  <c r="BL10" i="1"/>
  <c r="BM9" i="16"/>
  <c r="BO31" i="16" l="1"/>
  <c r="BN10" i="29"/>
  <c r="BQ30" i="44"/>
  <c r="BR27" i="44" s="1"/>
  <c r="BR29" i="44" s="1"/>
  <c r="BP11" i="29"/>
  <c r="BQ24" i="44"/>
  <c r="BR21" i="44" s="1"/>
  <c r="BR23" i="44" s="1"/>
  <c r="BM28" i="16"/>
  <c r="BO32" i="16" s="1"/>
  <c r="BB9" i="29"/>
  <c r="BR30" i="44" l="1"/>
  <c r="BS27" i="44" s="1"/>
  <c r="BS29" i="44" s="1"/>
  <c r="BQ11" i="29"/>
  <c r="BR24" i="44"/>
  <c r="BS21" i="44" s="1"/>
  <c r="BS23" i="44" s="1"/>
  <c r="BN25" i="1"/>
  <c r="BN8" i="1"/>
  <c r="BC9" i="29"/>
  <c r="BO8" i="16"/>
  <c r="BO27" i="16" s="1"/>
  <c r="BM10" i="1"/>
  <c r="BN9" i="16"/>
  <c r="BS24" i="44" l="1"/>
  <c r="BT21" i="44" s="1"/>
  <c r="BT23" i="44" s="1"/>
  <c r="BP31" i="16"/>
  <c r="BO10" i="29"/>
  <c r="BS30" i="44"/>
  <c r="BT27" i="44" s="1"/>
  <c r="BT29" i="44" s="1"/>
  <c r="BR11" i="29"/>
  <c r="BN28" i="16"/>
  <c r="BP32" i="16" s="1"/>
  <c r="BO9" i="16"/>
  <c r="BT30" i="44" l="1"/>
  <c r="BU27" i="44" s="1"/>
  <c r="BU29" i="44" s="1"/>
  <c r="BS11" i="29"/>
  <c r="BT24" i="44"/>
  <c r="BU21" i="44" s="1"/>
  <c r="BU23" i="44" s="1"/>
  <c r="BO25" i="1"/>
  <c r="BO8" i="1"/>
  <c r="BO28" i="16"/>
  <c r="BQ32" i="16" s="1"/>
  <c r="BN10" i="1"/>
  <c r="BD9" i="29"/>
  <c r="BP8" i="16"/>
  <c r="BP27" i="16" s="1"/>
  <c r="BP9" i="16"/>
  <c r="BU24" i="44" l="1"/>
  <c r="BV21" i="44" s="1"/>
  <c r="BV23" i="44" s="1"/>
  <c r="BQ31" i="16"/>
  <c r="BP8" i="1" s="1"/>
  <c r="BP10" i="29"/>
  <c r="BU30" i="44"/>
  <c r="BV27" i="44" s="1"/>
  <c r="BV29" i="44" s="1"/>
  <c r="BT11" i="29"/>
  <c r="BP28" i="16"/>
  <c r="BR32" i="16" s="1"/>
  <c r="BO10" i="1"/>
  <c r="BQ9" i="16"/>
  <c r="BP25" i="1" l="1"/>
  <c r="BV30" i="44"/>
  <c r="BW27" i="44" s="1"/>
  <c r="BW29" i="44" s="1"/>
  <c r="BU11" i="29"/>
  <c r="BV24" i="44"/>
  <c r="BW21" i="44" s="1"/>
  <c r="BW23" i="44" s="1"/>
  <c r="BQ28" i="16"/>
  <c r="BS32" i="16" s="1"/>
  <c r="BE9" i="29"/>
  <c r="BQ8" i="16"/>
  <c r="BQ27" i="16" s="1"/>
  <c r="BR31" i="16" l="1"/>
  <c r="BQ8" i="1" s="1"/>
  <c r="BQ10" i="29"/>
  <c r="BW24" i="44"/>
  <c r="BX21" i="44" s="1"/>
  <c r="BX23" i="44" s="1"/>
  <c r="BW30" i="44"/>
  <c r="BX27" i="44" s="1"/>
  <c r="BX29" i="44" s="1"/>
  <c r="BV11" i="29"/>
  <c r="BR9" i="16"/>
  <c r="BP10" i="1"/>
  <c r="BR8" i="16"/>
  <c r="BR27" i="16" s="1"/>
  <c r="BQ25" i="1" l="1"/>
  <c r="BS31" i="16"/>
  <c r="BR25" i="1" s="1"/>
  <c r="BR10" i="29"/>
  <c r="BX24" i="44"/>
  <c r="BY21" i="44" s="1"/>
  <c r="BY23" i="44" s="1"/>
  <c r="BX30" i="44"/>
  <c r="BY27" i="44" s="1"/>
  <c r="BY29" i="44" s="1"/>
  <c r="BW11" i="29"/>
  <c r="BR28" i="16"/>
  <c r="BT32" i="16" s="1"/>
  <c r="BF9" i="29"/>
  <c r="BS8" i="16"/>
  <c r="BS27" i="16" s="1"/>
  <c r="BQ10" i="1"/>
  <c r="BR8" i="1" l="1"/>
  <c r="BT31" i="16"/>
  <c r="BS25" i="1" s="1"/>
  <c r="BS10" i="29"/>
  <c r="BY24" i="44"/>
  <c r="BZ21" i="44" s="1"/>
  <c r="BZ23" i="44" s="1"/>
  <c r="BY30" i="44"/>
  <c r="BZ27" i="44" s="1"/>
  <c r="BZ29" i="44" s="1"/>
  <c r="BX11" i="29"/>
  <c r="BT8" i="16"/>
  <c r="BT27" i="16" s="1"/>
  <c r="BS9" i="16"/>
  <c r="BS8" i="1" l="1"/>
  <c r="BU31" i="16"/>
  <c r="BT10" i="29"/>
  <c r="BZ24" i="44"/>
  <c r="CA21" i="44" s="1"/>
  <c r="CA23" i="44" s="1"/>
  <c r="BZ30" i="44"/>
  <c r="CA27" i="44" s="1"/>
  <c r="CA29" i="44" s="1"/>
  <c r="BY11" i="29"/>
  <c r="BS28" i="16"/>
  <c r="BU32" i="16" s="1"/>
  <c r="BR10" i="1"/>
  <c r="BG9" i="29"/>
  <c r="CA24" i="44" l="1"/>
  <c r="CB21" i="44" s="1"/>
  <c r="CB23" i="44" s="1"/>
  <c r="CA30" i="44"/>
  <c r="CB27" i="44" s="1"/>
  <c r="CB29" i="44" s="1"/>
  <c r="BZ11" i="29"/>
  <c r="BT25" i="1"/>
  <c r="BT8" i="1"/>
  <c r="BU8" i="16"/>
  <c r="BU27" i="16" s="1"/>
  <c r="BS10" i="1"/>
  <c r="BT9" i="16"/>
  <c r="BV31" i="16" l="1"/>
  <c r="BU10" i="29"/>
  <c r="CB30" i="44"/>
  <c r="CC27" i="44" s="1"/>
  <c r="CC29" i="44" s="1"/>
  <c r="CA11" i="29"/>
  <c r="CB24" i="44"/>
  <c r="CC21" i="44" s="1"/>
  <c r="CC23" i="44" s="1"/>
  <c r="BT28" i="16"/>
  <c r="BV32" i="16" s="1"/>
  <c r="BH9" i="29"/>
  <c r="BU9" i="16"/>
  <c r="CC30" i="44" l="1"/>
  <c r="CD27" i="44" s="1"/>
  <c r="CD29" i="44" s="1"/>
  <c r="CB11" i="29"/>
  <c r="CC24" i="44"/>
  <c r="CD21" i="44" s="1"/>
  <c r="CD23" i="44" s="1"/>
  <c r="BT10" i="1"/>
  <c r="BU8" i="1"/>
  <c r="BU25" i="1"/>
  <c r="BU28" i="16"/>
  <c r="BW32" i="16" s="1"/>
  <c r="BV8" i="16"/>
  <c r="BV27" i="16" s="1"/>
  <c r="CD24" i="44" l="1"/>
  <c r="CE21" i="44" s="1"/>
  <c r="CE23" i="44" s="1"/>
  <c r="BW31" i="16"/>
  <c r="BV8" i="1" s="1"/>
  <c r="BV10" i="29"/>
  <c r="CD30" i="44"/>
  <c r="CE27" i="44" s="1"/>
  <c r="CE29" i="44" s="1"/>
  <c r="CC11" i="29"/>
  <c r="BI9" i="29"/>
  <c r="BV25" i="1"/>
  <c r="BV9" i="16"/>
  <c r="BW8" i="16"/>
  <c r="BW27" i="16" s="1"/>
  <c r="BX31" i="16" l="1"/>
  <c r="BW10" i="29"/>
  <c r="CE30" i="44"/>
  <c r="CF27" i="44" s="1"/>
  <c r="CF29" i="44" s="1"/>
  <c r="CD11" i="29"/>
  <c r="CE24" i="44"/>
  <c r="CF21" i="44" s="1"/>
  <c r="CF23" i="44" s="1"/>
  <c r="BV28" i="16"/>
  <c r="BX32" i="16" s="1"/>
  <c r="BU10" i="1"/>
  <c r="BX8" i="16"/>
  <c r="BX27" i="16" s="1"/>
  <c r="BW9" i="16"/>
  <c r="BY31" i="16" l="1"/>
  <c r="BX10" i="29"/>
  <c r="CF30" i="44"/>
  <c r="CG27" i="44" s="1"/>
  <c r="CG29" i="44" s="1"/>
  <c r="CE11" i="29"/>
  <c r="CF24" i="44"/>
  <c r="CG21" i="44" s="1"/>
  <c r="CG23" i="44" s="1"/>
  <c r="BW25" i="1"/>
  <c r="BW8" i="1"/>
  <c r="I6" i="20" s="1"/>
  <c r="BW28" i="16"/>
  <c r="BY32" i="16" s="1"/>
  <c r="BV10" i="1"/>
  <c r="I26" i="20"/>
  <c r="BJ9" i="29"/>
  <c r="BX9" i="16"/>
  <c r="BY8" i="16"/>
  <c r="BY27" i="16" s="1"/>
  <c r="CG30" i="44" l="1"/>
  <c r="CH27" i="44" s="1"/>
  <c r="CH29" i="44" s="1"/>
  <c r="CF11" i="29"/>
  <c r="BZ31" i="16"/>
  <c r="BY10" i="29"/>
  <c r="CG24" i="44"/>
  <c r="CH21" i="44" s="1"/>
  <c r="CH23" i="44" s="1"/>
  <c r="BX8" i="1"/>
  <c r="BX25" i="1"/>
  <c r="BX28" i="16"/>
  <c r="BZ32" i="16" s="1"/>
  <c r="BW10" i="1"/>
  <c r="H7" i="23"/>
  <c r="BZ8" i="16"/>
  <c r="BZ27" i="16" s="1"/>
  <c r="BY9" i="16"/>
  <c r="BY25" i="1" l="1"/>
  <c r="CA31" i="16"/>
  <c r="BZ10" i="29"/>
  <c r="CH24" i="44"/>
  <c r="CI21" i="44" s="1"/>
  <c r="CI23" i="44" s="1"/>
  <c r="CH30" i="44"/>
  <c r="CI27" i="44" s="1"/>
  <c r="CI29" i="44" s="1"/>
  <c r="CG11" i="29"/>
  <c r="BY28" i="16"/>
  <c r="CA32" i="16" s="1"/>
  <c r="BY8" i="1"/>
  <c r="BX10" i="1"/>
  <c r="BK9" i="29"/>
  <c r="BZ9" i="16"/>
  <c r="CI24" i="44" l="1"/>
  <c r="CJ21" i="44" s="1"/>
  <c r="CJ23" i="44" s="1"/>
  <c r="CI30" i="44"/>
  <c r="CJ27" i="44" s="1"/>
  <c r="CJ29" i="44" s="1"/>
  <c r="CH11" i="29"/>
  <c r="BZ25" i="1"/>
  <c r="BZ8" i="1"/>
  <c r="BZ28" i="16"/>
  <c r="CB32" i="16" s="1"/>
  <c r="BY10" i="1"/>
  <c r="H8" i="20"/>
  <c r="H11" i="99" s="1"/>
  <c r="CA9" i="16"/>
  <c r="CA8" i="16"/>
  <c r="CA27" i="16" s="1"/>
  <c r="H17" i="99" l="1"/>
  <c r="CJ30" i="44"/>
  <c r="CI11" i="29"/>
  <c r="CB31" i="16"/>
  <c r="CA25" i="1" s="1"/>
  <c r="CA10" i="29"/>
  <c r="CJ24" i="44"/>
  <c r="CK21" i="44" s="1"/>
  <c r="CK23" i="44" s="1"/>
  <c r="CA28" i="16"/>
  <c r="CC32" i="16" s="1"/>
  <c r="BL9" i="29"/>
  <c r="CB8" i="16"/>
  <c r="CB27" i="16" s="1"/>
  <c r="BZ10" i="1"/>
  <c r="CB9" i="16"/>
  <c r="CA8" i="1" l="1"/>
  <c r="CC31" i="16"/>
  <c r="CB10" i="29"/>
  <c r="CK24" i="44"/>
  <c r="CL21" i="44" s="1"/>
  <c r="CL23" i="44" s="1"/>
  <c r="CB28" i="16"/>
  <c r="CD32" i="16" s="1"/>
  <c r="CA10" i="1"/>
  <c r="CB25" i="1"/>
  <c r="CB8" i="1"/>
  <c r="CC9" i="16"/>
  <c r="CL24" i="44" l="1"/>
  <c r="CM21" i="44" s="1"/>
  <c r="CM23" i="44" s="1"/>
  <c r="CC28" i="16"/>
  <c r="CE32" i="16" s="1"/>
  <c r="BM9" i="29"/>
  <c r="CC8" i="16"/>
  <c r="CC27" i="16" s="1"/>
  <c r="CD9" i="16"/>
  <c r="CD31" i="16" l="1"/>
  <c r="CC25" i="1" s="1"/>
  <c r="CC10" i="29"/>
  <c r="CM24" i="44"/>
  <c r="CN21" i="44" s="1"/>
  <c r="CN23" i="44" s="1"/>
  <c r="CD28" i="16"/>
  <c r="CF32" i="16" s="1"/>
  <c r="CD8" i="16"/>
  <c r="CD27" i="16" s="1"/>
  <c r="CB10" i="1"/>
  <c r="CE9" i="16"/>
  <c r="CC8" i="1" l="1"/>
  <c r="CN24" i="44"/>
  <c r="CO21" i="44" s="1"/>
  <c r="CO23" i="44" s="1"/>
  <c r="CE31" i="16"/>
  <c r="CD8" i="1" s="1"/>
  <c r="CD10" i="29"/>
  <c r="CE28" i="16"/>
  <c r="CG32" i="16" s="1"/>
  <c r="BN9" i="29"/>
  <c r="CC10" i="1"/>
  <c r="CF9" i="16"/>
  <c r="CE8" i="16"/>
  <c r="CE27" i="16" s="1"/>
  <c r="CD25" i="1" l="1"/>
  <c r="CF31" i="16"/>
  <c r="CE8" i="1" s="1"/>
  <c r="CE10" i="29"/>
  <c r="CO24" i="44"/>
  <c r="CP21" i="44" s="1"/>
  <c r="CP23" i="44" s="1"/>
  <c r="CF28" i="16"/>
  <c r="CH32" i="16" s="1"/>
  <c r="CD10" i="1"/>
  <c r="CF8" i="16"/>
  <c r="CF27" i="16" s="1"/>
  <c r="CG9" i="16"/>
  <c r="CE25" i="1" l="1"/>
  <c r="CG31" i="16"/>
  <c r="CF8" i="1" s="1"/>
  <c r="CF10" i="29"/>
  <c r="CP24" i="44"/>
  <c r="CQ21" i="44" s="1"/>
  <c r="CQ23" i="44" s="1"/>
  <c r="CG28" i="16"/>
  <c r="CI32" i="16" s="1"/>
  <c r="BO9" i="29"/>
  <c r="CG8" i="16"/>
  <c r="CG27" i="16" s="1"/>
  <c r="CE10" i="1"/>
  <c r="CH9" i="16"/>
  <c r="CF25" i="1" l="1"/>
  <c r="CH31" i="16"/>
  <c r="CG8" i="1" s="1"/>
  <c r="CG10" i="29"/>
  <c r="CQ24" i="44"/>
  <c r="CR21" i="44" s="1"/>
  <c r="CR23" i="44" s="1"/>
  <c r="CH28" i="16"/>
  <c r="CJ32" i="16" s="1"/>
  <c r="CI9" i="16"/>
  <c r="CF10" i="1"/>
  <c r="CG25" i="1" l="1"/>
  <c r="CR24" i="44"/>
  <c r="CS21" i="44" s="1"/>
  <c r="CS23" i="44" s="1"/>
  <c r="CI28" i="16"/>
  <c r="CK32" i="16" s="1"/>
  <c r="BP9" i="29"/>
  <c r="CK27" i="44"/>
  <c r="CH8" i="16"/>
  <c r="CH27" i="16" s="1"/>
  <c r="CI31" i="16" l="1"/>
  <c r="CH25" i="1" s="1"/>
  <c r="CH10" i="29"/>
  <c r="CS24" i="44"/>
  <c r="CT21" i="44" s="1"/>
  <c r="CT23" i="44" s="1"/>
  <c r="CK29" i="44"/>
  <c r="CJ11" i="29" s="1"/>
  <c r="CJ9" i="16"/>
  <c r="CG10" i="1"/>
  <c r="CI8" i="16"/>
  <c r="CI27" i="16" s="1"/>
  <c r="CH8" i="1" l="1"/>
  <c r="CJ31" i="16"/>
  <c r="CI25" i="1" s="1"/>
  <c r="CI10" i="29"/>
  <c r="CT24" i="44"/>
  <c r="CU21" i="44" s="1"/>
  <c r="CU23" i="44" s="1"/>
  <c r="CJ28" i="16"/>
  <c r="CL32" i="16" s="1"/>
  <c r="BQ9" i="29"/>
  <c r="CK9" i="16"/>
  <c r="CK30" i="44"/>
  <c r="CL27" i="44" s="1"/>
  <c r="CH10" i="1"/>
  <c r="CJ8" i="16"/>
  <c r="CJ27" i="16" s="1"/>
  <c r="CI8" i="1" l="1"/>
  <c r="J6" i="20" s="1"/>
  <c r="CK31" i="16"/>
  <c r="CJ8" i="1" s="1"/>
  <c r="CJ10" i="29"/>
  <c r="CU24" i="44"/>
  <c r="CV21" i="44" s="1"/>
  <c r="CV23" i="44" s="1"/>
  <c r="CK28" i="16"/>
  <c r="CM32" i="16" s="1"/>
  <c r="CL29" i="44"/>
  <c r="J26" i="20"/>
  <c r="CI10" i="1"/>
  <c r="CK8" i="16"/>
  <c r="CK27" i="16" s="1"/>
  <c r="CJ25" i="1" l="1"/>
  <c r="CL31" i="16"/>
  <c r="CK25" i="1" s="1"/>
  <c r="CK10" i="29"/>
  <c r="CV24" i="44"/>
  <c r="CW21" i="44" s="1"/>
  <c r="CW23" i="44" s="1"/>
  <c r="CL30" i="44"/>
  <c r="CM27" i="44" s="1"/>
  <c r="CM29" i="44" s="1"/>
  <c r="CK11" i="29"/>
  <c r="I7" i="23"/>
  <c r="BR9" i="29"/>
  <c r="CL8" i="16"/>
  <c r="CL27" i="16" s="1"/>
  <c r="CJ10" i="1"/>
  <c r="CL9" i="16"/>
  <c r="CK8" i="1" l="1"/>
  <c r="CW24" i="44"/>
  <c r="CX21" i="44" s="1"/>
  <c r="CX23" i="44" s="1"/>
  <c r="CM31" i="16"/>
  <c r="CL8" i="1" s="1"/>
  <c r="CL10" i="29"/>
  <c r="CM30" i="44"/>
  <c r="CN27" i="44" s="1"/>
  <c r="CN29" i="44" s="1"/>
  <c r="CL11" i="29"/>
  <c r="CL28" i="16"/>
  <c r="CN32" i="16" s="1"/>
  <c r="CM9" i="16"/>
  <c r="CK10" i="1"/>
  <c r="CL25" i="1" l="1"/>
  <c r="CN30" i="44"/>
  <c r="CO27" i="44" s="1"/>
  <c r="CO29" i="44" s="1"/>
  <c r="CM11" i="29"/>
  <c r="CX24" i="44"/>
  <c r="CY21" i="44" s="1"/>
  <c r="CY23" i="44" s="1"/>
  <c r="CM28" i="16"/>
  <c r="CO32" i="16" s="1"/>
  <c r="BS9" i="29"/>
  <c r="CN9" i="16"/>
  <c r="CM8" i="16"/>
  <c r="CM27" i="16" s="1"/>
  <c r="CN31" i="16" l="1"/>
  <c r="CM25" i="1" s="1"/>
  <c r="CM10" i="29"/>
  <c r="CY24" i="44"/>
  <c r="CZ21" i="44" s="1"/>
  <c r="CZ23" i="44" s="1"/>
  <c r="CO30" i="44"/>
  <c r="CP27" i="44" s="1"/>
  <c r="CP29" i="44" s="1"/>
  <c r="CN11" i="29"/>
  <c r="CN28" i="16"/>
  <c r="CP32" i="16" s="1"/>
  <c r="CN8" i="16"/>
  <c r="CN27" i="16" s="1"/>
  <c r="CL10" i="1"/>
  <c r="CO9" i="16"/>
  <c r="CM8" i="1" l="1"/>
  <c r="CO31" i="16"/>
  <c r="CN25" i="1" s="1"/>
  <c r="CN10" i="29"/>
  <c r="CZ24" i="44"/>
  <c r="DA21" i="44" s="1"/>
  <c r="DA23" i="44" s="1"/>
  <c r="CP30" i="44"/>
  <c r="CQ27" i="44" s="1"/>
  <c r="CQ29" i="44" s="1"/>
  <c r="CO11" i="29"/>
  <c r="CO28" i="16"/>
  <c r="CQ32" i="16" s="1"/>
  <c r="BT9" i="29"/>
  <c r="CO8" i="16"/>
  <c r="CO27" i="16" s="1"/>
  <c r="CM10" i="1"/>
  <c r="CP9" i="16"/>
  <c r="CN8" i="1" l="1"/>
  <c r="DA24" i="44"/>
  <c r="DB21" i="44" s="1"/>
  <c r="DB23" i="44" s="1"/>
  <c r="CP31" i="16"/>
  <c r="CO25" i="1" s="1"/>
  <c r="CO10" i="29"/>
  <c r="CQ30" i="44"/>
  <c r="CR27" i="44" s="1"/>
  <c r="CR29" i="44" s="1"/>
  <c r="CP11" i="29"/>
  <c r="CP28" i="16"/>
  <c r="CR32" i="16" s="1"/>
  <c r="CN10" i="1"/>
  <c r="CP8" i="16"/>
  <c r="CP27" i="16" s="1"/>
  <c r="CQ9" i="16"/>
  <c r="CO8" i="1" l="1"/>
  <c r="CQ31" i="16"/>
  <c r="CP25" i="1" s="1"/>
  <c r="CP10" i="29"/>
  <c r="CR30" i="44"/>
  <c r="CS27" i="44" s="1"/>
  <c r="CS29" i="44" s="1"/>
  <c r="CQ11" i="29"/>
  <c r="DB24" i="44"/>
  <c r="DC21" i="44" s="1"/>
  <c r="DC23" i="44" s="1"/>
  <c r="CQ28" i="16"/>
  <c r="CS32" i="16" s="1"/>
  <c r="BU9" i="29"/>
  <c r="CO10" i="1"/>
  <c r="CQ8" i="16"/>
  <c r="CQ27" i="16" s="1"/>
  <c r="CR9" i="16"/>
  <c r="CP8" i="1" l="1"/>
  <c r="CR31" i="16"/>
  <c r="CQ8" i="1" s="1"/>
  <c r="CQ10" i="29"/>
  <c r="CS30" i="44"/>
  <c r="CT27" i="44" s="1"/>
  <c r="CT29" i="44" s="1"/>
  <c r="CR11" i="29"/>
  <c r="DC24" i="44"/>
  <c r="DD21" i="44" s="1"/>
  <c r="DD23" i="44" s="1"/>
  <c r="CR28" i="16"/>
  <c r="CT32" i="16" s="1"/>
  <c r="CS9" i="16"/>
  <c r="CR8" i="16"/>
  <c r="CR27" i="16" s="1"/>
  <c r="CQ25" i="1"/>
  <c r="CP10" i="1"/>
  <c r="CT30" i="44" l="1"/>
  <c r="CU27" i="44" s="1"/>
  <c r="CU29" i="44" s="1"/>
  <c r="CS11" i="29"/>
  <c r="CS31" i="16"/>
  <c r="CR25" i="1" s="1"/>
  <c r="CR10" i="29"/>
  <c r="DD24" i="44"/>
  <c r="DE21" i="44" s="1"/>
  <c r="DE23" i="44" s="1"/>
  <c r="CS28" i="16"/>
  <c r="CU32" i="16" s="1"/>
  <c r="BV9" i="29"/>
  <c r="CQ10" i="1"/>
  <c r="CT9" i="16"/>
  <c r="CR8" i="1" l="1"/>
  <c r="DE24" i="44"/>
  <c r="DF21" i="44" s="1"/>
  <c r="DF23" i="44" s="1"/>
  <c r="CU30" i="44"/>
  <c r="CV27" i="44" s="1"/>
  <c r="CV29" i="44" s="1"/>
  <c r="CT11" i="29"/>
  <c r="CT28" i="16"/>
  <c r="CV32" i="16" s="1"/>
  <c r="CS8" i="16"/>
  <c r="CS27" i="16" s="1"/>
  <c r="CV30" i="44" l="1"/>
  <c r="CW27" i="44" s="1"/>
  <c r="CW29" i="44" s="1"/>
  <c r="CU11" i="29"/>
  <c r="CT31" i="16"/>
  <c r="CS8" i="1" s="1"/>
  <c r="CS10" i="29"/>
  <c r="DF24" i="44"/>
  <c r="DG21" i="44" s="1"/>
  <c r="DG23" i="44" s="1"/>
  <c r="BW9" i="29"/>
  <c r="CS25" i="1"/>
  <c r="CR10" i="1"/>
  <c r="CU9" i="16"/>
  <c r="DG24" i="44" l="1"/>
  <c r="DH21" i="44" s="1"/>
  <c r="DH23" i="44" s="1"/>
  <c r="CW30" i="44"/>
  <c r="CV11" i="29"/>
  <c r="CU28" i="16"/>
  <c r="CW32" i="16" s="1"/>
  <c r="I8" i="20"/>
  <c r="CT8" i="16"/>
  <c r="CT27" i="16" s="1"/>
  <c r="CU31" i="16" l="1"/>
  <c r="CT8" i="1" s="1"/>
  <c r="CT10" i="29"/>
  <c r="DH24" i="44"/>
  <c r="DI21" i="44" s="1"/>
  <c r="DI23" i="44" s="1"/>
  <c r="BX9" i="29"/>
  <c r="CS10" i="1"/>
  <c r="CU8" i="16"/>
  <c r="CU27" i="16" s="1"/>
  <c r="CV9" i="16"/>
  <c r="CT25" i="1" l="1"/>
  <c r="CV31" i="16"/>
  <c r="CU8" i="1" s="1"/>
  <c r="CU10" i="29"/>
  <c r="DI24" i="44"/>
  <c r="DJ21" i="44" s="1"/>
  <c r="DJ23" i="44" s="1"/>
  <c r="CV28" i="16"/>
  <c r="CX32" i="16" s="1"/>
  <c r="BY9" i="29"/>
  <c r="CW9" i="16"/>
  <c r="CX27" i="44"/>
  <c r="CV8" i="16"/>
  <c r="CV27" i="16" s="1"/>
  <c r="CU25" i="1"/>
  <c r="CT10" i="1"/>
  <c r="CW31" i="16" l="1"/>
  <c r="CV25" i="1" s="1"/>
  <c r="CV10" i="29"/>
  <c r="DJ24" i="44"/>
  <c r="DK21" i="44" s="1"/>
  <c r="DK23" i="44" s="1"/>
  <c r="CW28" i="16"/>
  <c r="CY32" i="16" s="1"/>
  <c r="K26" i="20"/>
  <c r="K6" i="20"/>
  <c r="BZ9" i="29"/>
  <c r="CX29" i="44"/>
  <c r="CU10" i="1"/>
  <c r="CV8" i="1" l="1"/>
  <c r="CX30" i="44"/>
  <c r="CY27" i="44" s="1"/>
  <c r="CY29" i="44" s="1"/>
  <c r="CW11" i="29"/>
  <c r="DK24" i="44"/>
  <c r="DL21" i="44" s="1"/>
  <c r="DL23" i="44" s="1"/>
  <c r="J7" i="23"/>
  <c r="CA9" i="29"/>
  <c r="CW8" i="16"/>
  <c r="CW27" i="16" s="1"/>
  <c r="CX9" i="16"/>
  <c r="CX31" i="16" l="1"/>
  <c r="CW8" i="1" s="1"/>
  <c r="CW10" i="29"/>
  <c r="CY30" i="44"/>
  <c r="CZ27" i="44" s="1"/>
  <c r="CZ29" i="44" s="1"/>
  <c r="CY11" i="29" s="1"/>
  <c r="CX11" i="29"/>
  <c r="DL24" i="44"/>
  <c r="DM21" i="44" s="1"/>
  <c r="DM23" i="44" s="1"/>
  <c r="CX28" i="16"/>
  <c r="CZ32" i="16" s="1"/>
  <c r="CX8" i="16"/>
  <c r="CX27" i="16" s="1"/>
  <c r="CY9" i="16"/>
  <c r="CW25" i="1"/>
  <c r="CV10" i="1"/>
  <c r="CY31" i="16" l="1"/>
  <c r="CX8" i="1" s="1"/>
  <c r="CX10" i="29"/>
  <c r="DM24" i="44"/>
  <c r="DN21" i="44" s="1"/>
  <c r="DN23" i="44" s="1"/>
  <c r="CY28" i="16"/>
  <c r="DA32" i="16" s="1"/>
  <c r="CC9" i="29"/>
  <c r="CB9" i="29"/>
  <c r="CZ9" i="16"/>
  <c r="CZ30" i="44"/>
  <c r="DA27" i="44" s="1"/>
  <c r="CX25" i="1"/>
  <c r="CW10" i="1"/>
  <c r="DN24" i="44" l="1"/>
  <c r="DO21" i="44" s="1"/>
  <c r="DO23" i="44" s="1"/>
  <c r="CZ28" i="16"/>
  <c r="DB32" i="16" s="1"/>
  <c r="CD9" i="29"/>
  <c r="CY8" i="16"/>
  <c r="CY27" i="16" s="1"/>
  <c r="DA29" i="44"/>
  <c r="CZ11" i="29" s="1"/>
  <c r="CZ31" i="16" l="1"/>
  <c r="CY25" i="1" s="1"/>
  <c r="CY10" i="29"/>
  <c r="DO24" i="44"/>
  <c r="DP21" i="44" s="1"/>
  <c r="DP23" i="44" s="1"/>
  <c r="CX10" i="1"/>
  <c r="DA9" i="16"/>
  <c r="DA30" i="44"/>
  <c r="DB27" i="44" s="1"/>
  <c r="CY8" i="1" l="1"/>
  <c r="DP24" i="44"/>
  <c r="DQ21" i="44" s="1"/>
  <c r="DQ23" i="44" s="1"/>
  <c r="DA28" i="16"/>
  <c r="DC32" i="16" s="1"/>
  <c r="CF9" i="29"/>
  <c r="CE9" i="29"/>
  <c r="DB29" i="44"/>
  <c r="CZ8" i="16"/>
  <c r="CZ27" i="16" s="1"/>
  <c r="DA31" i="16" l="1"/>
  <c r="CZ8" i="1" s="1"/>
  <c r="CZ10" i="29"/>
  <c r="DB30" i="44"/>
  <c r="DC27" i="44" s="1"/>
  <c r="DC29" i="44" s="1"/>
  <c r="DA11" i="29"/>
  <c r="DQ24" i="44"/>
  <c r="DR21" i="44" s="1"/>
  <c r="DR23" i="44" s="1"/>
  <c r="DA8" i="16"/>
  <c r="DA27" i="16" s="1"/>
  <c r="CY10" i="1"/>
  <c r="DB9" i="16"/>
  <c r="CZ25" i="1" l="1"/>
  <c r="DC30" i="44"/>
  <c r="DD27" i="44" s="1"/>
  <c r="DD29" i="44" s="1"/>
  <c r="DB11" i="29"/>
  <c r="DB31" i="16"/>
  <c r="DA8" i="1" s="1"/>
  <c r="DA10" i="29"/>
  <c r="DR24" i="44"/>
  <c r="DS21" i="44" s="1"/>
  <c r="DS23" i="44" s="1"/>
  <c r="DB28" i="16"/>
  <c r="DD32" i="16" s="1"/>
  <c r="CG9" i="29"/>
  <c r="CZ10" i="1"/>
  <c r="DC9" i="16"/>
  <c r="DA25" i="1" l="1"/>
  <c r="DD30" i="44"/>
  <c r="DE27" i="44" s="1"/>
  <c r="DE29" i="44" s="1"/>
  <c r="DC11" i="29"/>
  <c r="DS24" i="44"/>
  <c r="DT21" i="44" s="1"/>
  <c r="DT23" i="44" s="1"/>
  <c r="DC28" i="16"/>
  <c r="DE32" i="16" s="1"/>
  <c r="CI9" i="29"/>
  <c r="CH9" i="29"/>
  <c r="DB8" i="16"/>
  <c r="DB27" i="16" s="1"/>
  <c r="DD9" i="16"/>
  <c r="DE30" i="44" l="1"/>
  <c r="DF27" i="44" s="1"/>
  <c r="DD11" i="29"/>
  <c r="DC31" i="16"/>
  <c r="DB25" i="1" s="1"/>
  <c r="DB10" i="29"/>
  <c r="DT24" i="44"/>
  <c r="DD28" i="16"/>
  <c r="DF32" i="16" s="1"/>
  <c r="J8" i="20"/>
  <c r="P9" i="1"/>
  <c r="CJ9" i="29"/>
  <c r="DF29" i="44"/>
  <c r="DE11" i="29" s="1"/>
  <c r="DA10" i="1"/>
  <c r="DE9" i="16"/>
  <c r="DB8" i="1" l="1"/>
  <c r="DE28" i="16"/>
  <c r="DG32" i="16" s="1"/>
  <c r="P13" i="1"/>
  <c r="DC8" i="16"/>
  <c r="DC27" i="16" s="1"/>
  <c r="DF9" i="16"/>
  <c r="DF30" i="44"/>
  <c r="DG27" i="44" s="1"/>
  <c r="DD31" i="16" l="1"/>
  <c r="DC8" i="1" s="1"/>
  <c r="DC10" i="29"/>
  <c r="DF28" i="16"/>
  <c r="DH32" i="16" s="1"/>
  <c r="CK9" i="29"/>
  <c r="Q9" i="1"/>
  <c r="DG29" i="44"/>
  <c r="DC25" i="1"/>
  <c r="DB10" i="1"/>
  <c r="DG30" i="44" l="1"/>
  <c r="DH27" i="44" s="1"/>
  <c r="DH29" i="44" s="1"/>
  <c r="DF11" i="29"/>
  <c r="Q13" i="1"/>
  <c r="CM9" i="29"/>
  <c r="S9" i="1"/>
  <c r="CL9" i="29"/>
  <c r="R9" i="1"/>
  <c r="DD8" i="16"/>
  <c r="DD27" i="16" s="1"/>
  <c r="DG9" i="16"/>
  <c r="DH30" i="44" l="1"/>
  <c r="DI27" i="44" s="1"/>
  <c r="DI29" i="44" s="1"/>
  <c r="DH11" i="29" s="1"/>
  <c r="DG11" i="29"/>
  <c r="DE31" i="16"/>
  <c r="DD25" i="1" s="1"/>
  <c r="DD10" i="29"/>
  <c r="DG28" i="16"/>
  <c r="DI32" i="16" s="1"/>
  <c r="T9" i="1"/>
  <c r="CN9" i="29"/>
  <c r="DH9" i="16"/>
  <c r="DE8" i="16"/>
  <c r="DE27" i="16" s="1"/>
  <c r="DC10" i="1"/>
  <c r="DD8" i="1" l="1"/>
  <c r="DF31" i="16"/>
  <c r="DE8" i="1" s="1"/>
  <c r="DE10" i="29"/>
  <c r="DH28" i="16"/>
  <c r="DJ32" i="16" s="1"/>
  <c r="U9" i="1"/>
  <c r="CO9" i="29"/>
  <c r="DD10" i="1"/>
  <c r="DI9" i="16"/>
  <c r="DF8" i="16"/>
  <c r="DF27" i="16" s="1"/>
  <c r="DI30" i="44"/>
  <c r="DJ27" i="44" s="1"/>
  <c r="DE25" i="1" l="1"/>
  <c r="DG31" i="16"/>
  <c r="DF8" i="1" s="1"/>
  <c r="DF10" i="29"/>
  <c r="DI28" i="16"/>
  <c r="DK32" i="16" s="1"/>
  <c r="DJ29" i="44"/>
  <c r="DE10" i="1"/>
  <c r="DG8" i="16"/>
  <c r="DG27" i="16" s="1"/>
  <c r="DF25" i="1" l="1"/>
  <c r="DH31" i="16"/>
  <c r="DG25" i="1" s="1"/>
  <c r="DG10" i="29"/>
  <c r="DJ30" i="44"/>
  <c r="DK27" i="44" s="1"/>
  <c r="DK29" i="44" s="1"/>
  <c r="DJ11" i="29" s="1"/>
  <c r="DI11" i="29"/>
  <c r="CQ9" i="29"/>
  <c r="W9" i="1"/>
  <c r="V9" i="1"/>
  <c r="CP9" i="29"/>
  <c r="DF10" i="1"/>
  <c r="DJ9" i="16"/>
  <c r="DH8" i="16"/>
  <c r="DH27" i="16" s="1"/>
  <c r="DG8" i="1" l="1"/>
  <c r="L6" i="20" s="1"/>
  <c r="DI31" i="16"/>
  <c r="DH25" i="1" s="1"/>
  <c r="DH10" i="29"/>
  <c r="DJ28" i="16"/>
  <c r="DL32" i="16" s="1"/>
  <c r="L26" i="20"/>
  <c r="CR9" i="29"/>
  <c r="X9" i="1"/>
  <c r="DI8" i="16"/>
  <c r="DI27" i="16" s="1"/>
  <c r="DK9" i="16"/>
  <c r="DK30" i="44"/>
  <c r="DL27" i="44" s="1"/>
  <c r="DG10" i="1"/>
  <c r="DH8" i="1" l="1"/>
  <c r="DJ31" i="16"/>
  <c r="DI25" i="1" s="1"/>
  <c r="DI10" i="29"/>
  <c r="DK28" i="16"/>
  <c r="DM32" i="16" s="1"/>
  <c r="K7" i="23"/>
  <c r="CS9" i="29"/>
  <c r="Y9" i="1"/>
  <c r="DH10" i="1"/>
  <c r="DL29" i="44"/>
  <c r="DK11" i="29" s="1"/>
  <c r="DJ8" i="16"/>
  <c r="DJ27" i="16" s="1"/>
  <c r="DI8" i="1" l="1"/>
  <c r="DK31" i="16"/>
  <c r="DJ25" i="1" s="1"/>
  <c r="DJ10" i="29"/>
  <c r="DL9" i="16"/>
  <c r="DL30" i="44"/>
  <c r="DM27" i="44" s="1"/>
  <c r="DK8" i="16"/>
  <c r="DK27" i="16" s="1"/>
  <c r="DJ8" i="1"/>
  <c r="DI10" i="1"/>
  <c r="DL31" i="16" l="1"/>
  <c r="DK25" i="1" s="1"/>
  <c r="DK10" i="29"/>
  <c r="DL28" i="16"/>
  <c r="DN32" i="16" s="1"/>
  <c r="Z9" i="1"/>
  <c r="CT9" i="29"/>
  <c r="DM29" i="44"/>
  <c r="DL11" i="29" s="1"/>
  <c r="DL8" i="16"/>
  <c r="DL27" i="16" s="1"/>
  <c r="DJ10" i="1"/>
  <c r="DK8" i="1" l="1"/>
  <c r="DM31" i="16"/>
  <c r="DL25" i="1" s="1"/>
  <c r="DL10" i="29"/>
  <c r="CV9" i="29"/>
  <c r="AB9" i="1"/>
  <c r="AA9" i="1"/>
  <c r="CU9" i="29"/>
  <c r="DK10" i="1"/>
  <c r="DM9" i="16"/>
  <c r="DM30" i="44"/>
  <c r="DN27" i="44" s="1"/>
  <c r="DL8" i="1" l="1"/>
  <c r="DM28" i="16"/>
  <c r="DO32" i="16" s="1"/>
  <c r="K8" i="20"/>
  <c r="E7" i="20"/>
  <c r="DN29" i="44"/>
  <c r="DM8" i="16"/>
  <c r="DM27" i="16" s="1"/>
  <c r="DN30" i="44" l="1"/>
  <c r="DO27" i="44" s="1"/>
  <c r="DO29" i="44" s="1"/>
  <c r="DN11" i="29" s="1"/>
  <c r="DM11" i="29"/>
  <c r="DN31" i="16"/>
  <c r="DM8" i="1" s="1"/>
  <c r="DM10" i="29"/>
  <c r="CX9" i="29"/>
  <c r="AD9" i="1"/>
  <c r="CW9" i="29"/>
  <c r="AC9" i="1"/>
  <c r="DL10" i="1"/>
  <c r="DN8" i="16"/>
  <c r="DN27" i="16" s="1"/>
  <c r="DN9" i="16"/>
  <c r="DM25" i="1" l="1"/>
  <c r="DO31" i="16"/>
  <c r="DN8" i="1" s="1"/>
  <c r="DN10" i="29"/>
  <c r="DN28" i="16"/>
  <c r="DP32" i="16" s="1"/>
  <c r="DM10" i="1"/>
  <c r="DO8" i="16"/>
  <c r="DO27" i="16" s="1"/>
  <c r="DO9" i="16"/>
  <c r="DO30" i="44"/>
  <c r="DP27" i="44" s="1"/>
  <c r="DN25" i="1" l="1"/>
  <c r="DP31" i="16"/>
  <c r="DO25" i="1" s="1"/>
  <c r="DO10" i="29"/>
  <c r="DO28" i="16"/>
  <c r="DQ32" i="16" s="1"/>
  <c r="AE9" i="1"/>
  <c r="CY9" i="29"/>
  <c r="DO8" i="1"/>
  <c r="DP8" i="16"/>
  <c r="DP27" i="16" s="1"/>
  <c r="DN10" i="1"/>
  <c r="DP29" i="44"/>
  <c r="DO11" i="29" s="1"/>
  <c r="DQ31" i="16" l="1"/>
  <c r="DP8" i="1" s="1"/>
  <c r="DP10" i="29"/>
  <c r="CZ9" i="29"/>
  <c r="AF9" i="1"/>
  <c r="DP25" i="1"/>
  <c r="DP9" i="16"/>
  <c r="DP30" i="44"/>
  <c r="DQ27" i="44" s="1"/>
  <c r="DP28" i="16" l="1"/>
  <c r="DR32" i="16" s="1"/>
  <c r="DO10" i="1"/>
  <c r="AG9" i="1"/>
  <c r="DA9" i="29"/>
  <c r="DQ8" i="16"/>
  <c r="DQ27" i="16" s="1"/>
  <c r="DQ29" i="44"/>
  <c r="DR31" i="16" l="1"/>
  <c r="DQ8" i="1" s="1"/>
  <c r="DQ10" i="29"/>
  <c r="DQ30" i="44"/>
  <c r="DR27" i="44" s="1"/>
  <c r="DR29" i="44" s="1"/>
  <c r="DP11" i="29"/>
  <c r="DP10" i="1" s="1"/>
  <c r="AH9" i="1"/>
  <c r="DB9" i="29"/>
  <c r="DQ9" i="16"/>
  <c r="DR8" i="16"/>
  <c r="DR27" i="16" s="1"/>
  <c r="DQ25" i="1" l="1"/>
  <c r="DS31" i="16"/>
  <c r="DR10" i="29"/>
  <c r="DR30" i="44"/>
  <c r="DS27" i="44" s="1"/>
  <c r="DS29" i="44" s="1"/>
  <c r="DR11" i="29" s="1"/>
  <c r="DQ11" i="29"/>
  <c r="DQ28" i="16"/>
  <c r="DS32" i="16" s="1"/>
  <c r="DR9" i="16"/>
  <c r="DR8" i="1" l="1"/>
  <c r="DR25" i="1"/>
  <c r="DR28" i="16"/>
  <c r="DT32" i="16" s="1"/>
  <c r="DQ10" i="1"/>
  <c r="DD9" i="29"/>
  <c r="AJ9" i="1"/>
  <c r="AI9" i="1"/>
  <c r="DC9" i="29"/>
  <c r="DS8" i="16"/>
  <c r="DS27" i="16" s="1"/>
  <c r="DS9" i="16"/>
  <c r="DS28" i="16" s="1"/>
  <c r="DS30" i="44"/>
  <c r="DT27" i="44" s="1"/>
  <c r="DT31" i="16" l="1"/>
  <c r="DS8" i="1" s="1"/>
  <c r="DS10" i="29"/>
  <c r="DE9" i="29"/>
  <c r="AK9" i="1"/>
  <c r="DS25" i="1"/>
  <c r="DT29" i="44"/>
  <c r="DS11" i="29" s="1"/>
  <c r="DR10" i="1"/>
  <c r="M6" i="20" l="1"/>
  <c r="M26" i="20"/>
  <c r="DT9" i="16"/>
  <c r="DT28" i="16" s="1"/>
  <c r="DT30" i="44"/>
  <c r="DT8" i="16"/>
  <c r="DT27" i="16" l="1"/>
  <c r="DS10" i="1" s="1"/>
  <c r="L7" i="23"/>
  <c r="DG9" i="29"/>
  <c r="AL9" i="1"/>
  <c r="DF9" i="29"/>
  <c r="L8" i="20" l="1"/>
  <c r="AM9" i="1"/>
  <c r="DH9" i="29"/>
  <c r="F7" i="20" l="1"/>
  <c r="AN9" i="1"/>
  <c r="AN8" i="1"/>
  <c r="AN25" i="1"/>
  <c r="DJ9" i="29" l="1"/>
  <c r="DI9" i="29"/>
  <c r="AO8" i="1"/>
  <c r="AO25" i="1"/>
  <c r="AO9" i="1" l="1"/>
  <c r="AP9" i="1"/>
  <c r="AP25" i="1" l="1"/>
  <c r="AP8" i="1"/>
  <c r="DK9" i="29"/>
  <c r="AQ8" i="1"/>
  <c r="AQ25" i="1"/>
  <c r="AQ9" i="1" l="1"/>
  <c r="DL9" i="29"/>
  <c r="DM9" i="29"/>
  <c r="AR9" i="1" l="1"/>
  <c r="AR25" i="1"/>
  <c r="AR8" i="1"/>
  <c r="AS9" i="1"/>
  <c r="DN9" i="29"/>
  <c r="AS25" i="1" l="1"/>
  <c r="AS8" i="1"/>
  <c r="DO9" i="29"/>
  <c r="AT9" i="1"/>
  <c r="AT25" i="1"/>
  <c r="AT8" i="1"/>
  <c r="AU25" i="1" l="1"/>
  <c r="AU8" i="1"/>
  <c r="AU9" i="1"/>
  <c r="DP9" i="29" l="1"/>
  <c r="AV25" i="1"/>
  <c r="AV8" i="1"/>
  <c r="AV9" i="1" l="1"/>
  <c r="DQ9" i="29"/>
  <c r="AW9" i="1" l="1"/>
  <c r="DR9" i="29"/>
  <c r="AW8" i="1"/>
  <c r="AW25" i="1"/>
  <c r="AX9" i="1" l="1"/>
  <c r="AX8" i="1"/>
  <c r="AX25" i="1"/>
  <c r="AY25" i="1" l="1"/>
  <c r="AY8" i="1"/>
  <c r="DS9" i="29"/>
  <c r="G6" i="20" l="1"/>
  <c r="G26" i="20"/>
  <c r="M8" i="20"/>
  <c r="AY9" i="1"/>
  <c r="G7" i="20" s="1"/>
  <c r="F7" i="23" l="1"/>
  <c r="AZ8" i="1"/>
  <c r="AZ25" i="1"/>
  <c r="H26" i="20" l="1"/>
  <c r="H6" i="20"/>
  <c r="G7" i="23" l="1"/>
  <c r="L58" i="72" l="1"/>
  <c r="L9" i="44" s="1"/>
  <c r="M58" i="72"/>
  <c r="Q58" i="72"/>
  <c r="U58" i="72"/>
  <c r="N58" i="72"/>
  <c r="R58" i="72"/>
  <c r="K58" i="72"/>
  <c r="K9" i="44" s="1"/>
  <c r="S58" i="72"/>
  <c r="T58" i="72"/>
  <c r="O58" i="72"/>
  <c r="P58" i="72"/>
  <c r="B39" i="81" l="1"/>
  <c r="CU11" i="1"/>
  <c r="BH11" i="1"/>
  <c r="CL11" i="1"/>
  <c r="AI11" i="1"/>
  <c r="CN11" i="1"/>
  <c r="AD11" i="1"/>
  <c r="DM11" i="1"/>
  <c r="CF11" i="1"/>
  <c r="AJ11" i="1"/>
  <c r="AK11" i="1"/>
  <c r="AY11" i="1"/>
  <c r="DI11" i="1"/>
  <c r="DR11" i="1"/>
  <c r="AC11" i="1"/>
  <c r="AV11" i="1"/>
  <c r="BT11" i="1"/>
  <c r="DN11" i="1"/>
  <c r="AX11" i="1"/>
  <c r="BI11" i="1"/>
  <c r="BL11" i="1"/>
  <c r="DD11" i="1"/>
  <c r="CP11" i="1"/>
  <c r="CM11" i="1"/>
  <c r="BR11" i="1"/>
  <c r="CZ11" i="1"/>
  <c r="BX11" i="1"/>
  <c r="CA11" i="1"/>
  <c r="AZ11" i="1"/>
  <c r="DF11" i="1"/>
  <c r="CE11" i="1"/>
  <c r="AE11" i="1"/>
  <c r="BJ11" i="1"/>
  <c r="CY11" i="1"/>
  <c r="AS11" i="1"/>
  <c r="BG11" i="1"/>
  <c r="AP11" i="1"/>
  <c r="BV11" i="1"/>
  <c r="DA11" i="1"/>
  <c r="CV11" i="1"/>
  <c r="CQ11" i="1"/>
  <c r="CO11" i="1"/>
  <c r="CC11" i="1"/>
  <c r="CS11" i="1"/>
  <c r="CR11" i="1"/>
  <c r="BM11" i="1"/>
  <c r="AT11" i="1" l="1"/>
  <c r="BN11" i="1"/>
  <c r="BK11" i="1"/>
  <c r="DQ11" i="1"/>
  <c r="B61" i="81"/>
  <c r="B65" i="81"/>
  <c r="B44" i="81"/>
  <c r="B46" i="81" s="1"/>
  <c r="B62" i="81"/>
  <c r="B67" i="81"/>
  <c r="B68" i="81" s="1"/>
  <c r="B64" i="81"/>
  <c r="B85" i="81" s="1"/>
  <c r="B59" i="81"/>
  <c r="B60" i="81" s="1"/>
  <c r="B83" i="81"/>
  <c r="BY11" i="1"/>
  <c r="AQ11" i="1"/>
  <c r="BA11" i="1"/>
  <c r="CI11" i="1"/>
  <c r="DK11" i="1"/>
  <c r="BO11" i="1"/>
  <c r="AN11" i="1"/>
  <c r="BW11" i="1"/>
  <c r="AR11" i="1"/>
  <c r="DH11" i="1"/>
  <c r="CH11" i="1"/>
  <c r="CD11" i="1"/>
  <c r="DL11" i="1"/>
  <c r="AH11" i="1"/>
  <c r="BZ11" i="1"/>
  <c r="DC11" i="1"/>
  <c r="BC11" i="1"/>
  <c r="AL11" i="1"/>
  <c r="AU11" i="1"/>
  <c r="BS11" i="1"/>
  <c r="DG11" i="1"/>
  <c r="CJ11" i="1"/>
  <c r="BE11" i="1"/>
  <c r="AM11" i="1"/>
  <c r="CX11" i="1"/>
  <c r="BU11" i="1"/>
  <c r="DE11" i="1"/>
  <c r="CW11" i="1"/>
  <c r="DJ11" i="1"/>
  <c r="CK11" i="1"/>
  <c r="DO11" i="1"/>
  <c r="CG11" i="1"/>
  <c r="DP11" i="1"/>
  <c r="CB11" i="1"/>
  <c r="BD11" i="1"/>
  <c r="BF11" i="1"/>
  <c r="BB11" i="1"/>
  <c r="AW11" i="1"/>
  <c r="BP11" i="1"/>
  <c r="AG11" i="1"/>
  <c r="DB11" i="1"/>
  <c r="CT11" i="1"/>
  <c r="DS11" i="1"/>
  <c r="BQ11" i="1"/>
  <c r="AO11" i="1"/>
  <c r="AF11" i="1"/>
  <c r="G9" i="20" l="1"/>
  <c r="H9" i="20"/>
  <c r="H12" i="99" s="1"/>
  <c r="J9" i="20"/>
  <c r="I9" i="20"/>
  <c r="L9" i="20"/>
  <c r="B86" i="81"/>
  <c r="B52" i="81"/>
  <c r="B84" i="81"/>
  <c r="B48" i="81"/>
  <c r="B50" i="81" s="1"/>
  <c r="D43" i="91" s="1"/>
  <c r="F43" i="91" s="1"/>
  <c r="F61" i="91" s="1"/>
  <c r="M9" i="20"/>
  <c r="K9" i="20"/>
  <c r="F9" i="20"/>
  <c r="H18" i="99" l="1"/>
  <c r="F10" i="84"/>
  <c r="E4" i="85" s="1"/>
  <c r="E6" i="95"/>
  <c r="F4" i="85" l="1"/>
  <c r="E6" i="85"/>
  <c r="F6" i="85" s="1"/>
  <c r="C14" i="13"/>
  <c r="F6" i="95"/>
  <c r="E9" i="95"/>
  <c r="F15" i="85" l="1"/>
  <c r="F5" i="84" s="1"/>
  <c r="C9" i="13" s="1"/>
  <c r="E9" i="13" s="1"/>
  <c r="O14" i="13"/>
  <c r="T24" i="22"/>
  <c r="B23" i="22" s="1"/>
  <c r="H23" i="22" s="1"/>
  <c r="N14" i="13"/>
  <c r="Q14" i="13"/>
  <c r="P14" i="13"/>
  <c r="R14" i="13"/>
  <c r="C18" i="18"/>
  <c r="M14" i="13"/>
  <c r="B26" i="22"/>
  <c r="E11" i="95"/>
  <c r="F9" i="95"/>
  <c r="I23" i="22" l="1"/>
  <c r="F23" i="22"/>
  <c r="F62" i="22" s="1"/>
  <c r="H14" i="1" s="1"/>
  <c r="H15" i="1" s="1"/>
  <c r="H18" i="1" s="1"/>
  <c r="H20" i="1" s="1"/>
  <c r="J23" i="22"/>
  <c r="G23" i="22"/>
  <c r="AM18" i="18"/>
  <c r="AM12" i="1" s="1"/>
  <c r="U18" i="18"/>
  <c r="U12" i="1" s="1"/>
  <c r="AW18" i="18"/>
  <c r="AW12" i="1" s="1"/>
  <c r="AN18" i="18"/>
  <c r="Z18" i="18"/>
  <c r="Z12" i="1" s="1"/>
  <c r="AC18" i="18"/>
  <c r="AC12" i="1" s="1"/>
  <c r="AH18" i="18"/>
  <c r="AH12" i="1" s="1"/>
  <c r="V18" i="18"/>
  <c r="V12" i="1" s="1"/>
  <c r="AU18" i="18"/>
  <c r="AU12" i="1" s="1"/>
  <c r="BI18" i="18"/>
  <c r="BI12" i="1" s="1"/>
  <c r="BC18" i="18"/>
  <c r="BC12" i="1" s="1"/>
  <c r="BE18" i="18"/>
  <c r="BE12" i="1" s="1"/>
  <c r="BO18" i="18"/>
  <c r="BO12" i="1" s="1"/>
  <c r="BN18" i="18"/>
  <c r="BN12" i="1" s="1"/>
  <c r="BM18" i="18"/>
  <c r="BM12" i="1" s="1"/>
  <c r="CG18" i="18"/>
  <c r="CG12" i="1" s="1"/>
  <c r="CI18" i="18"/>
  <c r="CI12" i="1" s="1"/>
  <c r="BX18" i="18"/>
  <c r="BX12" i="1" s="1"/>
  <c r="CL18" i="18"/>
  <c r="CL12" i="1" s="1"/>
  <c r="CM18" i="18"/>
  <c r="CM12" i="1" s="1"/>
  <c r="CP18" i="18"/>
  <c r="CP12" i="1" s="1"/>
  <c r="CV18" i="18"/>
  <c r="CV12" i="1" s="1"/>
  <c r="DG18" i="18"/>
  <c r="DG12" i="1" s="1"/>
  <c r="CZ18" i="18"/>
  <c r="CZ12" i="1" s="1"/>
  <c r="DI18" i="18"/>
  <c r="DI12" i="1" s="1"/>
  <c r="DQ18" i="18"/>
  <c r="DQ12" i="1" s="1"/>
  <c r="DM18" i="18"/>
  <c r="DM12" i="1" s="1"/>
  <c r="DO18" i="18"/>
  <c r="DO12" i="1" s="1"/>
  <c r="AD18" i="18"/>
  <c r="AD12" i="1" s="1"/>
  <c r="AV18" i="18"/>
  <c r="AV12" i="1" s="1"/>
  <c r="AK18" i="18"/>
  <c r="AK12" i="1" s="1"/>
  <c r="BG18" i="18"/>
  <c r="BG12" i="1" s="1"/>
  <c r="BP18" i="18"/>
  <c r="BP12" i="1" s="1"/>
  <c r="CD18" i="18"/>
  <c r="CD12" i="1" s="1"/>
  <c r="CR18" i="18"/>
  <c r="CR12" i="1" s="1"/>
  <c r="DS18" i="18"/>
  <c r="DS12" i="1" s="1"/>
  <c r="AI18" i="18"/>
  <c r="AI12" i="1" s="1"/>
  <c r="R18" i="18"/>
  <c r="AX18" i="18"/>
  <c r="AX12" i="1" s="1"/>
  <c r="AO18" i="18"/>
  <c r="AO12" i="1" s="1"/>
  <c r="AA18" i="18"/>
  <c r="AA12" i="1" s="1"/>
  <c r="T18" i="18"/>
  <c r="T12" i="1" s="1"/>
  <c r="AR18" i="18"/>
  <c r="AR12" i="1" s="1"/>
  <c r="AE18" i="18"/>
  <c r="AE12" i="1" s="1"/>
  <c r="BB18" i="18"/>
  <c r="BB12" i="1" s="1"/>
  <c r="BD18" i="18"/>
  <c r="BD12" i="1" s="1"/>
  <c r="BK18" i="18"/>
  <c r="BK12" i="1" s="1"/>
  <c r="BR18" i="18"/>
  <c r="BR12" i="1" s="1"/>
  <c r="BT18" i="18"/>
  <c r="BT12" i="1" s="1"/>
  <c r="BW18" i="18"/>
  <c r="BW12" i="1" s="1"/>
  <c r="CE18" i="18"/>
  <c r="CE12" i="1" s="1"/>
  <c r="CA18" i="18"/>
  <c r="CA12" i="1" s="1"/>
  <c r="BY18" i="18"/>
  <c r="BY12" i="1" s="1"/>
  <c r="CQ18" i="18"/>
  <c r="CQ12" i="1" s="1"/>
  <c r="CT18" i="18"/>
  <c r="CT12" i="1" s="1"/>
  <c r="CS18" i="18"/>
  <c r="CS12" i="1" s="1"/>
  <c r="CW18" i="18"/>
  <c r="CW12" i="1" s="1"/>
  <c r="DC18" i="18"/>
  <c r="DC12" i="1" s="1"/>
  <c r="DF18" i="18"/>
  <c r="DF12" i="1" s="1"/>
  <c r="DN18" i="18"/>
  <c r="DN12" i="1" s="1"/>
  <c r="DJ18" i="18"/>
  <c r="DJ12" i="1" s="1"/>
  <c r="AF18" i="18"/>
  <c r="AF12" i="1" s="1"/>
  <c r="AQ18" i="18"/>
  <c r="AQ12" i="1" s="1"/>
  <c r="AJ18" i="18"/>
  <c r="AJ12" i="1" s="1"/>
  <c r="BF18" i="18"/>
  <c r="BF12" i="1" s="1"/>
  <c r="BQ18" i="18"/>
  <c r="BQ12" i="1" s="1"/>
  <c r="CC18" i="18"/>
  <c r="CC12" i="1" s="1"/>
  <c r="CO18" i="18"/>
  <c r="CO12" i="1" s="1"/>
  <c r="DE18" i="18"/>
  <c r="DE12" i="1" s="1"/>
  <c r="DA18" i="18"/>
  <c r="DA12" i="1" s="1"/>
  <c r="DH18" i="18"/>
  <c r="DH12" i="1" s="1"/>
  <c r="AG18" i="18"/>
  <c r="AG12" i="1" s="1"/>
  <c r="AB18" i="18"/>
  <c r="AS18" i="18"/>
  <c r="AS12" i="1" s="1"/>
  <c r="W18" i="18"/>
  <c r="W12" i="1" s="1"/>
  <c r="AP18" i="18"/>
  <c r="AP12" i="1" s="1"/>
  <c r="S18" i="18"/>
  <c r="S12" i="1" s="1"/>
  <c r="AY18" i="18"/>
  <c r="AY12" i="1" s="1"/>
  <c r="Y18" i="18"/>
  <c r="Y12" i="1" s="1"/>
  <c r="AZ18" i="18"/>
  <c r="BA18" i="18"/>
  <c r="BA12" i="1" s="1"/>
  <c r="BH18" i="18"/>
  <c r="BH12" i="1" s="1"/>
  <c r="BV18" i="18"/>
  <c r="BV12" i="1" s="1"/>
  <c r="BU18" i="18"/>
  <c r="BU12" i="1" s="1"/>
  <c r="BS18" i="18"/>
  <c r="BS12" i="1" s="1"/>
  <c r="BZ18" i="18"/>
  <c r="BZ12" i="1" s="1"/>
  <c r="CF18" i="18"/>
  <c r="CF12" i="1" s="1"/>
  <c r="CH18" i="18"/>
  <c r="CH12" i="1" s="1"/>
  <c r="CJ18" i="18"/>
  <c r="CJ12" i="1" s="1"/>
  <c r="CU18" i="18"/>
  <c r="CU12" i="1" s="1"/>
  <c r="CN18" i="18"/>
  <c r="CN12" i="1" s="1"/>
  <c r="DB18" i="18"/>
  <c r="DB12" i="1" s="1"/>
  <c r="CX18" i="18"/>
  <c r="CX12" i="1" s="1"/>
  <c r="CY18" i="18"/>
  <c r="CY12" i="1" s="1"/>
  <c r="DK18" i="18"/>
  <c r="DK12" i="1" s="1"/>
  <c r="DR18" i="18"/>
  <c r="DR12" i="1" s="1"/>
  <c r="DP18" i="18"/>
  <c r="DP12" i="1" s="1"/>
  <c r="AL18" i="18"/>
  <c r="AL12" i="1" s="1"/>
  <c r="X18" i="18"/>
  <c r="X12" i="1" s="1"/>
  <c r="AT18" i="18"/>
  <c r="AT12" i="1" s="1"/>
  <c r="BJ18" i="18"/>
  <c r="BJ12" i="1" s="1"/>
  <c r="BL18" i="18"/>
  <c r="BL12" i="1" s="1"/>
  <c r="CB18" i="18"/>
  <c r="CB12" i="1" s="1"/>
  <c r="CK18" i="18"/>
  <c r="CK12" i="1" s="1"/>
  <c r="DD18" i="18"/>
  <c r="DD12" i="1" s="1"/>
  <c r="DL18" i="18"/>
  <c r="DL12" i="1" s="1"/>
  <c r="G26" i="22"/>
  <c r="K26" i="22"/>
  <c r="O26" i="22"/>
  <c r="H26" i="22"/>
  <c r="L26" i="22"/>
  <c r="I26" i="22"/>
  <c r="M26" i="22"/>
  <c r="J26" i="22"/>
  <c r="N26" i="22"/>
  <c r="E14" i="1"/>
  <c r="E15" i="1" s="1"/>
  <c r="E18" i="1" s="1"/>
  <c r="E20" i="1" s="1"/>
  <c r="F64" i="22"/>
  <c r="F67" i="22" s="1"/>
  <c r="D14" i="1"/>
  <c r="D15" i="1" s="1"/>
  <c r="D18" i="1" s="1"/>
  <c r="D20" i="1" s="1"/>
  <c r="I14" i="1"/>
  <c r="I15" i="1" s="1"/>
  <c r="I18" i="1" s="1"/>
  <c r="I20" i="1" s="1"/>
  <c r="J14" i="1"/>
  <c r="J15" i="1" s="1"/>
  <c r="J18" i="1" s="1"/>
  <c r="J20" i="1" s="1"/>
  <c r="O14" i="1"/>
  <c r="O15" i="1" s="1"/>
  <c r="O18" i="1" s="1"/>
  <c r="O20" i="1" s="1"/>
  <c r="F11" i="95"/>
  <c r="E14" i="95"/>
  <c r="H26" i="99" l="1"/>
  <c r="H35" i="99" s="1"/>
  <c r="C32" i="100" s="1"/>
  <c r="E32" i="100" s="1"/>
  <c r="H27" i="99"/>
  <c r="F14" i="1"/>
  <c r="F15" i="1" s="1"/>
  <c r="F18" i="1" s="1"/>
  <c r="F20" i="1" s="1"/>
  <c r="G14" i="1"/>
  <c r="G15" i="1" s="1"/>
  <c r="G18" i="1" s="1"/>
  <c r="G20" i="1" s="1"/>
  <c r="N14" i="1"/>
  <c r="N15" i="1" s="1"/>
  <c r="N18" i="1" s="1"/>
  <c r="N20" i="1" s="1"/>
  <c r="M14" i="1"/>
  <c r="M15" i="1" s="1"/>
  <c r="M18" i="1" s="1"/>
  <c r="M20" i="1" s="1"/>
  <c r="K14" i="1"/>
  <c r="K15" i="1" s="1"/>
  <c r="K18" i="1" s="1"/>
  <c r="K20" i="1" s="1"/>
  <c r="L14" i="1"/>
  <c r="L15" i="1" s="1"/>
  <c r="L18" i="1" s="1"/>
  <c r="L20" i="1" s="1"/>
  <c r="H13" i="99"/>
  <c r="H36" i="99"/>
  <c r="C33" i="100" s="1"/>
  <c r="E33" i="100" s="1"/>
  <c r="E72" i="100" s="1"/>
  <c r="H14" i="99"/>
  <c r="H20" i="99" s="1"/>
  <c r="CK26" i="1"/>
  <c r="CK28" i="1" s="1"/>
  <c r="CK43" i="1" s="1"/>
  <c r="CK13" i="1"/>
  <c r="AT26" i="1"/>
  <c r="AT28" i="1" s="1"/>
  <c r="AT43" i="1" s="1"/>
  <c r="AT13" i="1"/>
  <c r="DR26" i="1"/>
  <c r="DR28" i="1" s="1"/>
  <c r="DR43" i="1" s="1"/>
  <c r="DR13" i="1"/>
  <c r="DB13" i="1"/>
  <c r="DB26" i="1"/>
  <c r="DB28" i="1" s="1"/>
  <c r="DB43" i="1" s="1"/>
  <c r="CH26" i="1"/>
  <c r="CH28" i="1" s="1"/>
  <c r="CH43" i="1" s="1"/>
  <c r="CH13" i="1"/>
  <c r="BU26" i="1"/>
  <c r="BU28" i="1" s="1"/>
  <c r="BU43" i="1" s="1"/>
  <c r="BU13" i="1"/>
  <c r="AZ12" i="1"/>
  <c r="AP13" i="1"/>
  <c r="AP26" i="1"/>
  <c r="AP28" i="1" s="1"/>
  <c r="AP43" i="1" s="1"/>
  <c r="AG26" i="1"/>
  <c r="AG13" i="1"/>
  <c r="CO13" i="1"/>
  <c r="CO26" i="1"/>
  <c r="AJ13" i="1"/>
  <c r="AJ26" i="1"/>
  <c r="AJ28" i="1" s="1"/>
  <c r="DN13" i="1"/>
  <c r="DN26" i="1"/>
  <c r="DN28" i="1" s="1"/>
  <c r="DN43" i="1" s="1"/>
  <c r="CS26" i="1"/>
  <c r="CS28" i="1" s="1"/>
  <c r="CS43" i="1" s="1"/>
  <c r="CS13" i="1"/>
  <c r="CA26" i="1"/>
  <c r="CA28" i="1" s="1"/>
  <c r="CA43" i="1" s="1"/>
  <c r="CA13" i="1"/>
  <c r="BR13" i="1"/>
  <c r="BR26" i="1"/>
  <c r="BR28" i="1" s="1"/>
  <c r="BR43" i="1" s="1"/>
  <c r="AE26" i="1"/>
  <c r="AE28" i="1" s="1"/>
  <c r="AE13" i="1"/>
  <c r="AO13" i="1"/>
  <c r="AO26" i="1"/>
  <c r="AO28" i="1" s="1"/>
  <c r="AO43" i="1" s="1"/>
  <c r="DS26" i="1"/>
  <c r="DS13" i="1"/>
  <c r="BG13" i="1"/>
  <c r="BG26" i="1"/>
  <c r="BG28" i="1" s="1"/>
  <c r="BG43" i="1" s="1"/>
  <c r="DO26" i="1"/>
  <c r="DO28" i="1" s="1"/>
  <c r="DO43" i="1" s="1"/>
  <c r="DO13" i="1"/>
  <c r="CZ26" i="1"/>
  <c r="CZ28" i="1" s="1"/>
  <c r="CZ43" i="1" s="1"/>
  <c r="CZ13" i="1"/>
  <c r="CM13" i="1"/>
  <c r="CM26" i="1"/>
  <c r="CM28" i="1" s="1"/>
  <c r="CM43" i="1" s="1"/>
  <c r="CG26" i="1"/>
  <c r="CG28" i="1" s="1"/>
  <c r="CG43" i="1" s="1"/>
  <c r="CG13" i="1"/>
  <c r="BE13" i="1"/>
  <c r="BE26" i="1"/>
  <c r="V26" i="1"/>
  <c r="V28" i="1" s="1"/>
  <c r="V13" i="1"/>
  <c r="AN12" i="1"/>
  <c r="CB13" i="1"/>
  <c r="CB26" i="1"/>
  <c r="CB28" i="1" s="1"/>
  <c r="CB43" i="1" s="1"/>
  <c r="X26" i="1"/>
  <c r="X28" i="1" s="1"/>
  <c r="X13" i="1"/>
  <c r="DK13" i="1"/>
  <c r="DK26" i="1"/>
  <c r="DK28" i="1" s="1"/>
  <c r="DK43" i="1" s="1"/>
  <c r="CN26" i="1"/>
  <c r="CN28" i="1" s="1"/>
  <c r="CN43" i="1" s="1"/>
  <c r="CN13" i="1"/>
  <c r="CF13" i="1"/>
  <c r="CF26" i="1"/>
  <c r="CF28" i="1" s="1"/>
  <c r="CF43" i="1" s="1"/>
  <c r="BV13" i="1"/>
  <c r="BV26" i="1"/>
  <c r="BV28" i="1" s="1"/>
  <c r="BV43" i="1" s="1"/>
  <c r="Y13" i="1"/>
  <c r="Y26" i="1"/>
  <c r="Y28" i="1" s="1"/>
  <c r="W26" i="1"/>
  <c r="W28" i="1" s="1"/>
  <c r="W13" i="1"/>
  <c r="DH26" i="1"/>
  <c r="M10" i="20"/>
  <c r="M11" i="20" s="1"/>
  <c r="DH13" i="1"/>
  <c r="CC13" i="1"/>
  <c r="CC26" i="1"/>
  <c r="AQ26" i="1"/>
  <c r="AQ28" i="1" s="1"/>
  <c r="AQ43" i="1" s="1"/>
  <c r="AQ13" i="1"/>
  <c r="DF13" i="1"/>
  <c r="DF26" i="1"/>
  <c r="DF28" i="1" s="1"/>
  <c r="DF43" i="1" s="1"/>
  <c r="CT26" i="1"/>
  <c r="CT28" i="1" s="1"/>
  <c r="CT43" i="1" s="1"/>
  <c r="CT13" i="1"/>
  <c r="CE26" i="1"/>
  <c r="CE28" i="1" s="1"/>
  <c r="CE43" i="1" s="1"/>
  <c r="CE13" i="1"/>
  <c r="BK26" i="1"/>
  <c r="BK13" i="1"/>
  <c r="AR13" i="1"/>
  <c r="AR26" i="1"/>
  <c r="AR28" i="1" s="1"/>
  <c r="AR43" i="1" s="1"/>
  <c r="AX26" i="1"/>
  <c r="AX28" i="1" s="1"/>
  <c r="AX43" i="1" s="1"/>
  <c r="AX13" i="1"/>
  <c r="CR13" i="1"/>
  <c r="CR26" i="1"/>
  <c r="CR28" i="1" s="1"/>
  <c r="CR43" i="1" s="1"/>
  <c r="AK13" i="1"/>
  <c r="AK26" i="1"/>
  <c r="AK28" i="1" s="1"/>
  <c r="DM13" i="1"/>
  <c r="DM26" i="1"/>
  <c r="DG26" i="1"/>
  <c r="DG13" i="1"/>
  <c r="CL13" i="1"/>
  <c r="CL26" i="1"/>
  <c r="CL28" i="1" s="1"/>
  <c r="CL43" i="1" s="1"/>
  <c r="BM26" i="1"/>
  <c r="BM28" i="1" s="1"/>
  <c r="BM43" i="1" s="1"/>
  <c r="BM13" i="1"/>
  <c r="BC13" i="1"/>
  <c r="BC26" i="1"/>
  <c r="BC28" i="1" s="1"/>
  <c r="BC43" i="1" s="1"/>
  <c r="AH13" i="1"/>
  <c r="AH26" i="1"/>
  <c r="AH28" i="1" s="1"/>
  <c r="AW13" i="1"/>
  <c r="AW26" i="1"/>
  <c r="AW28" i="1" s="1"/>
  <c r="AW43" i="1" s="1"/>
  <c r="DL26" i="1"/>
  <c r="DL28" i="1" s="1"/>
  <c r="DL43" i="1" s="1"/>
  <c r="DL13" i="1"/>
  <c r="BL13" i="1"/>
  <c r="I10" i="20"/>
  <c r="I11" i="20" s="1"/>
  <c r="BL26" i="1"/>
  <c r="AL13" i="1"/>
  <c r="AL26" i="1"/>
  <c r="AL28" i="1" s="1"/>
  <c r="CY13" i="1"/>
  <c r="CY26" i="1"/>
  <c r="CY28" i="1" s="1"/>
  <c r="CY43" i="1" s="1"/>
  <c r="CU13" i="1"/>
  <c r="CU26" i="1"/>
  <c r="BZ26" i="1"/>
  <c r="BZ28" i="1" s="1"/>
  <c r="BZ43" i="1" s="1"/>
  <c r="BZ13" i="1"/>
  <c r="BH26" i="1"/>
  <c r="BH28" i="1" s="1"/>
  <c r="BH43" i="1" s="1"/>
  <c r="BH13" i="1"/>
  <c r="AY26" i="1"/>
  <c r="AY13" i="1"/>
  <c r="AS26" i="1"/>
  <c r="AS13" i="1"/>
  <c r="DA13" i="1"/>
  <c r="DA26" i="1"/>
  <c r="BQ26" i="1"/>
  <c r="BQ13" i="1"/>
  <c r="AF26" i="1"/>
  <c r="AF28" i="1" s="1"/>
  <c r="AF13" i="1"/>
  <c r="DC26" i="1"/>
  <c r="DC28" i="1" s="1"/>
  <c r="DC43" i="1" s="1"/>
  <c r="DC13" i="1"/>
  <c r="CQ26" i="1"/>
  <c r="CQ28" i="1" s="1"/>
  <c r="CQ43" i="1" s="1"/>
  <c r="CQ13" i="1"/>
  <c r="BW13" i="1"/>
  <c r="BW26" i="1"/>
  <c r="BD26" i="1"/>
  <c r="BD28" i="1" s="1"/>
  <c r="BD43" i="1" s="1"/>
  <c r="BD13" i="1"/>
  <c r="T13" i="1"/>
  <c r="T26" i="1"/>
  <c r="T28" i="1" s="1"/>
  <c r="R12" i="1"/>
  <c r="CD13" i="1"/>
  <c r="CD26" i="1"/>
  <c r="CD28" i="1" s="1"/>
  <c r="CD43" i="1" s="1"/>
  <c r="AV26" i="1"/>
  <c r="AV28" i="1" s="1"/>
  <c r="AV43" i="1" s="1"/>
  <c r="AV13" i="1"/>
  <c r="DQ13" i="1"/>
  <c r="DQ26" i="1"/>
  <c r="DQ28" i="1" s="1"/>
  <c r="DQ43" i="1" s="1"/>
  <c r="CV13" i="1"/>
  <c r="L10" i="20"/>
  <c r="L11" i="20" s="1"/>
  <c r="CV26" i="1"/>
  <c r="BX13" i="1"/>
  <c r="BX26" i="1"/>
  <c r="J10" i="20"/>
  <c r="J11" i="20" s="1"/>
  <c r="BN26" i="1"/>
  <c r="BN28" i="1" s="1"/>
  <c r="BN43" i="1" s="1"/>
  <c r="BN13" i="1"/>
  <c r="BI13" i="1"/>
  <c r="BI26" i="1"/>
  <c r="BI28" i="1" s="1"/>
  <c r="BI43" i="1" s="1"/>
  <c r="AC13" i="1"/>
  <c r="AC26" i="1"/>
  <c r="AC28" i="1" s="1"/>
  <c r="U26" i="1"/>
  <c r="U13" i="1"/>
  <c r="DD26" i="1"/>
  <c r="DD28" i="1" s="1"/>
  <c r="DD43" i="1" s="1"/>
  <c r="DD13" i="1"/>
  <c r="BJ26" i="1"/>
  <c r="BJ28" i="1" s="1"/>
  <c r="BJ43" i="1" s="1"/>
  <c r="BJ13" i="1"/>
  <c r="DP26" i="1"/>
  <c r="DP28" i="1" s="1"/>
  <c r="DP43" i="1" s="1"/>
  <c r="DP13" i="1"/>
  <c r="CX26" i="1"/>
  <c r="CX28" i="1" s="1"/>
  <c r="CX43" i="1" s="1"/>
  <c r="CX13" i="1"/>
  <c r="K10" i="20"/>
  <c r="K11" i="20" s="1"/>
  <c r="CJ26" i="1"/>
  <c r="CJ13" i="1"/>
  <c r="BS26" i="1"/>
  <c r="BS28" i="1" s="1"/>
  <c r="BS43" i="1" s="1"/>
  <c r="BS13" i="1"/>
  <c r="BA26" i="1"/>
  <c r="BA28" i="1" s="1"/>
  <c r="BA43" i="1" s="1"/>
  <c r="BA13" i="1"/>
  <c r="S26" i="1"/>
  <c r="S28" i="1" s="1"/>
  <c r="S13" i="1"/>
  <c r="AB12" i="1"/>
  <c r="DE26" i="1"/>
  <c r="DE28" i="1" s="1"/>
  <c r="DE43" i="1" s="1"/>
  <c r="DE13" i="1"/>
  <c r="BF26" i="1"/>
  <c r="BF28" i="1" s="1"/>
  <c r="BF43" i="1" s="1"/>
  <c r="BF13" i="1"/>
  <c r="DJ13" i="1"/>
  <c r="DJ26" i="1"/>
  <c r="DJ28" i="1" s="1"/>
  <c r="DJ43" i="1" s="1"/>
  <c r="CW26" i="1"/>
  <c r="CW28" i="1" s="1"/>
  <c r="CW43" i="1" s="1"/>
  <c r="CW13" i="1"/>
  <c r="BY26" i="1"/>
  <c r="BY28" i="1" s="1"/>
  <c r="BY43" i="1" s="1"/>
  <c r="BY13" i="1"/>
  <c r="BT13" i="1"/>
  <c r="BT26" i="1"/>
  <c r="BT28" i="1" s="1"/>
  <c r="BT43" i="1" s="1"/>
  <c r="BB13" i="1"/>
  <c r="BB26" i="1"/>
  <c r="BB28" i="1" s="1"/>
  <c r="BB43" i="1" s="1"/>
  <c r="AA26" i="1"/>
  <c r="AA13" i="1"/>
  <c r="AI26" i="1"/>
  <c r="AI28" i="1" s="1"/>
  <c r="AI13" i="1"/>
  <c r="BP13" i="1"/>
  <c r="BP26" i="1"/>
  <c r="BP28" i="1" s="1"/>
  <c r="BP43" i="1" s="1"/>
  <c r="AD26" i="1"/>
  <c r="AD28" i="1" s="1"/>
  <c r="AD13" i="1"/>
  <c r="DI26" i="1"/>
  <c r="DI28" i="1" s="1"/>
  <c r="DI43" i="1" s="1"/>
  <c r="DI13" i="1"/>
  <c r="CP26" i="1"/>
  <c r="CP28" i="1" s="1"/>
  <c r="CP43" i="1" s="1"/>
  <c r="CP13" i="1"/>
  <c r="CI26" i="1"/>
  <c r="CI13" i="1"/>
  <c r="BO26" i="1"/>
  <c r="BO28" i="1" s="1"/>
  <c r="BO43" i="1" s="1"/>
  <c r="BO13" i="1"/>
  <c r="AU13" i="1"/>
  <c r="AU26" i="1"/>
  <c r="AU28" i="1" s="1"/>
  <c r="AU43" i="1" s="1"/>
  <c r="Z26" i="1"/>
  <c r="Z28" i="1" s="1"/>
  <c r="Z13" i="1"/>
  <c r="AM26" i="1"/>
  <c r="AM13" i="1"/>
  <c r="E15" i="95"/>
  <c r="F15" i="95" s="1"/>
  <c r="E17" i="95"/>
  <c r="F17" i="95" s="1"/>
  <c r="F14" i="95"/>
  <c r="E73" i="100" l="1"/>
  <c r="E74" i="100"/>
  <c r="E68" i="100"/>
  <c r="D12" i="20"/>
  <c r="D13" i="20" s="1"/>
  <c r="D16" i="20" s="1"/>
  <c r="C9" i="23" s="1"/>
  <c r="J33" i="100"/>
  <c r="F33" i="100"/>
  <c r="F72" i="100" s="1"/>
  <c r="K33" i="100"/>
  <c r="I33" i="100"/>
  <c r="G33" i="100"/>
  <c r="G72" i="100" s="1"/>
  <c r="H33" i="100"/>
  <c r="G32" i="100"/>
  <c r="G68" i="100" s="1"/>
  <c r="F32" i="100"/>
  <c r="F68" i="100" s="1"/>
  <c r="H32" i="100"/>
  <c r="I32" i="100"/>
  <c r="Q33" i="100"/>
  <c r="R33" i="100"/>
  <c r="O33" i="100"/>
  <c r="N33" i="100"/>
  <c r="P33" i="100"/>
  <c r="H15" i="99"/>
  <c r="J32" i="100"/>
  <c r="K32" i="100"/>
  <c r="AB26" i="1"/>
  <c r="AB13" i="1"/>
  <c r="F10" i="20"/>
  <c r="K27" i="20"/>
  <c r="CJ28" i="1"/>
  <c r="CJ43" i="1" s="1"/>
  <c r="CV28" i="1"/>
  <c r="CV43" i="1" s="1"/>
  <c r="L27" i="20"/>
  <c r="G10" i="20"/>
  <c r="AN26" i="1"/>
  <c r="AN13" i="1"/>
  <c r="BL28" i="1"/>
  <c r="BL43" i="1" s="1"/>
  <c r="I27" i="20"/>
  <c r="J27" i="20"/>
  <c r="BX28" i="1"/>
  <c r="BX43" i="1" s="1"/>
  <c r="R26" i="1"/>
  <c r="E10" i="20"/>
  <c r="R13" i="1"/>
  <c r="DH28" i="1"/>
  <c r="DH43" i="1" s="1"/>
  <c r="M27" i="20"/>
  <c r="AZ13" i="1"/>
  <c r="H10" i="20"/>
  <c r="AZ26" i="1"/>
  <c r="F19" i="95"/>
  <c r="F14" i="84" s="1"/>
  <c r="D18" i="20" l="1"/>
  <c r="E69" i="100"/>
  <c r="E70" i="100"/>
  <c r="G70" i="100"/>
  <c r="G69" i="100"/>
  <c r="F74" i="100"/>
  <c r="F73" i="100"/>
  <c r="F69" i="100"/>
  <c r="F70" i="100"/>
  <c r="G73" i="100"/>
  <c r="G74" i="100"/>
  <c r="J72" i="100"/>
  <c r="P72" i="100"/>
  <c r="M33" i="100"/>
  <c r="M72" i="100" s="1"/>
  <c r="O72" i="100"/>
  <c r="N72" i="100"/>
  <c r="K72" i="100"/>
  <c r="L33" i="100"/>
  <c r="L72" i="100" s="1"/>
  <c r="I72" i="100"/>
  <c r="H72" i="100"/>
  <c r="Q72" i="100"/>
  <c r="R72" i="100"/>
  <c r="C72" i="100"/>
  <c r="I68" i="100"/>
  <c r="J68" i="100"/>
  <c r="O32" i="100"/>
  <c r="O68" i="100" s="1"/>
  <c r="Q32" i="100"/>
  <c r="Q68" i="100" s="1"/>
  <c r="H68" i="100"/>
  <c r="L32" i="100"/>
  <c r="L68" i="100" s="1"/>
  <c r="P32" i="100"/>
  <c r="P68" i="100" s="1"/>
  <c r="M32" i="100"/>
  <c r="M68" i="100" s="1"/>
  <c r="K68" i="100"/>
  <c r="R32" i="100"/>
  <c r="R68" i="100" s="1"/>
  <c r="N32" i="100"/>
  <c r="N68" i="100" s="1"/>
  <c r="C68" i="100"/>
  <c r="H11" i="20"/>
  <c r="E11" i="20"/>
  <c r="F11" i="20"/>
  <c r="R28" i="1"/>
  <c r="E27" i="20"/>
  <c r="AN28" i="1"/>
  <c r="AN43" i="1" s="1"/>
  <c r="G27" i="20"/>
  <c r="AZ28" i="1"/>
  <c r="AZ43" i="1" s="1"/>
  <c r="H27" i="20"/>
  <c r="G11" i="20"/>
  <c r="AB28" i="1"/>
  <c r="F27" i="20"/>
  <c r="C18" i="13"/>
  <c r="E5" i="96"/>
  <c r="I74" i="100" l="1"/>
  <c r="I73" i="100"/>
  <c r="O74" i="100"/>
  <c r="O73" i="100"/>
  <c r="R73" i="100"/>
  <c r="R74" i="100"/>
  <c r="L73" i="100"/>
  <c r="L74" i="100"/>
  <c r="M73" i="100"/>
  <c r="M74" i="100"/>
  <c r="Q73" i="100"/>
  <c r="Q74" i="100"/>
  <c r="K74" i="100"/>
  <c r="K73" i="100"/>
  <c r="P74" i="100"/>
  <c r="P73" i="100"/>
  <c r="H73" i="100"/>
  <c r="H74" i="100"/>
  <c r="N73" i="100"/>
  <c r="N74" i="100"/>
  <c r="J74" i="100"/>
  <c r="J73" i="100"/>
  <c r="N69" i="100"/>
  <c r="N70" i="100"/>
  <c r="K70" i="100"/>
  <c r="K69" i="100"/>
  <c r="P70" i="100"/>
  <c r="P69" i="100"/>
  <c r="O70" i="100"/>
  <c r="O69" i="100"/>
  <c r="J70" i="100"/>
  <c r="J69" i="100"/>
  <c r="L70" i="100"/>
  <c r="L69" i="100"/>
  <c r="M69" i="100"/>
  <c r="M70" i="100"/>
  <c r="H69" i="100"/>
  <c r="H70" i="100"/>
  <c r="R69" i="100"/>
  <c r="R70" i="100"/>
  <c r="I70" i="100"/>
  <c r="I69" i="100"/>
  <c r="Q69" i="100"/>
  <c r="Q70" i="100"/>
  <c r="H19" i="99"/>
  <c r="H16" i="99"/>
  <c r="F18" i="13"/>
  <c r="J18" i="13"/>
  <c r="N18" i="13"/>
  <c r="R18" i="13"/>
  <c r="V18" i="13"/>
  <c r="Z18" i="13"/>
  <c r="AD18" i="13"/>
  <c r="AH18" i="13"/>
  <c r="AL18" i="13"/>
  <c r="Q18" i="13"/>
  <c r="Y18" i="13"/>
  <c r="AK18" i="13"/>
  <c r="G18" i="13"/>
  <c r="K18" i="13"/>
  <c r="O18" i="13"/>
  <c r="S18" i="13"/>
  <c r="W18" i="13"/>
  <c r="AA18" i="13"/>
  <c r="AE18" i="13"/>
  <c r="AI18" i="13"/>
  <c r="AM18" i="13"/>
  <c r="M18" i="13"/>
  <c r="AC18" i="13"/>
  <c r="E18" i="13"/>
  <c r="H18" i="13"/>
  <c r="L18" i="13"/>
  <c r="P18" i="13"/>
  <c r="T18" i="13"/>
  <c r="X18" i="13"/>
  <c r="AB18" i="13"/>
  <c r="AF18" i="13"/>
  <c r="AJ18" i="13"/>
  <c r="AN18" i="13"/>
  <c r="I18" i="13"/>
  <c r="U18" i="13"/>
  <c r="AG18" i="13"/>
  <c r="U20" i="13" l="1"/>
  <c r="U23" i="13" s="1"/>
  <c r="T31" i="1" s="1"/>
  <c r="T33" i="1" s="1"/>
  <c r="T43" i="1" s="1"/>
  <c r="AF20" i="13"/>
  <c r="AF23" i="13" s="1"/>
  <c r="AE31" i="1" s="1"/>
  <c r="AE33" i="1" s="1"/>
  <c r="AE43" i="1" s="1"/>
  <c r="P20" i="13"/>
  <c r="P21" i="13"/>
  <c r="AC20" i="13"/>
  <c r="AC23" i="13" s="1"/>
  <c r="AB31" i="1" s="1"/>
  <c r="AE20" i="13"/>
  <c r="AE23" i="13" s="1"/>
  <c r="AD31" i="1" s="1"/>
  <c r="AD33" i="1" s="1"/>
  <c r="AD43" i="1" s="1"/>
  <c r="O21" i="13"/>
  <c r="O20" i="13"/>
  <c r="Y20" i="13"/>
  <c r="Y23" i="13" s="1"/>
  <c r="X31" i="1" s="1"/>
  <c r="X33" i="1" s="1"/>
  <c r="X43" i="1" s="1"/>
  <c r="AD20" i="13"/>
  <c r="AD23" i="13" s="1"/>
  <c r="AC31" i="1" s="1"/>
  <c r="AC33" i="1" s="1"/>
  <c r="AC43" i="1" s="1"/>
  <c r="N21" i="13"/>
  <c r="N20" i="13"/>
  <c r="I20" i="13"/>
  <c r="I21" i="13"/>
  <c r="AB20" i="13"/>
  <c r="AB23" i="13" s="1"/>
  <c r="AA31" i="1" s="1"/>
  <c r="AA33" i="1" s="1"/>
  <c r="L20" i="13"/>
  <c r="L21" i="13"/>
  <c r="M20" i="13"/>
  <c r="M21" i="13"/>
  <c r="AA20" i="13"/>
  <c r="AA23" i="13" s="1"/>
  <c r="Z31" i="1" s="1"/>
  <c r="Z33" i="1" s="1"/>
  <c r="Z43" i="1" s="1"/>
  <c r="K20" i="13"/>
  <c r="K21" i="13"/>
  <c r="Q20" i="13"/>
  <c r="Q23" i="13" s="1"/>
  <c r="P31" i="1" s="1"/>
  <c r="Z20" i="13"/>
  <c r="Z23" i="13" s="1"/>
  <c r="Y31" i="1" s="1"/>
  <c r="Y33" i="1" s="1"/>
  <c r="Y43" i="1" s="1"/>
  <c r="J20" i="13"/>
  <c r="J21" i="13"/>
  <c r="AN20" i="13"/>
  <c r="AN23" i="13" s="1"/>
  <c r="AM31" i="1" s="1"/>
  <c r="AM33" i="1" s="1"/>
  <c r="X20" i="13"/>
  <c r="X23" i="13" s="1"/>
  <c r="W31" i="1" s="1"/>
  <c r="W33" i="1" s="1"/>
  <c r="W43" i="1" s="1"/>
  <c r="H20" i="13"/>
  <c r="H21" i="13"/>
  <c r="AM20" i="13"/>
  <c r="AM23" i="13" s="1"/>
  <c r="AL31" i="1" s="1"/>
  <c r="AL33" i="1" s="1"/>
  <c r="AL43" i="1" s="1"/>
  <c r="W20" i="13"/>
  <c r="W23" i="13" s="1"/>
  <c r="V31" i="1" s="1"/>
  <c r="V33" i="1" s="1"/>
  <c r="V43" i="1" s="1"/>
  <c r="G20" i="13"/>
  <c r="G21" i="13"/>
  <c r="AL20" i="13"/>
  <c r="AL23" i="13" s="1"/>
  <c r="AK31" i="1" s="1"/>
  <c r="AK33" i="1" s="1"/>
  <c r="AK43" i="1" s="1"/>
  <c r="V20" i="13"/>
  <c r="V23" i="13" s="1"/>
  <c r="U31" i="1" s="1"/>
  <c r="U33" i="1" s="1"/>
  <c r="F20" i="13"/>
  <c r="F23" i="13" s="1"/>
  <c r="E31" i="1" s="1"/>
  <c r="E33" i="1" s="1"/>
  <c r="E43" i="1" s="1"/>
  <c r="AG20" i="13"/>
  <c r="AG23" i="13" s="1"/>
  <c r="AF31" i="1" s="1"/>
  <c r="AF33" i="1" s="1"/>
  <c r="AF43" i="1" s="1"/>
  <c r="AJ20" i="13"/>
  <c r="AJ23" i="13" s="1"/>
  <c r="AI31" i="1" s="1"/>
  <c r="AI33" i="1" s="1"/>
  <c r="AI43" i="1" s="1"/>
  <c r="T20" i="13"/>
  <c r="T23" i="13" s="1"/>
  <c r="S31" i="1" s="1"/>
  <c r="S33" i="1" s="1"/>
  <c r="S43" i="1" s="1"/>
  <c r="E20" i="13"/>
  <c r="E23" i="13" s="1"/>
  <c r="D31" i="1" s="1"/>
  <c r="AI20" i="13"/>
  <c r="AI23" i="13" s="1"/>
  <c r="AH31" i="1" s="1"/>
  <c r="AH33" i="1" s="1"/>
  <c r="AH43" i="1" s="1"/>
  <c r="S20" i="13"/>
  <c r="S23" i="13" s="1"/>
  <c r="R31" i="1" s="1"/>
  <c r="R33" i="1" s="1"/>
  <c r="R43" i="1" s="1"/>
  <c r="AK20" i="13"/>
  <c r="AK23" i="13" s="1"/>
  <c r="AJ31" i="1" s="1"/>
  <c r="AJ33" i="1" s="1"/>
  <c r="AJ43" i="1" s="1"/>
  <c r="AH20" i="13"/>
  <c r="AH23" i="13" s="1"/>
  <c r="AG31" i="1" s="1"/>
  <c r="AG33" i="1" s="1"/>
  <c r="R20" i="13"/>
  <c r="R23" i="13" s="1"/>
  <c r="Q31" i="1" s="1"/>
  <c r="Q33" i="1" s="1"/>
  <c r="Q43" i="1" s="1"/>
  <c r="G23" i="13" l="1"/>
  <c r="F31" i="1" s="1"/>
  <c r="F33" i="1" s="1"/>
  <c r="F43" i="1" s="1"/>
  <c r="H23" i="13"/>
  <c r="G31" i="1" s="1"/>
  <c r="G33" i="1" s="1"/>
  <c r="G43" i="1" s="1"/>
  <c r="I23" i="13"/>
  <c r="H31" i="1" s="1"/>
  <c r="H33" i="1" s="1"/>
  <c r="H43" i="1" s="1"/>
  <c r="O23" i="13"/>
  <c r="N31" i="1" s="1"/>
  <c r="N33" i="1" s="1"/>
  <c r="N43" i="1" s="1"/>
  <c r="M23" i="13"/>
  <c r="L31" i="1" s="1"/>
  <c r="L33" i="1" s="1"/>
  <c r="L43" i="1" s="1"/>
  <c r="J23" i="13"/>
  <c r="I31" i="1" s="1"/>
  <c r="I33" i="1" s="1"/>
  <c r="I43" i="1" s="1"/>
  <c r="K23" i="13"/>
  <c r="J31" i="1" s="1"/>
  <c r="J33" i="1" s="1"/>
  <c r="J43" i="1" s="1"/>
  <c r="N23" i="13"/>
  <c r="M31" i="1" s="1"/>
  <c r="M33" i="1" s="1"/>
  <c r="M43" i="1" s="1"/>
  <c r="P23" i="13"/>
  <c r="O31" i="1" s="1"/>
  <c r="O33" i="1" s="1"/>
  <c r="O43" i="1" s="1"/>
  <c r="L23" i="13"/>
  <c r="K31" i="1" s="1"/>
  <c r="K33" i="1" s="1"/>
  <c r="K43" i="1" s="1"/>
  <c r="E32" i="20"/>
  <c r="E34" i="20" s="1"/>
  <c r="P33" i="1"/>
  <c r="P43" i="1" s="1"/>
  <c r="AB33" i="1"/>
  <c r="AB43" i="1" s="1"/>
  <c r="F32" i="20"/>
  <c r="F34" i="20" s="1"/>
  <c r="D33" i="1"/>
  <c r="D43" i="1" s="1"/>
  <c r="D46" i="1" s="1"/>
  <c r="E44" i="1" s="1"/>
  <c r="E46" i="1" s="1"/>
  <c r="F44" i="1" s="1"/>
  <c r="F46" i="1" s="1"/>
  <c r="G44" i="1" s="1"/>
  <c r="G46" i="1" s="1"/>
  <c r="H44" i="1" s="1"/>
  <c r="C20" i="13"/>
  <c r="C23" i="13" s="1"/>
  <c r="B25" i="22" s="1"/>
  <c r="H46" i="1" l="1"/>
  <c r="I44" i="1" s="1"/>
  <c r="I46" i="1" s="1"/>
  <c r="J44" i="1" s="1"/>
  <c r="J46" i="1" s="1"/>
  <c r="K44" i="1" s="1"/>
  <c r="K46" i="1" s="1"/>
  <c r="L44" i="1" s="1"/>
  <c r="L46" i="1" s="1"/>
  <c r="M44" i="1" s="1"/>
  <c r="M46" i="1" s="1"/>
  <c r="N44" i="1" s="1"/>
  <c r="N46" i="1" s="1"/>
  <c r="O44" i="1" s="1"/>
  <c r="O46" i="1" s="1"/>
  <c r="P44" i="1" s="1"/>
  <c r="P46" i="1" s="1"/>
  <c r="Q44" i="1" s="1"/>
  <c r="Q46" i="1" s="1"/>
  <c r="R44" i="1" s="1"/>
  <c r="R46" i="1" s="1"/>
  <c r="S44" i="1" s="1"/>
  <c r="S46" i="1" s="1"/>
  <c r="T44" i="1" s="1"/>
  <c r="T46" i="1" s="1"/>
  <c r="U44" i="1" s="1"/>
  <c r="C24" i="13"/>
  <c r="D32" i="20"/>
  <c r="D34" i="20" s="1"/>
  <c r="D44" i="20" s="1"/>
  <c r="D47" i="20" s="1"/>
  <c r="B62" i="22"/>
  <c r="M25" i="22"/>
  <c r="M62" i="22" s="1"/>
  <c r="G25" i="22"/>
  <c r="G62" i="22" s="1"/>
  <c r="J25" i="22"/>
  <c r="J62" i="22" s="1"/>
  <c r="O25" i="22"/>
  <c r="O62" i="22" s="1"/>
  <c r="L25" i="22"/>
  <c r="L62" i="22" s="1"/>
  <c r="H25" i="22"/>
  <c r="H62" i="22" s="1"/>
  <c r="N25" i="22"/>
  <c r="N62" i="22" s="1"/>
  <c r="I25" i="22"/>
  <c r="I62" i="22" s="1"/>
  <c r="K25" i="22"/>
  <c r="K62" i="22" s="1"/>
  <c r="DG14" i="1" l="1"/>
  <c r="DG15" i="1" s="1"/>
  <c r="DG18" i="1" s="1"/>
  <c r="CY14" i="1"/>
  <c r="CY15" i="1" s="1"/>
  <c r="CY18" i="1" s="1"/>
  <c r="CY20" i="1" s="1"/>
  <c r="CW14" i="1"/>
  <c r="CW15" i="1" s="1"/>
  <c r="CW18" i="1" s="1"/>
  <c r="CW20" i="1" s="1"/>
  <c r="CX14" i="1"/>
  <c r="CX15" i="1" s="1"/>
  <c r="CX18" i="1" s="1"/>
  <c r="CX20" i="1" s="1"/>
  <c r="N64" i="22"/>
  <c r="N67" i="22" s="1"/>
  <c r="DF14" i="1"/>
  <c r="DF15" i="1" s="1"/>
  <c r="DF18" i="1" s="1"/>
  <c r="DF20" i="1" s="1"/>
  <c r="DA14" i="1"/>
  <c r="DA15" i="1" s="1"/>
  <c r="DA18" i="1" s="1"/>
  <c r="DD14" i="1"/>
  <c r="DD15" i="1" s="1"/>
  <c r="DD18" i="1" s="1"/>
  <c r="DD20" i="1" s="1"/>
  <c r="DE14" i="1"/>
  <c r="DE15" i="1" s="1"/>
  <c r="DE18" i="1" s="1"/>
  <c r="DE20" i="1" s="1"/>
  <c r="DB14" i="1"/>
  <c r="DB15" i="1" s="1"/>
  <c r="DB18" i="1" s="1"/>
  <c r="DB20" i="1" s="1"/>
  <c r="DC14" i="1"/>
  <c r="DC15" i="1" s="1"/>
  <c r="DC18" i="1" s="1"/>
  <c r="DC20" i="1" s="1"/>
  <c r="CV14" i="1"/>
  <c r="CZ14" i="1"/>
  <c r="CZ15" i="1" s="1"/>
  <c r="CZ18" i="1" s="1"/>
  <c r="CZ20" i="1" s="1"/>
  <c r="BA14" i="1"/>
  <c r="BA15" i="1" s="1"/>
  <c r="BA18" i="1" s="1"/>
  <c r="BA20" i="1" s="1"/>
  <c r="J64" i="22"/>
  <c r="J67" i="22" s="1"/>
  <c r="BB14" i="1"/>
  <c r="BB15" i="1" s="1"/>
  <c r="BB18" i="1" s="1"/>
  <c r="BB20" i="1" s="1"/>
  <c r="AZ14" i="1"/>
  <c r="BH14" i="1"/>
  <c r="BH15" i="1" s="1"/>
  <c r="BH18" i="1" s="1"/>
  <c r="BH20" i="1" s="1"/>
  <c r="BF14" i="1"/>
  <c r="BF15" i="1" s="1"/>
  <c r="BF18" i="1" s="1"/>
  <c r="BF20" i="1" s="1"/>
  <c r="BE14" i="1"/>
  <c r="BE15" i="1" s="1"/>
  <c r="BE18" i="1" s="1"/>
  <c r="BG14" i="1"/>
  <c r="BG15" i="1" s="1"/>
  <c r="BG18" i="1" s="1"/>
  <c r="BG20" i="1" s="1"/>
  <c r="BC14" i="1"/>
  <c r="BC15" i="1" s="1"/>
  <c r="BC18" i="1" s="1"/>
  <c r="BC20" i="1" s="1"/>
  <c r="BI14" i="1"/>
  <c r="BI15" i="1" s="1"/>
  <c r="BI18" i="1" s="1"/>
  <c r="BI20" i="1" s="1"/>
  <c r="BK14" i="1"/>
  <c r="BK15" i="1" s="1"/>
  <c r="BK18" i="1" s="1"/>
  <c r="BJ14" i="1"/>
  <c r="BJ15" i="1" s="1"/>
  <c r="BJ18" i="1" s="1"/>
  <c r="BJ20" i="1" s="1"/>
  <c r="BD14" i="1"/>
  <c r="BD15" i="1" s="1"/>
  <c r="BD18" i="1" s="1"/>
  <c r="BD20" i="1" s="1"/>
  <c r="AJ14" i="1"/>
  <c r="AJ15" i="1" s="1"/>
  <c r="AJ18" i="1" s="1"/>
  <c r="AJ20" i="1" s="1"/>
  <c r="AH14" i="1"/>
  <c r="AH15" i="1" s="1"/>
  <c r="AH18" i="1" s="1"/>
  <c r="AH20" i="1" s="1"/>
  <c r="AI14" i="1"/>
  <c r="AI15" i="1" s="1"/>
  <c r="AI18" i="1" s="1"/>
  <c r="AI20" i="1" s="1"/>
  <c r="H64" i="22"/>
  <c r="H67" i="22" s="1"/>
  <c r="AG14" i="1"/>
  <c r="AG15" i="1" s="1"/>
  <c r="AG18" i="1" s="1"/>
  <c r="AE14" i="1"/>
  <c r="AE15" i="1" s="1"/>
  <c r="AE18" i="1" s="1"/>
  <c r="AE20" i="1" s="1"/>
  <c r="AD14" i="1"/>
  <c r="AD15" i="1" s="1"/>
  <c r="AD18" i="1" s="1"/>
  <c r="AD20" i="1" s="1"/>
  <c r="AM14" i="1"/>
  <c r="AM15" i="1" s="1"/>
  <c r="AM18" i="1" s="1"/>
  <c r="AB14" i="1"/>
  <c r="AC14" i="1"/>
  <c r="AC15" i="1" s="1"/>
  <c r="AC18" i="1" s="1"/>
  <c r="AC20" i="1" s="1"/>
  <c r="AL14" i="1"/>
  <c r="AL15" i="1" s="1"/>
  <c r="AL18" i="1" s="1"/>
  <c r="AL20" i="1" s="1"/>
  <c r="AK14" i="1"/>
  <c r="AK15" i="1" s="1"/>
  <c r="AK18" i="1" s="1"/>
  <c r="AK20" i="1" s="1"/>
  <c r="AF14" i="1"/>
  <c r="AF15" i="1" s="1"/>
  <c r="AF18" i="1" s="1"/>
  <c r="AF20" i="1" s="1"/>
  <c r="AA14" i="1"/>
  <c r="AA15" i="1" s="1"/>
  <c r="AA18" i="1" s="1"/>
  <c r="S14" i="1"/>
  <c r="S15" i="1" s="1"/>
  <c r="S18" i="1" s="1"/>
  <c r="S20" i="1" s="1"/>
  <c r="V14" i="1"/>
  <c r="V15" i="1" s="1"/>
  <c r="V18" i="1" s="1"/>
  <c r="V20" i="1" s="1"/>
  <c r="X14" i="1"/>
  <c r="X15" i="1" s="1"/>
  <c r="X18" i="1" s="1"/>
  <c r="X20" i="1" s="1"/>
  <c r="U14" i="1"/>
  <c r="U15" i="1" s="1"/>
  <c r="U18" i="1" s="1"/>
  <c r="G64" i="22"/>
  <c r="G67" i="22" s="1"/>
  <c r="Q14" i="1"/>
  <c r="Q15" i="1" s="1"/>
  <c r="Q18" i="1" s="1"/>
  <c r="Q20" i="1" s="1"/>
  <c r="Y14" i="1"/>
  <c r="Y15" i="1" s="1"/>
  <c r="Y18" i="1" s="1"/>
  <c r="Y20" i="1" s="1"/>
  <c r="Z14" i="1"/>
  <c r="Z15" i="1" s="1"/>
  <c r="Z18" i="1" s="1"/>
  <c r="Z20" i="1" s="1"/>
  <c r="P14" i="1"/>
  <c r="R14" i="1"/>
  <c r="R15" i="1" s="1"/>
  <c r="R18" i="1" s="1"/>
  <c r="R20" i="1" s="1"/>
  <c r="W14" i="1"/>
  <c r="W15" i="1" s="1"/>
  <c r="W18" i="1" s="1"/>
  <c r="W20" i="1" s="1"/>
  <c r="T14" i="1"/>
  <c r="T15" i="1" s="1"/>
  <c r="T18" i="1" s="1"/>
  <c r="T20" i="1" s="1"/>
  <c r="BP14" i="1"/>
  <c r="BP15" i="1" s="1"/>
  <c r="BP18" i="1" s="1"/>
  <c r="BP20" i="1" s="1"/>
  <c r="BS14" i="1"/>
  <c r="BS15" i="1" s="1"/>
  <c r="BS18" i="1" s="1"/>
  <c r="BS20" i="1" s="1"/>
  <c r="BR14" i="1"/>
  <c r="BR15" i="1" s="1"/>
  <c r="BR18" i="1" s="1"/>
  <c r="BR20" i="1" s="1"/>
  <c r="BL14" i="1"/>
  <c r="BU14" i="1"/>
  <c r="BU15" i="1" s="1"/>
  <c r="BU18" i="1" s="1"/>
  <c r="BU20" i="1" s="1"/>
  <c r="BM14" i="1"/>
  <c r="BM15" i="1" s="1"/>
  <c r="BM18" i="1" s="1"/>
  <c r="BM20" i="1" s="1"/>
  <c r="BQ14" i="1"/>
  <c r="BQ15" i="1" s="1"/>
  <c r="BQ18" i="1" s="1"/>
  <c r="BV14" i="1"/>
  <c r="BV15" i="1" s="1"/>
  <c r="BV18" i="1" s="1"/>
  <c r="BV20" i="1" s="1"/>
  <c r="K64" i="22"/>
  <c r="K67" i="22" s="1"/>
  <c r="BW14" i="1"/>
  <c r="BW15" i="1" s="1"/>
  <c r="BW18" i="1" s="1"/>
  <c r="BT14" i="1"/>
  <c r="BT15" i="1" s="1"/>
  <c r="BT18" i="1" s="1"/>
  <c r="BT20" i="1" s="1"/>
  <c r="BO14" i="1"/>
  <c r="BO15" i="1" s="1"/>
  <c r="BO18" i="1" s="1"/>
  <c r="BO20" i="1" s="1"/>
  <c r="BN14" i="1"/>
  <c r="BN15" i="1" s="1"/>
  <c r="BN18" i="1" s="1"/>
  <c r="BN20" i="1" s="1"/>
  <c r="CD14" i="1"/>
  <c r="CD15" i="1" s="1"/>
  <c r="CD18" i="1" s="1"/>
  <c r="CD20" i="1" s="1"/>
  <c r="BY14" i="1"/>
  <c r="BY15" i="1" s="1"/>
  <c r="BY18" i="1" s="1"/>
  <c r="BY20" i="1" s="1"/>
  <c r="CA14" i="1"/>
  <c r="CA15" i="1" s="1"/>
  <c r="CA18" i="1" s="1"/>
  <c r="CA20" i="1" s="1"/>
  <c r="CH14" i="1"/>
  <c r="CH15" i="1" s="1"/>
  <c r="CH18" i="1" s="1"/>
  <c r="CH20" i="1" s="1"/>
  <c r="CF14" i="1"/>
  <c r="CF15" i="1" s="1"/>
  <c r="CF18" i="1" s="1"/>
  <c r="CF20" i="1" s="1"/>
  <c r="CC14" i="1"/>
  <c r="CC15" i="1" s="1"/>
  <c r="CC18" i="1" s="1"/>
  <c r="BX14" i="1"/>
  <c r="L64" i="22"/>
  <c r="L67" i="22" s="1"/>
  <c r="CI14" i="1"/>
  <c r="CI15" i="1" s="1"/>
  <c r="CI18" i="1" s="1"/>
  <c r="CB14" i="1"/>
  <c r="CB15" i="1" s="1"/>
  <c r="CB18" i="1" s="1"/>
  <c r="CB20" i="1" s="1"/>
  <c r="CG14" i="1"/>
  <c r="CG15" i="1" s="1"/>
  <c r="CG18" i="1" s="1"/>
  <c r="CG20" i="1" s="1"/>
  <c r="BZ14" i="1"/>
  <c r="BZ15" i="1" s="1"/>
  <c r="BZ18" i="1" s="1"/>
  <c r="BZ20" i="1" s="1"/>
  <c r="CE14" i="1"/>
  <c r="CE15" i="1" s="1"/>
  <c r="CE18" i="1" s="1"/>
  <c r="CE20" i="1" s="1"/>
  <c r="CM14" i="1"/>
  <c r="CM15" i="1" s="1"/>
  <c r="CM18" i="1" s="1"/>
  <c r="CM20" i="1" s="1"/>
  <c r="M64" i="22"/>
  <c r="M67" i="22" s="1"/>
  <c r="CP14" i="1"/>
  <c r="CP15" i="1" s="1"/>
  <c r="CP18" i="1" s="1"/>
  <c r="CP20" i="1" s="1"/>
  <c r="CU14" i="1"/>
  <c r="CU15" i="1" s="1"/>
  <c r="CU18" i="1" s="1"/>
  <c r="CK14" i="1"/>
  <c r="CK15" i="1" s="1"/>
  <c r="CK18" i="1" s="1"/>
  <c r="CK20" i="1" s="1"/>
  <c r="CR14" i="1"/>
  <c r="CR15" i="1" s="1"/>
  <c r="CR18" i="1" s="1"/>
  <c r="CR20" i="1" s="1"/>
  <c r="CS14" i="1"/>
  <c r="CS15" i="1" s="1"/>
  <c r="CS18" i="1" s="1"/>
  <c r="CS20" i="1" s="1"/>
  <c r="CL14" i="1"/>
  <c r="CL15" i="1" s="1"/>
  <c r="CL18" i="1" s="1"/>
  <c r="CL20" i="1" s="1"/>
  <c r="CJ14" i="1"/>
  <c r="CQ14" i="1"/>
  <c r="CQ15" i="1" s="1"/>
  <c r="CQ18" i="1" s="1"/>
  <c r="CQ20" i="1" s="1"/>
  <c r="CO14" i="1"/>
  <c r="CO15" i="1" s="1"/>
  <c r="CO18" i="1" s="1"/>
  <c r="CN14" i="1"/>
  <c r="CN15" i="1" s="1"/>
  <c r="CN18" i="1" s="1"/>
  <c r="CN20" i="1" s="1"/>
  <c r="CT14" i="1"/>
  <c r="CT15" i="1" s="1"/>
  <c r="CT18" i="1" s="1"/>
  <c r="CT20" i="1" s="1"/>
  <c r="AS14" i="1"/>
  <c r="AS15" i="1" s="1"/>
  <c r="AS18" i="1" s="1"/>
  <c r="AX14" i="1"/>
  <c r="AX15" i="1" s="1"/>
  <c r="AX18" i="1" s="1"/>
  <c r="AX20" i="1" s="1"/>
  <c r="AN14" i="1"/>
  <c r="AP14" i="1"/>
  <c r="AP15" i="1" s="1"/>
  <c r="AP18" i="1" s="1"/>
  <c r="AP20" i="1" s="1"/>
  <c r="AQ14" i="1"/>
  <c r="AQ15" i="1" s="1"/>
  <c r="AQ18" i="1" s="1"/>
  <c r="AQ20" i="1" s="1"/>
  <c r="AV14" i="1"/>
  <c r="AV15" i="1" s="1"/>
  <c r="AV18" i="1" s="1"/>
  <c r="AV20" i="1" s="1"/>
  <c r="AT14" i="1"/>
  <c r="AT15" i="1" s="1"/>
  <c r="AT18" i="1" s="1"/>
  <c r="AT20" i="1" s="1"/>
  <c r="AR14" i="1"/>
  <c r="AR15" i="1" s="1"/>
  <c r="AR18" i="1" s="1"/>
  <c r="AR20" i="1" s="1"/>
  <c r="AW14" i="1"/>
  <c r="AW15" i="1" s="1"/>
  <c r="AW18" i="1" s="1"/>
  <c r="AW20" i="1" s="1"/>
  <c r="AY14" i="1"/>
  <c r="AY15" i="1" s="1"/>
  <c r="AY18" i="1" s="1"/>
  <c r="I64" i="22"/>
  <c r="I67" i="22" s="1"/>
  <c r="AO14" i="1"/>
  <c r="AO15" i="1" s="1"/>
  <c r="AO18" i="1" s="1"/>
  <c r="AO20" i="1" s="1"/>
  <c r="AU14" i="1"/>
  <c r="AU15" i="1" s="1"/>
  <c r="AU18" i="1" s="1"/>
  <c r="AU20" i="1" s="1"/>
  <c r="DL14" i="1"/>
  <c r="DL15" i="1" s="1"/>
  <c r="DL18" i="1" s="1"/>
  <c r="DL20" i="1" s="1"/>
  <c r="DP14" i="1"/>
  <c r="DP15" i="1" s="1"/>
  <c r="DP18" i="1" s="1"/>
  <c r="DP20" i="1" s="1"/>
  <c r="DS14" i="1"/>
  <c r="DS15" i="1" s="1"/>
  <c r="DS18" i="1" s="1"/>
  <c r="DM14" i="1"/>
  <c r="DM15" i="1" s="1"/>
  <c r="DM18" i="1" s="1"/>
  <c r="DR14" i="1"/>
  <c r="DR15" i="1" s="1"/>
  <c r="DR18" i="1" s="1"/>
  <c r="DR20" i="1" s="1"/>
  <c r="DN14" i="1"/>
  <c r="DN15" i="1" s="1"/>
  <c r="DN18" i="1" s="1"/>
  <c r="DN20" i="1" s="1"/>
  <c r="DK14" i="1"/>
  <c r="DK15" i="1" s="1"/>
  <c r="DK18" i="1" s="1"/>
  <c r="DK20" i="1" s="1"/>
  <c r="O64" i="22"/>
  <c r="O67" i="22" s="1"/>
  <c r="DH14" i="1"/>
  <c r="DQ14" i="1"/>
  <c r="DQ15" i="1" s="1"/>
  <c r="DQ18" i="1" s="1"/>
  <c r="DQ20" i="1" s="1"/>
  <c r="DI14" i="1"/>
  <c r="DI15" i="1" s="1"/>
  <c r="DI18" i="1" s="1"/>
  <c r="DI20" i="1" s="1"/>
  <c r="DO14" i="1"/>
  <c r="DO15" i="1" s="1"/>
  <c r="DO18" i="1" s="1"/>
  <c r="DO20" i="1" s="1"/>
  <c r="DJ14" i="1"/>
  <c r="DJ15" i="1" s="1"/>
  <c r="DJ18" i="1" s="1"/>
  <c r="DJ20" i="1" s="1"/>
  <c r="D62" i="22"/>
  <c r="BX15" i="1" l="1"/>
  <c r="BX18" i="1" s="1"/>
  <c r="BX20" i="1" s="1"/>
  <c r="J12" i="20"/>
  <c r="J13" i="20" s="1"/>
  <c r="J16" i="20" s="1"/>
  <c r="I9" i="23" s="1"/>
  <c r="I12" i="23" s="1"/>
  <c r="I12" i="20"/>
  <c r="I13" i="20" s="1"/>
  <c r="I16" i="20" s="1"/>
  <c r="H9" i="23" s="1"/>
  <c r="H12" i="23" s="1"/>
  <c r="BL15" i="1"/>
  <c r="BL18" i="1" s="1"/>
  <c r="BL20" i="1" s="1"/>
  <c r="CV15" i="1"/>
  <c r="CV18" i="1" s="1"/>
  <c r="CV20" i="1" s="1"/>
  <c r="L12" i="20"/>
  <c r="L13" i="20" s="1"/>
  <c r="L16" i="20" s="1"/>
  <c r="K9" i="23" s="1"/>
  <c r="K12" i="23" s="1"/>
  <c r="K12" i="20"/>
  <c r="K13" i="20" s="1"/>
  <c r="K16" i="20" s="1"/>
  <c r="J9" i="23" s="1"/>
  <c r="J12" i="23" s="1"/>
  <c r="CJ15" i="1"/>
  <c r="CJ18" i="1" s="1"/>
  <c r="CJ20" i="1" s="1"/>
  <c r="AB15" i="1"/>
  <c r="AB18" i="1" s="1"/>
  <c r="AB20" i="1" s="1"/>
  <c r="F12" i="20"/>
  <c r="F13" i="20" s="1"/>
  <c r="F16" i="20" s="1"/>
  <c r="E9" i="23" s="1"/>
  <c r="E12" i="23" s="1"/>
  <c r="G12" i="20"/>
  <c r="G13" i="20" s="1"/>
  <c r="G16" i="20" s="1"/>
  <c r="F9" i="23" s="1"/>
  <c r="F12" i="23" s="1"/>
  <c r="AN15" i="1"/>
  <c r="AN18" i="1" s="1"/>
  <c r="AN20" i="1" s="1"/>
  <c r="DH15" i="1"/>
  <c r="DH18" i="1" s="1"/>
  <c r="DH20" i="1" s="1"/>
  <c r="M12" i="20"/>
  <c r="M13" i="20" s="1"/>
  <c r="M16" i="20" s="1"/>
  <c r="L9" i="23" s="1"/>
  <c r="L12" i="23" s="1"/>
  <c r="P15" i="1"/>
  <c r="P18" i="1" s="1"/>
  <c r="P20" i="1" s="1"/>
  <c r="E12" i="20"/>
  <c r="E13" i="20" s="1"/>
  <c r="E16" i="20" s="1"/>
  <c r="D9" i="23" s="1"/>
  <c r="D12" i="23" s="1"/>
  <c r="H12" i="20"/>
  <c r="H13" i="20" s="1"/>
  <c r="H16" i="20" s="1"/>
  <c r="G9" i="23" s="1"/>
  <c r="G12" i="23" s="1"/>
  <c r="AZ15" i="1"/>
  <c r="AZ18" i="1" s="1"/>
  <c r="AZ20" i="1" s="1"/>
  <c r="D14" i="23" l="1"/>
  <c r="D24" i="23"/>
  <c r="D26" i="23" s="1"/>
  <c r="F24" i="23"/>
  <c r="F25" i="23"/>
  <c r="J24" i="23"/>
  <c r="J25" i="23"/>
  <c r="H24" i="23"/>
  <c r="H25" i="23"/>
  <c r="L24" i="23"/>
  <c r="L25" i="23"/>
  <c r="E24" i="23"/>
  <c r="E25" i="23"/>
  <c r="K24" i="23"/>
  <c r="K25" i="23"/>
  <c r="I24" i="23"/>
  <c r="I25" i="23"/>
  <c r="G25" i="23"/>
  <c r="G24" i="23"/>
  <c r="E23" i="23" l="1"/>
  <c r="D16" i="23"/>
  <c r="D17" i="23" s="1"/>
  <c r="F18" i="84"/>
  <c r="D19" i="23" l="1"/>
  <c r="E17" i="20"/>
  <c r="E26" i="23"/>
  <c r="E14" i="23"/>
  <c r="E16" i="23" l="1"/>
  <c r="E17" i="23" s="1"/>
  <c r="F23" i="23"/>
  <c r="E28" i="20"/>
  <c r="E29" i="20" s="1"/>
  <c r="E44" i="20" s="1"/>
  <c r="E47" i="20" s="1"/>
  <c r="F45" i="20" s="1"/>
  <c r="E18" i="20"/>
  <c r="D20" i="23"/>
  <c r="AA19" i="1"/>
  <c r="U19" i="1"/>
  <c r="F5" i="96"/>
  <c r="F8" i="96" s="1"/>
  <c r="F15" i="84" l="1"/>
  <c r="F23" i="84" s="1"/>
  <c r="U27" i="1"/>
  <c r="U28" i="1" s="1"/>
  <c r="U43" i="1" s="1"/>
  <c r="U46" i="1" s="1"/>
  <c r="V44" i="1" s="1"/>
  <c r="V46" i="1" s="1"/>
  <c r="W44" i="1" s="1"/>
  <c r="W46" i="1" s="1"/>
  <c r="X44" i="1" s="1"/>
  <c r="X46" i="1" s="1"/>
  <c r="Y44" i="1" s="1"/>
  <c r="Y46" i="1" s="1"/>
  <c r="Z44" i="1" s="1"/>
  <c r="Z46" i="1" s="1"/>
  <c r="AA44" i="1" s="1"/>
  <c r="U20" i="1"/>
  <c r="AA20" i="1"/>
  <c r="AA27" i="1"/>
  <c r="AA28" i="1" s="1"/>
  <c r="AA43" i="1" s="1"/>
  <c r="F26" i="23"/>
  <c r="F14" i="23"/>
  <c r="E19" i="23"/>
  <c r="F17" i="20"/>
  <c r="F17" i="84" l="1"/>
  <c r="F19" i="84" s="1"/>
  <c r="L22" i="100"/>
  <c r="C24" i="100" s="1"/>
  <c r="E24" i="100" s="1"/>
  <c r="E37" i="100" s="1"/>
  <c r="E80" i="100" s="1"/>
  <c r="G23" i="23"/>
  <c r="F16" i="23"/>
  <c r="F17" i="23" s="1"/>
  <c r="F18" i="20"/>
  <c r="F28" i="20"/>
  <c r="F29" i="20" s="1"/>
  <c r="F44" i="20" s="1"/>
  <c r="F47" i="20" s="1"/>
  <c r="G45" i="20" s="1"/>
  <c r="AA46" i="1"/>
  <c r="AB44" i="1" s="1"/>
  <c r="AB46" i="1" s="1"/>
  <c r="AC44" i="1" s="1"/>
  <c r="AC46" i="1" s="1"/>
  <c r="AD44" i="1" s="1"/>
  <c r="AD46" i="1" s="1"/>
  <c r="AE44" i="1" s="1"/>
  <c r="AE46" i="1" s="1"/>
  <c r="AF44" i="1" s="1"/>
  <c r="AF46" i="1" s="1"/>
  <c r="AG44" i="1" s="1"/>
  <c r="AM19" i="1"/>
  <c r="AG19" i="1"/>
  <c r="E20" i="23"/>
  <c r="E81" i="100" l="1"/>
  <c r="E82" i="100"/>
  <c r="F24" i="100"/>
  <c r="F37" i="100" s="1"/>
  <c r="G24" i="100"/>
  <c r="G37" i="100" s="1"/>
  <c r="P24" i="100"/>
  <c r="P37" i="100" s="1"/>
  <c r="R24" i="100"/>
  <c r="R37" i="100" s="1"/>
  <c r="I24" i="100"/>
  <c r="I37" i="100" s="1"/>
  <c r="J24" i="100"/>
  <c r="J37" i="100" s="1"/>
  <c r="H24" i="100"/>
  <c r="H37" i="100" s="1"/>
  <c r="K24" i="100"/>
  <c r="K37" i="100" s="1"/>
  <c r="N24" i="100"/>
  <c r="N37" i="100" s="1"/>
  <c r="L24" i="100"/>
  <c r="L37" i="100" s="1"/>
  <c r="Q24" i="100"/>
  <c r="Q37" i="100" s="1"/>
  <c r="M24" i="100"/>
  <c r="M37" i="100" s="1"/>
  <c r="O24" i="100"/>
  <c r="O37" i="100" s="1"/>
  <c r="AG20" i="1"/>
  <c r="AG27" i="1"/>
  <c r="AG28" i="1" s="1"/>
  <c r="AG43" i="1" s="1"/>
  <c r="AG46" i="1" s="1"/>
  <c r="AH44" i="1" s="1"/>
  <c r="AH46" i="1" s="1"/>
  <c r="AI44" i="1" s="1"/>
  <c r="AI46" i="1" s="1"/>
  <c r="AJ44" i="1" s="1"/>
  <c r="AJ46" i="1" s="1"/>
  <c r="AK44" i="1" s="1"/>
  <c r="AK46" i="1" s="1"/>
  <c r="AL44" i="1" s="1"/>
  <c r="AL46" i="1" s="1"/>
  <c r="AM44" i="1" s="1"/>
  <c r="AM27" i="1"/>
  <c r="AM28" i="1" s="1"/>
  <c r="AM43" i="1" s="1"/>
  <c r="AM20" i="1"/>
  <c r="G17" i="20"/>
  <c r="F19" i="23"/>
  <c r="G26" i="23"/>
  <c r="G14" i="23"/>
  <c r="H37" i="99" l="1"/>
  <c r="H38" i="99" s="1"/>
  <c r="H40" i="99" s="1"/>
  <c r="H39" i="99" s="1"/>
  <c r="C35" i="100" s="1"/>
  <c r="G80" i="100"/>
  <c r="F80" i="100"/>
  <c r="L80" i="100"/>
  <c r="J80" i="100"/>
  <c r="O80" i="100"/>
  <c r="M80" i="100"/>
  <c r="N80" i="100"/>
  <c r="I80" i="100"/>
  <c r="Q80" i="100"/>
  <c r="K80" i="100"/>
  <c r="R80" i="100"/>
  <c r="H80" i="100"/>
  <c r="P80" i="100"/>
  <c r="G16" i="23"/>
  <c r="G17" i="23" s="1"/>
  <c r="H23" i="23"/>
  <c r="AM46" i="1"/>
  <c r="AN44" i="1" s="1"/>
  <c r="AN46" i="1" s="1"/>
  <c r="AO44" i="1" s="1"/>
  <c r="AO46" i="1" s="1"/>
  <c r="AP44" i="1" s="1"/>
  <c r="AP46" i="1" s="1"/>
  <c r="AQ44" i="1" s="1"/>
  <c r="AQ46" i="1" s="1"/>
  <c r="AR44" i="1" s="1"/>
  <c r="AR46" i="1" s="1"/>
  <c r="AS44" i="1" s="1"/>
  <c r="AY19" i="1"/>
  <c r="F20" i="23"/>
  <c r="AS19" i="1"/>
  <c r="G28" i="20"/>
  <c r="G29" i="20" s="1"/>
  <c r="G44" i="20" s="1"/>
  <c r="G18" i="20"/>
  <c r="C76" i="100" l="1"/>
  <c r="E35" i="100"/>
  <c r="H42" i="99"/>
  <c r="H44" i="99" s="1"/>
  <c r="H46" i="99" s="1"/>
  <c r="J35" i="100"/>
  <c r="Q35" i="100"/>
  <c r="H35" i="100"/>
  <c r="F35" i="100"/>
  <c r="N35" i="100"/>
  <c r="L35" i="100"/>
  <c r="I35" i="100"/>
  <c r="O35" i="100"/>
  <c r="R35" i="100"/>
  <c r="K35" i="100"/>
  <c r="P35" i="100"/>
  <c r="M35" i="100"/>
  <c r="G35" i="100"/>
  <c r="F82" i="100"/>
  <c r="F81" i="100"/>
  <c r="G81" i="100"/>
  <c r="G82" i="100"/>
  <c r="P82" i="100"/>
  <c r="P81" i="100"/>
  <c r="K81" i="100"/>
  <c r="K82" i="100"/>
  <c r="N81" i="100"/>
  <c r="N82" i="100"/>
  <c r="O81" i="100"/>
  <c r="O82" i="100"/>
  <c r="L81" i="100"/>
  <c r="L82" i="100"/>
  <c r="H82" i="100"/>
  <c r="H81" i="100"/>
  <c r="R82" i="100"/>
  <c r="R81" i="100"/>
  <c r="Q81" i="100"/>
  <c r="Q82" i="100"/>
  <c r="I82" i="100"/>
  <c r="I81" i="100"/>
  <c r="M81" i="100"/>
  <c r="M82" i="100"/>
  <c r="J82" i="100"/>
  <c r="J81" i="100"/>
  <c r="G47" i="20"/>
  <c r="H45" i="20" s="1"/>
  <c r="AY20" i="1"/>
  <c r="AY27" i="1"/>
  <c r="AY28" i="1" s="1"/>
  <c r="AY43" i="1" s="1"/>
  <c r="AS27" i="1"/>
  <c r="AS28" i="1" s="1"/>
  <c r="AS43" i="1" s="1"/>
  <c r="AS46" i="1" s="1"/>
  <c r="AT44" i="1" s="1"/>
  <c r="AT46" i="1" s="1"/>
  <c r="AU44" i="1" s="1"/>
  <c r="AU46" i="1" s="1"/>
  <c r="AV44" i="1" s="1"/>
  <c r="AV46" i="1" s="1"/>
  <c r="AW44" i="1" s="1"/>
  <c r="AW46" i="1" s="1"/>
  <c r="AX44" i="1" s="1"/>
  <c r="AX46" i="1" s="1"/>
  <c r="AY44" i="1" s="1"/>
  <c r="AS20" i="1"/>
  <c r="H26" i="23"/>
  <c r="H14" i="23"/>
  <c r="G19" i="23"/>
  <c r="H17" i="20"/>
  <c r="E76" i="100" l="1"/>
  <c r="E38" i="100"/>
  <c r="H45" i="99"/>
  <c r="H47" i="99"/>
  <c r="P38" i="100"/>
  <c r="P76" i="100"/>
  <c r="I38" i="100"/>
  <c r="I76" i="100"/>
  <c r="H38" i="100"/>
  <c r="H76" i="100"/>
  <c r="K38" i="100"/>
  <c r="K76" i="100"/>
  <c r="L38" i="100"/>
  <c r="L76" i="100"/>
  <c r="Q38" i="100"/>
  <c r="Q76" i="100"/>
  <c r="G38" i="100"/>
  <c r="G76" i="100"/>
  <c r="R38" i="100"/>
  <c r="R76" i="100"/>
  <c r="N38" i="100"/>
  <c r="N76" i="100"/>
  <c r="J38" i="100"/>
  <c r="J76" i="100"/>
  <c r="M38" i="100"/>
  <c r="M76" i="100"/>
  <c r="O38" i="100"/>
  <c r="O76" i="100"/>
  <c r="F38" i="100"/>
  <c r="F76" i="100"/>
  <c r="H28" i="20"/>
  <c r="H29" i="20" s="1"/>
  <c r="H44" i="20" s="1"/>
  <c r="H18" i="20"/>
  <c r="AY46" i="1"/>
  <c r="AZ44" i="1" s="1"/>
  <c r="AZ46" i="1" s="1"/>
  <c r="BA44" i="1" s="1"/>
  <c r="BA46" i="1" s="1"/>
  <c r="BB44" i="1" s="1"/>
  <c r="BB46" i="1" s="1"/>
  <c r="BC44" i="1" s="1"/>
  <c r="BC46" i="1" s="1"/>
  <c r="BD44" i="1" s="1"/>
  <c r="BD46" i="1" s="1"/>
  <c r="BE44" i="1" s="1"/>
  <c r="BE19" i="1"/>
  <c r="G20" i="23"/>
  <c r="BK19" i="1"/>
  <c r="I23" i="23"/>
  <c r="H16" i="23"/>
  <c r="H17" i="23" s="1"/>
  <c r="E78" i="100" l="1"/>
  <c r="E86" i="100" s="1"/>
  <c r="E77" i="100"/>
  <c r="E85" i="100" s="1"/>
  <c r="O77" i="100"/>
  <c r="O85" i="100" s="1"/>
  <c r="O78" i="100"/>
  <c r="O86" i="100" s="1"/>
  <c r="J77" i="100"/>
  <c r="J85" i="100" s="1"/>
  <c r="J78" i="100"/>
  <c r="J86" i="100" s="1"/>
  <c r="R78" i="100"/>
  <c r="R86" i="100" s="1"/>
  <c r="R77" i="100"/>
  <c r="R85" i="100" s="1"/>
  <c r="Q77" i="100"/>
  <c r="Q85" i="100" s="1"/>
  <c r="Q78" i="100"/>
  <c r="Q86" i="100" s="1"/>
  <c r="K78" i="100"/>
  <c r="K86" i="100" s="1"/>
  <c r="K77" i="100"/>
  <c r="K85" i="100" s="1"/>
  <c r="I78" i="100"/>
  <c r="I86" i="100" s="1"/>
  <c r="I77" i="100"/>
  <c r="I85" i="100" s="1"/>
  <c r="F77" i="100"/>
  <c r="F85" i="100" s="1"/>
  <c r="F78" i="100"/>
  <c r="F86" i="100" s="1"/>
  <c r="M78" i="100"/>
  <c r="M86" i="100" s="1"/>
  <c r="M77" i="100"/>
  <c r="M85" i="100" s="1"/>
  <c r="N77" i="100"/>
  <c r="N85" i="100" s="1"/>
  <c r="N78" i="100"/>
  <c r="N86" i="100" s="1"/>
  <c r="G78" i="100"/>
  <c r="G86" i="100" s="1"/>
  <c r="G77" i="100"/>
  <c r="G85" i="100" s="1"/>
  <c r="L78" i="100"/>
  <c r="L86" i="100" s="1"/>
  <c r="L77" i="100"/>
  <c r="L85" i="100" s="1"/>
  <c r="H78" i="100"/>
  <c r="H86" i="100" s="1"/>
  <c r="H77" i="100"/>
  <c r="H85" i="100" s="1"/>
  <c r="P78" i="100"/>
  <c r="P86" i="100" s="1"/>
  <c r="P77" i="100"/>
  <c r="P85" i="100" s="1"/>
  <c r="H47" i="20"/>
  <c r="I45" i="20" s="1"/>
  <c r="H19" i="23"/>
  <c r="I17" i="20"/>
  <c r="BE20" i="1"/>
  <c r="BE27" i="1"/>
  <c r="BE28" i="1" s="1"/>
  <c r="BE43" i="1" s="1"/>
  <c r="BE46" i="1" s="1"/>
  <c r="BF44" i="1" s="1"/>
  <c r="BF46" i="1" s="1"/>
  <c r="BG44" i="1" s="1"/>
  <c r="BG46" i="1" s="1"/>
  <c r="BH44" i="1" s="1"/>
  <c r="BH46" i="1" s="1"/>
  <c r="BI44" i="1" s="1"/>
  <c r="BI46" i="1" s="1"/>
  <c r="BJ44" i="1" s="1"/>
  <c r="BJ46" i="1" s="1"/>
  <c r="BK44" i="1" s="1"/>
  <c r="I26" i="23"/>
  <c r="I14" i="23"/>
  <c r="BK20" i="1"/>
  <c r="BK27" i="1"/>
  <c r="BK28" i="1" s="1"/>
  <c r="BK43" i="1" s="1"/>
  <c r="BK46" i="1" l="1"/>
  <c r="BL44" i="1" s="1"/>
  <c r="BL46" i="1" s="1"/>
  <c r="BM44" i="1" s="1"/>
  <c r="BM46" i="1" s="1"/>
  <c r="BN44" i="1" s="1"/>
  <c r="BN46" i="1" s="1"/>
  <c r="BO44" i="1" s="1"/>
  <c r="BO46" i="1" s="1"/>
  <c r="BP44" i="1" s="1"/>
  <c r="BP46" i="1" s="1"/>
  <c r="BQ44" i="1" s="1"/>
  <c r="I28" i="20"/>
  <c r="I29" i="20" s="1"/>
  <c r="I44" i="20" s="1"/>
  <c r="I18" i="20"/>
  <c r="J23" i="23"/>
  <c r="I16" i="23"/>
  <c r="I17" i="23" s="1"/>
  <c r="BQ19" i="1"/>
  <c r="H20" i="23"/>
  <c r="BW19" i="1"/>
  <c r="I47" i="20" l="1"/>
  <c r="J45" i="20" s="1"/>
  <c r="BW27" i="1"/>
  <c r="BW28" i="1" s="1"/>
  <c r="BW43" i="1" s="1"/>
  <c r="BW20" i="1"/>
  <c r="J26" i="23"/>
  <c r="J14" i="23"/>
  <c r="BQ20" i="1"/>
  <c r="BQ27" i="1"/>
  <c r="BQ28" i="1" s="1"/>
  <c r="BQ43" i="1" s="1"/>
  <c r="BQ46" i="1" s="1"/>
  <c r="BR44" i="1" s="1"/>
  <c r="BR46" i="1" s="1"/>
  <c r="BS44" i="1" s="1"/>
  <c r="BS46" i="1" s="1"/>
  <c r="BT44" i="1" s="1"/>
  <c r="BT46" i="1" s="1"/>
  <c r="BU44" i="1" s="1"/>
  <c r="BU46" i="1" s="1"/>
  <c r="BV44" i="1" s="1"/>
  <c r="BV46" i="1" s="1"/>
  <c r="BW44" i="1" s="1"/>
  <c r="J17" i="20"/>
  <c r="I19" i="23"/>
  <c r="CC19" i="1" l="1"/>
  <c r="I20" i="23"/>
  <c r="CI19" i="1"/>
  <c r="J18" i="20"/>
  <c r="J28" i="20"/>
  <c r="J29" i="20" s="1"/>
  <c r="J44" i="20" s="1"/>
  <c r="J16" i="23"/>
  <c r="J17" i="23" s="1"/>
  <c r="K23" i="23"/>
  <c r="BW46" i="1"/>
  <c r="BX44" i="1" s="1"/>
  <c r="BX46" i="1" s="1"/>
  <c r="BY44" i="1" s="1"/>
  <c r="BY46" i="1" s="1"/>
  <c r="BZ44" i="1" s="1"/>
  <c r="BZ46" i="1" s="1"/>
  <c r="CA44" i="1" s="1"/>
  <c r="CA46" i="1" s="1"/>
  <c r="CB44" i="1" s="1"/>
  <c r="CB46" i="1" s="1"/>
  <c r="CC44" i="1" s="1"/>
  <c r="J47" i="20" l="1"/>
  <c r="K45" i="20" s="1"/>
  <c r="K26" i="23"/>
  <c r="K14" i="23"/>
  <c r="CI27" i="1"/>
  <c r="CI28" i="1" s="1"/>
  <c r="CI43" i="1" s="1"/>
  <c r="CI20" i="1"/>
  <c r="K17" i="20"/>
  <c r="J19" i="23"/>
  <c r="CC27" i="1"/>
  <c r="CC28" i="1" s="1"/>
  <c r="CC43" i="1" s="1"/>
  <c r="CC46" i="1" s="1"/>
  <c r="CD44" i="1" s="1"/>
  <c r="CD46" i="1" s="1"/>
  <c r="CE44" i="1" s="1"/>
  <c r="CE46" i="1" s="1"/>
  <c r="CF44" i="1" s="1"/>
  <c r="CF46" i="1" s="1"/>
  <c r="CG44" i="1" s="1"/>
  <c r="CG46" i="1" s="1"/>
  <c r="CH44" i="1" s="1"/>
  <c r="CH46" i="1" s="1"/>
  <c r="CI44" i="1" s="1"/>
  <c r="CI46" i="1" s="1"/>
  <c r="CJ44" i="1" s="1"/>
  <c r="CJ46" i="1" s="1"/>
  <c r="CK44" i="1" s="1"/>
  <c r="CK46" i="1" s="1"/>
  <c r="CL44" i="1" s="1"/>
  <c r="CL46" i="1" s="1"/>
  <c r="CM44" i="1" s="1"/>
  <c r="CM46" i="1" s="1"/>
  <c r="CN44" i="1" s="1"/>
  <c r="CN46" i="1" s="1"/>
  <c r="CO44" i="1" s="1"/>
  <c r="CC20" i="1"/>
  <c r="J20" i="23" l="1"/>
  <c r="CO19" i="1"/>
  <c r="CU19" i="1"/>
  <c r="K18" i="20"/>
  <c r="K28" i="20"/>
  <c r="K29" i="20" s="1"/>
  <c r="K44" i="20" s="1"/>
  <c r="K16" i="23"/>
  <c r="K17" i="23" s="1"/>
  <c r="L23" i="23"/>
  <c r="K47" i="20" l="1"/>
  <c r="L45" i="20" s="1"/>
  <c r="L26" i="23"/>
  <c r="L14" i="23"/>
  <c r="CU27" i="1"/>
  <c r="CU28" i="1" s="1"/>
  <c r="CU43" i="1" s="1"/>
  <c r="CU20" i="1"/>
  <c r="K19" i="23"/>
  <c r="L17" i="20"/>
  <c r="CO27" i="1"/>
  <c r="CO28" i="1" s="1"/>
  <c r="CO43" i="1" s="1"/>
  <c r="CO46" i="1" s="1"/>
  <c r="CP44" i="1" s="1"/>
  <c r="CP46" i="1" s="1"/>
  <c r="CQ44" i="1" s="1"/>
  <c r="CQ46" i="1" s="1"/>
  <c r="CR44" i="1" s="1"/>
  <c r="CR46" i="1" s="1"/>
  <c r="CS44" i="1" s="1"/>
  <c r="CS46" i="1" s="1"/>
  <c r="CT44" i="1" s="1"/>
  <c r="CT46" i="1" s="1"/>
  <c r="CU44" i="1" s="1"/>
  <c r="CO20" i="1"/>
  <c r="CU46" i="1" l="1"/>
  <c r="CV44" i="1" s="1"/>
  <c r="CV46" i="1" s="1"/>
  <c r="CW44" i="1" s="1"/>
  <c r="CW46" i="1" s="1"/>
  <c r="CX44" i="1" s="1"/>
  <c r="CX46" i="1" s="1"/>
  <c r="CY44" i="1" s="1"/>
  <c r="CY46" i="1" s="1"/>
  <c r="CZ44" i="1" s="1"/>
  <c r="CZ46" i="1" s="1"/>
  <c r="DA44" i="1" s="1"/>
  <c r="L28" i="20"/>
  <c r="L29" i="20" s="1"/>
  <c r="L44" i="20" s="1"/>
  <c r="L18" i="20"/>
  <c r="K20" i="23"/>
  <c r="DA19" i="1"/>
  <c r="DG19" i="1"/>
  <c r="L16" i="23"/>
  <c r="L17" i="23" s="1"/>
  <c r="DG20" i="1" l="1"/>
  <c r="DG27" i="1"/>
  <c r="DG28" i="1" s="1"/>
  <c r="DG43" i="1" s="1"/>
  <c r="L47" i="20"/>
  <c r="M45" i="20" s="1"/>
  <c r="M17" i="20"/>
  <c r="L19" i="23"/>
  <c r="DA20" i="1"/>
  <c r="DA27" i="1"/>
  <c r="DA28" i="1" s="1"/>
  <c r="DA43" i="1" s="1"/>
  <c r="DA46" i="1" l="1"/>
  <c r="DB44" i="1" s="1"/>
  <c r="DB46" i="1" s="1"/>
  <c r="DC44" i="1" s="1"/>
  <c r="DC46" i="1" s="1"/>
  <c r="DD44" i="1" s="1"/>
  <c r="DD46" i="1" s="1"/>
  <c r="DE44" i="1" s="1"/>
  <c r="DE46" i="1" s="1"/>
  <c r="DF44" i="1" s="1"/>
  <c r="DF46" i="1" s="1"/>
  <c r="DG44" i="1" s="1"/>
  <c r="DG46" i="1" s="1"/>
  <c r="DH44" i="1" s="1"/>
  <c r="DH46" i="1" s="1"/>
  <c r="DI44" i="1" s="1"/>
  <c r="DI46" i="1" s="1"/>
  <c r="DJ44" i="1" s="1"/>
  <c r="DJ46" i="1" s="1"/>
  <c r="DK44" i="1" s="1"/>
  <c r="DK46" i="1" s="1"/>
  <c r="DL44" i="1" s="1"/>
  <c r="DL46" i="1" s="1"/>
  <c r="DM44" i="1" s="1"/>
  <c r="DM19" i="1"/>
  <c r="DS19" i="1"/>
  <c r="L20" i="23"/>
  <c r="M28" i="20"/>
  <c r="M29" i="20" s="1"/>
  <c r="M44" i="20" s="1"/>
  <c r="C54" i="20" s="1"/>
  <c r="M18" i="20"/>
  <c r="M47" i="20" l="1"/>
  <c r="DM20" i="1"/>
  <c r="DM27" i="1"/>
  <c r="DM28" i="1" s="1"/>
  <c r="DM43" i="1" s="1"/>
  <c r="DS20" i="1"/>
  <c r="DS27" i="1"/>
  <c r="DS28" i="1" s="1"/>
  <c r="DS43" i="1" s="1"/>
  <c r="DM46" i="1" l="1"/>
  <c r="DN44" i="1" s="1"/>
  <c r="DN46" i="1" s="1"/>
  <c r="DO44" i="1" s="1"/>
  <c r="DO46" i="1" s="1"/>
  <c r="DP44" i="1" s="1"/>
  <c r="DP46" i="1" s="1"/>
  <c r="DQ44" i="1" s="1"/>
  <c r="DQ46" i="1" s="1"/>
  <c r="DR44" i="1" s="1"/>
  <c r="DR46" i="1" s="1"/>
  <c r="DS44" i="1" s="1"/>
  <c r="DS46" i="1" s="1"/>
  <c r="C55" i="20" s="1"/>
  <c r="C56" i="20"/>
</calcChain>
</file>

<file path=xl/comments1.xml><?xml version="1.0" encoding="utf-8"?>
<comments xmlns="http://schemas.openxmlformats.org/spreadsheetml/2006/main">
  <authors>
    <author>Alexia</author>
  </authors>
  <commentList>
    <comment ref="C29" author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Assume vertically integrated with processing on site</t>
        </r>
      </text>
    </comment>
  </commentList>
</comments>
</file>

<file path=xl/comments2.xml><?xml version="1.0" encoding="utf-8"?>
<comments xmlns="http://schemas.openxmlformats.org/spreadsheetml/2006/main">
  <authors>
    <author>Jimm</author>
  </authors>
  <commentList>
    <comment ref="C41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Assume consistent supply of high quality product</t>
        </r>
      </text>
    </comment>
  </commentList>
</comments>
</file>

<file path=xl/comments3.xml><?xml version="1.0" encoding="utf-8"?>
<comments xmlns="http://schemas.openxmlformats.org/spreadsheetml/2006/main">
  <authors>
    <author>Jimm</author>
  </authors>
  <commentList>
    <comment ref="AE21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Proportion of males maturing during the parr stage which are harvested/culled</t>
        </r>
      </text>
    </comment>
    <comment ref="AF21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Fish maturing in second winter at sea. Harvested/culled. </t>
        </r>
      </text>
    </comment>
    <comment ref="AE22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Proportion of males maturing during the parr stage which are harvested/culled</t>
        </r>
      </text>
    </comment>
    <comment ref="AF22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Fish maturing in second winter at sea. Harvested/culled. </t>
        </r>
      </text>
    </comment>
  </commentList>
</comments>
</file>

<file path=xl/comments4.xml><?xml version="1.0" encoding="utf-8"?>
<comments xmlns="http://schemas.openxmlformats.org/spreadsheetml/2006/main">
  <authors>
    <author>Jimm</author>
  </authors>
  <commentList>
    <comment ref="C122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Stocking density - kg/m3</t>
        </r>
      </text>
    </comment>
    <comment ref="C123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Tank volume (m3)</t>
        </r>
      </text>
    </comment>
    <comment ref="C135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Stocking density - kg/m3</t>
        </r>
      </text>
    </comment>
    <comment ref="C136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Tank volume (m3)</t>
        </r>
      </text>
    </comment>
    <comment ref="C148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Cage volume (m3)</t>
        </r>
      </text>
    </comment>
    <comment ref="C149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Stocking density (kg/m3)</t>
        </r>
      </text>
    </comment>
  </commentList>
</comments>
</file>

<file path=xl/comments5.xml><?xml version="1.0" encoding="utf-8"?>
<comments xmlns="http://schemas.openxmlformats.org/spreadsheetml/2006/main">
  <authors>
    <author>Alexia</author>
  </authors>
  <commentList>
    <comment ref="D19" author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Optimum temp control in RAS</t>
        </r>
      </text>
    </comment>
  </commentList>
</comments>
</file>

<file path=xl/comments6.xml><?xml version="1.0" encoding="utf-8"?>
<comments xmlns="http://schemas.openxmlformats.org/spreadsheetml/2006/main">
  <authors>
    <author>Alexia</author>
  </authors>
  <commentList>
    <comment ref="D19" author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Optimum temp control in RAS</t>
        </r>
      </text>
    </comment>
  </commentList>
</comments>
</file>

<file path=xl/comments7.xml><?xml version="1.0" encoding="utf-8"?>
<comments xmlns="http://schemas.openxmlformats.org/spreadsheetml/2006/main">
  <authors>
    <author>Jimm</author>
  </authors>
  <commentList>
    <comment ref="C68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At 1500mg/L Waste Discharge, Microscreen Filter</t>
        </r>
      </text>
    </comment>
  </commentList>
</comments>
</file>

<file path=xl/sharedStrings.xml><?xml version="1.0" encoding="utf-8"?>
<sst xmlns="http://schemas.openxmlformats.org/spreadsheetml/2006/main" count="4164" uniqueCount="1477">
  <si>
    <t>Sales</t>
  </si>
  <si>
    <t>Accounting Fees</t>
  </si>
  <si>
    <t>Audit fees</t>
  </si>
  <si>
    <t>Bank Charges</t>
  </si>
  <si>
    <t>Courier Freight &amp; Postage</t>
  </si>
  <si>
    <t>Entertainment Expenses</t>
  </si>
  <si>
    <t>Printing &amp; Stationery</t>
  </si>
  <si>
    <t>Subscriptions</t>
  </si>
  <si>
    <t>Telephone &amp; Fax</t>
  </si>
  <si>
    <t>Travel &amp; Accommodation</t>
  </si>
  <si>
    <t>Depreciation Method</t>
  </si>
  <si>
    <t>Goodwill &amp; Intangibles Amortization</t>
  </si>
  <si>
    <t>PP&amp;E Write-up</t>
  </si>
  <si>
    <t xml:space="preserve"> 0=SLN   1=Sum of Years </t>
  </si>
  <si>
    <t xml:space="preserve"> 0=Not Deductible   1=Tax Deductible</t>
  </si>
  <si>
    <t>Fair Value PP&amp;E</t>
  </si>
  <si>
    <t>Accumulated Depreciation</t>
  </si>
  <si>
    <t>Manual or Computed Depreciation</t>
  </si>
  <si>
    <t>Net PP&amp;E</t>
  </si>
  <si>
    <t xml:space="preserve"> 0=Manual   1=Computed</t>
  </si>
  <si>
    <t>Year</t>
  </si>
  <si>
    <t>Year No.</t>
  </si>
  <si>
    <t>Salvage</t>
  </si>
  <si>
    <t>Capex</t>
  </si>
  <si>
    <t>Useful Life</t>
  </si>
  <si>
    <t>Computed Depreciation</t>
  </si>
  <si>
    <t>Manual Depreciation</t>
  </si>
  <si>
    <t>Total Book Depreciation</t>
  </si>
  <si>
    <t>Period (Yrs)</t>
  </si>
  <si>
    <t>Amortization of Intangibles (incl Write-up)</t>
  </si>
  <si>
    <t>Impairment of Goodwill</t>
  </si>
  <si>
    <t>Total Cost (R)</t>
  </si>
  <si>
    <t>Amortization of Capitalized Financing Costs</t>
  </si>
  <si>
    <t>Net Income before Tax</t>
  </si>
  <si>
    <t>Pre-NOL Taxable Income</t>
  </si>
  <si>
    <t>Net Operating Loss'</t>
  </si>
  <si>
    <t>Less: NOLs Used</t>
  </si>
  <si>
    <t>Post-NOL Taxable Income</t>
  </si>
  <si>
    <t>Cash Taxes Payable</t>
  </si>
  <si>
    <t>Total Book Tax</t>
  </si>
  <si>
    <t>Current Year NOL</t>
  </si>
  <si>
    <t>NOLs Used</t>
  </si>
  <si>
    <t>Ending NOL Balance</t>
  </si>
  <si>
    <t>Projected Asset Sales:</t>
  </si>
  <si>
    <t>Estimated Sale Proceeds</t>
  </si>
  <si>
    <t>Book Basis of Assets</t>
  </si>
  <si>
    <t>Tax Basis of Assets</t>
  </si>
  <si>
    <t>Book Gain (Loss) on Sale</t>
  </si>
  <si>
    <t>Tax Gain (Loss) on Sale</t>
  </si>
  <si>
    <t>Allocation to Balance Sheet:</t>
  </si>
  <si>
    <t>EBITDA</t>
  </si>
  <si>
    <t>Assesed Loss to Date</t>
  </si>
  <si>
    <t>New debt</t>
  </si>
  <si>
    <t>Interest</t>
  </si>
  <si>
    <t>Ending Bal</t>
  </si>
  <si>
    <t>;</t>
  </si>
  <si>
    <t>Item</t>
  </si>
  <si>
    <t>Category</t>
  </si>
  <si>
    <t>Year of purchase</t>
  </si>
  <si>
    <t>Asset Categories</t>
  </si>
  <si>
    <t>Useful life</t>
  </si>
  <si>
    <t>Motor vehicles</t>
  </si>
  <si>
    <t>Furniture and fittings</t>
  </si>
  <si>
    <t>Other income</t>
  </si>
  <si>
    <t>VAT</t>
  </si>
  <si>
    <t>Buildings</t>
  </si>
  <si>
    <t>Turnover</t>
  </si>
  <si>
    <t>Price</t>
  </si>
  <si>
    <t>Gross PP&amp;E</t>
  </si>
  <si>
    <t>PP&amp;E:</t>
  </si>
  <si>
    <t>Other Long-Term Assets</t>
  </si>
  <si>
    <t>Bank Revolver</t>
  </si>
  <si>
    <t>Term Loan "A"</t>
  </si>
  <si>
    <t>Term Loan "B"</t>
  </si>
  <si>
    <t>20 years</t>
  </si>
  <si>
    <t>10 years</t>
  </si>
  <si>
    <t>Product mix</t>
  </si>
  <si>
    <t>Macro-economic Assumptions</t>
  </si>
  <si>
    <t>Biological Assumptions</t>
  </si>
  <si>
    <t>Balance brought forward</t>
  </si>
  <si>
    <t>Balance</t>
  </si>
  <si>
    <t>Protective clothing</t>
  </si>
  <si>
    <t>Market Assumptions</t>
  </si>
  <si>
    <t>Plant &amp; Equipment</t>
  </si>
  <si>
    <t>Change in Deferred Tax Liability</t>
  </si>
  <si>
    <t>Starting NOL Balance</t>
  </si>
  <si>
    <t>Current Debt</t>
  </si>
  <si>
    <t>Starting Bal</t>
  </si>
  <si>
    <t>ZAR:USD</t>
  </si>
  <si>
    <t>ZAR:EURO</t>
  </si>
  <si>
    <t>Rate of Inflation</t>
  </si>
  <si>
    <t>Corporate Tax Rate</t>
  </si>
  <si>
    <t>Finance costs</t>
  </si>
  <si>
    <t>Prime Interest Rate</t>
  </si>
  <si>
    <t>Prime interest rate</t>
  </si>
  <si>
    <t>Boats</t>
  </si>
  <si>
    <t>Value (ZAR)</t>
  </si>
  <si>
    <t>Floating structures</t>
  </si>
  <si>
    <t>5 years</t>
  </si>
  <si>
    <t>Consumables</t>
  </si>
  <si>
    <t>INCOME STATEMENT</t>
  </si>
  <si>
    <t>Revenue</t>
  </si>
  <si>
    <t>ZAR '000</t>
  </si>
  <si>
    <t>Note</t>
  </si>
  <si>
    <t>Depreciation and impairment expenses</t>
  </si>
  <si>
    <t>EBIT</t>
  </si>
  <si>
    <t>Finance income</t>
  </si>
  <si>
    <t>Profit before income tax</t>
  </si>
  <si>
    <t>Income tax expense</t>
  </si>
  <si>
    <t>Profit for the year</t>
  </si>
  <si>
    <t>CASHFLOW STATEMENT</t>
  </si>
  <si>
    <t>Cashflows from operating activities</t>
  </si>
  <si>
    <t>Payments to suppliers</t>
  </si>
  <si>
    <t>Income tax paid</t>
  </si>
  <si>
    <t>Net cash generated from operations</t>
  </si>
  <si>
    <t>Cashflows from investing activities</t>
  </si>
  <si>
    <t>Purchase of property, plant, equipment</t>
  </si>
  <si>
    <t>Proceeds from disposal of assets</t>
  </si>
  <si>
    <t>Net cash from investing activities</t>
  </si>
  <si>
    <t>Cashflows from financing activities</t>
  </si>
  <si>
    <t>Net cash from financing activities</t>
  </si>
  <si>
    <t>Proceeds from borrowings</t>
  </si>
  <si>
    <t>Repayment of borrowings</t>
  </si>
  <si>
    <t>Interest and financing costs paid</t>
  </si>
  <si>
    <t>Interest received</t>
  </si>
  <si>
    <t>Dividends paid</t>
  </si>
  <si>
    <t>Net increase in cash and cash equivalents</t>
  </si>
  <si>
    <t>Cash and cash equivalents at 01 March</t>
  </si>
  <si>
    <t>Cash and cash equivalents at 28 Feb</t>
  </si>
  <si>
    <t>Exchange gains/(losses)</t>
  </si>
  <si>
    <t>Monthly Income Statement</t>
  </si>
  <si>
    <t>Production</t>
  </si>
  <si>
    <t>1. Revenue</t>
  </si>
  <si>
    <t>New product</t>
  </si>
  <si>
    <t>Sales Price</t>
  </si>
  <si>
    <t>Sales Revenue</t>
  </si>
  <si>
    <t>Cost of sales (EXW)</t>
  </si>
  <si>
    <t>Asset register</t>
  </si>
  <si>
    <t>Current balance</t>
  </si>
  <si>
    <t>New deposits</t>
  </si>
  <si>
    <t>Interest earned</t>
  </si>
  <si>
    <t>Withdrawals</t>
  </si>
  <si>
    <t xml:space="preserve">Savings Account </t>
  </si>
  <si>
    <t>Interest rate</t>
  </si>
  <si>
    <t>Prime</t>
  </si>
  <si>
    <t>KEY ASSUMPTIONS TO THE FINANCIAL PROJECTIONS</t>
  </si>
  <si>
    <t>Turnover Tax</t>
  </si>
  <si>
    <t>First payment number for year</t>
  </si>
  <si>
    <t>Profit for the month</t>
  </si>
  <si>
    <t>Monthly Cashflow</t>
  </si>
  <si>
    <t>Cash and cash equivalents at month end</t>
  </si>
  <si>
    <t>Calculated repayment</t>
  </si>
  <si>
    <t>Cash and cash equivalents at start of month</t>
  </si>
  <si>
    <t>Monthly Financial Statements</t>
  </si>
  <si>
    <t>Grants received</t>
  </si>
  <si>
    <t>Repayment of capital</t>
  </si>
  <si>
    <t>Number of payments remaining</t>
  </si>
  <si>
    <t>Receipts from customers</t>
  </si>
  <si>
    <t>Capital Expenses F2015</t>
  </si>
  <si>
    <t>Directors Remuneration</t>
  </si>
  <si>
    <t>TOTAL SALARIES AND WAGES</t>
  </si>
  <si>
    <t>Product deliveries (x21T)</t>
  </si>
  <si>
    <t>Variable costs of production</t>
  </si>
  <si>
    <t>Overhead expenses</t>
  </si>
  <si>
    <t>Starting Bal 01Mar16</t>
  </si>
  <si>
    <t>Periods lapsed to date</t>
  </si>
  <si>
    <t>Equity investment received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</si>
  <si>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</si>
  <si>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</si>
  <si>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</si>
  <si>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</si>
  <si>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</si>
  <si>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</si>
  <si>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</si>
  <si>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</si>
  <si>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</si>
  <si>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</si>
  <si>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</si>
  <si>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</si>
  <si>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Sales costs</t>
  </si>
  <si>
    <t>2. Sales Costs</t>
  </si>
  <si>
    <t>3. Variable Costs of Production</t>
  </si>
  <si>
    <t>9. Capital Expenditure</t>
  </si>
  <si>
    <t>8. Income Tax</t>
  </si>
  <si>
    <t>7. Finance Costs</t>
  </si>
  <si>
    <t>6. Finance Income</t>
  </si>
  <si>
    <t>5. Depreciation</t>
  </si>
  <si>
    <t>4. Overhead Expenses</t>
  </si>
  <si>
    <t xml:space="preserve">Processing </t>
  </si>
  <si>
    <t>Packaging</t>
  </si>
  <si>
    <t>Salaries and wages</t>
  </si>
  <si>
    <t>Training</t>
  </si>
  <si>
    <t>Facility R&amp;M</t>
  </si>
  <si>
    <t>Small equipment</t>
  </si>
  <si>
    <t>Grow-out</t>
  </si>
  <si>
    <t>Fuels</t>
  </si>
  <si>
    <t>Vehicle/vessel operating expenses</t>
  </si>
  <si>
    <t>Net inspections</t>
  </si>
  <si>
    <t>Hatchery and Nursery</t>
  </si>
  <si>
    <t>Ova purchases</t>
  </si>
  <si>
    <t>Vaccines and medication</t>
  </si>
  <si>
    <t>Hatchery consumables</t>
  </si>
  <si>
    <t>Repairs and maintenance</t>
  </si>
  <si>
    <t>Laboratory and Environmental</t>
  </si>
  <si>
    <t>External sample testing</t>
  </si>
  <si>
    <t>Rate</t>
  </si>
  <si>
    <t>Human Resources</t>
  </si>
  <si>
    <t>Processing Manager</t>
  </si>
  <si>
    <t>Grade</t>
  </si>
  <si>
    <t>EX1</t>
  </si>
  <si>
    <t>Quality Controller</t>
  </si>
  <si>
    <t>Technician</t>
  </si>
  <si>
    <t>Qty</t>
  </si>
  <si>
    <t>Team Leaders</t>
  </si>
  <si>
    <t>General Workers</t>
  </si>
  <si>
    <t>M2</t>
  </si>
  <si>
    <t>E4L</t>
  </si>
  <si>
    <t>E4U</t>
  </si>
  <si>
    <t>E3</t>
  </si>
  <si>
    <t>E2</t>
  </si>
  <si>
    <t>Senior Executive</t>
  </si>
  <si>
    <t>Executive</t>
  </si>
  <si>
    <t>M1</t>
  </si>
  <si>
    <t>Senior Management</t>
  </si>
  <si>
    <t>Management</t>
  </si>
  <si>
    <t>E1</t>
  </si>
  <si>
    <t>Employee level 1</t>
  </si>
  <si>
    <t>Employee level 2</t>
  </si>
  <si>
    <t>Employee level 3</t>
  </si>
  <si>
    <t>Employee level 4</t>
  </si>
  <si>
    <t>Position</t>
  </si>
  <si>
    <t>EX2</t>
  </si>
  <si>
    <t>Med. Aid</t>
  </si>
  <si>
    <t>PAYE</t>
  </si>
  <si>
    <t>Bonus Prov.</t>
  </si>
  <si>
    <t>Gross Salary</t>
  </si>
  <si>
    <t>CTC Salary</t>
  </si>
  <si>
    <t>Net Salary</t>
  </si>
  <si>
    <t>Processing</t>
  </si>
  <si>
    <t>Production Manager</t>
  </si>
  <si>
    <t>GO Supervisor</t>
  </si>
  <si>
    <t>Lab Technicians</t>
  </si>
  <si>
    <t>Admin Officers</t>
  </si>
  <si>
    <t>Workshop Supervisor</t>
  </si>
  <si>
    <t>Cleaners</t>
  </si>
  <si>
    <t>Receptionist/other</t>
  </si>
  <si>
    <t>Total ova required</t>
  </si>
  <si>
    <t>Production (from detailed bioplan)</t>
  </si>
  <si>
    <t>Ave. Price FOB:</t>
  </si>
  <si>
    <t>Cost component</t>
  </si>
  <si>
    <t>Weighted average price per kg EXW France</t>
  </si>
  <si>
    <t>Collection Factory</t>
  </si>
  <si>
    <t>Inland freight to port</t>
  </si>
  <si>
    <t>Freight cost per kg:</t>
  </si>
  <si>
    <t>Agency (1.5% + R450 documents)</t>
  </si>
  <si>
    <t>Effective price ZAR / Kg</t>
  </si>
  <si>
    <t>Computer/IT Expenses</t>
  </si>
  <si>
    <t>Protective clothing (admin)</t>
  </si>
  <si>
    <t>Repairs &amp; Maintenance (offices)</t>
  </si>
  <si>
    <t>Training (admin)</t>
  </si>
  <si>
    <t>OH Expenses</t>
  </si>
  <si>
    <t>Salaries and Wages (admin)</t>
  </si>
  <si>
    <t>Health and Safety inspections</t>
  </si>
  <si>
    <t>Legal costs</t>
  </si>
  <si>
    <t>Marketing / advertising costs</t>
  </si>
  <si>
    <t>Security</t>
  </si>
  <si>
    <t>CSI costs</t>
  </si>
  <si>
    <t>Processing consumables</t>
  </si>
  <si>
    <t>Certification/audit</t>
  </si>
  <si>
    <t>Net replacement</t>
  </si>
  <si>
    <t>Ova cost per 1,000 delivered</t>
  </si>
  <si>
    <t>Vaccine cost</t>
  </si>
  <si>
    <t>Veterinary services</t>
  </si>
  <si>
    <t>4 years</t>
  </si>
  <si>
    <t>Lab equipment</t>
  </si>
  <si>
    <t>Budgets ex-vat</t>
  </si>
  <si>
    <t>ANALYSIS</t>
  </si>
  <si>
    <t>Financial indicators</t>
  </si>
  <si>
    <t>Discount rate</t>
  </si>
  <si>
    <t>Max working capital req. (R '000)</t>
  </si>
  <si>
    <r>
      <t xml:space="preserve">Production Plan      </t>
    </r>
    <r>
      <rPr>
        <sz val="16"/>
        <color theme="3" tint="-0.249977111117893"/>
        <rFont val="Segoe UI"/>
        <family val="2"/>
      </rPr>
      <t xml:space="preserve"> (see detailed bioplan)</t>
    </r>
  </si>
  <si>
    <t>Weighted Average Cost of Capital</t>
  </si>
  <si>
    <t>Low</t>
  </si>
  <si>
    <t>High</t>
  </si>
  <si>
    <t>Midpoint</t>
  </si>
  <si>
    <t>Country risk adjsted cost of capital</t>
  </si>
  <si>
    <t>Country Risk Premium (CRP)</t>
  </si>
  <si>
    <t>Equity Market Risk Premium (EMRP)</t>
  </si>
  <si>
    <r>
      <t>Beta (</t>
    </r>
    <r>
      <rPr>
        <sz val="12"/>
        <rFont val="Calibri"/>
        <family val="2"/>
      </rPr>
      <t>Β</t>
    </r>
    <r>
      <rPr>
        <sz val="10.199999999999999"/>
        <rFont val="Calibri"/>
        <family val="2"/>
      </rPr>
      <t>)</t>
    </r>
  </si>
  <si>
    <t>Small Stock Premium (SSP)</t>
  </si>
  <si>
    <r>
      <t>Specific risk premium (</t>
    </r>
    <r>
      <rPr>
        <sz val="12"/>
        <rFont val="Calibri"/>
        <family val="2"/>
      </rPr>
      <t>α</t>
    </r>
    <r>
      <rPr>
        <sz val="10.199999999999999"/>
        <rFont val="Calibri"/>
        <family val="2"/>
      </rPr>
      <t>)</t>
    </r>
  </si>
  <si>
    <t>Cost of Equity (Ke)</t>
  </si>
  <si>
    <t>Tax Rate (T)</t>
  </si>
  <si>
    <t>Post-Tax Cost of Debt (Kd)</t>
  </si>
  <si>
    <t>Capital Structure</t>
  </si>
  <si>
    <t>% equity</t>
  </si>
  <si>
    <t>% debt</t>
  </si>
  <si>
    <t>Discount rate for NPV Calculation</t>
  </si>
  <si>
    <t>Managing Director</t>
  </si>
  <si>
    <t>Financial Director</t>
  </si>
  <si>
    <t>Summary Bioplan</t>
  </si>
  <si>
    <t>HARVEST</t>
  </si>
  <si>
    <t>TOTAL HARVEST</t>
  </si>
  <si>
    <t>TOTAL BIOMASS</t>
  </si>
  <si>
    <t>Income Received (60 days)</t>
  </si>
  <si>
    <t>Other income/fair value adjustments</t>
  </si>
  <si>
    <t>Int. export consignment size (Kg)</t>
  </si>
  <si>
    <t>Int. product invoiced</t>
  </si>
  <si>
    <t>Income Received (90 days)</t>
  </si>
  <si>
    <t>Income Received (30 days)</t>
  </si>
  <si>
    <t>Int. sales costs</t>
  </si>
  <si>
    <t>Inflation rate SA</t>
  </si>
  <si>
    <t>Skippers /drivers/technician</t>
  </si>
  <si>
    <t>Waste removal</t>
  </si>
  <si>
    <t>R&amp;M Schedule</t>
  </si>
  <si>
    <t xml:space="preserve">1. Workboats: Fuel and R&amp;M </t>
  </si>
  <si>
    <t>Operation</t>
  </si>
  <si>
    <t>Detail</t>
  </si>
  <si>
    <t>Ave. trips/mnth</t>
  </si>
  <si>
    <t>Vessel</t>
  </si>
  <si>
    <t>Details</t>
  </si>
  <si>
    <t>Units</t>
  </si>
  <si>
    <t>Distance travelled</t>
  </si>
  <si>
    <t>Work speed (km/h)</t>
  </si>
  <si>
    <t>Efficency %</t>
  </si>
  <si>
    <t>Work hours</t>
  </si>
  <si>
    <t>Fuel L/Hr.</t>
  </si>
  <si>
    <t>Total fuel (L)</t>
  </si>
  <si>
    <t>Vessel R&amp;M @ % of fuel</t>
  </si>
  <si>
    <t>Total cost / trip</t>
  </si>
  <si>
    <t>Total fuel cost/mnth</t>
  </si>
  <si>
    <t>Total R&amp;M cost/mnth</t>
  </si>
  <si>
    <t>Total cost / mnth</t>
  </si>
  <si>
    <t>2. Vehicles: Fuel and R&amp;M</t>
  </si>
  <si>
    <t>Vehicle</t>
  </si>
  <si>
    <t>General use</t>
  </si>
  <si>
    <t>Petrol price:</t>
  </si>
  <si>
    <t>Diesel price:</t>
  </si>
  <si>
    <t>Staff movements</t>
  </si>
  <si>
    <t>Fuel cost (ZAR)</t>
  </si>
  <si>
    <t>Feed deliveries</t>
  </si>
  <si>
    <t>Mort collection</t>
  </si>
  <si>
    <t>20T barge</t>
  </si>
  <si>
    <t>Workboat</t>
  </si>
  <si>
    <t>Small tractor</t>
  </si>
  <si>
    <t>Bobcat</t>
  </si>
  <si>
    <t>Twincab</t>
  </si>
  <si>
    <t>R&amp;M @ 33% of fuel</t>
  </si>
  <si>
    <t>Large tractor</t>
  </si>
  <si>
    <t>Generator 1</t>
  </si>
  <si>
    <t>Generator 2</t>
  </si>
  <si>
    <t>6% devaluation p.a.</t>
  </si>
  <si>
    <t>IRR</t>
  </si>
  <si>
    <t>Insurance (asset)</t>
  </si>
  <si>
    <t>Contingency</t>
  </si>
  <si>
    <t>Escalation</t>
  </si>
  <si>
    <t>Cash-flow check</t>
  </si>
  <si>
    <t xml:space="preserve">Fuel </t>
  </si>
  <si>
    <t>Vehicle running expenses</t>
  </si>
  <si>
    <t>Starting Bal 01Mar15</t>
  </si>
  <si>
    <t>Periods</t>
  </si>
  <si>
    <t>Total interest payments</t>
  </si>
  <si>
    <t>Total capital payments</t>
  </si>
  <si>
    <t>Notes:</t>
  </si>
  <si>
    <t>1. See Capital Replacement Schedule tab</t>
  </si>
  <si>
    <t>at 6% per annum</t>
  </si>
  <si>
    <t>Risk Free Rate (Rf)</t>
  </si>
  <si>
    <t>Country Risk Adjusted Rate of Return</t>
  </si>
  <si>
    <t>Country risk adjusted cost of debt</t>
  </si>
  <si>
    <t>Cost of Debt</t>
  </si>
  <si>
    <t>Current book val.</t>
  </si>
  <si>
    <t>Financial Manager</t>
  </si>
  <si>
    <t>G1</t>
  </si>
  <si>
    <t>Cargo dues</t>
  </si>
  <si>
    <t>Release fees</t>
  </si>
  <si>
    <t>Documentation/courier/other</t>
  </si>
  <si>
    <t>Clearing at destination</t>
  </si>
  <si>
    <t>Road bond</t>
  </si>
  <si>
    <t>NPV (10 year)</t>
  </si>
  <si>
    <t>Legal Director</t>
  </si>
  <si>
    <t>Food Safety Officer</t>
  </si>
  <si>
    <t>Laboratories and Environmental</t>
  </si>
  <si>
    <t>Environmental Officer</t>
  </si>
  <si>
    <t>Stakeholder Relations Manager</t>
  </si>
  <si>
    <t>Batch 1</t>
  </si>
  <si>
    <t>Batch 2</t>
  </si>
  <si>
    <t>Batch 3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</si>
  <si>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</si>
  <si>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</si>
  <si>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</si>
  <si>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</si>
  <si>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</si>
  <si>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</si>
  <si>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</si>
  <si>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</si>
  <si>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</si>
  <si>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SA Product Inventory</t>
  </si>
  <si>
    <t>International Product Inventory</t>
  </si>
  <si>
    <t>SA product consigned</t>
  </si>
  <si>
    <t>Exp. product consigned</t>
  </si>
  <si>
    <t>Batch:</t>
  </si>
  <si>
    <t>Atlantic salmon</t>
  </si>
  <si>
    <t>Stocking month:</t>
  </si>
  <si>
    <t>Qty. stocked</t>
  </si>
  <si>
    <t>Stock weight (g)</t>
  </si>
  <si>
    <t>Harvest cap. (fpm.)</t>
  </si>
  <si>
    <t>Harvest Weight</t>
  </si>
  <si>
    <t>Harvest (T LFE)</t>
  </si>
  <si>
    <t>Date</t>
  </si>
  <si>
    <t>Month</t>
  </si>
  <si>
    <t>Days in month</t>
  </si>
  <si>
    <t>Ave Monthly Temp Plan</t>
  </si>
  <si>
    <t>Life-cycle Month</t>
  </si>
  <si>
    <t>Monthy Data (Actual)</t>
  </si>
  <si>
    <t>Quantity Actual</t>
  </si>
  <si>
    <t>Quantity at start of month</t>
  </si>
  <si>
    <t>Culled fish</t>
  </si>
  <si>
    <t>Mortalities</t>
  </si>
  <si>
    <t>Cummulative mortalities</t>
  </si>
  <si>
    <t>Mortality monthly %</t>
  </si>
  <si>
    <t>Cummulative mortality %</t>
  </si>
  <si>
    <t>Harvested fish</t>
  </si>
  <si>
    <t>Quantity at end of month</t>
  </si>
  <si>
    <t>Biomass Actual</t>
  </si>
  <si>
    <t>Ave weight at start of month</t>
  </si>
  <si>
    <t>Biomass at start of month</t>
  </si>
  <si>
    <t>Daily growth for month %</t>
  </si>
  <si>
    <t>Ave weight at end of month</t>
  </si>
  <si>
    <t>Mortality mass</t>
  </si>
  <si>
    <t>Harvested mass for month</t>
  </si>
  <si>
    <t>Biomass at end of month</t>
  </si>
  <si>
    <t>Feed Actual</t>
  </si>
  <si>
    <t>Feed used during month</t>
  </si>
  <si>
    <t>EFCR for month</t>
  </si>
  <si>
    <t>Cummulative feed used</t>
  </si>
  <si>
    <t>Cummulative EFCR to date</t>
  </si>
  <si>
    <t>Monthly Data (Plan)</t>
  </si>
  <si>
    <t>Cummulative mortality</t>
  </si>
  <si>
    <t>Monthy mortality %</t>
  </si>
  <si>
    <t>Biomass Plan</t>
  </si>
  <si>
    <t>Ave weight (g) at start month</t>
  </si>
  <si>
    <t>Ongoing weight (g) for bioplan</t>
  </si>
  <si>
    <t>Growth phase for bioplan</t>
  </si>
  <si>
    <t>Ave weight (g) at end of month</t>
  </si>
  <si>
    <t>Biomass (Kg) at start of month</t>
  </si>
  <si>
    <t>Mortality mass (Kg)</t>
  </si>
  <si>
    <t>Harvested mass (Kg) for month</t>
  </si>
  <si>
    <t>Biomass (Kg) at end of month</t>
  </si>
  <si>
    <t>Target EFCR</t>
  </si>
  <si>
    <t>Plan feed used during month</t>
  </si>
  <si>
    <t>Plan cummulative feed used</t>
  </si>
  <si>
    <t>Bio-model Input Data</t>
  </si>
  <si>
    <t>Growth Phase</t>
  </si>
  <si>
    <t>Water Temperature</t>
  </si>
  <si>
    <t>Temp</t>
  </si>
  <si>
    <t>MORT.</t>
  </si>
  <si>
    <t>CULL</t>
  </si>
  <si>
    <t>Weight (g)</t>
  </si>
  <si>
    <t>GROWTH PHASE</t>
  </si>
  <si>
    <t>Days</t>
  </si>
  <si>
    <t>Gr. Phase</t>
  </si>
  <si>
    <t>1</t>
  </si>
  <si>
    <t>1-5</t>
  </si>
  <si>
    <t>5-15</t>
  </si>
  <si>
    <t>15-30</t>
  </si>
  <si>
    <t>30-50</t>
  </si>
  <si>
    <t>50-60</t>
  </si>
  <si>
    <t>60-70</t>
  </si>
  <si>
    <t>70-80</t>
  </si>
  <si>
    <t>80-90</t>
  </si>
  <si>
    <t>90-100</t>
  </si>
  <si>
    <t>100-110</t>
  </si>
  <si>
    <t>110-120</t>
  </si>
  <si>
    <t>120-130</t>
  </si>
  <si>
    <t>130-140</t>
  </si>
  <si>
    <t>140-150</t>
  </si>
  <si>
    <t>150-200</t>
  </si>
  <si>
    <t>200-250</t>
  </si>
  <si>
    <t>250-300</t>
  </si>
  <si>
    <t>300-350</t>
  </si>
  <si>
    <t>350-400</t>
  </si>
  <si>
    <t>400-450</t>
  </si>
  <si>
    <t>450-500</t>
  </si>
  <si>
    <t>500-550</t>
  </si>
  <si>
    <t>550-600</t>
  </si>
  <si>
    <t>600-650</t>
  </si>
  <si>
    <t>650-700</t>
  </si>
  <si>
    <t>700-750</t>
  </si>
  <si>
    <t>750-800</t>
  </si>
  <si>
    <t>800-850</t>
  </si>
  <si>
    <t>850-900</t>
  </si>
  <si>
    <t>900-950</t>
  </si>
  <si>
    <t>950-1000</t>
  </si>
  <si>
    <t>1000-1250</t>
  </si>
  <si>
    <t>1250-1500</t>
  </si>
  <si>
    <t>1500-1750</t>
  </si>
  <si>
    <t>1750-2000</t>
  </si>
  <si>
    <t>2000-2250</t>
  </si>
  <si>
    <t>2250-2500</t>
  </si>
  <si>
    <t>2500-2750</t>
  </si>
  <si>
    <t>2750-3000</t>
  </si>
  <si>
    <t>3000-3250</t>
  </si>
  <si>
    <t>3250-3500</t>
  </si>
  <si>
    <t>3500-3750</t>
  </si>
  <si>
    <t>3750-4000</t>
  </si>
  <si>
    <t>4000-4250</t>
  </si>
  <si>
    <t>4250-4500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</si>
  <si>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</si>
  <si>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</si>
  <si>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</si>
  <si>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</si>
  <si>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</si>
  <si>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</si>
  <si>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</si>
  <si>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</si>
  <si>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</si>
  <si>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</si>
  <si>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Loan 1</t>
  </si>
  <si>
    <t>Overdraft</t>
  </si>
  <si>
    <t>Quantity Plan</t>
  </si>
  <si>
    <t>Feed Plan</t>
  </si>
  <si>
    <t>Summary of Capital Expenses</t>
  </si>
  <si>
    <t>Services</t>
  </si>
  <si>
    <t>WACC Calculation</t>
  </si>
  <si>
    <t>Income from borrowings</t>
  </si>
  <si>
    <t>n</t>
  </si>
  <si>
    <t>Initial Biomass (kg)</t>
  </si>
  <si>
    <t>Initial stocking density (kg/m3)</t>
  </si>
  <si>
    <t>Final stocking density (kg/m3)</t>
  </si>
  <si>
    <t>Hourly exchanges (flushing)</t>
  </si>
  <si>
    <t>-</t>
  </si>
  <si>
    <t>Initial weight (kg/ind)</t>
  </si>
  <si>
    <t>Final weight (kg/ind)</t>
  </si>
  <si>
    <t>CAGES</t>
  </si>
  <si>
    <t>Smolt tanks</t>
  </si>
  <si>
    <r>
      <t xml:space="preserve">Hatching success rate </t>
    </r>
    <r>
      <rPr>
        <sz val="8"/>
        <color theme="1"/>
        <rFont val="Calibri"/>
        <family val="2"/>
        <scheme val="minor"/>
      </rPr>
      <t>(TroutLodge &amp; Froystein and Kure)</t>
    </r>
  </si>
  <si>
    <r>
      <t xml:space="preserve">Survival rate </t>
    </r>
    <r>
      <rPr>
        <sz val="8"/>
        <color theme="1"/>
        <rFont val="Calibri"/>
        <family val="2"/>
        <scheme val="minor"/>
      </rPr>
      <t>(Conservative estimate)</t>
    </r>
  </si>
  <si>
    <r>
      <t xml:space="preserve">Survival rate </t>
    </r>
    <r>
      <rPr>
        <sz val="8"/>
        <color theme="1"/>
        <rFont val="Calibri"/>
        <family val="2"/>
        <scheme val="minor"/>
      </rPr>
      <t>(Skretting Tables)</t>
    </r>
  </si>
  <si>
    <t>Total</t>
  </si>
  <si>
    <t>System Maximum Feed Rate</t>
  </si>
  <si>
    <t>kg feed/day</t>
  </si>
  <si>
    <t>%</t>
  </si>
  <si>
    <t>m3</t>
  </si>
  <si>
    <t>Monthly harvest (kg LFE)</t>
  </si>
  <si>
    <t>Inflation factor</t>
  </si>
  <si>
    <t>Roadfreight to site</t>
  </si>
  <si>
    <t>Plan cumulative feed used</t>
  </si>
  <si>
    <t>Financial Year: 01 March - 28 February</t>
  </si>
  <si>
    <t>Frozen - Fillets</t>
  </si>
  <si>
    <t>Other</t>
  </si>
  <si>
    <t>SA sales costs - logistics</t>
  </si>
  <si>
    <t>SA sales costs - commissions</t>
  </si>
  <si>
    <t>Harvest cap (fish per month)</t>
  </si>
  <si>
    <t>Product Yield - Head off, gutted (HOG)</t>
  </si>
  <si>
    <t>Frozen - HOG</t>
  </si>
  <si>
    <t>Fresh - HOG</t>
  </si>
  <si>
    <t>SA Price (Frozen, HOG)/kg</t>
  </si>
  <si>
    <t>SA Price (Fresh, HOG)/kg</t>
  </si>
  <si>
    <t>Export Price (Frozen, HOG)/kg</t>
  </si>
  <si>
    <t>SA Price (Frozen, fillet)/kg</t>
  </si>
  <si>
    <t>SA Price (Fresh, fillet)/kg</t>
  </si>
  <si>
    <t>Export Price (Fresh, HOG)/kg</t>
  </si>
  <si>
    <t>SA product invoiced</t>
  </si>
  <si>
    <t>Wholesale price (Fresh,whole)/kg</t>
  </si>
  <si>
    <t>Fresh - Fillets</t>
  </si>
  <si>
    <t>Wholesale sales costs</t>
  </si>
  <si>
    <t>SA sales costs</t>
  </si>
  <si>
    <t xml:space="preserve">Electricity </t>
  </si>
  <si>
    <t>SA consignment size (Kg)</t>
  </si>
  <si>
    <t>Product Yield - Fillets</t>
  </si>
  <si>
    <t>EFCR &amp; MORTALITY</t>
  </si>
  <si>
    <t>EFCR</t>
  </si>
  <si>
    <t>Local Sales Price (Fresh, Whole)/kg (EXW)</t>
  </si>
  <si>
    <t>Target harvest weight (g)</t>
  </si>
  <si>
    <t>Product sold locally (wholesale)</t>
  </si>
  <si>
    <t>Processed product sold into SA</t>
  </si>
  <si>
    <t>Processed product for export</t>
  </si>
  <si>
    <t>4500-4750</t>
  </si>
  <si>
    <t>4750-5000</t>
  </si>
  <si>
    <t>5000-5250</t>
  </si>
  <si>
    <t>5250-5500</t>
  </si>
  <si>
    <t>Export Price (Frozen, fillet)/kg</t>
  </si>
  <si>
    <t>Export Price (Fresh, fillet)/kg</t>
  </si>
  <si>
    <t>Export logistics costs</t>
  </si>
  <si>
    <t>Waste removal (per kg)</t>
  </si>
  <si>
    <t>Cumulative FCR</t>
  </si>
  <si>
    <t>Harvest/Stocking</t>
  </si>
  <si>
    <t>Wellboat</t>
  </si>
  <si>
    <t>Smolt transport trucks</t>
  </si>
  <si>
    <t>Pre-development</t>
  </si>
  <si>
    <t>Land</t>
  </si>
  <si>
    <t>Bulk infrastructure</t>
  </si>
  <si>
    <t>Vehicles</t>
  </si>
  <si>
    <t>Transport and Logistics</t>
  </si>
  <si>
    <t>Professional fees</t>
  </si>
  <si>
    <t>First feeding fry (0.05) - Parr (2g)</t>
  </si>
  <si>
    <t>Parr-Smolt</t>
  </si>
  <si>
    <t>Smolts for cages</t>
  </si>
  <si>
    <t>IMPORTED OVA</t>
  </si>
  <si>
    <t>HATCHERY</t>
  </si>
  <si>
    <t>CAGE GROWOUT</t>
  </si>
  <si>
    <t>PARR</t>
  </si>
  <si>
    <t>S0 SMOLTS</t>
  </si>
  <si>
    <t>Jul - Year 2</t>
  </si>
  <si>
    <t>S1 SMOLTS</t>
  </si>
  <si>
    <t>5500-5750</t>
  </si>
  <si>
    <t>5750-6000</t>
  </si>
  <si>
    <t>6000-6250</t>
  </si>
  <si>
    <t>6250-6500</t>
  </si>
  <si>
    <t>Cumulative mortality %</t>
  </si>
  <si>
    <t>Harvested grilse</t>
  </si>
  <si>
    <t>Harvested S0 smolts</t>
  </si>
  <si>
    <t>Harvested S1 smolts</t>
  </si>
  <si>
    <t>Growth Rates - Smolt</t>
  </si>
  <si>
    <t>Growth Rates - Growout</t>
  </si>
  <si>
    <t>Early maturation</t>
  </si>
  <si>
    <t>Grilse</t>
  </si>
  <si>
    <t>Mature grilse harvested</t>
  </si>
  <si>
    <t>Atlantic salmon smolts</t>
  </si>
  <si>
    <t>S0 Harvest Weight (g)</t>
  </si>
  <si>
    <t>S1 Harvest Weight (g)</t>
  </si>
  <si>
    <t>Apr - Year 3</t>
  </si>
  <si>
    <t>Precocious parr</t>
  </si>
  <si>
    <t>Total Smolt Quantity at end of month</t>
  </si>
  <si>
    <t>Smolt production</t>
  </si>
  <si>
    <t>Mature male parr (culled)</t>
  </si>
  <si>
    <t>Precocious Parr/Grilse harvested</t>
  </si>
  <si>
    <t>Species</t>
  </si>
  <si>
    <t>Batch 1 - S0 Smolts</t>
  </si>
  <si>
    <t>Batch 2 - S0 Smolts</t>
  </si>
  <si>
    <t>Batch 3 - S1 smolts</t>
  </si>
  <si>
    <t>Smolts - G1</t>
  </si>
  <si>
    <t>Smolts - G2</t>
  </si>
  <si>
    <t>Smolts - G3</t>
  </si>
  <si>
    <t>Smolts - G4</t>
  </si>
  <si>
    <t>Smolts - G5</t>
  </si>
  <si>
    <t>Smolts - G6</t>
  </si>
  <si>
    <t>Smolts - G7</t>
  </si>
  <si>
    <t>Smolts - G8</t>
  </si>
  <si>
    <t>Smolts - G9</t>
  </si>
  <si>
    <t>Smolts - G10</t>
  </si>
  <si>
    <t>TOTAL SMOLT BIOMASS</t>
  </si>
  <si>
    <t>TOTAL IMPORTED OVA</t>
  </si>
  <si>
    <t>PARR-SMOLT BIOMASS</t>
  </si>
  <si>
    <t>SALMON BIOMASS</t>
  </si>
  <si>
    <t>PARR - SMOLT FEED REQUIREMENTS</t>
  </si>
  <si>
    <t xml:space="preserve">Salmon Feed Cost </t>
  </si>
  <si>
    <t>TOTAL FEED PARR-SMOLT</t>
  </si>
  <si>
    <t>GROWOUT FEED REQUIREMENTS</t>
  </si>
  <si>
    <t>TOTAL FEED FOR GROWOUT</t>
  </si>
  <si>
    <t>Batch 4</t>
  </si>
  <si>
    <t>MORTALITY WASTE (kg) (Hatchery)</t>
  </si>
  <si>
    <t>TOTAL MORTALITY WASTE (Hatchery) (kg)</t>
  </si>
  <si>
    <t>MORTALITY WASTE (kg) (Grow-out)</t>
  </si>
  <si>
    <t>TOTAL MORTALITY WASTE (Grow-out) (kg)</t>
  </si>
  <si>
    <t>MAX NURSERY TANKS REQ (n)</t>
  </si>
  <si>
    <t>MAX GO TANKS REQ (n)</t>
  </si>
  <si>
    <t>PARR TANKS REQUIRED</t>
  </si>
  <si>
    <t>SMOLT TANKS REQUIRED (n)</t>
  </si>
  <si>
    <t>GO CAGES REQUIRED (n)</t>
  </si>
  <si>
    <t>Max Biomass (kg)</t>
  </si>
  <si>
    <t>Water required (m3)</t>
  </si>
  <si>
    <r>
      <t>Tank/cage volume spec. (m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)</t>
    </r>
  </si>
  <si>
    <t>Total m3 water</t>
  </si>
  <si>
    <t>Total L of water</t>
  </si>
  <si>
    <r>
      <t>Flow rate (m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/hr)</t>
    </r>
  </si>
  <si>
    <t>Flow rate (l/s))</t>
  </si>
  <si>
    <r>
      <t>Make up flow required at 10% (m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/hr)</t>
    </r>
  </si>
  <si>
    <t>Makeup flow required at 10% (l/s))</t>
  </si>
  <si>
    <t>EGG INCUBATION</t>
  </si>
  <si>
    <t>Estimated egg requirement</t>
  </si>
  <si>
    <t>Hatchery</t>
  </si>
  <si>
    <t>Tank vol (m3)</t>
  </si>
  <si>
    <t>Volume (m3)</t>
  </si>
  <si>
    <t>Litres</t>
  </si>
  <si>
    <t>Hourly exchanges</t>
  </si>
  <si>
    <t>Flow rate (m3/h)</t>
  </si>
  <si>
    <t>Flow rate (lpm)</t>
  </si>
  <si>
    <t>TOTAL</t>
  </si>
  <si>
    <t>Cage vol</t>
  </si>
  <si>
    <t>Cages</t>
  </si>
  <si>
    <t>Water quality requirements</t>
  </si>
  <si>
    <t>Optimal</t>
  </si>
  <si>
    <t>Range</t>
  </si>
  <si>
    <t>Dissolved oxygen (DO) (mg/L)</t>
  </si>
  <si>
    <t>5-8</t>
  </si>
  <si>
    <t>Temperature (Deg C)</t>
  </si>
  <si>
    <t>18-26</t>
  </si>
  <si>
    <t>pH</t>
  </si>
  <si>
    <t>7,7-7,9</t>
  </si>
  <si>
    <t>Carbon dioxide (CO2) (mg/L)</t>
  </si>
  <si>
    <t>&lt;20</t>
  </si>
  <si>
    <t>Ammonia-nitrogen (mg/L-N)</t>
  </si>
  <si>
    <t>Nitrite-nitrogen (mg/L)</t>
  </si>
  <si>
    <t>Nitrate-nitrogen (mg/L)</t>
  </si>
  <si>
    <t>&lt;100</t>
  </si>
  <si>
    <t>Salinity (ppt)</t>
  </si>
  <si>
    <t>Alkalinity (mg/L)</t>
  </si>
  <si>
    <t>120-200</t>
  </si>
  <si>
    <t>Hardness (mg/L)</t>
  </si>
  <si>
    <t>TSS (mg/L)</t>
  </si>
  <si>
    <t>&lt;10</t>
  </si>
  <si>
    <t>System parameters - Hatchery</t>
  </si>
  <si>
    <t>System Maximum Biomass</t>
  </si>
  <si>
    <t>kg</t>
  </si>
  <si>
    <t>Percentage protein content</t>
  </si>
  <si>
    <t>g</t>
  </si>
  <si>
    <t>Nitrogen content</t>
  </si>
  <si>
    <t>Wasted nitrogen</t>
  </si>
  <si>
    <t>Ammonia production per gram wasted nitrogen</t>
  </si>
  <si>
    <t>Total ammonia production</t>
  </si>
  <si>
    <r>
      <t>kg</t>
    </r>
    <r>
      <rPr>
        <vertAlign val="superscript"/>
        <sz val="8"/>
        <rFont val="Calibri"/>
        <family val="2"/>
        <scheme val="minor"/>
      </rPr>
      <t>-1</t>
    </r>
    <r>
      <rPr>
        <sz val="8"/>
        <rFont val="Calibri"/>
        <family val="2"/>
        <scheme val="minor"/>
      </rPr>
      <t xml:space="preserve"> TAN</t>
    </r>
  </si>
  <si>
    <t>Ammonia loss in passive nitrification</t>
  </si>
  <si>
    <t>Ammonia requiring nitrification</t>
  </si>
  <si>
    <t>kgTAN</t>
  </si>
  <si>
    <t>Ammonia removal rate of biomedia</t>
  </si>
  <si>
    <r>
      <t>kgTAN/m</t>
    </r>
    <r>
      <rPr>
        <vertAlign val="superscript"/>
        <sz val="8"/>
        <rFont val="Calibri"/>
        <family val="2"/>
        <scheme val="minor"/>
      </rPr>
      <t>3</t>
    </r>
    <r>
      <rPr>
        <sz val="8"/>
        <rFont val="Calibri"/>
        <family val="2"/>
        <scheme val="minor"/>
      </rPr>
      <t>/day</t>
    </r>
  </si>
  <si>
    <t>Operating surface for bacteria required</t>
  </si>
  <si>
    <r>
      <t>m</t>
    </r>
    <r>
      <rPr>
        <vertAlign val="superscript"/>
        <sz val="8"/>
        <rFont val="Calibri"/>
        <family val="2"/>
        <scheme val="minor"/>
      </rPr>
      <t>2</t>
    </r>
  </si>
  <si>
    <t>Biomedia specific surface area (m2/m3)</t>
  </si>
  <si>
    <r>
      <t>m</t>
    </r>
    <r>
      <rPr>
        <vertAlign val="super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/m</t>
    </r>
    <r>
      <rPr>
        <vertAlign val="superscript"/>
        <sz val="8"/>
        <rFont val="Calibri"/>
        <family val="2"/>
        <scheme val="minor"/>
      </rPr>
      <t>3</t>
    </r>
  </si>
  <si>
    <t>Volume of biofilter media required</t>
  </si>
  <si>
    <r>
      <t>m</t>
    </r>
    <r>
      <rPr>
        <vertAlign val="superscript"/>
        <sz val="8"/>
        <rFont val="Calibri"/>
        <family val="2"/>
        <scheme val="minor"/>
      </rPr>
      <t>3</t>
    </r>
  </si>
  <si>
    <t>Desired TAN tank concentration</t>
  </si>
  <si>
    <t>mg/L</t>
  </si>
  <si>
    <t>Recycle flow to biofilter</t>
  </si>
  <si>
    <r>
      <t>m</t>
    </r>
    <r>
      <rPr>
        <vertAlign val="superscript"/>
        <sz val="8"/>
        <rFont val="Calibri"/>
        <family val="2"/>
        <scheme val="minor"/>
      </rPr>
      <t>3</t>
    </r>
    <r>
      <rPr>
        <sz val="8"/>
        <rFont val="Calibri"/>
        <family val="2"/>
        <scheme val="minor"/>
      </rPr>
      <t>/h</t>
    </r>
  </si>
  <si>
    <t>Max water temp</t>
  </si>
  <si>
    <t>deg C</t>
  </si>
  <si>
    <t>Elevation above sea level</t>
  </si>
  <si>
    <t>m</t>
  </si>
  <si>
    <t>DO at Saturation</t>
  </si>
  <si>
    <t>Inlet DO</t>
  </si>
  <si>
    <t>Outlet DO</t>
  </si>
  <si>
    <t>DO Consumption rate</t>
  </si>
  <si>
    <t>kg DO/kg feed</t>
  </si>
  <si>
    <t>Daily Oxygen Demand</t>
  </si>
  <si>
    <r>
      <t>g 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/min</t>
    </r>
  </si>
  <si>
    <r>
      <t>kg 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/day</t>
    </r>
  </si>
  <si>
    <t>Daily Ozone Demand</t>
  </si>
  <si>
    <r>
      <t>kg O</t>
    </r>
    <r>
      <rPr>
        <vertAlign val="subscript"/>
        <sz val="8"/>
        <rFont val="Calibri"/>
        <family val="2"/>
        <scheme val="minor"/>
      </rPr>
      <t>3</t>
    </r>
    <r>
      <rPr>
        <sz val="8"/>
        <rFont val="Calibri"/>
        <family val="2"/>
        <scheme val="minor"/>
      </rPr>
      <t>/hr</t>
    </r>
  </si>
  <si>
    <r>
      <t>kg O</t>
    </r>
    <r>
      <rPr>
        <vertAlign val="subscript"/>
        <sz val="8"/>
        <rFont val="Calibri"/>
        <family val="2"/>
        <scheme val="minor"/>
      </rPr>
      <t>3</t>
    </r>
    <r>
      <rPr>
        <sz val="8"/>
        <rFont val="Calibri"/>
        <family val="2"/>
        <scheme val="minor"/>
      </rPr>
      <t>/day</t>
    </r>
  </si>
  <si>
    <r>
      <t>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 xml:space="preserve"> Production Rate</t>
    </r>
  </si>
  <si>
    <r>
      <t>kg 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/kg feed</t>
    </r>
  </si>
  <si>
    <r>
      <t>Hourly 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 xml:space="preserve"> Production</t>
    </r>
  </si>
  <si>
    <r>
      <t>g 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/hr</t>
    </r>
  </si>
  <si>
    <r>
      <t>Daily 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 xml:space="preserve"> Production</t>
    </r>
  </si>
  <si>
    <r>
      <t>kg/day CO</t>
    </r>
    <r>
      <rPr>
        <vertAlign val="subscript"/>
        <sz val="8"/>
        <rFont val="Calibri"/>
        <family val="2"/>
        <scheme val="minor"/>
      </rPr>
      <t>2</t>
    </r>
  </si>
  <si>
    <t>TSS Production Rate</t>
  </si>
  <si>
    <t>kg TSS/kg feed</t>
  </si>
  <si>
    <t>Solids Production</t>
  </si>
  <si>
    <t>kg Solids/day</t>
  </si>
  <si>
    <t>Volume</t>
  </si>
  <si>
    <t>l/day</t>
  </si>
  <si>
    <t>Make-up flow as % System Volume per day</t>
  </si>
  <si>
    <t>Make-up flow rate</t>
  </si>
  <si>
    <t>l/min</t>
  </si>
  <si>
    <t>Make-up water DO concentration</t>
  </si>
  <si>
    <t>Make-up water TAN concentration</t>
  </si>
  <si>
    <t>Make-up water CO2 concentration</t>
  </si>
  <si>
    <t>Make-up water nitrate-nitrite concentration</t>
  </si>
  <si>
    <t>Make-up water TSS concentration</t>
  </si>
  <si>
    <t>Cbest</t>
  </si>
  <si>
    <t>Conc entering tank (mg/L)</t>
  </si>
  <si>
    <t>CO2 removal efficiency</t>
  </si>
  <si>
    <t>TAN removal efficiency</t>
  </si>
  <si>
    <t>TSS removal efficiency</t>
  </si>
  <si>
    <t>O2 transfer efficiency</t>
  </si>
  <si>
    <t>Defined</t>
  </si>
  <si>
    <t>Daily ozone application rate</t>
  </si>
  <si>
    <r>
      <t>kg O</t>
    </r>
    <r>
      <rPr>
        <vertAlign val="subscript"/>
        <sz val="8"/>
        <rFont val="Calibri"/>
        <family val="2"/>
        <scheme val="minor"/>
      </rPr>
      <t>3</t>
    </r>
    <r>
      <rPr>
        <sz val="8"/>
        <rFont val="Calibri"/>
        <family val="2"/>
        <scheme val="minor"/>
      </rPr>
      <t>/kg feed</t>
    </r>
  </si>
  <si>
    <t>Total flow required based on tank exchange (hatchery)</t>
  </si>
  <si>
    <t>lpm</t>
  </si>
  <si>
    <t>Reuse flow required based on DO</t>
  </si>
  <si>
    <t>Reuse flow required based on TAN</t>
  </si>
  <si>
    <t>Reuse flow required based on CO2</t>
  </si>
  <si>
    <t>Make-up flow based on Nitrate</t>
  </si>
  <si>
    <t>Atlantic salmon (Land-based RAS + Cage growout facility - 4 stockings per year)</t>
  </si>
  <si>
    <t>Harvest</t>
  </si>
  <si>
    <t>Fry/Parr rearing tanks</t>
  </si>
  <si>
    <t>Egg incubation trays</t>
  </si>
  <si>
    <r>
      <t xml:space="preserve">Alevins Survival rate </t>
    </r>
    <r>
      <rPr>
        <sz val="8"/>
        <color theme="1"/>
        <rFont val="Calibri"/>
        <family val="2"/>
        <scheme val="minor"/>
      </rPr>
      <t>(Froystein and Kure) to fry</t>
    </r>
  </si>
  <si>
    <t>Final trays/tanks required</t>
  </si>
  <si>
    <t>15000ind/tray</t>
  </si>
  <si>
    <t>Production Schedule</t>
  </si>
  <si>
    <t>Section/Days</t>
  </si>
  <si>
    <t>Egg incubation/Alevins</t>
  </si>
  <si>
    <t>Fry-Parr</t>
  </si>
  <si>
    <t>S0 Smolt Growout</t>
  </si>
  <si>
    <t>S1 Smolt Growout</t>
  </si>
  <si>
    <t>GRILSE</t>
  </si>
  <si>
    <t>Item No.</t>
  </si>
  <si>
    <t>Description</t>
  </si>
  <si>
    <t>Unit</t>
  </si>
  <si>
    <t>Quantity</t>
  </si>
  <si>
    <t>Amount</t>
  </si>
  <si>
    <t>Brought forward</t>
  </si>
  <si>
    <t>Aquaculture systems - Landbased</t>
  </si>
  <si>
    <t>Aquaculture system - Waterbased</t>
  </si>
  <si>
    <t>Transport and logistics</t>
  </si>
  <si>
    <t>Total (excl Professional Fees and Contingency)</t>
  </si>
  <si>
    <t>Total nett of consulting fees</t>
  </si>
  <si>
    <t>Total % of consulting fees on total project cost</t>
  </si>
  <si>
    <t>1.</t>
  </si>
  <si>
    <t>PRE-DEVELOPMENT</t>
  </si>
  <si>
    <t>1.1</t>
  </si>
  <si>
    <t>Concept design</t>
  </si>
  <si>
    <t>1.2</t>
  </si>
  <si>
    <t>Feasibility study</t>
  </si>
  <si>
    <t>1.3</t>
  </si>
  <si>
    <t>Fund-raising</t>
  </si>
  <si>
    <t>1.3.1</t>
  </si>
  <si>
    <t>Fund-raising activities</t>
  </si>
  <si>
    <t>Sum</t>
  </si>
  <si>
    <t>1.3.2</t>
  </si>
  <si>
    <t>Travel and related expenses</t>
  </si>
  <si>
    <t>1.4</t>
  </si>
  <si>
    <t>Land option/related costs</t>
  </si>
  <si>
    <t>Carried to summary</t>
  </si>
  <si>
    <t>2.</t>
  </si>
  <si>
    <t>LAND</t>
  </si>
  <si>
    <t>2.1</t>
  </si>
  <si>
    <t>Deposit payment</t>
  </si>
  <si>
    <t>2.1.1.</t>
  </si>
  <si>
    <t>2.2</t>
  </si>
  <si>
    <t>Transfer tax</t>
  </si>
  <si>
    <t>2.2.1</t>
  </si>
  <si>
    <t>Transfer Tax on title</t>
  </si>
  <si>
    <t>2.3</t>
  </si>
  <si>
    <t>Monthly payments</t>
  </si>
  <si>
    <t>2.3.1</t>
  </si>
  <si>
    <t>Monthly payment</t>
  </si>
  <si>
    <t>2.4</t>
  </si>
  <si>
    <t>Legal fees</t>
  </si>
  <si>
    <t>2.4.1</t>
  </si>
  <si>
    <t>Legal fees associated with lease</t>
  </si>
  <si>
    <t>3.</t>
  </si>
  <si>
    <t>BULK INFRASTRUCTURE</t>
  </si>
  <si>
    <t>3.1</t>
  </si>
  <si>
    <t>Drainage</t>
  </si>
  <si>
    <t>3.1.1</t>
  </si>
  <si>
    <t>Drainage channel to canal for system outflow</t>
  </si>
  <si>
    <t>3.1.2</t>
  </si>
  <si>
    <t xml:space="preserve">Concrete pit for drum filter </t>
  </si>
  <si>
    <t>3.1.3</t>
  </si>
  <si>
    <t xml:space="preserve">Provision for connection to sewage mains </t>
  </si>
  <si>
    <t>3.2</t>
  </si>
  <si>
    <t>Clearing of land</t>
  </si>
  <si>
    <t>3.2.1</t>
  </si>
  <si>
    <t>Clearing and levelling of land</t>
  </si>
  <si>
    <t>m2</t>
  </si>
  <si>
    <t>3.3</t>
  </si>
  <si>
    <t>Roads and parking</t>
  </si>
  <si>
    <t>3.3.1</t>
  </si>
  <si>
    <t>Provision for access road construction</t>
  </si>
  <si>
    <t>3.3.2</t>
  </si>
  <si>
    <t>Parking area (with 5 carports)</t>
  </si>
  <si>
    <t>3.4</t>
  </si>
  <si>
    <t>Security and fencing</t>
  </si>
  <si>
    <t>3.4.1</t>
  </si>
  <si>
    <t>Perimeter fence including main entrance gate</t>
  </si>
  <si>
    <t>3.4.2</t>
  </si>
  <si>
    <t xml:space="preserve">Access control - main building </t>
  </si>
  <si>
    <t>3.4.3</t>
  </si>
  <si>
    <t xml:space="preserve">Bio-secure area - access control </t>
  </si>
  <si>
    <t>3.4.4</t>
  </si>
  <si>
    <t xml:space="preserve">Boom gate </t>
  </si>
  <si>
    <t>3.4.5</t>
  </si>
  <si>
    <t xml:space="preserve">Alarms, cameras </t>
  </si>
  <si>
    <t>3.4.6</t>
  </si>
  <si>
    <t>Deliveries (Incl. in logistics budget)</t>
  </si>
  <si>
    <t>3.4.7</t>
  </si>
  <si>
    <t>Installation and commissioning (Incl. in buildings budget)</t>
  </si>
  <si>
    <t>3.5</t>
  </si>
  <si>
    <t>Landscaping</t>
  </si>
  <si>
    <t>3.5.1</t>
  </si>
  <si>
    <t xml:space="preserve">General grassing and landscaping </t>
  </si>
  <si>
    <t>3.5.3</t>
  </si>
  <si>
    <t xml:space="preserve">External Signage </t>
  </si>
  <si>
    <t>3.6</t>
  </si>
  <si>
    <t>Waste system</t>
  </si>
  <si>
    <t>3.6.1</t>
  </si>
  <si>
    <t xml:space="preserve">Refuse </t>
  </si>
  <si>
    <t>3.6.2</t>
  </si>
  <si>
    <t xml:space="preserve">Chemical waste </t>
  </si>
  <si>
    <t>3.6.3</t>
  </si>
  <si>
    <t>Biological waste</t>
  </si>
  <si>
    <t>3.7</t>
  </si>
  <si>
    <t>Power supply</t>
  </si>
  <si>
    <t>3.7.1</t>
  </si>
  <si>
    <t>Bulk power supply to site  (including transformer)</t>
  </si>
  <si>
    <t>3.7.2</t>
  </si>
  <si>
    <t xml:space="preserve">Electrical meter and box </t>
  </si>
  <si>
    <t>3.7.3</t>
  </si>
  <si>
    <t xml:space="preserve">160kVA generator </t>
  </si>
  <si>
    <t>3.7.4</t>
  </si>
  <si>
    <t xml:space="preserve">Concrete slab for generator </t>
  </si>
  <si>
    <t>3.7.5</t>
  </si>
  <si>
    <t xml:space="preserve">Switches, boards and conduits </t>
  </si>
  <si>
    <t>3.7.6</t>
  </si>
  <si>
    <t>Diesel storage (incl. bung wall etc.)</t>
  </si>
  <si>
    <t>3.7.7</t>
  </si>
  <si>
    <t xml:space="preserve">Spares </t>
  </si>
  <si>
    <t>3.7.8</t>
  </si>
  <si>
    <t>Installation and commissioning</t>
  </si>
  <si>
    <t>3.8</t>
  </si>
  <si>
    <t>Potable water</t>
  </si>
  <si>
    <t>3.8.1</t>
  </si>
  <si>
    <t>Potable water supply to site</t>
  </si>
  <si>
    <t>3.8.2</t>
  </si>
  <si>
    <t>External taps</t>
  </si>
  <si>
    <t>No.</t>
  </si>
  <si>
    <t>3.8.3</t>
  </si>
  <si>
    <t xml:space="preserve">Water meter </t>
  </si>
  <si>
    <t>4.</t>
  </si>
  <si>
    <t>BUILDINGS</t>
  </si>
  <si>
    <t>4.1</t>
  </si>
  <si>
    <t>4.1.1</t>
  </si>
  <si>
    <t>Complete warehouse structure including roof, columns, perimeter walls, windows and façade (agricultural tunnel alternative)</t>
  </si>
  <si>
    <t>4.1.2</t>
  </si>
  <si>
    <t>Concrete floor, steel floated</t>
  </si>
  <si>
    <t>4.1.3</t>
  </si>
  <si>
    <t xml:space="preserve">Specialist raised floor around tanks </t>
  </si>
  <si>
    <t>4.1.4</t>
  </si>
  <si>
    <t xml:space="preserve">Suspended ceiling grid for services etc. </t>
  </si>
  <si>
    <t>4.1.5</t>
  </si>
  <si>
    <t>Electrical budget for lights, power supply , switching and complete installation with DB's</t>
  </si>
  <si>
    <t>4.1.6</t>
  </si>
  <si>
    <t xml:space="preserve">Internal walls and partitions </t>
  </si>
  <si>
    <t>4.1.7</t>
  </si>
  <si>
    <t>Domestic water reticulation throughout building</t>
  </si>
  <si>
    <t>4.1.8</t>
  </si>
  <si>
    <t xml:space="preserve">Fire fighting equipment and signage </t>
  </si>
  <si>
    <t>4.1.9</t>
  </si>
  <si>
    <t xml:space="preserve">Ventilation, evaporative cooling </t>
  </si>
  <si>
    <t>4.1.10</t>
  </si>
  <si>
    <t>4.1.11</t>
  </si>
  <si>
    <t>4.1.12</t>
  </si>
  <si>
    <t>4.1.14</t>
  </si>
  <si>
    <t>4.1.15</t>
  </si>
  <si>
    <t>4.1.16</t>
  </si>
  <si>
    <t>Equipment store</t>
  </si>
  <si>
    <t>4.1.17</t>
  </si>
  <si>
    <t>Workshop</t>
  </si>
  <si>
    <t>4.1.18</t>
  </si>
  <si>
    <t>Feed store</t>
  </si>
  <si>
    <t>4.2</t>
  </si>
  <si>
    <t>Processing Facility</t>
  </si>
  <si>
    <t>4.2.1</t>
  </si>
  <si>
    <t>Receiving area</t>
  </si>
  <si>
    <t>4.2.2</t>
  </si>
  <si>
    <t>Cleaning, gutting, sorting line</t>
  </si>
  <si>
    <t>4.2.3</t>
  </si>
  <si>
    <t>Packing line</t>
  </si>
  <si>
    <t>4.2.4</t>
  </si>
  <si>
    <t>Blast freezer</t>
  </si>
  <si>
    <t>4.2.5</t>
  </si>
  <si>
    <t>Cold storage</t>
  </si>
  <si>
    <t>4.2.6</t>
  </si>
  <si>
    <t>Dispatch</t>
  </si>
  <si>
    <t>4.2.7</t>
  </si>
  <si>
    <t xml:space="preserve">Staff canteen </t>
  </si>
  <si>
    <t>4.2.8</t>
  </si>
  <si>
    <t>Staff ablutions incl. showers</t>
  </si>
  <si>
    <t>4.2.9</t>
  </si>
  <si>
    <t>Storage and other space (laundry, chemical store etc)</t>
  </si>
  <si>
    <t>4.2.10</t>
  </si>
  <si>
    <t>Offices</t>
  </si>
  <si>
    <t>4.2.11</t>
  </si>
  <si>
    <t xml:space="preserve">Reception </t>
  </si>
  <si>
    <t>4.2.12</t>
  </si>
  <si>
    <t>4.2.13</t>
  </si>
  <si>
    <t>Air-conditioning (excl. freezer and cold storage)</t>
  </si>
  <si>
    <t>4.2.14</t>
  </si>
  <si>
    <t xml:space="preserve">Bio secure entrance </t>
  </si>
  <si>
    <t>4.2.15</t>
  </si>
  <si>
    <t>Bio secure exit</t>
  </si>
  <si>
    <t>4.2.16</t>
  </si>
  <si>
    <t xml:space="preserve">Table Stainless steel </t>
  </si>
  <si>
    <t>4.2.17</t>
  </si>
  <si>
    <t xml:space="preserve">Hose pipe + fittings </t>
  </si>
  <si>
    <t>4.2.19</t>
  </si>
  <si>
    <t>Main processing table -stainless steel</t>
  </si>
  <si>
    <t>4.2.20</t>
  </si>
  <si>
    <t xml:space="preserve">Grading table -stainless steel </t>
  </si>
  <si>
    <t>4.2.21</t>
  </si>
  <si>
    <t xml:space="preserve">Grading scale </t>
  </si>
  <si>
    <t>4.2.22</t>
  </si>
  <si>
    <t xml:space="preserve">Gill plate tagging gun and label maker </t>
  </si>
  <si>
    <t>4.2.23</t>
  </si>
  <si>
    <t>White butcher bins</t>
  </si>
  <si>
    <t>4.2.24</t>
  </si>
  <si>
    <t>Knives - gutting</t>
  </si>
  <si>
    <t>4.2.25</t>
  </si>
  <si>
    <t xml:space="preserve">Knives -general use </t>
  </si>
  <si>
    <t>4.2.26</t>
  </si>
  <si>
    <t xml:space="preserve">Temperature gauge -wall mounted </t>
  </si>
  <si>
    <t>4.2.27</t>
  </si>
  <si>
    <t xml:space="preserve">Temperature gauge pen type </t>
  </si>
  <si>
    <t>4.2.28</t>
  </si>
  <si>
    <t xml:space="preserve">Hose pipes and fitting </t>
  </si>
  <si>
    <t>4.2.29</t>
  </si>
  <si>
    <t xml:space="preserve">Packing table </t>
  </si>
  <si>
    <t>4.2.30</t>
  </si>
  <si>
    <t xml:space="preserve">Packing scale with printer </t>
  </si>
  <si>
    <t>4.2.31</t>
  </si>
  <si>
    <t>4.2.32</t>
  </si>
  <si>
    <t>4.2.33</t>
  </si>
  <si>
    <t xml:space="preserve">Plastic pallets </t>
  </si>
  <si>
    <t>4.2.34</t>
  </si>
  <si>
    <t xml:space="preserve">Pallet jack </t>
  </si>
  <si>
    <t>4.2.35</t>
  </si>
  <si>
    <t xml:space="preserve">Ice spades </t>
  </si>
  <si>
    <t>4.2.36</t>
  </si>
  <si>
    <t xml:space="preserve">Ice machines </t>
  </si>
  <si>
    <t>4.2.37</t>
  </si>
  <si>
    <t xml:space="preserve">Stunner </t>
  </si>
  <si>
    <t>4.2.38</t>
  </si>
  <si>
    <t>Ice bins for harvesting unit</t>
  </si>
  <si>
    <t>Sundry harvest equipment</t>
  </si>
  <si>
    <t>Overall provision for PPE Equipment (clothing, food safety etc.)</t>
  </si>
  <si>
    <t>4.3</t>
  </si>
  <si>
    <t>IT and communication</t>
  </si>
  <si>
    <t>4.3.1</t>
  </si>
  <si>
    <t>Internet and Wi-fi</t>
  </si>
  <si>
    <t>4.3.2</t>
  </si>
  <si>
    <t>Computers, telephones,printers</t>
  </si>
  <si>
    <t>4.4</t>
  </si>
  <si>
    <t>Offices and Equipment</t>
  </si>
  <si>
    <t>4.4.1</t>
  </si>
  <si>
    <t>Office furniture</t>
  </si>
  <si>
    <t>4.4.2</t>
  </si>
  <si>
    <t>Canteen furniture</t>
  </si>
  <si>
    <t>4.4.3</t>
  </si>
  <si>
    <t>Canteen fridges and equipment</t>
  </si>
  <si>
    <t>4.4.4</t>
  </si>
  <si>
    <t>Lockers</t>
  </si>
  <si>
    <t>4.4.5</t>
  </si>
  <si>
    <t>Sanitary equipment etc.</t>
  </si>
  <si>
    <t>4.4.6</t>
  </si>
  <si>
    <t>Storage racks</t>
  </si>
  <si>
    <t>4.5</t>
  </si>
  <si>
    <t>4.5.1</t>
  </si>
  <si>
    <t>Maintenance equipment</t>
  </si>
  <si>
    <t>4.6</t>
  </si>
  <si>
    <t>Laboratory</t>
  </si>
  <si>
    <t>4.6.1</t>
  </si>
  <si>
    <t xml:space="preserve">Work bench / stations/ stools </t>
  </si>
  <si>
    <t>4.6.2</t>
  </si>
  <si>
    <t xml:space="preserve">Microscopes </t>
  </si>
  <si>
    <t>4.6.3</t>
  </si>
  <si>
    <t xml:space="preserve">Water sampling kit  </t>
  </si>
  <si>
    <t>4.6.4</t>
  </si>
  <si>
    <t xml:space="preserve">Sediment sampler </t>
  </si>
  <si>
    <t>4.6.5</t>
  </si>
  <si>
    <t xml:space="preserve">Microbiology equipment </t>
  </si>
  <si>
    <t>4.6.6</t>
  </si>
  <si>
    <t xml:space="preserve">Fridge &amp; Freezer </t>
  </si>
  <si>
    <t>4.6.7</t>
  </si>
  <si>
    <t xml:space="preserve">Small Equipment </t>
  </si>
  <si>
    <t>4.6.8</t>
  </si>
  <si>
    <t xml:space="preserve">Delivery  </t>
  </si>
  <si>
    <t>4.6.9</t>
  </si>
  <si>
    <t>Carried to Summary</t>
  </si>
  <si>
    <t>5.</t>
  </si>
  <si>
    <t>SERVICES</t>
  </si>
  <si>
    <t>5.1</t>
  </si>
  <si>
    <t>Pump station and water extraction point</t>
  </si>
  <si>
    <t>5.1.1</t>
  </si>
  <si>
    <t xml:space="preserve">Pump infrastructure </t>
  </si>
  <si>
    <t>5.1.2</t>
  </si>
  <si>
    <t xml:space="preserve">In-line submersible pumps </t>
  </si>
  <si>
    <t>5.1.3</t>
  </si>
  <si>
    <t xml:space="preserve">Back up in-line submersible pumps </t>
  </si>
  <si>
    <t>5.1.4</t>
  </si>
  <si>
    <t xml:space="preserve">Electrical  </t>
  </si>
  <si>
    <t>5.1.5</t>
  </si>
  <si>
    <t>Mooring blocks - concrete collar for pipelines</t>
  </si>
  <si>
    <t>5.1.6</t>
  </si>
  <si>
    <t>Buoys</t>
  </si>
  <si>
    <t>5.1.7</t>
  </si>
  <si>
    <t>5.2</t>
  </si>
  <si>
    <t>Incoming water treatment and storage</t>
  </si>
  <si>
    <t>5.2.1</t>
  </si>
  <si>
    <t xml:space="preserve">350NB HDPE Mainline water pipe </t>
  </si>
  <si>
    <t>5.2.2</t>
  </si>
  <si>
    <t xml:space="preserve">350NB HDPE Back up mainline water pipe </t>
  </si>
  <si>
    <t>5.2.3</t>
  </si>
  <si>
    <t>Hatchery piping inside building (Hanging)</t>
  </si>
  <si>
    <t>5.2.5</t>
  </si>
  <si>
    <t>Storage reservoir</t>
  </si>
  <si>
    <t>5.2.6</t>
  </si>
  <si>
    <t xml:space="preserve">Fittings and Brackets </t>
  </si>
  <si>
    <t xml:space="preserve">Delivery </t>
  </si>
  <si>
    <t xml:space="preserve">Installation and commissioning </t>
  </si>
  <si>
    <t>5.3</t>
  </si>
  <si>
    <t>Oxygen supply</t>
  </si>
  <si>
    <t>5.3.1</t>
  </si>
  <si>
    <t>Oxygen generator</t>
  </si>
  <si>
    <t>5.3.2</t>
  </si>
  <si>
    <t>Back-up oxygen generator</t>
  </si>
  <si>
    <t>5.3.3</t>
  </si>
  <si>
    <t>Comprehensive installation and material for oxygen delivery</t>
  </si>
  <si>
    <t>5.3.4</t>
  </si>
  <si>
    <t>Manifold</t>
  </si>
  <si>
    <t>5.3.5</t>
  </si>
  <si>
    <t xml:space="preserve">Fittings and brackets </t>
  </si>
  <si>
    <t>5.3.6</t>
  </si>
  <si>
    <t>Spares package</t>
  </si>
  <si>
    <t>5.3.7</t>
  </si>
  <si>
    <t>5.3.8</t>
  </si>
  <si>
    <t>5.4</t>
  </si>
  <si>
    <t>Air blowers</t>
  </si>
  <si>
    <t>5.4.1</t>
  </si>
  <si>
    <t>Blower - 4,1kW</t>
  </si>
  <si>
    <t>5.4.2</t>
  </si>
  <si>
    <t>Accessories (Inlet filter/ pressure relief and guage/ heat dissipation pipe)</t>
  </si>
  <si>
    <t>5.4.3</t>
  </si>
  <si>
    <t>Deliveries</t>
  </si>
  <si>
    <t>5.4.4</t>
  </si>
  <si>
    <t>5.5</t>
  </si>
  <si>
    <t>Ozone</t>
  </si>
  <si>
    <t>5.5.1</t>
  </si>
  <si>
    <t>Ozone generator</t>
  </si>
  <si>
    <t>No</t>
  </si>
  <si>
    <t>5.6</t>
  </si>
  <si>
    <t>Discharge system</t>
  </si>
  <si>
    <t>5.6.1</t>
  </si>
  <si>
    <t>Wastewater storage tank</t>
  </si>
  <si>
    <t>5.6.2</t>
  </si>
  <si>
    <t>Drum filter</t>
  </si>
  <si>
    <t>5.6.3</t>
  </si>
  <si>
    <t>Drum filter crating</t>
  </si>
  <si>
    <t>5.6.4</t>
  </si>
  <si>
    <t>HPRS</t>
  </si>
  <si>
    <t>5.6.5</t>
  </si>
  <si>
    <t>5.6.6</t>
  </si>
  <si>
    <t>Pipeline</t>
  </si>
  <si>
    <t>5.6.7</t>
  </si>
  <si>
    <t>5.6.8</t>
  </si>
  <si>
    <t>7.</t>
  </si>
  <si>
    <t>VEHICLES</t>
  </si>
  <si>
    <t>7.1.1</t>
  </si>
  <si>
    <t>7.1.2</t>
  </si>
  <si>
    <t>Twin cab</t>
  </si>
  <si>
    <t>7.1.3</t>
  </si>
  <si>
    <t>7.1.4</t>
  </si>
  <si>
    <t>20T Barge</t>
  </si>
  <si>
    <t>7.1.5</t>
  </si>
  <si>
    <t>8</t>
  </si>
  <si>
    <t>TRANSPORT/LOGISTICS</t>
  </si>
  <si>
    <t>8.1</t>
  </si>
  <si>
    <t>Logistics</t>
  </si>
  <si>
    <t>8.1.1</t>
  </si>
  <si>
    <t>Truck - Superlink</t>
  </si>
  <si>
    <t>8.1.2</t>
  </si>
  <si>
    <t xml:space="preserve">Customs clearing and local costs </t>
  </si>
  <si>
    <t>8.1.3</t>
  </si>
  <si>
    <t xml:space="preserve">Duties </t>
  </si>
  <si>
    <t>Value</t>
  </si>
  <si>
    <t>9.</t>
  </si>
  <si>
    <t>PROFESSIONAL FEES</t>
  </si>
  <si>
    <t>9.1</t>
  </si>
  <si>
    <t>Design fees</t>
  </si>
  <si>
    <t>9.1.1</t>
  </si>
  <si>
    <t xml:space="preserve">Civil, structural and water services engineer </t>
  </si>
  <si>
    <t>9.1.2</t>
  </si>
  <si>
    <t>Aquaculture equipment design</t>
  </si>
  <si>
    <t>9.1.3</t>
  </si>
  <si>
    <t>Architect</t>
  </si>
  <si>
    <t>9.1.4</t>
  </si>
  <si>
    <t xml:space="preserve">Electrical engineer </t>
  </si>
  <si>
    <t>9.1.5</t>
  </si>
  <si>
    <t xml:space="preserve">Sundry design consultants </t>
  </si>
  <si>
    <t>9.1.6</t>
  </si>
  <si>
    <t xml:space="preserve">Travel costs for consultants </t>
  </si>
  <si>
    <t>9.1.7</t>
  </si>
  <si>
    <t xml:space="preserve">Disbursement cost for consultants </t>
  </si>
  <si>
    <t>9.2</t>
  </si>
  <si>
    <t>Project management, quantity surveying, procurement &amp; cost cotrol</t>
  </si>
  <si>
    <t>9.2.1</t>
  </si>
  <si>
    <t>Project management</t>
  </si>
  <si>
    <t>9.2.2</t>
  </si>
  <si>
    <t xml:space="preserve">Quantity survey, Procurement &amp; Cost control </t>
  </si>
  <si>
    <t>9.2.3</t>
  </si>
  <si>
    <t xml:space="preserve">Travel costs for project manager </t>
  </si>
  <si>
    <t>9.2.4</t>
  </si>
  <si>
    <t xml:space="preserve">Disbursement cost for project manager </t>
  </si>
  <si>
    <t>10.</t>
  </si>
  <si>
    <t>CONTINGENCY</t>
  </si>
  <si>
    <t>CONTINGENCY ON CAPEX</t>
  </si>
  <si>
    <t>10.1.1</t>
  </si>
  <si>
    <t>Contingency (5% OF OVERALL PROJECT)</t>
  </si>
  <si>
    <t>10.1.2</t>
  </si>
  <si>
    <t xml:space="preserve">Foreign exchange rate risks </t>
  </si>
  <si>
    <t>6.</t>
  </si>
  <si>
    <t>AQUACULTURE SYSTEMS</t>
  </si>
  <si>
    <t>6.1</t>
  </si>
  <si>
    <t>Egg Incubation/Alevins</t>
  </si>
  <si>
    <t>6.1.1</t>
  </si>
  <si>
    <t xml:space="preserve">Egg trays </t>
  </si>
  <si>
    <t>6.1.2</t>
  </si>
  <si>
    <t>Fresh water supply, piping and fittings</t>
  </si>
  <si>
    <t>6.1.3</t>
  </si>
  <si>
    <t xml:space="preserve">Alarm system and flow meters </t>
  </si>
  <si>
    <t>6.1.4</t>
  </si>
  <si>
    <t>6.1.6</t>
  </si>
  <si>
    <t>Inline UV</t>
  </si>
  <si>
    <t>6.1.7</t>
  </si>
  <si>
    <t>6.1.9</t>
  </si>
  <si>
    <t>6.1.10</t>
  </si>
  <si>
    <t>Lighting system</t>
  </si>
  <si>
    <t>6.1.11</t>
  </si>
  <si>
    <t>Small equipment and spares</t>
  </si>
  <si>
    <t>6.1.12</t>
  </si>
  <si>
    <t>6.2</t>
  </si>
  <si>
    <t>6.2.1</t>
  </si>
  <si>
    <t>6.2.2</t>
  </si>
  <si>
    <t>6.2.3</t>
  </si>
  <si>
    <t xml:space="preserve">Air supply and air stones </t>
  </si>
  <si>
    <t>6.2.5</t>
  </si>
  <si>
    <t>6.2.6</t>
  </si>
  <si>
    <t>6.2.7</t>
  </si>
  <si>
    <t>6.2.8</t>
  </si>
  <si>
    <t>6.2.9</t>
  </si>
  <si>
    <t>6.3</t>
  </si>
  <si>
    <t>Smoltification</t>
  </si>
  <si>
    <t>6.3.1</t>
  </si>
  <si>
    <t>6.3.2</t>
  </si>
  <si>
    <t>6.3.3</t>
  </si>
  <si>
    <t>6.3.5</t>
  </si>
  <si>
    <t>6.3.6</t>
  </si>
  <si>
    <t>6.3.7</t>
  </si>
  <si>
    <t>6.3.8</t>
  </si>
  <si>
    <t>6.3.9</t>
  </si>
  <si>
    <t>6.4</t>
  </si>
  <si>
    <t>6.4.1</t>
  </si>
  <si>
    <t>6.4.2</t>
  </si>
  <si>
    <t>6.4.3</t>
  </si>
  <si>
    <t>6.4.4</t>
  </si>
  <si>
    <t>6.4.5</t>
  </si>
  <si>
    <t>6.4.6</t>
  </si>
  <si>
    <t>6.4.7</t>
  </si>
  <si>
    <t>Biofilter outlet screens</t>
  </si>
  <si>
    <t>6.4.8</t>
  </si>
  <si>
    <t>6.4.9</t>
  </si>
  <si>
    <t>6.4.10</t>
  </si>
  <si>
    <t>6.4.11</t>
  </si>
  <si>
    <t>Oxygen solenoid control panel</t>
  </si>
  <si>
    <t>6.4.12</t>
  </si>
  <si>
    <t>6.4.13</t>
  </si>
  <si>
    <t>Low head oxygenator</t>
  </si>
  <si>
    <t>6.4.14</t>
  </si>
  <si>
    <t>Mooring blocks</t>
  </si>
  <si>
    <t xml:space="preserve">Recirculating pump </t>
  </si>
  <si>
    <t>Mechanical filter (Sand filter)</t>
  </si>
  <si>
    <t>Tanks - Fibre glass (15m3)</t>
  </si>
  <si>
    <t>Water treatment - Nursery and Smolt</t>
  </si>
  <si>
    <t>Drum filter (max 485 m3/h)</t>
  </si>
  <si>
    <t>HPRS - Drum filter pump</t>
  </si>
  <si>
    <t>Biofilter media</t>
  </si>
  <si>
    <t xml:space="preserve">Biofilter housing </t>
  </si>
  <si>
    <t>Oxygen cone</t>
  </si>
  <si>
    <t xml:space="preserve">Oxygen cone system return pump </t>
  </si>
  <si>
    <r>
      <t>CO</t>
    </r>
    <r>
      <rPr>
        <vertAlign val="subscript"/>
        <sz val="16"/>
        <color theme="1"/>
        <rFont val="Calibri"/>
        <family val="2"/>
        <scheme val="minor"/>
      </rPr>
      <t xml:space="preserve">2 </t>
    </r>
    <r>
      <rPr>
        <sz val="16"/>
        <color theme="1"/>
        <rFont val="Calibri"/>
        <family val="2"/>
        <scheme val="minor"/>
      </rPr>
      <t>Stripper</t>
    </r>
  </si>
  <si>
    <r>
      <t>CO</t>
    </r>
    <r>
      <rPr>
        <vertAlign val="subscript"/>
        <sz val="16"/>
        <color theme="1"/>
        <rFont val="Calibri"/>
        <family val="2"/>
        <scheme val="minor"/>
      </rPr>
      <t xml:space="preserve">2 </t>
    </r>
    <r>
      <rPr>
        <sz val="16"/>
        <color theme="1"/>
        <rFont val="Calibri"/>
        <family val="2"/>
        <scheme val="minor"/>
      </rPr>
      <t>Stripper Pumps</t>
    </r>
  </si>
  <si>
    <t>Tanks - Fibre glass (200m3)</t>
  </si>
  <si>
    <t>6.4.15</t>
  </si>
  <si>
    <t>6.4.16</t>
  </si>
  <si>
    <t>AQUACULTURE SYSTEMS - WATER</t>
  </si>
  <si>
    <t>6.7</t>
  </si>
  <si>
    <t>6.7.1</t>
  </si>
  <si>
    <t>Cage structures (15m diameter HDPE Circular)</t>
  </si>
  <si>
    <t>6.7.2</t>
  </si>
  <si>
    <t>6.7.3</t>
  </si>
  <si>
    <t>6.7.4</t>
  </si>
  <si>
    <t>Antifouling paint</t>
  </si>
  <si>
    <t>6.7.5</t>
  </si>
  <si>
    <t>Predator nets</t>
  </si>
  <si>
    <t>6.7.6</t>
  </si>
  <si>
    <t>1600L HDPE Buoys</t>
  </si>
  <si>
    <t>6.7.7</t>
  </si>
  <si>
    <t>880L HDPE Buoys</t>
  </si>
  <si>
    <t>6.7.8</t>
  </si>
  <si>
    <t>Marking buoys (25L)</t>
  </si>
  <si>
    <t>6.7.9</t>
  </si>
  <si>
    <t>Anchor chains</t>
  </si>
  <si>
    <t>6.7.10</t>
  </si>
  <si>
    <t>Ropes</t>
  </si>
  <si>
    <t>6.7.11</t>
  </si>
  <si>
    <t>Shackles and Thimbles</t>
  </si>
  <si>
    <t>6.7.12</t>
  </si>
  <si>
    <t>EFCR - RAS</t>
  </si>
  <si>
    <t>EFCR - Cages</t>
  </si>
  <si>
    <t>SA Price (Fresh, G&amp;G)/kg</t>
  </si>
  <si>
    <t>SA Price (Frozen, G&amp;G)/kg</t>
  </si>
  <si>
    <t>Export Price (Fresh, G&amp;G)/kg</t>
  </si>
  <si>
    <t>Export Price (Frozen, G&amp;G)/kg</t>
  </si>
  <si>
    <t>South African packaging costs (per Kg) (Frozen)</t>
  </si>
  <si>
    <t>International packaging costs (per Kg) (Frozen)</t>
  </si>
  <si>
    <t>Average feed price</t>
  </si>
  <si>
    <t>Total biomass - smolts (kg)</t>
  </si>
  <si>
    <t>Total biomass - growout (kg)</t>
  </si>
  <si>
    <t>7.1.6</t>
  </si>
  <si>
    <t>Hatchery supervisor</t>
  </si>
  <si>
    <t>Administration including sales</t>
  </si>
  <si>
    <t>Junior Sales Manager</t>
  </si>
  <si>
    <t>Sales Director</t>
  </si>
  <si>
    <t>Hatchery and Smolt Production</t>
  </si>
  <si>
    <t>Electricity cost calculation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</si>
  <si>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</si>
  <si>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</si>
  <si>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</si>
  <si>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</si>
  <si>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</si>
  <si>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</si>
  <si>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</si>
  <si>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</si>
  <si>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</si>
  <si>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</si>
  <si>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Equipment</t>
  </si>
  <si>
    <t>KW</t>
  </si>
  <si>
    <t>% efficiency</t>
  </si>
  <si>
    <t>hours usage per day</t>
  </si>
  <si>
    <t>Usage per month (KWhrs)</t>
  </si>
  <si>
    <t xml:space="preserve">Main abstraction pump </t>
  </si>
  <si>
    <t>System return pump (hatchery)</t>
  </si>
  <si>
    <r>
      <t>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Generator</t>
    </r>
  </si>
  <si>
    <r>
      <t>O</t>
    </r>
    <r>
      <rPr>
        <vertAlign val="sub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 xml:space="preserve"> Generator</t>
    </r>
  </si>
  <si>
    <r>
      <t>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cone system return pump</t>
    </r>
  </si>
  <si>
    <t>Drum filter HPRS (pump)</t>
  </si>
  <si>
    <t>CO2 Stripper Pumps</t>
  </si>
  <si>
    <t>Blower</t>
  </si>
  <si>
    <t>Ice machine</t>
  </si>
  <si>
    <t>Monthly electricity cost</t>
  </si>
  <si>
    <t>Pumping cost per month</t>
  </si>
  <si>
    <t>m³ pumped per month</t>
  </si>
  <si>
    <t xml:space="preserve">ZAR cents /m3 </t>
  </si>
  <si>
    <t>Eskom Megaflex tariff calc</t>
  </si>
  <si>
    <t>Businessrate</t>
  </si>
  <si>
    <t>R/kWh</t>
  </si>
  <si>
    <t>hours/week</t>
  </si>
  <si>
    <t>wks</t>
  </si>
  <si>
    <t>Cost per annum for 1 kWh</t>
  </si>
  <si>
    <t>Weighted average energy cost per kWh</t>
  </si>
  <si>
    <t>Chargeable demand kVA</t>
  </si>
  <si>
    <t>Rate kVA</t>
  </si>
  <si>
    <t>Cost</t>
  </si>
  <si>
    <t>High Demand Season     (Jun-Aug)</t>
  </si>
  <si>
    <t>Peak</t>
  </si>
  <si>
    <t>Standard</t>
  </si>
  <si>
    <t>Off-peak</t>
  </si>
  <si>
    <t>Low Demand Season          (Sep-May)</t>
  </si>
  <si>
    <t>Eskom Ruraflex tariff calc.</t>
  </si>
  <si>
    <t>Ruraflex</t>
  </si>
  <si>
    <t>Weighted average cost per kWh</t>
  </si>
  <si>
    <t>Main System Return Pump(s) - 1500l/min</t>
  </si>
  <si>
    <t>Motor control for drum filter, pumps, blowers</t>
  </si>
  <si>
    <r>
      <t>Motor control for recirc pumps, O</t>
    </r>
    <r>
      <rPr>
        <vertAlign val="subscript"/>
        <sz val="16"/>
        <color theme="1"/>
        <rFont val="Calibri"/>
        <family val="2"/>
        <scheme val="minor"/>
      </rPr>
      <t>2</t>
    </r>
    <r>
      <rPr>
        <sz val="16"/>
        <color theme="1"/>
        <rFont val="Calibri"/>
        <family val="2"/>
        <scheme val="minor"/>
      </rPr>
      <t xml:space="preserve"> cone pumps</t>
    </r>
  </si>
  <si>
    <t>Ozone generator (See "Services"tab)</t>
  </si>
  <si>
    <t>6.4.17</t>
  </si>
  <si>
    <t>6.4.18</t>
  </si>
  <si>
    <t>Chiller unit</t>
  </si>
  <si>
    <t>Water chiller unit</t>
  </si>
  <si>
    <t>6.1.5</t>
  </si>
  <si>
    <t>6.1.8</t>
  </si>
  <si>
    <t>Egg imports (n)</t>
  </si>
  <si>
    <t>Smolts transferred (fish per month)</t>
  </si>
  <si>
    <t>S0 Smolt target weight</t>
  </si>
  <si>
    <t>S1 Smolt target weight</t>
  </si>
  <si>
    <t>Smolts transferred</t>
  </si>
  <si>
    <t>Hatchery + Smolts</t>
  </si>
  <si>
    <t xml:space="preserve">Canteen and lounge </t>
  </si>
  <si>
    <t xml:space="preserve">Offices </t>
  </si>
  <si>
    <t xml:space="preserve">Ablutions/ change rooms </t>
  </si>
  <si>
    <r>
      <t>Cold-room (150m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)</t>
    </r>
  </si>
  <si>
    <r>
      <t>200m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/hr drum filter (hatchery)</t>
    </r>
  </si>
  <si>
    <r>
      <t>200m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/hr drum filter (discharge)</t>
    </r>
  </si>
  <si>
    <t>System return pump (egg incubation)</t>
  </si>
  <si>
    <t>Electricity (Cold store, blast freezer, ice machine)</t>
  </si>
  <si>
    <t>Processing clothing</t>
  </si>
  <si>
    <t>Total feed required for month (kg) - Growout</t>
  </si>
  <si>
    <t>Total feed required for month (kg) - Smolts</t>
  </si>
  <si>
    <t xml:space="preserve">Feed </t>
  </si>
  <si>
    <t>Laboratory consumables</t>
  </si>
  <si>
    <t>Equipment calibration/R&amp;M</t>
  </si>
  <si>
    <t>7.1.7</t>
  </si>
  <si>
    <t>7.1.8</t>
  </si>
  <si>
    <t>7.1.9</t>
  </si>
  <si>
    <t>Aquaculture systems - Hatchery</t>
  </si>
  <si>
    <t>Aquaculture systems - Cages</t>
  </si>
  <si>
    <t>Jun - Year 3</t>
  </si>
  <si>
    <t>Oct - Year 3</t>
  </si>
  <si>
    <t>Disposable PPE</t>
  </si>
  <si>
    <t>Product Yield - Whole, round, gutted (WRG)</t>
  </si>
  <si>
    <t>Fresh - WRG</t>
  </si>
  <si>
    <t>Frozen - WRG</t>
  </si>
  <si>
    <t>SA Price (Fresh, WRG)/kg</t>
  </si>
  <si>
    <t>SA Price (Frozen, WRG)/kg</t>
  </si>
  <si>
    <t>Export Price (Fresh, WRG)/kg</t>
  </si>
  <si>
    <t>Export Price (Frozen, WRG)/kg</t>
  </si>
  <si>
    <t>Projected harvest (tpa)</t>
  </si>
  <si>
    <t>Eggs imported per year</t>
  </si>
  <si>
    <t>ECONOMIC INDICATORS</t>
  </si>
  <si>
    <t>SENSITIVITIES</t>
  </si>
  <si>
    <t>Data</t>
  </si>
  <si>
    <t>Harvest (LFE) T</t>
  </si>
  <si>
    <t xml:space="preserve">Product consigned </t>
  </si>
  <si>
    <t>SA product</t>
  </si>
  <si>
    <t>International product</t>
  </si>
  <si>
    <t>Product invoiced (ZAR)</t>
  </si>
  <si>
    <t>Through-rate Price (ZAR/kg)</t>
  </si>
  <si>
    <t>Sales Costs</t>
  </si>
  <si>
    <t>Variable costs of production USD</t>
  </si>
  <si>
    <t>TOTAL COSTS</t>
  </si>
  <si>
    <t>Total costs /kg</t>
  </si>
  <si>
    <t>Sales Costs /kg</t>
  </si>
  <si>
    <t>Variable costs of production /kg</t>
  </si>
  <si>
    <t>Overhead expenses /kg</t>
  </si>
  <si>
    <t>Feed costs</t>
  </si>
  <si>
    <t>GO costs</t>
  </si>
  <si>
    <t>Overhead costs</t>
  </si>
  <si>
    <t>Processing costs</t>
  </si>
  <si>
    <t>Per KG Cost Analysis</t>
  </si>
  <si>
    <t>Feed costs /kg LFE</t>
  </si>
  <si>
    <t>GO costs /kg LFE</t>
  </si>
  <si>
    <t>Overhead costs /Kg LFE</t>
  </si>
  <si>
    <t>Financing costs /kg LFE</t>
  </si>
  <si>
    <t>Target price @ 25% margin</t>
  </si>
  <si>
    <t>Target price @ 33% margin</t>
  </si>
  <si>
    <t xml:space="preserve">Margin @ budget price of </t>
  </si>
  <si>
    <t>Total Processed Product</t>
  </si>
  <si>
    <t>Product processed (Total)</t>
  </si>
  <si>
    <t>Hatchery/smolt facility costs</t>
  </si>
  <si>
    <t>Feed logistics</t>
  </si>
  <si>
    <t>Grow-out consumables</t>
  </si>
  <si>
    <t>Smolt costs /kg LFE</t>
  </si>
  <si>
    <t>TOTAL COSTS ex-Cage /kg LFE</t>
  </si>
  <si>
    <t>Seafreight</t>
  </si>
  <si>
    <t xml:space="preserve">Break bulk </t>
  </si>
  <si>
    <t>Consignment size (kg)</t>
  </si>
  <si>
    <t>Capital Expenditure</t>
  </si>
  <si>
    <t>Capital Expenditure (Fixed)</t>
  </si>
  <si>
    <t>Capital Expenditure (Variable)</t>
  </si>
  <si>
    <t>Income</t>
  </si>
  <si>
    <t>Variable Costs</t>
  </si>
  <si>
    <t>Grow-out costs</t>
  </si>
  <si>
    <t>Fixed costs</t>
  </si>
  <si>
    <t>Financing of capital costs</t>
  </si>
  <si>
    <t>Total costs</t>
  </si>
  <si>
    <t>Sensitivities</t>
  </si>
  <si>
    <t>Sales price upper range</t>
  </si>
  <si>
    <t>Sales price lower range</t>
  </si>
  <si>
    <t>Upper range</t>
  </si>
  <si>
    <t>Lower range</t>
  </si>
  <si>
    <t>Total costs upper</t>
  </si>
  <si>
    <t>Total costs lower</t>
  </si>
  <si>
    <t>ATLANTIC SALMON CAGE</t>
  </si>
  <si>
    <t>Sales Price /kg HOG</t>
  </si>
  <si>
    <t>Smolt costs</t>
  </si>
  <si>
    <t>Laboratory costs</t>
  </si>
  <si>
    <t>Laboratory costs /kg LFE</t>
  </si>
  <si>
    <t>Fixed costs /kg LFE</t>
  </si>
  <si>
    <t>TOTAL COSTS ex-Cage /kg HOG</t>
  </si>
  <si>
    <t>Processing costs /kg HOG</t>
  </si>
  <si>
    <t>TOTAL COSTS FOB /kg HOG</t>
  </si>
  <si>
    <t>Sales costs /kg HOG</t>
  </si>
  <si>
    <t>TOTAL COSTS SOLD /kg HOG</t>
  </si>
  <si>
    <t>Fixed costs /kg</t>
  </si>
  <si>
    <t>Financial Projections Atlantic Salmon</t>
  </si>
  <si>
    <t>Yield loss costs</t>
  </si>
  <si>
    <t>Nets (15m diameter 15m depth)</t>
  </si>
  <si>
    <t>Yield loss @ 82%</t>
  </si>
  <si>
    <t>MAX PARR TANKS REQ (n)</t>
  </si>
  <si>
    <t>Water lease fees</t>
  </si>
  <si>
    <r>
      <t>Water lease fees (per m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)</t>
    </r>
  </si>
  <si>
    <r>
      <t>Area size requirements (m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</si>
</sst>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6" formatCode="&quot;R&quot;\ #,##0;[Red]&quot;R&quot;\ \-#,##0"/>
    <numFmt numFmtId="8" formatCode="&quot;R&quot;\ #,##0.00;[Red]&quot;R&quot;\ \-#,##0.00"/>
    <numFmt numFmtId="41" formatCode="_ * #,##0_ ;_ * \-#,##0_ ;_ * &quot;-&quot;_ ;_ @_ "/>
    <numFmt numFmtId="44" formatCode="_ &quot;R&quot;\ * #,##0.00_ ;_ &quot;R&quot;\ * \-#,##0.00_ ;_ &quot;R&quot;\ * &quot;-&quot;??_ ;_ @_ "/>
    <numFmt numFmtId="43" formatCode="_ * #,##0.00_ ;_ * \-#,##0.00_ ;_ * &quot;-&quot;??_ ;_ @_ "/>
    <numFmt numFmtId="164" formatCode="&quot;R&quot;#,##0.00;\-&quot;R&quot;#,##0.00"/>
    <numFmt numFmtId="165" formatCode="_-&quot;R&quot;* #,##0.00_-;\-&quot;R&quot;* #,##0.00_-;_-&quot;R&quot;* &quot;-&quot;??_-;_-@_-"/>
    <numFmt numFmtId="166" formatCode="_-* #,##0.00_-;\-* #,##0.00_-;_-* &quot;-&quot;??_-;_-@_-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_ * #,##0_ ;_ * \-#,##0_ ;_ * &quot;-&quot;??_ ;_ @_ "/>
    <numFmt numFmtId="171" formatCode="_-[$$-409]* #,##0.00_ ;_-[$$-409]* \-#,##0.00\ ;_-[$$-409]* &quot;-&quot;??_ ;_-@_ "/>
    <numFmt numFmtId="172" formatCode="_-&quot;£&quot;* #,##0.00_-;\-&quot;£&quot;* #,##0.00_-;_-&quot;£&quot;* &quot;-&quot;??_-;_-@_-"/>
    <numFmt numFmtId="173" formatCode="_(* #,##0_);_(* \(#,##0\);_(* &quot;-&quot;??_);_(@_)"/>
    <numFmt numFmtId="174" formatCode="_ [$USD]\ * #,##0_ ;_ [$USD]\ * \-#,##0_ ;_ [$USD]\ * &quot;-&quot;??_ ;_ @_ "/>
    <numFmt numFmtId="175" formatCode="_ * #,##0.0_ ;_ * \-#,##0.0_ ;_ * &quot;-&quot;??_ ;_ @_ "/>
    <numFmt numFmtId="176" formatCode="_ * #,##0.000_ ;_ * \-#,##0.000_ ;_ * &quot;-&quot;??_ ;_ @_ "/>
    <numFmt numFmtId="177" formatCode="_ [$R-1C09]\ * #,##0.00_ ;_ [$R-1C09]\ * \-#,##0.00_ ;_ [$R-1C09]\ * &quot;-&quot;??_ ;_ @_ "/>
    <numFmt numFmtId="178" formatCode="_ * #,##0.0000_ ;_ * \-#,##0.0000_ ;_ * &quot;-&quot;??_ ;_ @_ "/>
    <numFmt numFmtId="179" formatCode="_(* #,##0.00_);_(* \(#,##0.00\);_(* &quot;-&quot;_);_(@_)"/>
    <numFmt numFmtId="180" formatCode="_-* #,##0_-;\-* #,##0_-;_-* &quot;-&quot;??_-;_-@_-"/>
    <numFmt numFmtId="181" formatCode="_ [$€-2]\ * #,##0.00_ ;_ [$€-2]\ * \-#,##0.00_ ;_ [$€-2]\ * &quot;-&quot;??_ ;_ @_ "/>
    <numFmt numFmtId="182" formatCode="0.0%"/>
    <numFmt numFmtId="183" formatCode="0.0"/>
    <numFmt numFmtId="184" formatCode="_ [$RWF]\ * #,##0_ ;_ [$RWF]\ * \-#,##0_ ;_ [$RWF]\ * &quot;-&quot;??_ ;_ @_ "/>
    <numFmt numFmtId="185" formatCode="_ [$R-1C09]\ * #,##0_ ;_ [$R-1C09]\ * \-#,##0_ ;_ [$R-1C09]\ * &quot;-&quot;??_ ;_ @_ "/>
    <numFmt numFmtId="186" formatCode="_ * #,##0.00_ ;_ * \-#,##0.00_ ;_ * &quot;-&quot;_ ;_ @_ "/>
    <numFmt numFmtId="187" formatCode="0.0000"/>
    <numFmt numFmtId="188" formatCode="0.000"/>
    <numFmt numFmtId="189" formatCode="#,##0_ ;\-#,##0\ "/>
    <numFmt numFmtId="190" formatCode="[$ZAR]\ #,##0.00;[$ZAR]\ \-#,##0.00"/>
    <numFmt numFmtId="191" formatCode="[$ZAR]\ #,##0;[$ZAR]\ \-#,##0"/>
    <numFmt numFmtId="192" formatCode="[$ZAR]\ #,##0.00"/>
    <numFmt numFmtId="193" formatCode="_ [$ZAR]\ * #,##0.00_ ;_ [$ZAR]\ * \-#,##0.00_ ;_ [$ZAR]\ * &quot;-&quot;??_ ;_ @_ "/>
    <numFmt numFmtId="194" formatCode="_-* #,##0.0_-;\-* #,##0.0_-;_-* &quot;-&quot;??_-;_-@_-"/>
    <numFmt numFmtId="195" formatCode="_ * #,##0.00000_ ;_ * \-#,##0.00000_ ;_ * &quot;-&quot;??_ ;_ @_ "/>
    <numFmt numFmtId="196" formatCode="_-* #,##0.00000_-;\-* #,##0.00000_-;_-* &quot;-&quot;?????_-;_-@_-"/>
    <numFmt numFmtId="197" formatCode="[$USD]\ #,##0.00"/>
    <numFmt numFmtId="198" formatCode="[$ZAR]\ #,##0.00;\-[$ZAR]\ #,##0.00"/>
  </numFmts>
  <fonts count="9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6"/>
      <color rgb="FFDB3337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Calibri"/>
      <family val="2"/>
      <scheme val="minor"/>
    </font>
    <font>
      <sz val="14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b/>
      <sz val="16"/>
      <color rgb="FFD00023"/>
      <name val="Calibri"/>
      <family val="2"/>
      <scheme val="minor"/>
    </font>
    <font>
      <b/>
      <sz val="12"/>
      <color rgb="FFD00023"/>
      <name val="Calibri"/>
      <family val="2"/>
      <scheme val="minor"/>
    </font>
    <font>
      <sz val="10"/>
      <color rgb="FFD0002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theme="1"/>
      <name val="Segoe UI"/>
      <family val="2"/>
    </font>
    <font>
      <b/>
      <sz val="10"/>
      <color theme="1"/>
      <name val="Segoe UI"/>
      <family val="2"/>
    </font>
    <font>
      <sz val="11"/>
      <color theme="1"/>
      <name val="Segoe UI"/>
      <family val="2"/>
    </font>
    <font>
      <sz val="22"/>
      <color theme="3"/>
      <name val="Segoe UI"/>
      <family val="2"/>
    </font>
    <font>
      <sz val="24"/>
      <color theme="3"/>
      <name val="Segoe UI"/>
      <family val="2"/>
    </font>
    <font>
      <b/>
      <sz val="11"/>
      <color theme="1"/>
      <name val="Segoe UI"/>
      <family val="2"/>
    </font>
    <font>
      <sz val="10"/>
      <color theme="3"/>
      <name val="Segoe UI"/>
      <family val="2"/>
    </font>
    <font>
      <b/>
      <sz val="11"/>
      <name val="Calibri"/>
      <family val="2"/>
      <scheme val="minor"/>
    </font>
    <font>
      <sz val="22"/>
      <name val="Segoe UI"/>
      <family val="2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22"/>
      <color theme="3" tint="-0.249977111117893"/>
      <name val="Segoe UI"/>
      <family val="2"/>
    </font>
    <font>
      <b/>
      <sz val="16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6"/>
      <name val="Calibri"/>
      <family val="2"/>
      <scheme val="minor"/>
    </font>
    <font>
      <sz val="20"/>
      <color theme="3" tint="-0.249977111117893"/>
      <name val="Segoe UI"/>
      <family val="2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b/>
      <sz val="10"/>
      <color theme="3"/>
      <name val="Calibri"/>
      <family val="2"/>
    </font>
    <font>
      <sz val="12"/>
      <color theme="3"/>
      <name val="Calibri"/>
      <family val="2"/>
    </font>
    <font>
      <sz val="16"/>
      <color theme="3" tint="-0.249977111117893"/>
      <name val="Segoe UI"/>
      <family val="2"/>
    </font>
    <font>
      <sz val="10"/>
      <color indexed="12"/>
      <name val="Calibri"/>
      <family val="2"/>
      <scheme val="minor"/>
    </font>
    <font>
      <b/>
      <sz val="12"/>
      <color rgb="FFDB3337"/>
      <name val="Calibri"/>
      <family val="2"/>
      <scheme val="minor"/>
    </font>
    <font>
      <sz val="12"/>
      <name val="Calibri"/>
      <family val="2"/>
    </font>
    <font>
      <sz val="10.199999999999999"/>
      <name val="Calibri"/>
      <family val="2"/>
    </font>
    <font>
      <b/>
      <sz val="12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name val="Calibri"/>
      <family val="2"/>
    </font>
    <font>
      <b/>
      <sz val="18"/>
      <color theme="3"/>
      <name val="Segoe UI"/>
      <family val="2"/>
    </font>
    <font>
      <b/>
      <sz val="18"/>
      <color rgb="FFDB3337"/>
      <name val="Segoe UI"/>
      <family val="2"/>
    </font>
    <font>
      <sz val="18"/>
      <color rgb="FFDB3337"/>
      <name val="Segoe UI"/>
      <family val="2"/>
    </font>
    <font>
      <b/>
      <sz val="10"/>
      <color rgb="FFD00023"/>
      <name val="Segoe UI"/>
      <family val="2"/>
    </font>
    <font>
      <sz val="14"/>
      <color theme="1"/>
      <name val="Segoe UI"/>
      <family val="2"/>
    </font>
    <font>
      <b/>
      <sz val="12"/>
      <color theme="1"/>
      <name val="Segoe UI"/>
      <family val="2"/>
    </font>
    <font>
      <i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indexed="8"/>
      <name val="Calibri"/>
      <family val="2"/>
    </font>
    <font>
      <sz val="10"/>
      <color theme="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color theme="1"/>
      <name val="Calibri"/>
      <family val="2"/>
      <scheme val="minor"/>
    </font>
    <font>
      <b/>
      <vertAlign val="superscript"/>
      <sz val="8"/>
      <color theme="1"/>
      <name val="Calibri"/>
      <family val="2"/>
      <scheme val="minor"/>
    </font>
    <font>
      <sz val="10"/>
      <name val="Times New Roman"/>
      <family val="1"/>
    </font>
    <font>
      <vertAlign val="superscript"/>
      <sz val="8"/>
      <name val="Calibri"/>
      <family val="2"/>
      <scheme val="minor"/>
    </font>
    <font>
      <b/>
      <sz val="8"/>
      <color indexed="62"/>
      <name val="Calibri"/>
      <family val="2"/>
      <scheme val="minor"/>
    </font>
    <font>
      <b/>
      <i/>
      <sz val="8"/>
      <color indexed="8"/>
      <name val="Calibri"/>
      <family val="2"/>
      <scheme val="minor"/>
    </font>
    <font>
      <b/>
      <i/>
      <sz val="8"/>
      <color indexed="62"/>
      <name val="Calibri"/>
      <family val="2"/>
      <scheme val="minor"/>
    </font>
    <font>
      <vertAlign val="subscript"/>
      <sz val="8"/>
      <name val="Calibri"/>
      <family val="2"/>
      <scheme val="minor"/>
    </font>
    <font>
      <sz val="11"/>
      <color theme="9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vertAlign val="subscript"/>
      <sz val="16"/>
      <color theme="1"/>
      <name val="Calibri"/>
      <family val="2"/>
      <scheme val="minor"/>
    </font>
    <font>
      <sz val="18"/>
      <color theme="6" tint="-0.499984740745262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-0.24994659260841701"/>
        <bgColor indexed="64"/>
      </patternFill>
    </fill>
  </fills>
  <borders count="19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thin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/>
      <diagonal/>
    </border>
    <border>
      <left/>
      <right style="medium">
        <color theme="0"/>
      </right>
      <top/>
      <bottom style="thin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 style="medium">
        <color theme="0"/>
      </left>
      <right/>
      <top style="medium">
        <color theme="0" tint="-0.499984740745262"/>
      </top>
      <bottom style="medium">
        <color theme="1" tint="0.34998626667073579"/>
      </bottom>
      <diagonal/>
    </border>
    <border>
      <left/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 style="medium">
        <color theme="0"/>
      </left>
      <right style="thin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theme="0"/>
      </left>
      <right style="thin">
        <color indexed="64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theme="0"/>
      </left>
      <right/>
      <top/>
      <bottom style="thin">
        <color theme="0" tint="-0.499984740745262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1" tint="0.34998626667073579"/>
      </top>
      <bottom/>
      <diagonal/>
    </border>
    <border>
      <left style="medium">
        <color theme="0"/>
      </left>
      <right/>
      <top style="medium">
        <color theme="1" tint="0.34998626667073579"/>
      </top>
      <bottom/>
      <diagonal/>
    </border>
    <border>
      <left/>
      <right style="medium">
        <color theme="0"/>
      </right>
      <top style="medium">
        <color theme="1" tint="0.34998626667073579"/>
      </top>
      <bottom/>
      <diagonal/>
    </border>
    <border>
      <left style="thin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theme="0"/>
      </left>
      <right/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 style="medium">
        <color theme="0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 style="medium">
        <color theme="0"/>
      </left>
      <right/>
      <top style="thin">
        <color theme="0" tint="-0.499984740745262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medium">
        <color theme="0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 style="medium">
        <color auto="1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theme="0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theme="0"/>
      </right>
      <top style="thin">
        <color theme="0" tint="-0.499984740745262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theme="0"/>
      </left>
      <right style="medium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medium">
        <color theme="0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/>
      <right style="thin">
        <color indexed="64"/>
      </right>
      <top/>
      <bottom style="medium">
        <color theme="1" tint="0.34998626667073579"/>
      </bottom>
      <diagonal/>
    </border>
    <border>
      <left style="thin">
        <color indexed="64"/>
      </left>
      <right/>
      <top/>
      <bottom style="thin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 style="medium">
        <color indexed="64"/>
      </right>
      <top style="thin">
        <color theme="0" tint="-0.499984740745262"/>
      </top>
      <bottom/>
      <diagonal/>
    </border>
    <border>
      <left/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/>
      <right style="medium">
        <color theme="0"/>
      </right>
      <top style="medium">
        <color theme="0"/>
      </top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thin">
        <color theme="0" tint="-0.499984740745262"/>
      </bottom>
      <diagonal/>
    </border>
    <border>
      <left/>
      <right/>
      <top style="medium">
        <color theme="0"/>
      </top>
      <bottom/>
      <diagonal/>
    </border>
    <border>
      <left style="thin">
        <color auto="1"/>
      </left>
      <right style="medium">
        <color theme="0"/>
      </right>
      <top/>
      <bottom style="thin">
        <color theme="0" tint="-0.499984740745262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theme="0"/>
      </right>
      <top style="medium">
        <color theme="0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/>
      </right>
      <top style="medium">
        <color indexed="64"/>
      </top>
      <bottom style="thin">
        <color theme="0" tint="-0.499984740745262"/>
      </bottom>
      <diagonal/>
    </border>
    <border>
      <left/>
      <right style="medium">
        <color theme="0"/>
      </right>
      <top style="medium">
        <color indexed="64"/>
      </top>
      <bottom/>
      <diagonal/>
    </border>
    <border>
      <left/>
      <right/>
      <top style="thin">
        <color theme="0" tint="-0.499984740745262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theme="0"/>
      </left>
      <right style="medium">
        <color auto="1"/>
      </right>
      <top/>
      <bottom style="thin">
        <color theme="0" tint="-0.499984740745262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/>
      <diagonal/>
    </border>
    <border>
      <left style="medium">
        <color theme="0"/>
      </left>
      <right/>
      <top style="medium">
        <color indexed="64"/>
      </top>
      <bottom style="thin">
        <color theme="0" tint="-0.499984740745262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/>
      <top style="thin">
        <color theme="0" tint="-0.499984740745262"/>
      </top>
      <bottom/>
      <diagonal/>
    </border>
    <border>
      <left style="thin">
        <color auto="1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auto="1"/>
      </left>
      <right style="medium">
        <color theme="0"/>
      </right>
      <top style="thin">
        <color theme="0" tint="-0.499984740745262"/>
      </top>
      <bottom/>
      <diagonal/>
    </border>
    <border>
      <left style="thin">
        <color auto="1"/>
      </left>
      <right/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auto="1"/>
      </left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auto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/>
      <bottom style="medium">
        <color theme="0" tint="-0.499984740745262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thin">
        <color indexed="64"/>
      </bottom>
      <diagonal/>
    </border>
    <border>
      <left style="medium">
        <color theme="0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/>
      <top/>
      <bottom style="medium">
        <color theme="1" tint="0.34998626667073579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</borders>
  <cellStyleXfs count="4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4" fontId="11" fillId="0" borderId="0"/>
    <xf numFmtId="0" fontId="20" fillId="0" borderId="0"/>
    <xf numFmtId="0" fontId="11" fillId="0" borderId="0"/>
    <xf numFmtId="44" fontId="1" fillId="0" borderId="0" applyFont="0" applyFill="0" applyBorder="0" applyAlignment="0" applyProtection="0"/>
    <xf numFmtId="16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0" borderId="0"/>
  </cellStyleXfs>
  <cellXfs count="1525">
    <xf numFmtId="0" fontId="0" fillId="0" borderId="0" xfId="0"/>
    <xf numFmtId="0" fontId="5" fillId="2" borderId="0" xfId="3" applyFont="1" applyFill="1" applyBorder="1" applyAlignment="1">
      <alignment horizontal="center"/>
    </xf>
    <xf numFmtId="0" fontId="4" fillId="2" borderId="0" xfId="0" applyFont="1" applyFill="1"/>
    <xf numFmtId="0" fontId="4" fillId="2" borderId="0" xfId="0" applyFont="1" applyFill="1" applyBorder="1"/>
    <xf numFmtId="0" fontId="4" fillId="2" borderId="0" xfId="0" applyFont="1" applyFill="1" applyAlignment="1">
      <alignment horizontal="center"/>
    </xf>
    <xf numFmtId="0" fontId="9" fillId="2" borderId="0" xfId="0" applyFont="1" applyFill="1"/>
    <xf numFmtId="0" fontId="0" fillId="2" borderId="0" xfId="0" applyFill="1"/>
    <xf numFmtId="0" fontId="3" fillId="2" borderId="0" xfId="0" applyFont="1" applyFill="1"/>
    <xf numFmtId="0" fontId="8" fillId="2" borderId="0" xfId="0" applyFont="1" applyFill="1"/>
    <xf numFmtId="0" fontId="4" fillId="2" borderId="0" xfId="0" quotePrefix="1" applyFont="1" applyFill="1"/>
    <xf numFmtId="170" fontId="4" fillId="2" borderId="0" xfId="1" applyNumberFormat="1" applyFont="1" applyFill="1"/>
    <xf numFmtId="170" fontId="3" fillId="2" borderId="0" xfId="1" applyNumberFormat="1" applyFont="1" applyFill="1" applyBorder="1"/>
    <xf numFmtId="170" fontId="3" fillId="2" borderId="0" xfId="1" applyNumberFormat="1" applyFont="1" applyFill="1"/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vertical="center" wrapText="1"/>
    </xf>
    <xf numFmtId="0" fontId="4" fillId="4" borderId="0" xfId="0" applyFont="1" applyFill="1"/>
    <xf numFmtId="0" fontId="4" fillId="4" borderId="0" xfId="0" applyFont="1" applyFill="1" applyBorder="1"/>
    <xf numFmtId="0" fontId="9" fillId="2" borderId="0" xfId="0" applyFont="1" applyFill="1" applyAlignment="1">
      <alignment horizontal="center" vertical="center" wrapText="1"/>
    </xf>
    <xf numFmtId="170" fontId="5" fillId="2" borderId="0" xfId="3" applyNumberFormat="1" applyFont="1" applyFill="1" applyBorder="1" applyAlignment="1">
      <alignment horizontal="center"/>
    </xf>
    <xf numFmtId="43" fontId="4" fillId="2" borderId="0" xfId="1" applyFont="1" applyFill="1" applyBorder="1"/>
    <xf numFmtId="0" fontId="13" fillId="2" borderId="0" xfId="0" applyFont="1" applyFill="1"/>
    <xf numFmtId="0" fontId="13" fillId="2" borderId="1" xfId="0" applyFont="1" applyFill="1" applyBorder="1"/>
    <xf numFmtId="43" fontId="13" fillId="2" borderId="1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left" indent="1"/>
    </xf>
    <xf numFmtId="9" fontId="4" fillId="2" borderId="0" xfId="2" applyFont="1" applyFill="1" applyBorder="1"/>
    <xf numFmtId="174" fontId="12" fillId="2" borderId="0" xfId="42" applyFont="1" applyFill="1"/>
    <xf numFmtId="174" fontId="12" fillId="2" borderId="0" xfId="42" applyFont="1" applyFill="1" applyBorder="1" applyAlignment="1">
      <alignment horizontal="center"/>
    </xf>
    <xf numFmtId="174" fontId="12" fillId="2" borderId="0" xfId="42" applyFont="1" applyFill="1" applyBorder="1"/>
    <xf numFmtId="38" fontId="12" fillId="2" borderId="0" xfId="42" applyNumberFormat="1" applyFont="1" applyFill="1" applyBorder="1"/>
    <xf numFmtId="38" fontId="12" fillId="2" borderId="8" xfId="42" applyNumberFormat="1" applyFont="1" applyFill="1" applyBorder="1" applyAlignment="1">
      <alignment horizontal="right"/>
    </xf>
    <xf numFmtId="0" fontId="14" fillId="2" borderId="0" xfId="0" applyFont="1" applyFill="1" applyAlignment="1">
      <alignment vertical="center" wrapText="1"/>
    </xf>
    <xf numFmtId="17" fontId="12" fillId="2" borderId="0" xfId="42" applyNumberFormat="1" applyFont="1" applyFill="1" applyBorder="1"/>
    <xf numFmtId="0" fontId="0" fillId="2" borderId="0" xfId="0" applyFill="1" applyBorder="1"/>
    <xf numFmtId="174" fontId="12" fillId="2" borderId="3" xfId="42" applyFont="1" applyFill="1" applyBorder="1"/>
    <xf numFmtId="174" fontId="12" fillId="2" borderId="5" xfId="42" applyFont="1" applyFill="1" applyBorder="1"/>
    <xf numFmtId="38" fontId="12" fillId="2" borderId="0" xfId="42" applyNumberFormat="1" applyFont="1" applyFill="1" applyBorder="1" applyAlignment="1">
      <alignment horizontal="center"/>
    </xf>
    <xf numFmtId="174" fontId="12" fillId="2" borderId="5" xfId="42" applyFont="1" applyFill="1" applyBorder="1" applyAlignment="1">
      <alignment horizontal="left"/>
    </xf>
    <xf numFmtId="174" fontId="16" fillId="2" borderId="0" xfId="42" applyFont="1" applyFill="1" applyBorder="1" applyAlignment="1">
      <alignment horizontal="center"/>
    </xf>
    <xf numFmtId="38" fontId="12" fillId="2" borderId="0" xfId="42" applyNumberFormat="1" applyFont="1" applyFill="1" applyBorder="1" applyAlignment="1">
      <alignment horizontal="left"/>
    </xf>
    <xf numFmtId="9" fontId="12" fillId="2" borderId="0" xfId="2" applyFont="1" applyFill="1" applyBorder="1" applyAlignment="1">
      <alignment horizontal="left"/>
    </xf>
    <xf numFmtId="174" fontId="15" fillId="2" borderId="5" xfId="42" applyFont="1" applyFill="1" applyBorder="1" applyAlignment="1">
      <alignment horizontal="left"/>
    </xf>
    <xf numFmtId="38" fontId="16" fillId="2" borderId="0" xfId="42" applyNumberFormat="1" applyFont="1" applyFill="1" applyBorder="1" applyAlignment="1">
      <alignment horizontal="center"/>
    </xf>
    <xf numFmtId="0" fontId="12" fillId="2" borderId="5" xfId="42" applyNumberFormat="1" applyFont="1" applyFill="1" applyBorder="1" applyAlignment="1">
      <alignment horizontal="center"/>
    </xf>
    <xf numFmtId="174" fontId="12" fillId="2" borderId="5" xfId="42" applyFont="1" applyFill="1" applyBorder="1" applyAlignment="1">
      <alignment horizontal="left" indent="1"/>
    </xf>
    <xf numFmtId="38" fontId="12" fillId="2" borderId="0" xfId="42" applyNumberFormat="1" applyFont="1" applyFill="1" applyBorder="1" applyAlignment="1">
      <alignment horizontal="left" indent="1"/>
    </xf>
    <xf numFmtId="170" fontId="12" fillId="2" borderId="0" xfId="1" applyNumberFormat="1" applyFont="1" applyFill="1" applyBorder="1" applyAlignment="1">
      <alignment horizontal="center"/>
    </xf>
    <xf numFmtId="0" fontId="12" fillId="5" borderId="0" xfId="0" applyFont="1" applyFill="1"/>
    <xf numFmtId="0" fontId="12" fillId="5" borderId="0" xfId="0" applyNumberFormat="1" applyFont="1" applyFill="1"/>
    <xf numFmtId="169" fontId="12" fillId="5" borderId="0" xfId="0" applyNumberFormat="1" applyFont="1" applyFill="1"/>
    <xf numFmtId="173" fontId="12" fillId="5" borderId="0" xfId="0" applyNumberFormat="1" applyFont="1" applyFill="1"/>
    <xf numFmtId="0" fontId="17" fillId="5" borderId="0" xfId="0" applyFont="1" applyFill="1"/>
    <xf numFmtId="0" fontId="12" fillId="5" borderId="7" xfId="0" applyFont="1" applyFill="1" applyBorder="1"/>
    <xf numFmtId="170" fontId="4" fillId="2" borderId="0" xfId="10" applyNumberFormat="1" applyFont="1" applyFill="1" applyBorder="1" applyAlignment="1">
      <alignment horizontal="left"/>
    </xf>
    <xf numFmtId="170" fontId="8" fillId="2" borderId="0" xfId="0" applyNumberFormat="1" applyFont="1" applyFill="1" applyBorder="1"/>
    <xf numFmtId="170" fontId="1" fillId="2" borderId="0" xfId="10" applyNumberFormat="1" applyFont="1" applyFill="1" applyBorder="1" applyAlignment="1">
      <alignment horizontal="left" indent="1"/>
    </xf>
    <xf numFmtId="0" fontId="8" fillId="2" borderId="0" xfId="0" applyFont="1" applyFill="1" applyAlignment="1">
      <alignment horizontal="center"/>
    </xf>
    <xf numFmtId="0" fontId="0" fillId="2" borderId="0" xfId="0" applyFont="1" applyFill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 wrapText="1"/>
    </xf>
    <xf numFmtId="0" fontId="23" fillId="2" borderId="0" xfId="0" applyFont="1" applyFill="1"/>
    <xf numFmtId="0" fontId="21" fillId="2" borderId="0" xfId="0" applyFont="1" applyFill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/>
    </xf>
    <xf numFmtId="43" fontId="13" fillId="2" borderId="0" xfId="0" applyNumberFormat="1" applyFont="1" applyFill="1" applyBorder="1" applyAlignment="1">
      <alignment horizontal="center"/>
    </xf>
    <xf numFmtId="0" fontId="4" fillId="2" borderId="0" xfId="28" applyFill="1"/>
    <xf numFmtId="0" fontId="4" fillId="2" borderId="0" xfId="28" applyFill="1" applyBorder="1"/>
    <xf numFmtId="0" fontId="4" fillId="0" borderId="0" xfId="28" applyBorder="1"/>
    <xf numFmtId="0" fontId="4" fillId="0" borderId="0" xfId="28"/>
    <xf numFmtId="0" fontId="4" fillId="2" borderId="0" xfId="0" applyFont="1" applyFill="1" applyAlignment="1"/>
    <xf numFmtId="0" fontId="27" fillId="2" borderId="0" xfId="0" applyFont="1" applyFill="1"/>
    <xf numFmtId="0" fontId="14" fillId="2" borderId="0" xfId="0" applyFont="1" applyFill="1" applyBorder="1" applyAlignment="1">
      <alignment vertical="center" wrapText="1"/>
    </xf>
    <xf numFmtId="0" fontId="8" fillId="4" borderId="0" xfId="0" applyFont="1" applyFill="1" applyBorder="1"/>
    <xf numFmtId="0" fontId="2" fillId="2" borderId="0" xfId="0" applyFont="1" applyFill="1"/>
    <xf numFmtId="0" fontId="4" fillId="2" borderId="0" xfId="28" applyFill="1" applyAlignment="1">
      <alignment horizontal="center"/>
    </xf>
    <xf numFmtId="0" fontId="3" fillId="2" borderId="0" xfId="0" applyFont="1" applyFill="1" applyBorder="1"/>
    <xf numFmtId="170" fontId="3" fillId="2" borderId="6" xfId="1" applyNumberFormat="1" applyFont="1" applyFill="1" applyBorder="1"/>
    <xf numFmtId="0" fontId="25" fillId="2" borderId="0" xfId="0" applyFont="1" applyFill="1"/>
    <xf numFmtId="10" fontId="12" fillId="5" borderId="0" xfId="2" applyNumberFormat="1" applyFont="1" applyFill="1"/>
    <xf numFmtId="8" fontId="12" fillId="5" borderId="0" xfId="0" applyNumberFormat="1" applyFont="1" applyFill="1"/>
    <xf numFmtId="0" fontId="12" fillId="5" borderId="0" xfId="0" applyFont="1" applyFill="1" applyBorder="1"/>
    <xf numFmtId="43" fontId="12" fillId="2" borderId="0" xfId="1" applyFont="1" applyFill="1" applyBorder="1" applyAlignment="1">
      <alignment horizontal="center"/>
    </xf>
    <xf numFmtId="43" fontId="12" fillId="2" borderId="0" xfId="1" applyFont="1" applyFill="1" applyBorder="1"/>
    <xf numFmtId="178" fontId="12" fillId="2" borderId="0" xfId="1" applyNumberFormat="1" applyFont="1" applyFill="1" applyBorder="1"/>
    <xf numFmtId="0" fontId="4" fillId="2" borderId="0" xfId="0" applyFont="1" applyFill="1" applyBorder="1" applyAlignment="1"/>
    <xf numFmtId="0" fontId="0" fillId="2" borderId="0" xfId="0" quotePrefix="1" applyFont="1" applyFill="1"/>
    <xf numFmtId="43" fontId="12" fillId="5" borderId="0" xfId="0" applyNumberFormat="1" applyFont="1" applyFill="1"/>
    <xf numFmtId="0" fontId="33" fillId="2" borderId="0" xfId="0" applyFont="1" applyFill="1"/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center"/>
    </xf>
    <xf numFmtId="0" fontId="33" fillId="2" borderId="0" xfId="0" applyFont="1" applyFill="1" applyBorder="1"/>
    <xf numFmtId="0" fontId="0" fillId="2" borderId="0" xfId="0" applyFont="1" applyFill="1" applyAlignment="1">
      <alignment horizontal="center"/>
    </xf>
    <xf numFmtId="170" fontId="1" fillId="2" borderId="16" xfId="10" applyNumberFormat="1" applyFont="1" applyFill="1" applyBorder="1" applyAlignment="1">
      <alignment horizontal="left" indent="1"/>
    </xf>
    <xf numFmtId="0" fontId="38" fillId="2" borderId="20" xfId="0" quotePrefix="1" applyFont="1" applyFill="1" applyBorder="1" applyAlignment="1">
      <alignment horizontal="center" vertical="center"/>
    </xf>
    <xf numFmtId="0" fontId="38" fillId="2" borderId="12" xfId="0" quotePrefix="1" applyFont="1" applyFill="1" applyBorder="1" applyAlignment="1">
      <alignment horizontal="center" vertical="center"/>
    </xf>
    <xf numFmtId="170" fontId="24" fillId="2" borderId="14" xfId="10" applyNumberFormat="1" applyFont="1" applyFill="1" applyBorder="1" applyAlignment="1">
      <alignment horizontal="left" indent="1"/>
    </xf>
    <xf numFmtId="170" fontId="0" fillId="2" borderId="16" xfId="10" applyNumberFormat="1" applyFont="1" applyFill="1" applyBorder="1" applyAlignment="1">
      <alignment horizontal="left" indent="1"/>
    </xf>
    <xf numFmtId="170" fontId="24" fillId="2" borderId="16" xfId="10" applyNumberFormat="1" applyFont="1" applyFill="1" applyBorder="1" applyAlignment="1">
      <alignment horizontal="left" indent="1"/>
    </xf>
    <xf numFmtId="170" fontId="24" fillId="2" borderId="16" xfId="10" applyNumberFormat="1" applyFont="1" applyFill="1" applyBorder="1" applyAlignment="1">
      <alignment horizontal="left" wrapText="1" indent="1"/>
    </xf>
    <xf numFmtId="0" fontId="39" fillId="2" borderId="0" xfId="0" applyFont="1" applyFill="1" applyBorder="1" applyAlignment="1">
      <alignment horizontal="center" vertical="center"/>
    </xf>
    <xf numFmtId="170" fontId="33" fillId="2" borderId="35" xfId="10" applyNumberFormat="1" applyFont="1" applyFill="1" applyBorder="1" applyAlignment="1">
      <alignment horizontal="left" indent="1"/>
    </xf>
    <xf numFmtId="0" fontId="12" fillId="4" borderId="13" xfId="0" quotePrefix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top"/>
    </xf>
    <xf numFmtId="0" fontId="7" fillId="2" borderId="0" xfId="3" applyFont="1" applyFill="1" applyBorder="1" applyAlignment="1">
      <alignment horizontal="center"/>
    </xf>
    <xf numFmtId="170" fontId="8" fillId="2" borderId="0" xfId="10" applyNumberFormat="1" applyFont="1" applyFill="1" applyBorder="1" applyAlignment="1">
      <alignment horizontal="left"/>
    </xf>
    <xf numFmtId="173" fontId="8" fillId="2" borderId="0" xfId="0" applyNumberFormat="1" applyFont="1" applyFill="1" applyBorder="1"/>
    <xf numFmtId="167" fontId="4" fillId="4" borderId="17" xfId="10" applyNumberFormat="1" applyFont="1" applyFill="1" applyBorder="1" applyAlignment="1">
      <alignment horizontal="right"/>
    </xf>
    <xf numFmtId="167" fontId="4" fillId="2" borderId="17" xfId="10" applyNumberFormat="1" applyFont="1" applyFill="1" applyBorder="1" applyAlignment="1">
      <alignment horizontal="right"/>
    </xf>
    <xf numFmtId="167" fontId="4" fillId="2" borderId="27" xfId="10" applyNumberFormat="1" applyFont="1" applyFill="1" applyBorder="1" applyAlignment="1">
      <alignment horizontal="right"/>
    </xf>
    <xf numFmtId="167" fontId="4" fillId="2" borderId="37" xfId="10" applyNumberFormat="1" applyFont="1" applyFill="1" applyBorder="1" applyAlignment="1">
      <alignment horizontal="right"/>
    </xf>
    <xf numFmtId="0" fontId="0" fillId="2" borderId="0" xfId="0" applyFont="1" applyFill="1" applyAlignment="1"/>
    <xf numFmtId="0" fontId="6" fillId="2" borderId="0" xfId="3" applyFont="1" applyFill="1" applyBorder="1" applyAlignment="1">
      <alignment horizontal="center"/>
    </xf>
    <xf numFmtId="0" fontId="25" fillId="2" borderId="0" xfId="0" applyFont="1" applyFill="1" applyAlignment="1">
      <alignment horizontal="center" vertical="center"/>
    </xf>
    <xf numFmtId="167" fontId="2" fillId="2" borderId="15" xfId="10" applyNumberFormat="1" applyFont="1" applyFill="1" applyBorder="1" applyAlignment="1">
      <alignment horizontal="right"/>
    </xf>
    <xf numFmtId="167" fontId="1" fillId="2" borderId="17" xfId="10" applyNumberFormat="1" applyFont="1" applyFill="1" applyBorder="1" applyAlignment="1">
      <alignment horizontal="right"/>
    </xf>
    <xf numFmtId="167" fontId="1" fillId="2" borderId="24" xfId="10" applyNumberFormat="1" applyFont="1" applyFill="1" applyBorder="1" applyAlignment="1">
      <alignment horizontal="right"/>
    </xf>
    <xf numFmtId="167" fontId="1" fillId="2" borderId="29" xfId="10" applyNumberFormat="1" applyFont="1" applyFill="1" applyBorder="1" applyAlignment="1">
      <alignment horizontal="right"/>
    </xf>
    <xf numFmtId="167" fontId="2" fillId="2" borderId="15" xfId="0" applyNumberFormat="1" applyFont="1" applyFill="1" applyBorder="1" applyAlignment="1">
      <alignment horizontal="right"/>
    </xf>
    <xf numFmtId="167" fontId="1" fillId="2" borderId="19" xfId="10" applyNumberFormat="1" applyFont="1" applyFill="1" applyBorder="1" applyAlignment="1">
      <alignment horizontal="right"/>
    </xf>
    <xf numFmtId="167" fontId="2" fillId="2" borderId="32" xfId="10" applyNumberFormat="1" applyFont="1" applyFill="1" applyBorder="1" applyAlignment="1">
      <alignment horizontal="right"/>
    </xf>
    <xf numFmtId="170" fontId="2" fillId="2" borderId="26" xfId="10" applyNumberFormat="1" applyFont="1" applyFill="1" applyBorder="1" applyAlignment="1">
      <alignment horizontal="left"/>
    </xf>
    <xf numFmtId="170" fontId="2" fillId="2" borderId="15" xfId="10" applyNumberFormat="1" applyFont="1" applyFill="1" applyBorder="1" applyAlignment="1">
      <alignment horizontal="left"/>
    </xf>
    <xf numFmtId="170" fontId="2" fillId="2" borderId="26" xfId="0" applyNumberFormat="1" applyFont="1" applyFill="1" applyBorder="1"/>
    <xf numFmtId="170" fontId="2" fillId="2" borderId="15" xfId="0" applyNumberFormat="1" applyFont="1" applyFill="1" applyBorder="1"/>
    <xf numFmtId="0" fontId="24" fillId="2" borderId="0" xfId="0" applyFont="1" applyFill="1" applyAlignment="1">
      <alignment horizontal="left" indent="3"/>
    </xf>
    <xf numFmtId="0" fontId="24" fillId="2" borderId="0" xfId="0" applyFont="1" applyFill="1" applyAlignment="1">
      <alignment horizontal="left" indent="6"/>
    </xf>
    <xf numFmtId="0" fontId="9" fillId="2" borderId="0" xfId="0" applyFont="1" applyFill="1" applyAlignment="1">
      <alignment horizontal="left" indent="2"/>
    </xf>
    <xf numFmtId="167" fontId="4" fillId="2" borderId="0" xfId="10" applyNumberFormat="1" applyFont="1" applyFill="1" applyBorder="1" applyAlignment="1">
      <alignment horizontal="right"/>
    </xf>
    <xf numFmtId="0" fontId="2" fillId="2" borderId="0" xfId="0" applyFont="1" applyFill="1" applyAlignment="1">
      <alignment horizontal="center" vertical="center" wrapText="1"/>
    </xf>
    <xf numFmtId="177" fontId="4" fillId="4" borderId="0" xfId="1" applyNumberFormat="1" applyFont="1" applyFill="1" applyBorder="1"/>
    <xf numFmtId="0" fontId="8" fillId="2" borderId="0" xfId="0" applyFont="1" applyFill="1" applyBorder="1"/>
    <xf numFmtId="0" fontId="12" fillId="5" borderId="0" xfId="0" applyFont="1" applyFill="1" applyBorder="1" applyAlignment="1">
      <alignment horizontal="left"/>
    </xf>
    <xf numFmtId="9" fontId="18" fillId="5" borderId="0" xfId="2" applyFont="1" applyFill="1" applyBorder="1" applyAlignment="1">
      <alignment horizontal="center"/>
    </xf>
    <xf numFmtId="0" fontId="19" fillId="5" borderId="0" xfId="0" applyFont="1" applyFill="1" applyBorder="1"/>
    <xf numFmtId="167" fontId="4" fillId="2" borderId="27" xfId="10" applyNumberFormat="1" applyFont="1" applyFill="1" applyBorder="1" applyAlignment="1">
      <alignment horizontal="left"/>
    </xf>
    <xf numFmtId="167" fontId="4" fillId="4" borderId="27" xfId="10" applyNumberFormat="1" applyFont="1" applyFill="1" applyBorder="1" applyAlignment="1">
      <alignment horizontal="left"/>
    </xf>
    <xf numFmtId="167" fontId="4" fillId="4" borderId="27" xfId="10" applyNumberFormat="1" applyFont="1" applyFill="1" applyBorder="1" applyAlignment="1">
      <alignment horizontal="right"/>
    </xf>
    <xf numFmtId="9" fontId="4" fillId="4" borderId="27" xfId="2" applyFont="1" applyFill="1" applyBorder="1" applyAlignment="1">
      <alignment horizontal="right"/>
    </xf>
    <xf numFmtId="170" fontId="4" fillId="4" borderId="27" xfId="1" applyNumberFormat="1" applyFont="1" applyFill="1" applyBorder="1" applyAlignment="1">
      <alignment horizontal="right"/>
    </xf>
    <xf numFmtId="0" fontId="26" fillId="2" borderId="3" xfId="0" applyFont="1" applyFill="1" applyBorder="1" applyAlignment="1">
      <alignment vertical="center" wrapText="1"/>
    </xf>
    <xf numFmtId="0" fontId="26" fillId="2" borderId="0" xfId="0" applyFont="1" applyFill="1" applyBorder="1" applyAlignment="1">
      <alignment vertical="center" wrapText="1"/>
    </xf>
    <xf numFmtId="170" fontId="0" fillId="2" borderId="16" xfId="10" applyNumberFormat="1" applyFont="1" applyFill="1" applyBorder="1" applyAlignment="1">
      <alignment horizontal="left" indent="1"/>
    </xf>
    <xf numFmtId="170" fontId="1" fillId="2" borderId="16" xfId="10" applyNumberFormat="1" applyFont="1" applyFill="1" applyBorder="1" applyAlignment="1">
      <alignment horizontal="left" indent="1"/>
    </xf>
    <xf numFmtId="170" fontId="24" fillId="2" borderId="14" xfId="10" applyNumberFormat="1" applyFont="1" applyFill="1" applyBorder="1" applyAlignment="1">
      <alignment horizontal="left" indent="1"/>
    </xf>
    <xf numFmtId="0" fontId="30" fillId="2" borderId="26" xfId="10" applyNumberFormat="1" applyFont="1" applyFill="1" applyBorder="1" applyAlignment="1">
      <alignment horizontal="center"/>
    </xf>
    <xf numFmtId="0" fontId="27" fillId="2" borderId="27" xfId="10" applyNumberFormat="1" applyFont="1" applyFill="1" applyBorder="1" applyAlignment="1">
      <alignment horizontal="center"/>
    </xf>
    <xf numFmtId="0" fontId="30" fillId="2" borderId="27" xfId="10" applyNumberFormat="1" applyFont="1" applyFill="1" applyBorder="1" applyAlignment="1">
      <alignment horizontal="center"/>
    </xf>
    <xf numFmtId="170" fontId="24" fillId="2" borderId="27" xfId="10" applyNumberFormat="1" applyFont="1" applyFill="1" applyBorder="1" applyAlignment="1">
      <alignment wrapText="1"/>
    </xf>
    <xf numFmtId="0" fontId="30" fillId="2" borderId="16" xfId="10" applyNumberFormat="1" applyFont="1" applyFill="1" applyBorder="1" applyAlignment="1">
      <alignment horizontal="center"/>
    </xf>
    <xf numFmtId="170" fontId="37" fillId="4" borderId="11" xfId="10" applyNumberFormat="1" applyFont="1" applyFill="1" applyBorder="1" applyAlignment="1">
      <alignment horizontal="center" vertical="top"/>
    </xf>
    <xf numFmtId="0" fontId="38" fillId="4" borderId="45" xfId="0" quotePrefix="1" applyFont="1" applyFill="1" applyBorder="1" applyAlignment="1">
      <alignment horizontal="center" vertical="center"/>
    </xf>
    <xf numFmtId="0" fontId="30" fillId="2" borderId="46" xfId="10" applyNumberFormat="1" applyFont="1" applyFill="1" applyBorder="1" applyAlignment="1">
      <alignment horizontal="center"/>
    </xf>
    <xf numFmtId="0" fontId="30" fillId="2" borderId="27" xfId="10" applyNumberFormat="1" applyFont="1" applyFill="1" applyBorder="1" applyAlignment="1">
      <alignment horizontal="center" wrapText="1"/>
    </xf>
    <xf numFmtId="0" fontId="27" fillId="2" borderId="16" xfId="10" applyNumberFormat="1" applyFont="1" applyFill="1" applyBorder="1" applyAlignment="1">
      <alignment horizontal="center"/>
    </xf>
    <xf numFmtId="0" fontId="26" fillId="2" borderId="0" xfId="0" applyFont="1" applyFill="1" applyAlignment="1">
      <alignment vertical="center" wrapText="1"/>
    </xf>
    <xf numFmtId="0" fontId="26" fillId="2" borderId="9" xfId="0" applyFont="1" applyFill="1" applyBorder="1" applyAlignment="1">
      <alignment vertical="center" wrapText="1"/>
    </xf>
    <xf numFmtId="170" fontId="9" fillId="2" borderId="16" xfId="10" applyNumberFormat="1" applyFont="1" applyFill="1" applyBorder="1" applyAlignment="1">
      <alignment horizontal="left" indent="1"/>
    </xf>
    <xf numFmtId="167" fontId="2" fillId="2" borderId="29" xfId="10" applyNumberFormat="1" applyFont="1" applyFill="1" applyBorder="1" applyAlignment="1">
      <alignment horizontal="right"/>
    </xf>
    <xf numFmtId="0" fontId="41" fillId="2" borderId="27" xfId="10" applyNumberFormat="1" applyFont="1" applyFill="1" applyBorder="1" applyAlignment="1">
      <alignment horizontal="right"/>
    </xf>
    <xf numFmtId="0" fontId="41" fillId="2" borderId="27" xfId="10" applyNumberFormat="1" applyFont="1" applyFill="1" applyBorder="1" applyAlignment="1">
      <alignment horizontal="center"/>
    </xf>
    <xf numFmtId="0" fontId="24" fillId="2" borderId="0" xfId="0" applyFont="1" applyFill="1" applyAlignment="1">
      <alignment horizontal="left" indent="1"/>
    </xf>
    <xf numFmtId="0" fontId="0" fillId="2" borderId="0" xfId="0" applyFont="1" applyFill="1" applyAlignment="1">
      <alignment horizontal="left" indent="1"/>
    </xf>
    <xf numFmtId="0" fontId="0" fillId="2" borderId="0" xfId="0" quotePrefix="1" applyFont="1" applyFill="1" applyAlignment="1">
      <alignment horizontal="left" indent="1"/>
    </xf>
    <xf numFmtId="0" fontId="44" fillId="2" borderId="0" xfId="0" applyFont="1" applyFill="1" applyAlignment="1">
      <alignment vertical="center" wrapText="1"/>
    </xf>
    <xf numFmtId="0" fontId="45" fillId="2" borderId="0" xfId="0" applyFont="1" applyFill="1"/>
    <xf numFmtId="0" fontId="4" fillId="2" borderId="0" xfId="0" applyFont="1" applyFill="1" applyAlignment="1">
      <alignment horizontal="left" indent="3"/>
    </xf>
    <xf numFmtId="0" fontId="2" fillId="2" borderId="0" xfId="0" applyFont="1" applyFill="1" applyAlignment="1">
      <alignment horizontal="left" indent="1"/>
    </xf>
    <xf numFmtId="0" fontId="9" fillId="2" borderId="0" xfId="0" applyFont="1" applyFill="1" applyAlignment="1">
      <alignment horizontal="left" indent="1"/>
    </xf>
    <xf numFmtId="0" fontId="40" fillId="2" borderId="0" xfId="0" applyFont="1" applyFill="1" applyAlignment="1">
      <alignment horizontal="left" indent="1"/>
    </xf>
    <xf numFmtId="167" fontId="4" fillId="4" borderId="17" xfId="10" applyNumberFormat="1" applyFont="1" applyFill="1" applyBorder="1" applyAlignment="1">
      <alignment horizontal="left"/>
    </xf>
    <xf numFmtId="167" fontId="4" fillId="4" borderId="17" xfId="10" applyNumberFormat="1" applyFont="1" applyFill="1" applyBorder="1" applyAlignment="1">
      <alignment horizontal="left" indent="2"/>
    </xf>
    <xf numFmtId="0" fontId="4" fillId="4" borderId="17" xfId="10" applyNumberFormat="1" applyFont="1" applyFill="1" applyBorder="1" applyAlignment="1">
      <alignment horizontal="center"/>
    </xf>
    <xf numFmtId="167" fontId="4" fillId="4" borderId="24" xfId="10" applyNumberFormat="1" applyFont="1" applyFill="1" applyBorder="1" applyAlignment="1">
      <alignment horizontal="left"/>
    </xf>
    <xf numFmtId="0" fontId="4" fillId="4" borderId="17" xfId="10" applyNumberFormat="1" applyFont="1" applyFill="1" applyBorder="1" applyAlignment="1">
      <alignment horizontal="left"/>
    </xf>
    <xf numFmtId="0" fontId="4" fillId="6" borderId="17" xfId="10" applyNumberFormat="1" applyFont="1" applyFill="1" applyBorder="1" applyAlignment="1">
      <alignment horizontal="center"/>
    </xf>
    <xf numFmtId="174" fontId="38" fillId="2" borderId="5" xfId="42" applyFont="1" applyFill="1" applyBorder="1"/>
    <xf numFmtId="174" fontId="19" fillId="2" borderId="5" xfId="42" applyFont="1" applyFill="1" applyBorder="1"/>
    <xf numFmtId="174" fontId="38" fillId="2" borderId="0" xfId="42" applyFont="1" applyFill="1" applyBorder="1" applyAlignment="1">
      <alignment horizontal="center" wrapText="1"/>
    </xf>
    <xf numFmtId="174" fontId="38" fillId="2" borderId="0" xfId="42" applyFont="1" applyFill="1" applyBorder="1" applyAlignment="1">
      <alignment horizontal="center"/>
    </xf>
    <xf numFmtId="174" fontId="19" fillId="2" borderId="5" xfId="42" applyFont="1" applyFill="1" applyBorder="1" applyAlignment="1">
      <alignment horizontal="left"/>
    </xf>
    <xf numFmtId="174" fontId="38" fillId="2" borderId="5" xfId="42" applyFont="1" applyFill="1" applyBorder="1" applyAlignment="1">
      <alignment horizontal="center"/>
    </xf>
    <xf numFmtId="38" fontId="38" fillId="2" borderId="0" xfId="42" applyNumberFormat="1" applyFont="1" applyFill="1" applyBorder="1" applyAlignment="1">
      <alignment horizontal="center"/>
    </xf>
    <xf numFmtId="38" fontId="38" fillId="2" borderId="0" xfId="42" applyNumberFormat="1" applyFont="1" applyFill="1" applyBorder="1"/>
    <xf numFmtId="167" fontId="4" fillId="2" borderId="24" xfId="10" applyNumberFormat="1" applyFont="1" applyFill="1" applyBorder="1" applyAlignment="1">
      <alignment horizontal="right"/>
    </xf>
    <xf numFmtId="170" fontId="4" fillId="2" borderId="0" xfId="1" applyNumberFormat="1" applyFont="1" applyFill="1" applyBorder="1" applyAlignment="1">
      <alignment horizontal="center"/>
    </xf>
    <xf numFmtId="175" fontId="4" fillId="2" borderId="0" xfId="1" applyNumberFormat="1" applyFont="1" applyFill="1" applyBorder="1" applyAlignment="1">
      <alignment horizontal="center"/>
    </xf>
    <xf numFmtId="0" fontId="8" fillId="2" borderId="0" xfId="0" applyFont="1" applyFill="1" applyBorder="1" applyAlignment="1"/>
    <xf numFmtId="167" fontId="4" fillId="2" borderId="17" xfId="10" applyNumberFormat="1" applyFont="1" applyFill="1" applyBorder="1" applyAlignment="1">
      <alignment horizontal="left"/>
    </xf>
    <xf numFmtId="0" fontId="12" fillId="4" borderId="13" xfId="0" quotePrefix="1" applyFont="1" applyFill="1" applyBorder="1" applyAlignment="1">
      <alignment horizontal="center" vertical="center" wrapText="1"/>
    </xf>
    <xf numFmtId="0" fontId="12" fillId="4" borderId="22" xfId="0" quotePrefix="1" applyFont="1" applyFill="1" applyBorder="1" applyAlignment="1">
      <alignment horizontal="center" vertical="center" wrapText="1"/>
    </xf>
    <xf numFmtId="0" fontId="29" fillId="2" borderId="0" xfId="0" applyFont="1" applyFill="1" applyAlignment="1">
      <alignment vertical="center" wrapText="1"/>
    </xf>
    <xf numFmtId="174" fontId="19" fillId="2" borderId="0" xfId="42" applyFont="1" applyFill="1" applyBorder="1" applyAlignment="1">
      <alignment horizontal="left"/>
    </xf>
    <xf numFmtId="0" fontId="25" fillId="2" borderId="0" xfId="0" applyFont="1" applyFill="1" applyBorder="1" applyAlignment="1">
      <alignment horizontal="center" vertical="center"/>
    </xf>
    <xf numFmtId="0" fontId="17" fillId="5" borderId="0" xfId="0" applyFont="1" applyFill="1" applyBorder="1"/>
    <xf numFmtId="0" fontId="0" fillId="2" borderId="0" xfId="0" applyFont="1" applyFill="1" applyBorder="1"/>
    <xf numFmtId="9" fontId="4" fillId="4" borderId="27" xfId="2" applyFont="1" applyFill="1" applyBorder="1" applyAlignment="1">
      <alignment horizontal="left"/>
    </xf>
    <xf numFmtId="0" fontId="43" fillId="2" borderId="0" xfId="0" applyFont="1" applyFill="1"/>
    <xf numFmtId="0" fontId="46" fillId="2" borderId="0" xfId="0" applyFont="1" applyFill="1"/>
    <xf numFmtId="2" fontId="4" fillId="4" borderId="17" xfId="10" applyNumberFormat="1" applyFont="1" applyFill="1" applyBorder="1" applyAlignment="1">
      <alignment horizontal="center"/>
    </xf>
    <xf numFmtId="0" fontId="12" fillId="2" borderId="0" xfId="0" applyFont="1" applyFill="1" applyBorder="1"/>
    <xf numFmtId="0" fontId="18" fillId="2" borderId="0" xfId="0" applyFont="1" applyFill="1" applyBorder="1"/>
    <xf numFmtId="9" fontId="4" fillId="4" borderId="17" xfId="2" applyFont="1" applyFill="1" applyBorder="1" applyAlignment="1">
      <alignment horizontal="center"/>
    </xf>
    <xf numFmtId="0" fontId="42" fillId="2" borderId="0" xfId="0" applyFont="1" applyFill="1" applyBorder="1" applyAlignment="1">
      <alignment vertical="center"/>
    </xf>
    <xf numFmtId="9" fontId="4" fillId="4" borderId="24" xfId="2" applyFont="1" applyFill="1" applyBorder="1" applyAlignment="1">
      <alignment horizontal="center"/>
    </xf>
    <xf numFmtId="170" fontId="4" fillId="2" borderId="0" xfId="1" applyNumberFormat="1" applyFont="1" applyFill="1" applyBorder="1"/>
    <xf numFmtId="170" fontId="4" fillId="2" borderId="0" xfId="0" applyNumberFormat="1" applyFont="1" applyFill="1" applyBorder="1"/>
    <xf numFmtId="0" fontId="42" fillId="2" borderId="0" xfId="0" applyFont="1" applyFill="1" applyBorder="1" applyAlignment="1">
      <alignment horizontal="left" vertical="center" indent="3"/>
    </xf>
    <xf numFmtId="167" fontId="8" fillId="2" borderId="36" xfId="10" applyNumberFormat="1" applyFont="1" applyFill="1" applyBorder="1" applyAlignment="1">
      <alignment horizontal="left"/>
    </xf>
    <xf numFmtId="167" fontId="8" fillId="2" borderId="23" xfId="10" applyNumberFormat="1" applyFont="1" applyFill="1" applyBorder="1" applyAlignment="1">
      <alignment horizontal="left"/>
    </xf>
    <xf numFmtId="167" fontId="8" fillId="2" borderId="14" xfId="10" applyNumberFormat="1" applyFont="1" applyFill="1" applyBorder="1" applyAlignment="1">
      <alignment horizontal="left"/>
    </xf>
    <xf numFmtId="167" fontId="4" fillId="2" borderId="37" xfId="10" applyNumberFormat="1" applyFont="1" applyFill="1" applyBorder="1" applyAlignment="1">
      <alignment horizontal="left"/>
    </xf>
    <xf numFmtId="167" fontId="4" fillId="2" borderId="24" xfId="10" applyNumberFormat="1" applyFont="1" applyFill="1" applyBorder="1" applyAlignment="1">
      <alignment horizontal="left"/>
    </xf>
    <xf numFmtId="167" fontId="4" fillId="2" borderId="16" xfId="10" applyNumberFormat="1" applyFont="1" applyFill="1" applyBorder="1" applyAlignment="1">
      <alignment horizontal="left"/>
    </xf>
    <xf numFmtId="167" fontId="4" fillId="2" borderId="38" xfId="10" applyNumberFormat="1" applyFont="1" applyFill="1" applyBorder="1" applyAlignment="1">
      <alignment horizontal="left"/>
    </xf>
    <xf numFmtId="167" fontId="4" fillId="2" borderId="30" xfId="10" applyNumberFormat="1" applyFont="1" applyFill="1" applyBorder="1" applyAlignment="1">
      <alignment horizontal="left"/>
    </xf>
    <xf numFmtId="167" fontId="4" fillId="2" borderId="42" xfId="10" applyNumberFormat="1" applyFont="1" applyFill="1" applyBorder="1" applyAlignment="1">
      <alignment horizontal="left"/>
    </xf>
    <xf numFmtId="167" fontId="15" fillId="2" borderId="26" xfId="0" applyNumberFormat="1" applyFont="1" applyFill="1" applyBorder="1"/>
    <xf numFmtId="167" fontId="15" fillId="2" borderId="39" xfId="0" applyNumberFormat="1" applyFont="1" applyFill="1" applyBorder="1"/>
    <xf numFmtId="167" fontId="4" fillId="2" borderId="27" xfId="10" applyNumberFormat="1" applyFont="1" applyFill="1" applyBorder="1" applyAlignment="1">
      <alignment horizontal="center"/>
    </xf>
    <xf numFmtId="167" fontId="4" fillId="2" borderId="37" xfId="10" applyNumberFormat="1" applyFont="1" applyFill="1" applyBorder="1" applyAlignment="1">
      <alignment horizontal="center"/>
    </xf>
    <xf numFmtId="167" fontId="4" fillId="2" borderId="24" xfId="10" applyNumberFormat="1" applyFont="1" applyFill="1" applyBorder="1" applyAlignment="1">
      <alignment horizontal="center"/>
    </xf>
    <xf numFmtId="167" fontId="4" fillId="2" borderId="16" xfId="10" applyNumberFormat="1" applyFont="1" applyFill="1" applyBorder="1" applyAlignment="1">
      <alignment horizontal="center"/>
    </xf>
    <xf numFmtId="167" fontId="4" fillId="2" borderId="38" xfId="10" applyNumberFormat="1" applyFont="1" applyFill="1" applyBorder="1" applyAlignment="1">
      <alignment horizontal="center"/>
    </xf>
    <xf numFmtId="167" fontId="4" fillId="2" borderId="30" xfId="10" applyNumberFormat="1" applyFont="1" applyFill="1" applyBorder="1" applyAlignment="1">
      <alignment horizontal="center"/>
    </xf>
    <xf numFmtId="167" fontId="4" fillId="2" borderId="42" xfId="10" applyNumberFormat="1" applyFont="1" applyFill="1" applyBorder="1" applyAlignment="1">
      <alignment horizontal="center"/>
    </xf>
    <xf numFmtId="167" fontId="8" fillId="2" borderId="36" xfId="0" applyNumberFormat="1" applyFont="1" applyFill="1" applyBorder="1"/>
    <xf numFmtId="167" fontId="8" fillId="2" borderId="23" xfId="0" applyNumberFormat="1" applyFont="1" applyFill="1" applyBorder="1"/>
    <xf numFmtId="167" fontId="8" fillId="2" borderId="14" xfId="0" applyNumberFormat="1" applyFont="1" applyFill="1" applyBorder="1"/>
    <xf numFmtId="167" fontId="4" fillId="2" borderId="28" xfId="10" applyNumberFormat="1" applyFont="1" applyFill="1" applyBorder="1" applyAlignment="1">
      <alignment horizontal="center"/>
    </xf>
    <xf numFmtId="167" fontId="4" fillId="2" borderId="40" xfId="10" applyNumberFormat="1" applyFont="1" applyFill="1" applyBorder="1" applyAlignment="1">
      <alignment horizontal="center"/>
    </xf>
    <xf numFmtId="167" fontId="4" fillId="2" borderId="25" xfId="10" applyNumberFormat="1" applyFont="1" applyFill="1" applyBorder="1" applyAlignment="1">
      <alignment horizontal="center"/>
    </xf>
    <xf numFmtId="167" fontId="8" fillId="2" borderId="34" xfId="10" applyNumberFormat="1" applyFont="1" applyFill="1" applyBorder="1" applyAlignment="1">
      <alignment horizontal="left"/>
    </xf>
    <xf numFmtId="167" fontId="8" fillId="2" borderId="41" xfId="10" applyNumberFormat="1" applyFont="1" applyFill="1" applyBorder="1" applyAlignment="1">
      <alignment horizontal="left"/>
    </xf>
    <xf numFmtId="167" fontId="8" fillId="2" borderId="33" xfId="10" applyNumberFormat="1" applyFont="1" applyFill="1" applyBorder="1" applyAlignment="1">
      <alignment horizontal="left"/>
    </xf>
    <xf numFmtId="167" fontId="8" fillId="2" borderId="43" xfId="10" applyNumberFormat="1" applyFont="1" applyFill="1" applyBorder="1" applyAlignment="1">
      <alignment horizontal="left"/>
    </xf>
    <xf numFmtId="0" fontId="4" fillId="4" borderId="27" xfId="2" applyNumberFormat="1" applyFont="1" applyFill="1" applyBorder="1" applyAlignment="1">
      <alignment horizontal="right"/>
    </xf>
    <xf numFmtId="0" fontId="42" fillId="2" borderId="0" xfId="0" applyFont="1" applyFill="1" applyBorder="1" applyAlignment="1">
      <alignment vertical="top"/>
    </xf>
    <xf numFmtId="170" fontId="2" fillId="2" borderId="44" xfId="10" applyNumberFormat="1" applyFont="1" applyFill="1" applyBorder="1" applyAlignment="1">
      <alignment horizontal="left"/>
    </xf>
    <xf numFmtId="170" fontId="1" fillId="2" borderId="25" xfId="10" applyNumberFormat="1" applyFont="1" applyFill="1" applyBorder="1" applyAlignment="1">
      <alignment horizontal="left"/>
    </xf>
    <xf numFmtId="0" fontId="27" fillId="2" borderId="26" xfId="10" applyNumberFormat="1" applyFont="1" applyFill="1" applyBorder="1" applyAlignment="1">
      <alignment horizontal="center"/>
    </xf>
    <xf numFmtId="170" fontId="0" fillId="2" borderId="18" xfId="10" applyNumberFormat="1" applyFont="1" applyFill="1" applyBorder="1" applyAlignment="1"/>
    <xf numFmtId="0" fontId="27" fillId="2" borderId="28" xfId="10" applyNumberFormat="1" applyFont="1" applyFill="1" applyBorder="1" applyAlignment="1">
      <alignment horizontal="center"/>
    </xf>
    <xf numFmtId="170" fontId="1" fillId="2" borderId="19" xfId="10" applyNumberFormat="1" applyFont="1" applyFill="1" applyBorder="1" applyAlignment="1">
      <alignment horizontal="left"/>
    </xf>
    <xf numFmtId="170" fontId="1" fillId="2" borderId="28" xfId="10" applyNumberFormat="1" applyFont="1" applyFill="1" applyBorder="1" applyAlignment="1">
      <alignment horizontal="left"/>
    </xf>
    <xf numFmtId="0" fontId="24" fillId="2" borderId="0" xfId="0" applyFont="1" applyFill="1" applyBorder="1" applyAlignment="1">
      <alignment horizontal="left" indent="1"/>
    </xf>
    <xf numFmtId="0" fontId="1" fillId="2" borderId="27" xfId="10" applyNumberFormat="1" applyFont="1" applyFill="1" applyBorder="1" applyAlignment="1">
      <alignment horizontal="left" indent="1"/>
    </xf>
    <xf numFmtId="167" fontId="1" fillId="2" borderId="17" xfId="10" applyNumberFormat="1" applyFont="1" applyFill="1" applyBorder="1" applyAlignment="1">
      <alignment horizontal="left"/>
    </xf>
    <xf numFmtId="0" fontId="42" fillId="2" borderId="0" xfId="0" applyFont="1" applyFill="1" applyBorder="1" applyAlignment="1">
      <alignment horizontal="left" vertical="center"/>
    </xf>
    <xf numFmtId="170" fontId="4" fillId="4" borderId="27" xfId="10" applyNumberFormat="1" applyFont="1" applyFill="1" applyBorder="1" applyAlignment="1">
      <alignment horizontal="right"/>
    </xf>
    <xf numFmtId="167" fontId="0" fillId="2" borderId="17" xfId="10" applyNumberFormat="1" applyFont="1" applyFill="1" applyBorder="1" applyAlignment="1">
      <alignment horizontal="left"/>
    </xf>
    <xf numFmtId="0" fontId="1" fillId="2" borderId="0" xfId="10" applyNumberFormat="1" applyFont="1" applyFill="1" applyBorder="1" applyAlignment="1">
      <alignment horizontal="left" indent="1"/>
    </xf>
    <xf numFmtId="167" fontId="4" fillId="2" borderId="0" xfId="10" applyNumberFormat="1" applyFont="1" applyFill="1" applyBorder="1" applyAlignment="1">
      <alignment horizontal="center"/>
    </xf>
    <xf numFmtId="0" fontId="0" fillId="2" borderId="27" xfId="10" applyNumberFormat="1" applyFont="1" applyFill="1" applyBorder="1" applyAlignment="1">
      <alignment horizontal="left" indent="1"/>
    </xf>
    <xf numFmtId="167" fontId="18" fillId="2" borderId="27" xfId="10" applyNumberFormat="1" applyFont="1" applyFill="1" applyBorder="1" applyAlignment="1">
      <alignment horizontal="right"/>
    </xf>
    <xf numFmtId="167" fontId="18" fillId="2" borderId="17" xfId="10" applyNumberFormat="1" applyFont="1" applyFill="1" applyBorder="1" applyAlignment="1">
      <alignment horizontal="right"/>
    </xf>
    <xf numFmtId="170" fontId="24" fillId="2" borderId="18" xfId="10" applyNumberFormat="1" applyFont="1" applyFill="1" applyBorder="1" applyAlignment="1"/>
    <xf numFmtId="170" fontId="2" fillId="2" borderId="20" xfId="0" applyNumberFormat="1" applyFont="1" applyFill="1" applyBorder="1"/>
    <xf numFmtId="170" fontId="2" fillId="2" borderId="12" xfId="0" applyNumberFormat="1" applyFont="1" applyFill="1" applyBorder="1"/>
    <xf numFmtId="170" fontId="1" fillId="2" borderId="49" xfId="10" applyNumberFormat="1" applyFont="1" applyFill="1" applyBorder="1" applyAlignment="1">
      <alignment horizontal="left"/>
    </xf>
    <xf numFmtId="170" fontId="1" fillId="2" borderId="47" xfId="10" applyNumberFormat="1" applyFont="1" applyFill="1" applyBorder="1" applyAlignment="1">
      <alignment horizontal="left"/>
    </xf>
    <xf numFmtId="170" fontId="24" fillId="2" borderId="0" xfId="10" applyNumberFormat="1" applyFont="1" applyFill="1" applyBorder="1" applyAlignment="1">
      <alignment horizontal="left" wrapText="1" indent="1"/>
    </xf>
    <xf numFmtId="167" fontId="2" fillId="2" borderId="0" xfId="10" applyNumberFormat="1" applyFont="1" applyFill="1" applyBorder="1" applyAlignment="1">
      <alignment horizontal="right"/>
    </xf>
    <xf numFmtId="167" fontId="4" fillId="4" borderId="24" xfId="10" applyNumberFormat="1" applyFont="1" applyFill="1" applyBorder="1" applyAlignment="1">
      <alignment horizontal="right"/>
    </xf>
    <xf numFmtId="0" fontId="12" fillId="4" borderId="50" xfId="0" quotePrefix="1" applyFont="1" applyFill="1" applyBorder="1" applyAlignment="1">
      <alignment horizontal="center" vertical="center"/>
    </xf>
    <xf numFmtId="174" fontId="12" fillId="2" borderId="5" xfId="42" applyFont="1" applyFill="1" applyBorder="1" applyAlignment="1">
      <alignment horizontal="center"/>
    </xf>
    <xf numFmtId="38" fontId="12" fillId="2" borderId="5" xfId="42" applyNumberFormat="1" applyFont="1" applyFill="1" applyBorder="1"/>
    <xf numFmtId="167" fontId="12" fillId="5" borderId="0" xfId="1" applyNumberFormat="1" applyFont="1" applyFill="1" applyBorder="1"/>
    <xf numFmtId="0" fontId="12" fillId="2" borderId="0" xfId="0" applyFont="1" applyFill="1"/>
    <xf numFmtId="167" fontId="33" fillId="2" borderId="0" xfId="0" applyNumberFormat="1" applyFont="1" applyFill="1"/>
    <xf numFmtId="167" fontId="40" fillId="2" borderId="17" xfId="10" applyNumberFormat="1" applyFont="1" applyFill="1" applyBorder="1" applyAlignment="1">
      <alignment horizontal="right"/>
    </xf>
    <xf numFmtId="15" fontId="4" fillId="2" borderId="0" xfId="0" applyNumberFormat="1" applyFont="1" applyFill="1"/>
    <xf numFmtId="17" fontId="6" fillId="2" borderId="0" xfId="3" applyNumberFormat="1" applyFont="1" applyFill="1" applyBorder="1" applyAlignment="1">
      <alignment horizontal="center"/>
    </xf>
    <xf numFmtId="167" fontId="4" fillId="2" borderId="27" xfId="10" applyNumberFormat="1" applyFont="1" applyFill="1" applyBorder="1" applyAlignment="1">
      <alignment horizontal="left" indent="1"/>
    </xf>
    <xf numFmtId="0" fontId="8" fillId="2" borderId="0" xfId="0" applyFont="1" applyFill="1" applyBorder="1" applyAlignment="1">
      <alignment horizontal="left" indent="1"/>
    </xf>
    <xf numFmtId="43" fontId="4" fillId="2" borderId="0" xfId="10" applyNumberFormat="1" applyFont="1" applyFill="1" applyBorder="1" applyAlignment="1">
      <alignment horizontal="right"/>
    </xf>
    <xf numFmtId="43" fontId="12" fillId="2" borderId="17" xfId="1" applyFont="1" applyFill="1" applyBorder="1" applyAlignment="1">
      <alignment horizontal="right"/>
    </xf>
    <xf numFmtId="170" fontId="2" fillId="2" borderId="23" xfId="0" applyNumberFormat="1" applyFont="1" applyFill="1" applyBorder="1"/>
    <xf numFmtId="170" fontId="2" fillId="2" borderId="21" xfId="0" applyNumberFormat="1" applyFont="1" applyFill="1" applyBorder="1"/>
    <xf numFmtId="170" fontId="1" fillId="2" borderId="48" xfId="10" applyNumberFormat="1" applyFont="1" applyFill="1" applyBorder="1" applyAlignment="1">
      <alignment horizontal="left"/>
    </xf>
    <xf numFmtId="167" fontId="12" fillId="2" borderId="27" xfId="10" applyNumberFormat="1" applyFont="1" applyFill="1" applyBorder="1" applyAlignment="1">
      <alignment horizontal="right"/>
    </xf>
    <xf numFmtId="0" fontId="4" fillId="2" borderId="27" xfId="2" applyNumberFormat="1" applyFont="1" applyFill="1" applyBorder="1" applyAlignment="1">
      <alignment horizontal="right"/>
    </xf>
    <xf numFmtId="170" fontId="0" fillId="2" borderId="16" xfId="10" applyNumberFormat="1" applyFont="1" applyFill="1" applyBorder="1" applyAlignment="1">
      <alignment horizontal="left" indent="1"/>
    </xf>
    <xf numFmtId="167" fontId="4" fillId="2" borderId="25" xfId="10" applyNumberFormat="1" applyFont="1" applyFill="1" applyBorder="1" applyAlignment="1">
      <alignment horizontal="left"/>
    </xf>
    <xf numFmtId="167" fontId="4" fillId="2" borderId="40" xfId="10" applyNumberFormat="1" applyFont="1" applyFill="1" applyBorder="1" applyAlignment="1">
      <alignment horizontal="left"/>
    </xf>
    <xf numFmtId="167" fontId="4" fillId="2" borderId="18" xfId="10" applyNumberFormat="1" applyFont="1" applyFill="1" applyBorder="1" applyAlignment="1">
      <alignment horizontal="left"/>
    </xf>
    <xf numFmtId="0" fontId="34" fillId="2" borderId="0" xfId="0" applyFont="1" applyFill="1" applyBorder="1" applyAlignment="1">
      <alignment vertical="center" wrapText="1"/>
    </xf>
    <xf numFmtId="0" fontId="26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167" fontId="8" fillId="2" borderId="27" xfId="10" applyNumberFormat="1" applyFont="1" applyFill="1" applyBorder="1" applyAlignment="1">
      <alignment horizontal="left" indent="1"/>
    </xf>
    <xf numFmtId="167" fontId="4" fillId="2" borderId="27" xfId="10" applyNumberFormat="1" applyFont="1" applyFill="1" applyBorder="1" applyAlignment="1">
      <alignment horizontal="left" indent="2"/>
    </xf>
    <xf numFmtId="167" fontId="4" fillId="2" borderId="17" xfId="10" applyNumberFormat="1" applyFont="1" applyFill="1" applyBorder="1" applyAlignment="1">
      <alignment horizontal="center"/>
    </xf>
    <xf numFmtId="167" fontId="8" fillId="2" borderId="17" xfId="10" applyNumberFormat="1" applyFont="1" applyFill="1" applyBorder="1" applyAlignment="1">
      <alignment horizontal="center"/>
    </xf>
    <xf numFmtId="0" fontId="4" fillId="4" borderId="0" xfId="28" applyFill="1"/>
    <xf numFmtId="0" fontId="4" fillId="4" borderId="0" xfId="28" applyFill="1" applyBorder="1"/>
    <xf numFmtId="0" fontId="4" fillId="4" borderId="0" xfId="28" applyFill="1" applyAlignment="1">
      <alignment horizontal="center"/>
    </xf>
    <xf numFmtId="167" fontId="8" fillId="2" borderId="26" xfId="10" applyNumberFormat="1" applyFont="1" applyFill="1" applyBorder="1" applyAlignment="1">
      <alignment horizontal="left"/>
    </xf>
    <xf numFmtId="167" fontId="8" fillId="2" borderId="15" xfId="10" applyNumberFormat="1" applyFont="1" applyFill="1" applyBorder="1" applyAlignment="1">
      <alignment horizontal="left"/>
    </xf>
    <xf numFmtId="167" fontId="4" fillId="2" borderId="28" xfId="10" applyNumberFormat="1" applyFont="1" applyFill="1" applyBorder="1" applyAlignment="1">
      <alignment horizontal="left"/>
    </xf>
    <xf numFmtId="167" fontId="4" fillId="2" borderId="19" xfId="10" applyNumberFormat="1" applyFont="1" applyFill="1" applyBorder="1" applyAlignment="1">
      <alignment horizontal="left"/>
    </xf>
    <xf numFmtId="167" fontId="4" fillId="2" borderId="31" xfId="10" applyNumberFormat="1" applyFont="1" applyFill="1" applyBorder="1" applyAlignment="1">
      <alignment horizontal="left"/>
    </xf>
    <xf numFmtId="167" fontId="4" fillId="2" borderId="29" xfId="10" applyNumberFormat="1" applyFont="1" applyFill="1" applyBorder="1" applyAlignment="1">
      <alignment horizontal="left"/>
    </xf>
    <xf numFmtId="167" fontId="4" fillId="2" borderId="31" xfId="10" applyNumberFormat="1" applyFont="1" applyFill="1" applyBorder="1" applyAlignment="1">
      <alignment horizontal="center"/>
    </xf>
    <xf numFmtId="167" fontId="4" fillId="2" borderId="29" xfId="10" applyNumberFormat="1" applyFont="1" applyFill="1" applyBorder="1" applyAlignment="1">
      <alignment horizontal="center"/>
    </xf>
    <xf numFmtId="167" fontId="8" fillId="2" borderId="26" xfId="0" applyNumberFormat="1" applyFont="1" applyFill="1" applyBorder="1"/>
    <xf numFmtId="167" fontId="8" fillId="2" borderId="15" xfId="0" applyNumberFormat="1" applyFont="1" applyFill="1" applyBorder="1"/>
    <xf numFmtId="167" fontId="4" fillId="2" borderId="19" xfId="10" applyNumberFormat="1" applyFont="1" applyFill="1" applyBorder="1" applyAlignment="1">
      <alignment horizontal="center"/>
    </xf>
    <xf numFmtId="167" fontId="8" fillId="2" borderId="32" xfId="10" applyNumberFormat="1" applyFont="1" applyFill="1" applyBorder="1" applyAlignment="1">
      <alignment horizontal="left"/>
    </xf>
    <xf numFmtId="170" fontId="0" fillId="2" borderId="16" xfId="10" applyNumberFormat="1" applyFont="1" applyFill="1" applyBorder="1" applyAlignment="1">
      <alignment horizontal="left" indent="1"/>
    </xf>
    <xf numFmtId="167" fontId="12" fillId="2" borderId="17" xfId="10" applyNumberFormat="1" applyFont="1" applyFill="1" applyBorder="1" applyAlignment="1">
      <alignment horizontal="right"/>
    </xf>
    <xf numFmtId="167" fontId="12" fillId="2" borderId="37" xfId="10" applyNumberFormat="1" applyFont="1" applyFill="1" applyBorder="1" applyAlignment="1">
      <alignment horizontal="right"/>
    </xf>
    <xf numFmtId="167" fontId="12" fillId="2" borderId="26" xfId="0" applyNumberFormat="1" applyFont="1" applyFill="1" applyBorder="1"/>
    <xf numFmtId="167" fontId="12" fillId="2" borderId="39" xfId="0" applyNumberFormat="1" applyFont="1" applyFill="1" applyBorder="1"/>
    <xf numFmtId="0" fontId="4" fillId="2" borderId="2" xfId="8" applyFont="1" applyFill="1" applyBorder="1"/>
    <xf numFmtId="0" fontId="53" fillId="2" borderId="3" xfId="8" applyFont="1" applyFill="1" applyBorder="1"/>
    <xf numFmtId="0" fontId="4" fillId="2" borderId="3" xfId="8" applyFont="1" applyFill="1" applyBorder="1"/>
    <xf numFmtId="0" fontId="4" fillId="2" borderId="4" xfId="8" applyFont="1" applyFill="1" applyBorder="1"/>
    <xf numFmtId="0" fontId="4" fillId="0" borderId="0" xfId="8" applyFont="1"/>
    <xf numFmtId="0" fontId="1" fillId="0" borderId="0" xfId="8"/>
    <xf numFmtId="0" fontId="4" fillId="2" borderId="5" xfId="8" applyFont="1" applyFill="1" applyBorder="1"/>
    <xf numFmtId="0" fontId="10" fillId="2" borderId="0" xfId="8" applyFont="1" applyFill="1" applyBorder="1"/>
    <xf numFmtId="0" fontId="4" fillId="2" borderId="0" xfId="8" applyFont="1" applyFill="1" applyBorder="1"/>
    <xf numFmtId="0" fontId="4" fillId="2" borderId="6" xfId="8" applyFont="1" applyFill="1" applyBorder="1"/>
    <xf numFmtId="0" fontId="51" fillId="2" borderId="0" xfId="8" applyFont="1" applyFill="1" applyBorder="1" applyAlignment="1">
      <alignment horizontal="center"/>
    </xf>
    <xf numFmtId="0" fontId="4" fillId="2" borderId="1" xfId="8" applyFont="1" applyFill="1" applyBorder="1"/>
    <xf numFmtId="180" fontId="4" fillId="2" borderId="1" xfId="9" applyNumberFormat="1" applyFont="1" applyFill="1" applyBorder="1"/>
    <xf numFmtId="166" fontId="4" fillId="3" borderId="1" xfId="9" applyFont="1" applyFill="1" applyBorder="1"/>
    <xf numFmtId="0" fontId="4" fillId="0" borderId="0" xfId="8" applyFont="1" applyAlignment="1">
      <alignment horizontal="center"/>
    </xf>
    <xf numFmtId="0" fontId="4" fillId="2" borderId="0" xfId="8" applyFont="1" applyFill="1" applyBorder="1" applyAlignment="1">
      <alignment horizontal="right"/>
    </xf>
    <xf numFmtId="43" fontId="4" fillId="2" borderId="0" xfId="8" applyNumberFormat="1" applyFont="1" applyFill="1" applyBorder="1"/>
    <xf numFmtId="181" fontId="15" fillId="2" borderId="0" xfId="9" applyNumberFormat="1" applyFont="1" applyFill="1" applyBorder="1"/>
    <xf numFmtId="0" fontId="18" fillId="2" borderId="0" xfId="8" applyFont="1" applyFill="1" applyBorder="1"/>
    <xf numFmtId="181" fontId="4" fillId="2" borderId="0" xfId="9" applyNumberFormat="1" applyFont="1" applyFill="1" applyBorder="1"/>
    <xf numFmtId="43" fontId="51" fillId="2" borderId="0" xfId="8" applyNumberFormat="1" applyFont="1" applyFill="1" applyBorder="1" applyAlignment="1">
      <alignment horizontal="center"/>
    </xf>
    <xf numFmtId="166" fontId="4" fillId="2" borderId="1" xfId="9" applyFont="1" applyFill="1" applyBorder="1"/>
    <xf numFmtId="177" fontId="4" fillId="2" borderId="1" xfId="8" applyNumberFormat="1" applyFont="1" applyFill="1" applyBorder="1"/>
    <xf numFmtId="0" fontId="1" fillId="2" borderId="5" xfId="8" applyFill="1" applyBorder="1"/>
    <xf numFmtId="0" fontId="4" fillId="2" borderId="1" xfId="8" applyFont="1" applyFill="1" applyBorder="1" applyAlignment="1">
      <alignment horizontal="left"/>
    </xf>
    <xf numFmtId="0" fontId="1" fillId="2" borderId="6" xfId="8" applyFill="1" applyBorder="1"/>
    <xf numFmtId="43" fontId="3" fillId="2" borderId="0" xfId="8" applyNumberFormat="1" applyFont="1" applyFill="1" applyBorder="1"/>
    <xf numFmtId="0" fontId="1" fillId="2" borderId="55" xfId="8" applyFill="1" applyBorder="1"/>
    <xf numFmtId="0" fontId="1" fillId="2" borderId="56" xfId="8" applyFill="1" applyBorder="1"/>
    <xf numFmtId="0" fontId="1" fillId="2" borderId="57" xfId="8" applyFill="1" applyBorder="1"/>
    <xf numFmtId="167" fontId="4" fillId="2" borderId="51" xfId="10" applyNumberFormat="1" applyFont="1" applyFill="1" applyBorder="1" applyAlignment="1">
      <alignment horizontal="right"/>
    </xf>
    <xf numFmtId="167" fontId="4" fillId="2" borderId="0" xfId="10" applyNumberFormat="1" applyFont="1" applyFill="1" applyBorder="1" applyAlignment="1">
      <alignment horizontal="left" indent="2"/>
    </xf>
    <xf numFmtId="0" fontId="4" fillId="2" borderId="0" xfId="10" applyNumberFormat="1" applyFont="1" applyFill="1" applyBorder="1" applyAlignment="1">
      <alignment horizontal="center"/>
    </xf>
    <xf numFmtId="0" fontId="4" fillId="2" borderId="0" xfId="10" applyNumberFormat="1" applyFont="1" applyFill="1" applyBorder="1" applyAlignment="1">
      <alignment horizontal="left"/>
    </xf>
    <xf numFmtId="167" fontId="12" fillId="4" borderId="17" xfId="10" applyNumberFormat="1" applyFont="1" applyFill="1" applyBorder="1" applyAlignment="1">
      <alignment horizontal="right"/>
    </xf>
    <xf numFmtId="0" fontId="18" fillId="2" borderId="0" xfId="0" applyFont="1" applyFill="1"/>
    <xf numFmtId="0" fontId="54" fillId="2" borderId="0" xfId="0" applyFont="1" applyFill="1"/>
    <xf numFmtId="43" fontId="18" fillId="4" borderId="17" xfId="1" applyFont="1" applyFill="1" applyBorder="1" applyAlignment="1">
      <alignment horizontal="right"/>
    </xf>
    <xf numFmtId="0" fontId="55" fillId="2" borderId="27" xfId="10" applyNumberFormat="1" applyFont="1" applyFill="1" applyBorder="1" applyAlignment="1">
      <alignment horizontal="center"/>
    </xf>
    <xf numFmtId="170" fontId="56" fillId="2" borderId="0" xfId="10" applyNumberFormat="1" applyFont="1" applyFill="1" applyBorder="1" applyAlignment="1">
      <alignment horizontal="left" indent="1"/>
    </xf>
    <xf numFmtId="0" fontId="12" fillId="5" borderId="0" xfId="0" applyFont="1" applyFill="1" applyAlignment="1">
      <alignment horizontal="center"/>
    </xf>
    <xf numFmtId="0" fontId="14" fillId="2" borderId="70" xfId="0" applyFont="1" applyFill="1" applyBorder="1" applyAlignment="1">
      <alignment vertical="center" wrapText="1"/>
    </xf>
    <xf numFmtId="0" fontId="12" fillId="5" borderId="70" xfId="0" applyFont="1" applyFill="1" applyBorder="1"/>
    <xf numFmtId="0" fontId="58" fillId="5" borderId="0" xfId="0" applyFont="1" applyFill="1" applyAlignment="1">
      <alignment horizontal="center"/>
    </xf>
    <xf numFmtId="0" fontId="19" fillId="2" borderId="0" xfId="0" applyFont="1" applyFill="1" applyBorder="1" applyAlignment="1">
      <alignment horizontal="center" vertical="top" wrapText="1"/>
    </xf>
    <xf numFmtId="0" fontId="19" fillId="5" borderId="0" xfId="0" applyFont="1" applyFill="1" applyBorder="1" applyAlignment="1">
      <alignment horizontal="center" vertical="top"/>
    </xf>
    <xf numFmtId="0" fontId="19" fillId="5" borderId="0" xfId="0" applyFont="1" applyFill="1" applyAlignment="1">
      <alignment horizontal="center" vertical="top"/>
    </xf>
    <xf numFmtId="0" fontId="14" fillId="2" borderId="0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/>
    </xf>
    <xf numFmtId="0" fontId="50" fillId="5" borderId="0" xfId="0" applyFont="1" applyFill="1" applyAlignment="1">
      <alignment horizontal="center"/>
    </xf>
    <xf numFmtId="0" fontId="50" fillId="2" borderId="0" xfId="0" applyFont="1" applyFill="1" applyBorder="1" applyAlignment="1">
      <alignment vertical="center" wrapText="1"/>
    </xf>
    <xf numFmtId="0" fontId="59" fillId="2" borderId="0" xfId="0" applyFont="1" applyFill="1" applyBorder="1" applyAlignment="1">
      <alignment vertical="center" wrapText="1"/>
    </xf>
    <xf numFmtId="182" fontId="38" fillId="2" borderId="0" xfId="2" applyNumberFormat="1" applyFont="1" applyFill="1" applyBorder="1" applyAlignment="1">
      <alignment horizontal="center" vertical="center" wrapText="1"/>
    </xf>
    <xf numFmtId="182" fontId="38" fillId="5" borderId="0" xfId="2" applyNumberFormat="1" applyFont="1" applyFill="1" applyAlignment="1">
      <alignment horizontal="center"/>
    </xf>
    <xf numFmtId="0" fontId="50" fillId="5" borderId="0" xfId="0" applyFont="1" applyFill="1"/>
    <xf numFmtId="0" fontId="50" fillId="5" borderId="0" xfId="0" applyFont="1" applyFill="1" applyBorder="1"/>
    <xf numFmtId="182" fontId="38" fillId="5" borderId="0" xfId="2" applyNumberFormat="1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183" fontId="38" fillId="5" borderId="0" xfId="1" applyNumberFormat="1" applyFont="1" applyFill="1" applyAlignment="1">
      <alignment horizontal="center"/>
    </xf>
    <xf numFmtId="9" fontId="38" fillId="5" borderId="0" xfId="2" applyFont="1" applyFill="1" applyAlignment="1">
      <alignment horizontal="center"/>
    </xf>
    <xf numFmtId="0" fontId="62" fillId="5" borderId="7" xfId="0" applyFont="1" applyFill="1" applyBorder="1"/>
    <xf numFmtId="0" fontId="50" fillId="5" borderId="7" xfId="0" applyFont="1" applyFill="1" applyBorder="1"/>
    <xf numFmtId="10" fontId="62" fillId="5" borderId="7" xfId="0" applyNumberFormat="1" applyFont="1" applyFill="1" applyBorder="1" applyAlignment="1">
      <alignment horizontal="center"/>
    </xf>
    <xf numFmtId="182" fontId="62" fillId="5" borderId="7" xfId="2" applyNumberFormat="1" applyFont="1" applyFill="1" applyBorder="1" applyAlignment="1">
      <alignment horizontal="center"/>
    </xf>
    <xf numFmtId="0" fontId="14" fillId="2" borderId="70" xfId="0" applyFont="1" applyFill="1" applyBorder="1" applyAlignment="1">
      <alignment horizontal="center" vertical="center" wrapText="1"/>
    </xf>
    <xf numFmtId="0" fontId="12" fillId="5" borderId="70" xfId="0" applyFont="1" applyFill="1" applyBorder="1" applyAlignment="1">
      <alignment horizontal="center"/>
    </xf>
    <xf numFmtId="0" fontId="26" fillId="2" borderId="70" xfId="0" applyFont="1" applyFill="1" applyBorder="1" applyAlignment="1">
      <alignment vertical="center" wrapText="1"/>
    </xf>
    <xf numFmtId="0" fontId="63" fillId="2" borderId="0" xfId="0" applyFont="1" applyFill="1" applyBorder="1" applyAlignment="1">
      <alignment vertical="center" wrapText="1"/>
    </xf>
    <xf numFmtId="182" fontId="63" fillId="5" borderId="0" xfId="2" applyNumberFormat="1" applyFont="1" applyFill="1" applyAlignment="1">
      <alignment horizontal="center" vertical="center"/>
    </xf>
    <xf numFmtId="182" fontId="64" fillId="7" borderId="0" xfId="0" applyNumberFormat="1" applyFont="1" applyFill="1" applyAlignment="1">
      <alignment horizontal="center" vertical="center"/>
    </xf>
    <xf numFmtId="167" fontId="4" fillId="2" borderId="0" xfId="0" applyNumberFormat="1" applyFont="1" applyFill="1"/>
    <xf numFmtId="0" fontId="4" fillId="2" borderId="0" xfId="0" applyFont="1" applyFill="1" applyAlignment="1">
      <alignment horizontal="right"/>
    </xf>
    <xf numFmtId="0" fontId="49" fillId="2" borderId="0" xfId="0" applyFont="1" applyFill="1"/>
    <xf numFmtId="170" fontId="4" fillId="2" borderId="27" xfId="10" applyNumberFormat="1" applyFont="1" applyFill="1" applyBorder="1" applyAlignment="1">
      <alignment horizontal="right"/>
    </xf>
    <xf numFmtId="167" fontId="4" fillId="2" borderId="26" xfId="10" applyNumberFormat="1" applyFont="1" applyFill="1" applyBorder="1" applyAlignment="1">
      <alignment horizontal="right"/>
    </xf>
    <xf numFmtId="167" fontId="4" fillId="2" borderId="39" xfId="10" applyNumberFormat="1" applyFont="1" applyFill="1" applyBorder="1" applyAlignment="1">
      <alignment horizontal="right"/>
    </xf>
    <xf numFmtId="170" fontId="12" fillId="2" borderId="26" xfId="0" applyNumberFormat="1" applyFont="1" applyFill="1" applyBorder="1"/>
    <xf numFmtId="167" fontId="15" fillId="2" borderId="7" xfId="0" applyNumberFormat="1" applyFont="1" applyFill="1" applyBorder="1"/>
    <xf numFmtId="167" fontId="12" fillId="2" borderId="0" xfId="0" applyNumberFormat="1" applyFont="1" applyFill="1" applyBorder="1"/>
    <xf numFmtId="170" fontId="12" fillId="2" borderId="0" xfId="0" applyNumberFormat="1" applyFont="1" applyFill="1" applyBorder="1"/>
    <xf numFmtId="43" fontId="33" fillId="2" borderId="0" xfId="0" applyNumberFormat="1" applyFont="1" applyFill="1"/>
    <xf numFmtId="9" fontId="12" fillId="2" borderId="17" xfId="2" applyFont="1" applyFill="1" applyBorder="1" applyAlignment="1">
      <alignment horizontal="right"/>
    </xf>
    <xf numFmtId="0" fontId="4" fillId="2" borderId="1" xfId="8" applyFont="1" applyFill="1" applyBorder="1" applyAlignment="1">
      <alignment horizontal="left"/>
    </xf>
    <xf numFmtId="0" fontId="30" fillId="2" borderId="14" xfId="10" applyNumberFormat="1" applyFont="1" applyFill="1" applyBorder="1" applyAlignment="1">
      <alignment horizontal="center"/>
    </xf>
    <xf numFmtId="9" fontId="0" fillId="2" borderId="24" xfId="2" applyFont="1" applyFill="1" applyBorder="1" applyAlignment="1">
      <alignment horizontal="right"/>
    </xf>
    <xf numFmtId="170" fontId="10" fillId="2" borderId="0" xfId="10" applyNumberFormat="1" applyFont="1" applyFill="1" applyBorder="1" applyAlignment="1">
      <alignment horizontal="left" indent="1"/>
    </xf>
    <xf numFmtId="170" fontId="0" fillId="2" borderId="16" xfId="10" applyNumberFormat="1" applyFont="1" applyFill="1" applyBorder="1" applyAlignment="1">
      <alignment horizontal="left" indent="1"/>
    </xf>
    <xf numFmtId="0" fontId="4" fillId="2" borderId="1" xfId="8" applyFont="1" applyFill="1" applyBorder="1" applyAlignment="1">
      <alignment horizontal="left"/>
    </xf>
    <xf numFmtId="170" fontId="4" fillId="8" borderId="17" xfId="10" applyNumberFormat="1" applyFont="1" applyFill="1" applyBorder="1" applyAlignment="1">
      <alignment horizontal="right"/>
    </xf>
    <xf numFmtId="167" fontId="4" fillId="8" borderId="17" xfId="10" applyNumberFormat="1" applyFont="1" applyFill="1" applyBorder="1" applyAlignment="1">
      <alignment horizontal="right"/>
    </xf>
    <xf numFmtId="49" fontId="2" fillId="2" borderId="0" xfId="0" applyNumberFormat="1" applyFont="1" applyFill="1" applyAlignment="1">
      <alignment horizontal="left" indent="1"/>
    </xf>
    <xf numFmtId="167" fontId="12" fillId="2" borderId="26" xfId="10" applyNumberFormat="1" applyFont="1" applyFill="1" applyBorder="1" applyAlignment="1">
      <alignment horizontal="right"/>
    </xf>
    <xf numFmtId="167" fontId="12" fillId="8" borderId="26" xfId="0" applyNumberFormat="1" applyFont="1" applyFill="1" applyBorder="1"/>
    <xf numFmtId="0" fontId="65" fillId="2" borderId="0" xfId="3" applyFont="1" applyFill="1" applyBorder="1" applyAlignment="1">
      <alignment horizontal="center"/>
    </xf>
    <xf numFmtId="167" fontId="12" fillId="2" borderId="0" xfId="10" applyNumberFormat="1" applyFont="1" applyFill="1" applyBorder="1" applyAlignment="1">
      <alignment horizontal="right"/>
    </xf>
    <xf numFmtId="179" fontId="4" fillId="4" borderId="17" xfId="10" applyNumberFormat="1" applyFont="1" applyFill="1" applyBorder="1" applyAlignment="1">
      <alignment horizontal="right"/>
    </xf>
    <xf numFmtId="43" fontId="4" fillId="2" borderId="27" xfId="10" applyNumberFormat="1" applyFont="1" applyFill="1" applyBorder="1" applyAlignment="1">
      <alignment horizontal="right"/>
    </xf>
    <xf numFmtId="0" fontId="31" fillId="2" borderId="2" xfId="8" applyFont="1" applyFill="1" applyBorder="1"/>
    <xf numFmtId="0" fontId="66" fillId="2" borderId="3" xfId="8" applyFont="1" applyFill="1" applyBorder="1" applyAlignment="1">
      <alignment vertical="center" wrapText="1"/>
    </xf>
    <xf numFmtId="0" fontId="67" fillId="2" borderId="3" xfId="8" applyFont="1" applyFill="1" applyBorder="1" applyAlignment="1">
      <alignment horizontal="center"/>
    </xf>
    <xf numFmtId="0" fontId="68" fillId="2" borderId="3" xfId="8" applyFont="1" applyFill="1" applyBorder="1"/>
    <xf numFmtId="175" fontId="68" fillId="2" borderId="3" xfId="1" applyNumberFormat="1" applyFont="1" applyFill="1" applyBorder="1"/>
    <xf numFmtId="0" fontId="31" fillId="2" borderId="3" xfId="8" applyFont="1" applyFill="1" applyBorder="1"/>
    <xf numFmtId="0" fontId="31" fillId="2" borderId="4" xfId="8" applyFont="1" applyFill="1" applyBorder="1"/>
    <xf numFmtId="0" fontId="31" fillId="2" borderId="0" xfId="8" applyFont="1" applyFill="1"/>
    <xf numFmtId="0" fontId="33" fillId="2" borderId="0" xfId="8" applyFont="1" applyFill="1"/>
    <xf numFmtId="0" fontId="31" fillId="2" borderId="5" xfId="8" applyFont="1" applyFill="1" applyBorder="1"/>
    <xf numFmtId="0" fontId="66" fillId="2" borderId="0" xfId="8" applyFont="1" applyFill="1" applyBorder="1" applyAlignment="1">
      <alignment vertical="center" wrapText="1"/>
    </xf>
    <xf numFmtId="0" fontId="33" fillId="2" borderId="0" xfId="8" applyFont="1" applyFill="1" applyAlignment="1">
      <alignment horizontal="center"/>
    </xf>
    <xf numFmtId="175" fontId="33" fillId="2" borderId="0" xfId="1" applyNumberFormat="1" applyFont="1" applyFill="1"/>
    <xf numFmtId="0" fontId="33" fillId="2" borderId="0" xfId="8" applyFont="1" applyFill="1" applyAlignment="1">
      <alignment horizontal="right"/>
    </xf>
    <xf numFmtId="184" fontId="31" fillId="2" borderId="0" xfId="8" applyNumberFormat="1" applyFont="1" applyFill="1"/>
    <xf numFmtId="0" fontId="31" fillId="2" borderId="6" xfId="8" applyFont="1" applyFill="1" applyBorder="1"/>
    <xf numFmtId="167" fontId="70" fillId="2" borderId="0" xfId="10" applyNumberFormat="1" applyFont="1" applyFill="1" applyBorder="1" applyAlignment="1">
      <alignment horizontal="left" indent="1"/>
    </xf>
    <xf numFmtId="0" fontId="71" fillId="2" borderId="0" xfId="8" applyFont="1" applyFill="1"/>
    <xf numFmtId="0" fontId="32" fillId="2" borderId="0" xfId="8" applyFont="1" applyFill="1"/>
    <xf numFmtId="0" fontId="71" fillId="2" borderId="0" xfId="8" applyFont="1" applyFill="1" applyAlignment="1">
      <alignment horizontal="center"/>
    </xf>
    <xf numFmtId="0" fontId="36" fillId="2" borderId="0" xfId="8" applyFont="1" applyFill="1"/>
    <xf numFmtId="175" fontId="36" fillId="2" borderId="0" xfId="1" applyNumberFormat="1" applyFont="1" applyFill="1"/>
    <xf numFmtId="0" fontId="31" fillId="2" borderId="5" xfId="8" applyFont="1" applyFill="1" applyBorder="1" applyAlignment="1">
      <alignment wrapText="1"/>
    </xf>
    <xf numFmtId="0" fontId="4" fillId="2" borderId="0" xfId="8" applyFont="1" applyFill="1" applyBorder="1" applyAlignment="1">
      <alignment horizontal="center" wrapText="1"/>
    </xf>
    <xf numFmtId="0" fontId="4" fillId="2" borderId="9" xfId="8" applyFont="1" applyFill="1" applyBorder="1" applyAlignment="1">
      <alignment horizontal="center" wrapText="1"/>
    </xf>
    <xf numFmtId="175" fontId="4" fillId="2" borderId="0" xfId="1" applyNumberFormat="1" applyFont="1" applyFill="1" applyBorder="1" applyAlignment="1">
      <alignment horizontal="center" wrapText="1"/>
    </xf>
    <xf numFmtId="0" fontId="31" fillId="2" borderId="0" xfId="8" applyFont="1" applyFill="1" applyBorder="1" applyAlignment="1">
      <alignment wrapText="1"/>
    </xf>
    <xf numFmtId="0" fontId="31" fillId="2" borderId="6" xfId="8" applyFont="1" applyFill="1" applyBorder="1" applyAlignment="1">
      <alignment wrapText="1"/>
    </xf>
    <xf numFmtId="0" fontId="31" fillId="2" borderId="0" xfId="8" applyFont="1" applyFill="1" applyAlignment="1">
      <alignment wrapText="1"/>
    </xf>
    <xf numFmtId="0" fontId="33" fillId="2" borderId="0" xfId="8" applyFont="1" applyFill="1" applyAlignment="1">
      <alignment wrapText="1"/>
    </xf>
    <xf numFmtId="183" fontId="4" fillId="2" borderId="1" xfId="8" applyNumberFormat="1" applyFont="1" applyFill="1" applyBorder="1"/>
    <xf numFmtId="0" fontId="4" fillId="2" borderId="1" xfId="8" applyFont="1" applyFill="1" applyBorder="1" applyAlignment="1">
      <alignment horizontal="center"/>
    </xf>
    <xf numFmtId="9" fontId="4" fillId="2" borderId="1" xfId="2" applyFont="1" applyFill="1" applyBorder="1" applyAlignment="1">
      <alignment horizontal="center"/>
    </xf>
    <xf numFmtId="175" fontId="4" fillId="2" borderId="1" xfId="1" applyNumberFormat="1" applyFont="1" applyFill="1" applyBorder="1" applyAlignment="1">
      <alignment horizontal="center"/>
    </xf>
    <xf numFmtId="180" fontId="8" fillId="2" borderId="1" xfId="9" applyNumberFormat="1" applyFont="1" applyFill="1" applyBorder="1"/>
    <xf numFmtId="170" fontId="4" fillId="2" borderId="1" xfId="9" applyNumberFormat="1" applyFont="1" applyFill="1" applyBorder="1"/>
    <xf numFmtId="170" fontId="4" fillId="8" borderId="1" xfId="1" applyNumberFormat="1" applyFont="1" applyFill="1" applyBorder="1"/>
    <xf numFmtId="170" fontId="4" fillId="3" borderId="1" xfId="1" applyNumberFormat="1" applyFont="1" applyFill="1" applyBorder="1"/>
    <xf numFmtId="0" fontId="31" fillId="2" borderId="0" xfId="8" applyFont="1" applyFill="1" applyBorder="1"/>
    <xf numFmtId="0" fontId="31" fillId="2" borderId="0" xfId="8" applyFont="1" applyFill="1" applyAlignment="1">
      <alignment horizontal="center"/>
    </xf>
    <xf numFmtId="175" fontId="31" fillId="2" borderId="0" xfId="1" applyNumberFormat="1" applyFont="1" applyFill="1"/>
    <xf numFmtId="177" fontId="69" fillId="2" borderId="0" xfId="1" applyNumberFormat="1" applyFont="1" applyFill="1" applyBorder="1"/>
    <xf numFmtId="0" fontId="4" fillId="2" borderId="74" xfId="8" applyFont="1" applyFill="1" applyBorder="1" applyAlignment="1"/>
    <xf numFmtId="0" fontId="4" fillId="2" borderId="7" xfId="8" applyFont="1" applyFill="1" applyBorder="1" applyAlignment="1"/>
    <xf numFmtId="175" fontId="4" fillId="2" borderId="7" xfId="1" applyNumberFormat="1" applyFont="1" applyFill="1" applyBorder="1" applyAlignment="1"/>
    <xf numFmtId="0" fontId="4" fillId="2" borderId="75" xfId="8" applyFont="1" applyFill="1" applyBorder="1" applyAlignment="1"/>
    <xf numFmtId="170" fontId="4" fillId="2" borderId="73" xfId="8" applyNumberFormat="1" applyFont="1" applyFill="1" applyBorder="1" applyAlignment="1"/>
    <xf numFmtId="170" fontId="8" fillId="2" borderId="73" xfId="8" applyNumberFormat="1" applyFont="1" applyFill="1" applyBorder="1" applyAlignment="1"/>
    <xf numFmtId="0" fontId="4" fillId="2" borderId="0" xfId="8" applyFont="1" applyFill="1" applyBorder="1" applyAlignment="1"/>
    <xf numFmtId="175" fontId="4" fillId="2" borderId="0" xfId="1" applyNumberFormat="1" applyFont="1" applyFill="1" applyBorder="1" applyAlignment="1"/>
    <xf numFmtId="170" fontId="4" fillId="2" borderId="0" xfId="8" applyNumberFormat="1" applyFont="1" applyFill="1" applyBorder="1" applyAlignment="1"/>
    <xf numFmtId="170" fontId="8" fillId="2" borderId="0" xfId="8" applyNumberFormat="1" applyFont="1" applyFill="1" applyBorder="1" applyAlignment="1"/>
    <xf numFmtId="167" fontId="12" fillId="8" borderId="17" xfId="10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right"/>
    </xf>
    <xf numFmtId="170" fontId="4" fillId="2" borderId="0" xfId="1" applyNumberFormat="1" applyFont="1" applyFill="1" applyBorder="1" applyAlignment="1">
      <alignment horizontal="right"/>
    </xf>
    <xf numFmtId="9" fontId="4" fillId="2" borderId="0" xfId="2" applyFont="1" applyFill="1" applyBorder="1" applyAlignment="1">
      <alignment horizontal="right"/>
    </xf>
    <xf numFmtId="0" fontId="30" fillId="2" borderId="28" xfId="10" applyNumberFormat="1" applyFont="1" applyFill="1" applyBorder="1" applyAlignment="1">
      <alignment horizontal="center"/>
    </xf>
    <xf numFmtId="0" fontId="72" fillId="2" borderId="0" xfId="0" applyFont="1" applyFill="1"/>
    <xf numFmtId="9" fontId="4" fillId="2" borderId="27" xfId="2" applyFont="1" applyFill="1" applyBorder="1" applyAlignment="1">
      <alignment horizontal="left"/>
    </xf>
    <xf numFmtId="167" fontId="4" fillId="6" borderId="17" xfId="10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left"/>
    </xf>
    <xf numFmtId="167" fontId="4" fillId="2" borderId="16" xfId="10" applyNumberFormat="1" applyFont="1" applyFill="1" applyBorder="1" applyAlignment="1">
      <alignment horizontal="right"/>
    </xf>
    <xf numFmtId="167" fontId="12" fillId="2" borderId="76" xfId="0" applyNumberFormat="1" applyFont="1" applyFill="1" applyBorder="1"/>
    <xf numFmtId="167" fontId="12" fillId="2" borderId="51" xfId="10" applyNumberFormat="1" applyFont="1" applyFill="1" applyBorder="1" applyAlignment="1">
      <alignment horizontal="right"/>
    </xf>
    <xf numFmtId="0" fontId="4" fillId="2" borderId="70" xfId="0" applyFont="1" applyFill="1" applyBorder="1"/>
    <xf numFmtId="0" fontId="24" fillId="4" borderId="0" xfId="0" applyFont="1" applyFill="1" applyBorder="1" applyAlignment="1">
      <alignment horizontal="left" indent="1"/>
    </xf>
    <xf numFmtId="167" fontId="4" fillId="6" borderId="51" xfId="10" applyNumberFormat="1" applyFont="1" applyFill="1" applyBorder="1" applyAlignment="1">
      <alignment horizontal="right"/>
    </xf>
    <xf numFmtId="167" fontId="24" fillId="2" borderId="34" xfId="10" applyNumberFormat="1" applyFont="1" applyFill="1" applyBorder="1" applyAlignment="1">
      <alignment horizontal="left"/>
    </xf>
    <xf numFmtId="10" fontId="38" fillId="5" borderId="0" xfId="2" applyNumberFormat="1" applyFont="1" applyFill="1" applyAlignment="1">
      <alignment horizontal="center"/>
    </xf>
    <xf numFmtId="6" fontId="12" fillId="5" borderId="0" xfId="0" applyNumberFormat="1" applyFont="1" applyFill="1" applyAlignment="1">
      <alignment horizontal="left"/>
    </xf>
    <xf numFmtId="0" fontId="72" fillId="2" borderId="0" xfId="0" applyFont="1" applyFill="1" applyAlignment="1">
      <alignment horizontal="right" vertical="center" wrapText="1"/>
    </xf>
    <xf numFmtId="0" fontId="72" fillId="2" borderId="56" xfId="0" applyFont="1" applyFill="1" applyBorder="1"/>
    <xf numFmtId="170" fontId="4" fillId="3" borderId="17" xfId="1" applyNumberFormat="1" applyFont="1" applyFill="1" applyBorder="1" applyAlignment="1">
      <alignment horizontal="right"/>
    </xf>
    <xf numFmtId="17" fontId="6" fillId="8" borderId="0" xfId="3" applyNumberFormat="1" applyFont="1" applyFill="1" applyBorder="1" applyAlignment="1">
      <alignment horizontal="center"/>
    </xf>
    <xf numFmtId="0" fontId="6" fillId="8" borderId="0" xfId="3" applyFont="1" applyFill="1" applyBorder="1" applyAlignment="1">
      <alignment horizontal="center"/>
    </xf>
    <xf numFmtId="167" fontId="4" fillId="8" borderId="37" xfId="10" applyNumberFormat="1" applyFont="1" applyFill="1" applyBorder="1" applyAlignment="1">
      <alignment horizontal="right"/>
    </xf>
    <xf numFmtId="167" fontId="12" fillId="8" borderId="37" xfId="10" applyNumberFormat="1" applyFont="1" applyFill="1" applyBorder="1" applyAlignment="1">
      <alignment horizontal="right"/>
    </xf>
    <xf numFmtId="167" fontId="12" fillId="8" borderId="39" xfId="0" applyNumberFormat="1" applyFont="1" applyFill="1" applyBorder="1"/>
    <xf numFmtId="0" fontId="72" fillId="8" borderId="56" xfId="0" applyFont="1" applyFill="1" applyBorder="1"/>
    <xf numFmtId="167" fontId="72" fillId="8" borderId="56" xfId="0" applyNumberFormat="1" applyFont="1" applyFill="1" applyBorder="1"/>
    <xf numFmtId="170" fontId="3" fillId="8" borderId="0" xfId="1" applyNumberFormat="1" applyFont="1" applyFill="1" applyBorder="1"/>
    <xf numFmtId="167" fontId="4" fillId="8" borderId="0" xfId="10" applyNumberFormat="1" applyFont="1" applyFill="1" applyBorder="1" applyAlignment="1">
      <alignment horizontal="right"/>
    </xf>
    <xf numFmtId="170" fontId="0" fillId="2" borderId="16" xfId="10" applyNumberFormat="1" applyFont="1" applyFill="1" applyBorder="1" applyAlignment="1">
      <alignment horizontal="left" indent="1"/>
    </xf>
    <xf numFmtId="177" fontId="4" fillId="2" borderId="6" xfId="8" applyNumberFormat="1" applyFont="1" applyFill="1" applyBorder="1" applyAlignment="1">
      <alignment horizontal="center" vertical="center"/>
    </xf>
    <xf numFmtId="0" fontId="4" fillId="2" borderId="52" xfId="8" applyFont="1" applyFill="1" applyBorder="1" applyAlignment="1">
      <alignment horizontal="left"/>
    </xf>
    <xf numFmtId="0" fontId="4" fillId="2" borderId="53" xfId="8" applyFont="1" applyFill="1" applyBorder="1" applyAlignment="1">
      <alignment horizontal="left"/>
    </xf>
    <xf numFmtId="0" fontId="4" fillId="2" borderId="54" xfId="8" applyFont="1" applyFill="1" applyBorder="1" applyAlignment="1">
      <alignment horizontal="left"/>
    </xf>
    <xf numFmtId="0" fontId="9" fillId="2" borderId="0" xfId="0" applyFont="1" applyFill="1" applyBorder="1"/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/>
    <xf numFmtId="0" fontId="4" fillId="2" borderId="56" xfId="0" applyFont="1" applyFill="1" applyBorder="1"/>
    <xf numFmtId="0" fontId="4" fillId="2" borderId="57" xfId="0" applyFont="1" applyFill="1" applyBorder="1"/>
    <xf numFmtId="0" fontId="0" fillId="4" borderId="0" xfId="0" applyFont="1" applyFill="1"/>
    <xf numFmtId="177" fontId="4" fillId="2" borderId="62" xfId="8" applyNumberFormat="1" applyFont="1" applyFill="1" applyBorder="1"/>
    <xf numFmtId="166" fontId="4" fillId="2" borderId="62" xfId="9" applyFont="1" applyFill="1" applyBorder="1"/>
    <xf numFmtId="0" fontId="4" fillId="2" borderId="59" xfId="8" applyFont="1" applyFill="1" applyBorder="1" applyAlignment="1">
      <alignment horizontal="left"/>
    </xf>
    <xf numFmtId="0" fontId="4" fillId="2" borderId="9" xfId="8" applyFont="1" applyFill="1" applyBorder="1" applyAlignment="1">
      <alignment horizontal="left"/>
    </xf>
    <xf numFmtId="0" fontId="4" fillId="2" borderId="60" xfId="8" applyFont="1" applyFill="1" applyBorder="1" applyAlignment="1">
      <alignment horizontal="left"/>
    </xf>
    <xf numFmtId="0" fontId="4" fillId="2" borderId="0" xfId="8" applyFont="1" applyFill="1" applyBorder="1" applyAlignment="1">
      <alignment horizontal="right" vertical="center"/>
    </xf>
    <xf numFmtId="0" fontId="42" fillId="2" borderId="0" xfId="0" applyFont="1" applyFill="1" applyBorder="1" applyAlignment="1">
      <alignment horizontal="left" vertical="top" indent="1"/>
    </xf>
    <xf numFmtId="0" fontId="42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6" fillId="8" borderId="6" xfId="3" applyFont="1" applyFill="1" applyBorder="1" applyAlignment="1">
      <alignment horizontal="center"/>
    </xf>
    <xf numFmtId="49" fontId="40" fillId="4" borderId="0" xfId="0" applyNumberFormat="1" applyFont="1" applyFill="1" applyAlignment="1">
      <alignment horizontal="left" indent="1"/>
    </xf>
    <xf numFmtId="0" fontId="40" fillId="4" borderId="0" xfId="0" applyFont="1" applyFill="1"/>
    <xf numFmtId="0" fontId="13" fillId="4" borderId="0" xfId="0" applyFont="1" applyFill="1"/>
    <xf numFmtId="170" fontId="12" fillId="4" borderId="17" xfId="10" applyNumberFormat="1" applyFont="1" applyFill="1" applyBorder="1" applyAlignment="1">
      <alignment horizontal="right"/>
    </xf>
    <xf numFmtId="167" fontId="12" fillId="4" borderId="37" xfId="10" applyNumberFormat="1" applyFont="1" applyFill="1" applyBorder="1" applyAlignment="1">
      <alignment horizontal="right"/>
    </xf>
    <xf numFmtId="49" fontId="38" fillId="2" borderId="0" xfId="0" applyNumberFormat="1" applyFont="1" applyFill="1" applyAlignment="1">
      <alignment horizontal="left" indent="1"/>
    </xf>
    <xf numFmtId="0" fontId="40" fillId="2" borderId="0" xfId="0" applyFont="1" applyFill="1"/>
    <xf numFmtId="170" fontId="12" fillId="8" borderId="17" xfId="10" applyNumberFormat="1" applyFont="1" applyFill="1" applyBorder="1" applyAlignment="1">
      <alignment horizontal="right"/>
    </xf>
    <xf numFmtId="170" fontId="12" fillId="2" borderId="27" xfId="10" applyNumberFormat="1" applyFont="1" applyFill="1" applyBorder="1" applyAlignment="1">
      <alignment horizontal="right"/>
    </xf>
    <xf numFmtId="167" fontId="12" fillId="2" borderId="16" xfId="10" applyNumberFormat="1" applyFont="1" applyFill="1" applyBorder="1" applyAlignment="1">
      <alignment horizontal="right"/>
    </xf>
    <xf numFmtId="0" fontId="40" fillId="2" borderId="0" xfId="0" quotePrefix="1" applyFont="1" applyFill="1"/>
    <xf numFmtId="167" fontId="12" fillId="8" borderId="26" xfId="10" applyNumberFormat="1" applyFont="1" applyFill="1" applyBorder="1" applyAlignment="1">
      <alignment horizontal="right"/>
    </xf>
    <xf numFmtId="167" fontId="12" fillId="8" borderId="39" xfId="10" applyNumberFormat="1" applyFont="1" applyFill="1" applyBorder="1" applyAlignment="1">
      <alignment horizontal="right"/>
    </xf>
    <xf numFmtId="167" fontId="15" fillId="8" borderId="7" xfId="0" applyNumberFormat="1" applyFont="1" applyFill="1" applyBorder="1"/>
    <xf numFmtId="170" fontId="74" fillId="2" borderId="0" xfId="1" applyNumberFormat="1" applyFont="1" applyFill="1" applyBorder="1" applyAlignment="1">
      <alignment horizontal="center"/>
    </xf>
    <xf numFmtId="49" fontId="0" fillId="4" borderId="0" xfId="0" applyNumberFormat="1" applyFont="1" applyFill="1" applyAlignment="1">
      <alignment horizontal="left" indent="1"/>
    </xf>
    <xf numFmtId="0" fontId="3" fillId="4" borderId="0" xfId="0" applyFont="1" applyFill="1"/>
    <xf numFmtId="170" fontId="4" fillId="4" borderId="17" xfId="10" applyNumberFormat="1" applyFont="1" applyFill="1" applyBorder="1" applyAlignment="1">
      <alignment horizontal="right"/>
    </xf>
    <xf numFmtId="167" fontId="4" fillId="4" borderId="37" xfId="10" applyNumberFormat="1" applyFont="1" applyFill="1" applyBorder="1" applyAlignment="1">
      <alignment horizontal="right"/>
    </xf>
    <xf numFmtId="170" fontId="4" fillId="2" borderId="16" xfId="10" applyNumberFormat="1" applyFont="1" applyFill="1" applyBorder="1" applyAlignment="1">
      <alignment horizontal="right"/>
    </xf>
    <xf numFmtId="167" fontId="4" fillId="8" borderId="26" xfId="10" applyNumberFormat="1" applyFont="1" applyFill="1" applyBorder="1" applyAlignment="1">
      <alignment horizontal="right"/>
    </xf>
    <xf numFmtId="167" fontId="4" fillId="8" borderId="39" xfId="10" applyNumberFormat="1" applyFont="1" applyFill="1" applyBorder="1" applyAlignment="1">
      <alignment horizontal="right"/>
    </xf>
    <xf numFmtId="43" fontId="12" fillId="2" borderId="26" xfId="10" applyNumberFormat="1" applyFont="1" applyFill="1" applyBorder="1" applyAlignment="1">
      <alignment horizontal="right"/>
    </xf>
    <xf numFmtId="167" fontId="12" fillId="8" borderId="0" xfId="0" applyNumberFormat="1" applyFont="1" applyFill="1" applyBorder="1"/>
    <xf numFmtId="0" fontId="0" fillId="4" borderId="0" xfId="0" quotePrefix="1" applyFont="1" applyFill="1"/>
    <xf numFmtId="167" fontId="12" fillId="8" borderId="20" xfId="0" applyNumberFormat="1" applyFont="1" applyFill="1" applyBorder="1"/>
    <xf numFmtId="170" fontId="4" fillId="4" borderId="0" xfId="1" applyNumberFormat="1" applyFont="1" applyFill="1"/>
    <xf numFmtId="17" fontId="6" fillId="2" borderId="5" xfId="3" applyNumberFormat="1" applyFont="1" applyFill="1" applyBorder="1" applyAlignment="1">
      <alignment horizontal="center"/>
    </xf>
    <xf numFmtId="0" fontId="72" fillId="2" borderId="0" xfId="0" applyFont="1" applyFill="1" applyBorder="1"/>
    <xf numFmtId="0" fontId="48" fillId="2" borderId="0" xfId="0" applyFont="1" applyFill="1"/>
    <xf numFmtId="0" fontId="4" fillId="4" borderId="1" xfId="3" applyNumberFormat="1" applyFont="1" applyFill="1" applyBorder="1" applyAlignment="1">
      <alignment horizontal="center" wrapText="1"/>
    </xf>
    <xf numFmtId="167" fontId="8" fillId="2" borderId="25" xfId="10" applyNumberFormat="1" applyFont="1" applyFill="1" applyBorder="1" applyAlignment="1">
      <alignment horizontal="left"/>
    </xf>
    <xf numFmtId="167" fontId="9" fillId="2" borderId="25" xfId="10" applyNumberFormat="1" applyFont="1" applyFill="1" applyBorder="1" applyAlignment="1">
      <alignment horizontal="left"/>
    </xf>
    <xf numFmtId="167" fontId="4" fillId="4" borderId="25" xfId="10" applyNumberFormat="1" applyFont="1" applyFill="1" applyBorder="1" applyAlignment="1">
      <alignment horizontal="left"/>
    </xf>
    <xf numFmtId="167" fontId="4" fillId="3" borderId="25" xfId="10" applyNumberFormat="1" applyFont="1" applyFill="1" applyBorder="1" applyAlignment="1">
      <alignment horizontal="left"/>
    </xf>
    <xf numFmtId="170" fontId="12" fillId="2" borderId="70" xfId="1" applyNumberFormat="1" applyFont="1" applyFill="1" applyBorder="1" applyAlignment="1">
      <alignment horizontal="center" vertical="center"/>
    </xf>
    <xf numFmtId="0" fontId="12" fillId="2" borderId="70" xfId="0" applyFont="1" applyFill="1" applyBorder="1"/>
    <xf numFmtId="182" fontId="4" fillId="4" borderId="25" xfId="2" applyNumberFormat="1" applyFont="1" applyFill="1" applyBorder="1" applyAlignment="1">
      <alignment horizontal="left"/>
    </xf>
    <xf numFmtId="43" fontId="4" fillId="4" borderId="25" xfId="1" applyFont="1" applyFill="1" applyBorder="1" applyAlignment="1">
      <alignment horizontal="left"/>
    </xf>
    <xf numFmtId="0" fontId="53" fillId="2" borderId="0" xfId="3" applyFont="1" applyFill="1" applyBorder="1" applyAlignment="1">
      <alignment horizontal="left" vertical="center"/>
    </xf>
    <xf numFmtId="0" fontId="8" fillId="2" borderId="1" xfId="25" applyFont="1" applyFill="1" applyBorder="1" applyAlignment="1">
      <alignment horizontal="center" vertical="center" textRotation="180" wrapText="1"/>
    </xf>
    <xf numFmtId="0" fontId="4" fillId="2" borderId="1" xfId="25" applyFont="1" applyFill="1" applyBorder="1" applyAlignment="1">
      <alignment horizontal="center" vertical="center" textRotation="180"/>
    </xf>
    <xf numFmtId="0" fontId="8" fillId="2" borderId="1" xfId="25" applyFont="1" applyFill="1" applyBorder="1" applyAlignment="1">
      <alignment horizontal="center" vertical="center" textRotation="180"/>
    </xf>
    <xf numFmtId="0" fontId="4" fillId="2" borderId="1" xfId="25" applyFont="1" applyFill="1" applyBorder="1" applyAlignment="1">
      <alignment horizontal="center" vertical="center" textRotation="180" wrapText="1"/>
    </xf>
    <xf numFmtId="0" fontId="4" fillId="2" borderId="1" xfId="25" applyFont="1" applyFill="1" applyBorder="1" applyAlignment="1">
      <alignment horizontal="left" textRotation="180"/>
    </xf>
    <xf numFmtId="41" fontId="4" fillId="8" borderId="1" xfId="10" applyNumberFormat="1" applyFont="1" applyFill="1" applyBorder="1" applyAlignment="1">
      <alignment horizontal="center"/>
    </xf>
    <xf numFmtId="186" fontId="4" fillId="3" borderId="1" xfId="11" applyNumberFormat="1" applyFont="1" applyFill="1" applyBorder="1" applyAlignment="1">
      <alignment horizontal="center"/>
    </xf>
    <xf numFmtId="182" fontId="4" fillId="3" borderId="1" xfId="2" applyNumberFormat="1" applyFont="1" applyFill="1" applyBorder="1" applyAlignment="1">
      <alignment horizontal="center"/>
    </xf>
    <xf numFmtId="9" fontId="4" fillId="3" borderId="1" xfId="2" applyFont="1" applyFill="1" applyBorder="1" applyAlignment="1">
      <alignment horizontal="center"/>
    </xf>
    <xf numFmtId="180" fontId="4" fillId="8" borderId="1" xfId="11" applyNumberFormat="1" applyFont="1" applyFill="1" applyBorder="1" applyAlignment="1">
      <alignment horizontal="right"/>
    </xf>
    <xf numFmtId="1" fontId="4" fillId="3" borderId="1" xfId="11" applyNumberFormat="1" applyFont="1" applyFill="1" applyBorder="1" applyAlignment="1">
      <alignment horizontal="center"/>
    </xf>
    <xf numFmtId="0" fontId="4" fillId="8" borderId="1" xfId="0" applyFont="1" applyFill="1" applyBorder="1"/>
    <xf numFmtId="0" fontId="4" fillId="3" borderId="1" xfId="0" applyFont="1" applyFill="1" applyBorder="1"/>
    <xf numFmtId="166" fontId="4" fillId="8" borderId="1" xfId="11" applyFont="1" applyFill="1" applyBorder="1" applyAlignment="1">
      <alignment horizontal="center"/>
    </xf>
    <xf numFmtId="41" fontId="4" fillId="8" borderId="62" xfId="10" applyNumberFormat="1" applyFont="1" applyFill="1" applyBorder="1" applyAlignment="1">
      <alignment horizontal="center"/>
    </xf>
    <xf numFmtId="166" fontId="4" fillId="2" borderId="1" xfId="11" applyFont="1" applyFill="1" applyBorder="1" applyAlignment="1">
      <alignment horizontal="center"/>
    </xf>
    <xf numFmtId="166" fontId="4" fillId="2" borderId="62" xfId="11" applyFont="1" applyFill="1" applyBorder="1" applyAlignment="1">
      <alignment horizontal="center"/>
    </xf>
    <xf numFmtId="166" fontId="4" fillId="8" borderId="62" xfId="11" applyFont="1" applyFill="1" applyBorder="1" applyAlignment="1">
      <alignment horizontal="center"/>
    </xf>
    <xf numFmtId="166" fontId="4" fillId="2" borderId="52" xfId="11" applyFont="1" applyFill="1" applyBorder="1" applyAlignment="1">
      <alignment horizontal="center"/>
    </xf>
    <xf numFmtId="1" fontId="4" fillId="8" borderId="1" xfId="10" applyNumberFormat="1" applyFont="1" applyFill="1" applyBorder="1" applyAlignment="1">
      <alignment horizontal="right"/>
    </xf>
    <xf numFmtId="41" fontId="4" fillId="8" borderId="1" xfId="10" applyNumberFormat="1" applyFont="1" applyFill="1" applyBorder="1" applyAlignment="1">
      <alignment horizontal="right"/>
    </xf>
    <xf numFmtId="10" fontId="0" fillId="2" borderId="0" xfId="0" applyNumberFormat="1" applyFill="1" applyBorder="1"/>
    <xf numFmtId="0" fontId="52" fillId="2" borderId="0" xfId="0" applyFont="1" applyFill="1"/>
    <xf numFmtId="0" fontId="52" fillId="2" borderId="0" xfId="0" applyFont="1" applyFill="1" applyBorder="1" applyAlignment="1">
      <alignment horizontal="center"/>
    </xf>
    <xf numFmtId="41" fontId="52" fillId="8" borderId="1" xfId="10" applyNumberFormat="1" applyFont="1" applyFill="1" applyBorder="1" applyAlignment="1">
      <alignment horizontal="right"/>
    </xf>
    <xf numFmtId="1" fontId="52" fillId="3" borderId="1" xfId="11" applyNumberFormat="1" applyFont="1" applyFill="1" applyBorder="1" applyAlignment="1">
      <alignment horizontal="center"/>
    </xf>
    <xf numFmtId="0" fontId="52" fillId="0" borderId="0" xfId="0" applyFont="1"/>
    <xf numFmtId="41" fontId="3" fillId="8" borderId="1" xfId="10" applyNumberFormat="1" applyFont="1" applyFill="1" applyBorder="1" applyAlignment="1">
      <alignment horizontal="right"/>
    </xf>
    <xf numFmtId="1" fontId="3" fillId="3" borderId="1" xfId="11" applyNumberFormat="1" applyFont="1" applyFill="1" applyBorder="1" applyAlignment="1">
      <alignment horizontal="center"/>
    </xf>
    <xf numFmtId="0" fontId="3" fillId="0" borderId="0" xfId="0" applyFont="1"/>
    <xf numFmtId="9" fontId="3" fillId="2" borderId="0" xfId="2" applyFont="1" applyFill="1" applyBorder="1"/>
    <xf numFmtId="170" fontId="0" fillId="2" borderId="0" xfId="1" applyNumberFormat="1" applyFont="1" applyFill="1"/>
    <xf numFmtId="0" fontId="39" fillId="2" borderId="0" xfId="0" applyFont="1" applyFill="1" applyBorder="1" applyAlignment="1">
      <alignment horizontal="left" vertical="center"/>
    </xf>
    <xf numFmtId="167" fontId="4" fillId="8" borderId="27" xfId="10" applyNumberFormat="1" applyFont="1" applyFill="1" applyBorder="1" applyAlignment="1">
      <alignment horizontal="right"/>
    </xf>
    <xf numFmtId="170" fontId="4" fillId="8" borderId="27" xfId="10" applyNumberFormat="1" applyFont="1" applyFill="1" applyBorder="1" applyAlignment="1">
      <alignment horizontal="right"/>
    </xf>
    <xf numFmtId="43" fontId="4" fillId="8" borderId="27" xfId="10" applyNumberFormat="1" applyFont="1" applyFill="1" applyBorder="1" applyAlignment="1">
      <alignment horizontal="right"/>
    </xf>
    <xf numFmtId="0" fontId="15" fillId="2" borderId="20" xfId="10" applyNumberFormat="1" applyFont="1" applyFill="1" applyBorder="1" applyAlignment="1">
      <alignment horizontal="center"/>
    </xf>
    <xf numFmtId="167" fontId="28" fillId="2" borderId="17" xfId="10" applyNumberFormat="1" applyFont="1" applyFill="1" applyBorder="1" applyAlignment="1">
      <alignment horizontal="right"/>
    </xf>
    <xf numFmtId="176" fontId="12" fillId="2" borderId="17" xfId="1" applyNumberFormat="1" applyFont="1" applyFill="1" applyBorder="1" applyAlignment="1">
      <alignment horizontal="right"/>
    </xf>
    <xf numFmtId="182" fontId="12" fillId="2" borderId="17" xfId="2" applyNumberFormat="1" applyFont="1" applyFill="1" applyBorder="1" applyAlignment="1">
      <alignment horizontal="right"/>
    </xf>
    <xf numFmtId="43" fontId="12" fillId="2" borderId="17" xfId="1" applyFont="1" applyFill="1" applyBorder="1" applyAlignment="1">
      <alignment horizontal="left"/>
    </xf>
    <xf numFmtId="179" fontId="12" fillId="2" borderId="17" xfId="10" applyNumberFormat="1" applyFont="1" applyFill="1" applyBorder="1" applyAlignment="1">
      <alignment horizontal="left"/>
    </xf>
    <xf numFmtId="10" fontId="12" fillId="2" borderId="17" xfId="2" applyNumberFormat="1" applyFont="1" applyFill="1" applyBorder="1" applyAlignment="1">
      <alignment horizontal="right"/>
    </xf>
    <xf numFmtId="167" fontId="12" fillId="2" borderId="17" xfId="10" applyNumberFormat="1" applyFont="1" applyFill="1" applyBorder="1" applyAlignment="1">
      <alignment horizontal="left"/>
    </xf>
    <xf numFmtId="185" fontId="12" fillId="2" borderId="70" xfId="3" applyNumberFormat="1" applyFont="1" applyFill="1" applyBorder="1" applyAlignment="1">
      <alignment horizontal="right" vertical="center" wrapText="1"/>
    </xf>
    <xf numFmtId="185" fontId="4" fillId="4" borderId="1" xfId="3" applyNumberFormat="1" applyFont="1" applyFill="1" applyBorder="1" applyAlignment="1">
      <alignment horizontal="right" vertical="center" wrapText="1"/>
    </xf>
    <xf numFmtId="170" fontId="22" fillId="2" borderId="0" xfId="1" applyNumberFormat="1" applyFont="1" applyFill="1" applyAlignment="1">
      <alignment horizontal="center" vertical="center" wrapText="1"/>
    </xf>
    <xf numFmtId="170" fontId="13" fillId="2" borderId="0" xfId="1" applyNumberFormat="1" applyFont="1" applyFill="1"/>
    <xf numFmtId="170" fontId="4" fillId="4" borderId="0" xfId="1" applyNumberFormat="1" applyFont="1" applyFill="1" applyBorder="1"/>
    <xf numFmtId="17" fontId="6" fillId="2" borderId="6" xfId="3" applyNumberFormat="1" applyFont="1" applyFill="1" applyBorder="1" applyAlignment="1">
      <alignment horizontal="center"/>
    </xf>
    <xf numFmtId="43" fontId="13" fillId="2" borderId="94" xfId="0" applyNumberFormat="1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170" fontId="4" fillId="2" borderId="6" xfId="1" applyNumberFormat="1" applyFont="1" applyFill="1" applyBorder="1"/>
    <xf numFmtId="167" fontId="4" fillId="2" borderId="6" xfId="10" applyNumberFormat="1" applyFont="1" applyFill="1" applyBorder="1" applyAlignment="1">
      <alignment horizontal="right"/>
    </xf>
    <xf numFmtId="43" fontId="0" fillId="2" borderId="0" xfId="0" applyNumberFormat="1" applyFill="1" applyBorder="1"/>
    <xf numFmtId="0" fontId="40" fillId="2" borderId="27" xfId="10" applyNumberFormat="1" applyFont="1" applyFill="1" applyBorder="1" applyAlignment="1">
      <alignment horizontal="left" indent="1"/>
    </xf>
    <xf numFmtId="167" fontId="12" fillId="2" borderId="27" xfId="10" applyNumberFormat="1" applyFont="1" applyFill="1" applyBorder="1" applyAlignment="1">
      <alignment horizontal="left"/>
    </xf>
    <xf numFmtId="0" fontId="12" fillId="2" borderId="13" xfId="0" quotePrefix="1" applyFont="1" applyFill="1" applyBorder="1" applyAlignment="1">
      <alignment horizontal="left" vertical="center" wrapText="1"/>
    </xf>
    <xf numFmtId="170" fontId="12" fillId="2" borderId="13" xfId="1" quotePrefix="1" applyNumberFormat="1" applyFont="1" applyFill="1" applyBorder="1" applyAlignment="1">
      <alignment horizontal="left" vertical="center" wrapText="1"/>
    </xf>
    <xf numFmtId="0" fontId="12" fillId="2" borderId="13" xfId="0" quotePrefix="1" applyFont="1" applyFill="1" applyBorder="1" applyAlignment="1">
      <alignment horizontal="center" vertical="center" wrapText="1"/>
    </xf>
    <xf numFmtId="0" fontId="12" fillId="2" borderId="67" xfId="0" quotePrefix="1" applyFont="1" applyFill="1" applyBorder="1" applyAlignment="1">
      <alignment horizontal="left" vertical="center" wrapText="1"/>
    </xf>
    <xf numFmtId="170" fontId="12" fillId="2" borderId="67" xfId="1" quotePrefix="1" applyNumberFormat="1" applyFont="1" applyFill="1" applyBorder="1" applyAlignment="1">
      <alignment horizontal="left" vertical="center" wrapText="1"/>
    </xf>
    <xf numFmtId="0" fontId="12" fillId="2" borderId="67" xfId="0" quotePrefix="1" applyFont="1" applyFill="1" applyBorder="1" applyAlignment="1">
      <alignment horizontal="center" vertical="center" wrapText="1"/>
    </xf>
    <xf numFmtId="1" fontId="3" fillId="0" borderId="0" xfId="0" applyNumberFormat="1" applyFont="1" applyBorder="1"/>
    <xf numFmtId="0" fontId="3" fillId="0" borderId="0" xfId="0" applyFont="1" applyBorder="1"/>
    <xf numFmtId="183" fontId="3" fillId="0" borderId="3" xfId="0" applyNumberFormat="1" applyFont="1" applyBorder="1"/>
    <xf numFmtId="183" fontId="3" fillId="0" borderId="0" xfId="0" applyNumberFormat="1" applyFont="1" applyBorder="1"/>
    <xf numFmtId="1" fontId="3" fillId="0" borderId="56" xfId="0" applyNumberFormat="1" applyFont="1" applyBorder="1"/>
    <xf numFmtId="188" fontId="3" fillId="0" borderId="56" xfId="0" applyNumberFormat="1" applyFont="1" applyBorder="1"/>
    <xf numFmtId="0" fontId="3" fillId="0" borderId="56" xfId="0" applyNumberFormat="1" applyFont="1" applyBorder="1"/>
    <xf numFmtId="0" fontId="3" fillId="0" borderId="56" xfId="0" applyFont="1" applyBorder="1"/>
    <xf numFmtId="183" fontId="3" fillId="0" borderId="56" xfId="0" applyNumberFormat="1" applyFont="1" applyBorder="1"/>
    <xf numFmtId="183" fontId="3" fillId="0" borderId="56" xfId="0" applyNumberFormat="1" applyFont="1" applyBorder="1" applyAlignment="1">
      <alignment horizontal="right"/>
    </xf>
    <xf numFmtId="167" fontId="4" fillId="4" borderId="18" xfId="10" applyNumberFormat="1" applyFont="1" applyFill="1" applyBorder="1" applyAlignment="1">
      <alignment horizontal="left"/>
    </xf>
    <xf numFmtId="182" fontId="4" fillId="4" borderId="18" xfId="2" applyNumberFormat="1" applyFont="1" applyFill="1" applyBorder="1" applyAlignment="1">
      <alignment horizontal="left"/>
    </xf>
    <xf numFmtId="167" fontId="4" fillId="4" borderId="95" xfId="10" applyNumberFormat="1" applyFont="1" applyFill="1" applyBorder="1" applyAlignment="1">
      <alignment horizontal="left"/>
    </xf>
    <xf numFmtId="167" fontId="4" fillId="4" borderId="96" xfId="10" applyNumberFormat="1" applyFont="1" applyFill="1" applyBorder="1" applyAlignment="1">
      <alignment horizontal="left"/>
    </xf>
    <xf numFmtId="167" fontId="4" fillId="4" borderId="97" xfId="10" applyNumberFormat="1" applyFont="1" applyFill="1" applyBorder="1" applyAlignment="1">
      <alignment horizontal="left"/>
    </xf>
    <xf numFmtId="167" fontId="4" fillId="4" borderId="98" xfId="10" applyNumberFormat="1" applyFont="1" applyFill="1" applyBorder="1" applyAlignment="1">
      <alignment horizontal="left"/>
    </xf>
    <xf numFmtId="167" fontId="4" fillId="4" borderId="99" xfId="10" applyNumberFormat="1" applyFont="1" applyFill="1" applyBorder="1" applyAlignment="1">
      <alignment horizontal="left"/>
    </xf>
    <xf numFmtId="182" fontId="4" fillId="4" borderId="98" xfId="2" applyNumberFormat="1" applyFont="1" applyFill="1" applyBorder="1" applyAlignment="1">
      <alignment horizontal="left"/>
    </xf>
    <xf numFmtId="182" fontId="4" fillId="4" borderId="99" xfId="2" applyNumberFormat="1" applyFont="1" applyFill="1" applyBorder="1" applyAlignment="1">
      <alignment horizontal="left"/>
    </xf>
    <xf numFmtId="167" fontId="8" fillId="2" borderId="21" xfId="10" applyNumberFormat="1" applyFont="1" applyFill="1" applyBorder="1" applyAlignment="1">
      <alignment horizontal="left"/>
    </xf>
    <xf numFmtId="167" fontId="4" fillId="4" borderId="100" xfId="10" applyNumberFormat="1" applyFont="1" applyFill="1" applyBorder="1" applyAlignment="1">
      <alignment horizontal="left"/>
    </xf>
    <xf numFmtId="167" fontId="4" fillId="4" borderId="101" xfId="10" applyNumberFormat="1" applyFont="1" applyFill="1" applyBorder="1" applyAlignment="1">
      <alignment horizontal="left"/>
    </xf>
    <xf numFmtId="167" fontId="4" fillId="4" borderId="102" xfId="10" applyNumberFormat="1" applyFont="1" applyFill="1" applyBorder="1" applyAlignment="1">
      <alignment horizontal="left"/>
    </xf>
    <xf numFmtId="43" fontId="4" fillId="4" borderId="18" xfId="1" applyFont="1" applyFill="1" applyBorder="1" applyAlignment="1">
      <alignment horizontal="left"/>
    </xf>
    <xf numFmtId="43" fontId="4" fillId="4" borderId="98" xfId="1" applyFont="1" applyFill="1" applyBorder="1" applyAlignment="1">
      <alignment horizontal="left"/>
    </xf>
    <xf numFmtId="43" fontId="4" fillId="4" borderId="99" xfId="1" applyFont="1" applyFill="1" applyBorder="1" applyAlignment="1">
      <alignment horizontal="left"/>
    </xf>
    <xf numFmtId="43" fontId="4" fillId="4" borderId="95" xfId="1" applyFont="1" applyFill="1" applyBorder="1" applyAlignment="1">
      <alignment horizontal="left"/>
    </xf>
    <xf numFmtId="43" fontId="4" fillId="4" borderId="96" xfId="1" applyFont="1" applyFill="1" applyBorder="1" applyAlignment="1">
      <alignment horizontal="left"/>
    </xf>
    <xf numFmtId="43" fontId="4" fillId="4" borderId="97" xfId="1" applyFont="1" applyFill="1" applyBorder="1" applyAlignment="1">
      <alignment horizontal="left"/>
    </xf>
    <xf numFmtId="43" fontId="4" fillId="4" borderId="100" xfId="1" applyFont="1" applyFill="1" applyBorder="1" applyAlignment="1">
      <alignment horizontal="left"/>
    </xf>
    <xf numFmtId="43" fontId="4" fillId="4" borderId="101" xfId="1" applyFont="1" applyFill="1" applyBorder="1" applyAlignment="1">
      <alignment horizontal="left"/>
    </xf>
    <xf numFmtId="182" fontId="4" fillId="4" borderId="25" xfId="10" applyNumberFormat="1" applyFont="1" applyFill="1" applyBorder="1" applyAlignment="1">
      <alignment horizontal="left"/>
    </xf>
    <xf numFmtId="182" fontId="4" fillId="4" borderId="98" xfId="10" applyNumberFormat="1" applyFont="1" applyFill="1" applyBorder="1" applyAlignment="1">
      <alignment horizontal="left"/>
    </xf>
    <xf numFmtId="182" fontId="4" fillId="4" borderId="18" xfId="10" applyNumberFormat="1" applyFont="1" applyFill="1" applyBorder="1" applyAlignment="1">
      <alignment horizontal="left"/>
    </xf>
    <xf numFmtId="0" fontId="52" fillId="0" borderId="3" xfId="0" applyFont="1" applyBorder="1"/>
    <xf numFmtId="1" fontId="3" fillId="0" borderId="3" xfId="0" applyNumberFormat="1" applyFont="1" applyBorder="1"/>
    <xf numFmtId="0" fontId="78" fillId="0" borderId="56" xfId="0" applyFont="1" applyBorder="1"/>
    <xf numFmtId="9" fontId="3" fillId="0" borderId="56" xfId="0" applyNumberFormat="1" applyFont="1" applyBorder="1"/>
    <xf numFmtId="182" fontId="3" fillId="0" borderId="56" xfId="0" applyNumberFormat="1" applyFont="1" applyBorder="1"/>
    <xf numFmtId="0" fontId="52" fillId="0" borderId="0" xfId="0" applyFont="1" applyFill="1" applyBorder="1"/>
    <xf numFmtId="0" fontId="2" fillId="0" borderId="0" xfId="0" applyFont="1"/>
    <xf numFmtId="0" fontId="0" fillId="0" borderId="8" xfId="0" applyBorder="1"/>
    <xf numFmtId="0" fontId="0" fillId="0" borderId="0" xfId="0" applyFill="1" applyBorder="1"/>
    <xf numFmtId="0" fontId="0" fillId="0" borderId="0" xfId="0" applyBorder="1"/>
    <xf numFmtId="0" fontId="0" fillId="0" borderId="56" xfId="0" applyFill="1" applyBorder="1"/>
    <xf numFmtId="0" fontId="0" fillId="0" borderId="56" xfId="0" applyBorder="1"/>
    <xf numFmtId="2" fontId="3" fillId="0" borderId="72" xfId="0" applyNumberFormat="1" applyFont="1" applyBorder="1"/>
    <xf numFmtId="3" fontId="13" fillId="0" borderId="80" xfId="48" applyNumberFormat="1" applyFont="1" applyFill="1" applyBorder="1" applyAlignment="1">
      <alignment horizontal="right"/>
    </xf>
    <xf numFmtId="0" fontId="13" fillId="0" borderId="80" xfId="48" applyFont="1" applyFill="1" applyBorder="1" applyAlignment="1">
      <alignment horizontal="left"/>
    </xf>
    <xf numFmtId="183" fontId="13" fillId="0" borderId="72" xfId="48" applyNumberFormat="1" applyFont="1" applyFill="1" applyBorder="1" applyAlignment="1">
      <alignment horizontal="right"/>
    </xf>
    <xf numFmtId="0" fontId="13" fillId="0" borderId="72" xfId="48" applyFont="1" applyFill="1" applyBorder="1" applyAlignment="1">
      <alignment horizontal="left"/>
    </xf>
    <xf numFmtId="9" fontId="13" fillId="0" borderId="72" xfId="48" applyNumberFormat="1" applyFont="1" applyFill="1" applyBorder="1" applyAlignment="1">
      <alignment horizontal="right"/>
    </xf>
    <xf numFmtId="0" fontId="13" fillId="0" borderId="72" xfId="48" applyFont="1" applyFill="1" applyBorder="1"/>
    <xf numFmtId="1" fontId="13" fillId="0" borderId="72" xfId="48" applyNumberFormat="1" applyFont="1" applyFill="1" applyBorder="1" applyAlignment="1">
      <alignment horizontal="right"/>
    </xf>
    <xf numFmtId="0" fontId="13" fillId="0" borderId="72" xfId="48" applyFont="1" applyFill="1" applyBorder="1" applyAlignment="1">
      <alignment horizontal="right"/>
    </xf>
    <xf numFmtId="0" fontId="3" fillId="0" borderId="72" xfId="0" applyFont="1" applyFill="1" applyBorder="1"/>
    <xf numFmtId="182" fontId="4" fillId="4" borderId="112" xfId="2" applyNumberFormat="1" applyFont="1" applyFill="1" applyBorder="1" applyAlignment="1">
      <alignment horizontal="left"/>
    </xf>
    <xf numFmtId="167" fontId="4" fillId="4" borderId="117" xfId="10" applyNumberFormat="1" applyFont="1" applyFill="1" applyBorder="1" applyAlignment="1">
      <alignment horizontal="left"/>
    </xf>
    <xf numFmtId="167" fontId="4" fillId="4" borderId="107" xfId="10" applyNumberFormat="1" applyFont="1" applyFill="1" applyBorder="1" applyAlignment="1">
      <alignment horizontal="left"/>
    </xf>
    <xf numFmtId="182" fontId="4" fillId="4" borderId="28" xfId="10" applyNumberFormat="1" applyFont="1" applyFill="1" applyBorder="1" applyAlignment="1">
      <alignment horizontal="left"/>
    </xf>
    <xf numFmtId="167" fontId="4" fillId="4" borderId="28" xfId="10" applyNumberFormat="1" applyFont="1" applyFill="1" applyBorder="1" applyAlignment="1">
      <alignment horizontal="left"/>
    </xf>
    <xf numFmtId="167" fontId="4" fillId="4" borderId="103" xfId="10" applyNumberFormat="1" applyFont="1" applyFill="1" applyBorder="1" applyAlignment="1">
      <alignment horizontal="left"/>
    </xf>
    <xf numFmtId="167" fontId="4" fillId="4" borderId="113" xfId="10" applyNumberFormat="1" applyFont="1" applyFill="1" applyBorder="1" applyAlignment="1">
      <alignment horizontal="left"/>
    </xf>
    <xf numFmtId="167" fontId="4" fillId="4" borderId="114" xfId="10" applyNumberFormat="1" applyFont="1" applyFill="1" applyBorder="1" applyAlignment="1">
      <alignment horizontal="left"/>
    </xf>
    <xf numFmtId="43" fontId="4" fillId="4" borderId="114" xfId="1" applyFont="1" applyFill="1" applyBorder="1" applyAlignment="1">
      <alignment horizontal="left"/>
    </xf>
    <xf numFmtId="43" fontId="4" fillId="4" borderId="103" xfId="1" applyFont="1" applyFill="1" applyBorder="1" applyAlignment="1">
      <alignment horizontal="left"/>
    </xf>
    <xf numFmtId="170" fontId="12" fillId="8" borderId="27" xfId="10" applyNumberFormat="1" applyFont="1" applyFill="1" applyBorder="1" applyAlignment="1">
      <alignment horizontal="right"/>
    </xf>
    <xf numFmtId="170" fontId="12" fillId="8" borderId="118" xfId="10" applyNumberFormat="1" applyFont="1" applyFill="1" applyBorder="1" applyAlignment="1">
      <alignment horizontal="right"/>
    </xf>
    <xf numFmtId="167" fontId="12" fillId="0" borderId="17" xfId="10" applyNumberFormat="1" applyFont="1" applyFill="1" applyBorder="1" applyAlignment="1">
      <alignment horizontal="right"/>
    </xf>
    <xf numFmtId="43" fontId="13" fillId="2" borderId="54" xfId="0" applyNumberFormat="1" applyFont="1" applyFill="1" applyBorder="1" applyAlignment="1">
      <alignment horizontal="center"/>
    </xf>
    <xf numFmtId="167" fontId="4" fillId="2" borderId="119" xfId="10" applyNumberFormat="1" applyFont="1" applyFill="1" applyBorder="1" applyAlignment="1">
      <alignment horizontal="right"/>
    </xf>
    <xf numFmtId="170" fontId="4" fillId="8" borderId="6" xfId="1" applyNumberFormat="1" applyFont="1" applyFill="1" applyBorder="1"/>
    <xf numFmtId="167" fontId="4" fillId="8" borderId="6" xfId="10" applyNumberFormat="1" applyFont="1" applyFill="1" applyBorder="1" applyAlignment="1">
      <alignment horizontal="right"/>
    </xf>
    <xf numFmtId="167" fontId="4" fillId="8" borderId="51" xfId="10" applyNumberFormat="1" applyFont="1" applyFill="1" applyBorder="1" applyAlignment="1">
      <alignment horizontal="right"/>
    </xf>
    <xf numFmtId="167" fontId="4" fillId="8" borderId="119" xfId="10" applyNumberFormat="1" applyFont="1" applyFill="1" applyBorder="1" applyAlignment="1">
      <alignment horizontal="right"/>
    </xf>
    <xf numFmtId="167" fontId="4" fillId="0" borderId="27" xfId="10" applyNumberFormat="1" applyFont="1" applyFill="1" applyBorder="1" applyAlignment="1">
      <alignment horizontal="right"/>
    </xf>
    <xf numFmtId="0" fontId="4" fillId="0" borderId="0" xfId="0" applyFont="1" applyFill="1" applyBorder="1"/>
    <xf numFmtId="17" fontId="6" fillId="8" borderId="6" xfId="3" applyNumberFormat="1" applyFont="1" applyFill="1" applyBorder="1" applyAlignment="1">
      <alignment horizontal="center"/>
    </xf>
    <xf numFmtId="167" fontId="4" fillId="2" borderId="118" xfId="10" applyNumberFormat="1" applyFont="1" applyFill="1" applyBorder="1" applyAlignment="1">
      <alignment horizontal="right"/>
    </xf>
    <xf numFmtId="0" fontId="4" fillId="2" borderId="39" xfId="0" applyFont="1" applyFill="1" applyBorder="1"/>
    <xf numFmtId="167" fontId="12" fillId="0" borderId="37" xfId="10" applyNumberFormat="1" applyFont="1" applyFill="1" applyBorder="1" applyAlignment="1">
      <alignment horizontal="right"/>
    </xf>
    <xf numFmtId="182" fontId="12" fillId="2" borderId="24" xfId="2" applyNumberFormat="1" applyFont="1" applyFill="1" applyBorder="1" applyAlignment="1">
      <alignment horizontal="right"/>
    </xf>
    <xf numFmtId="182" fontId="4" fillId="4" borderId="17" xfId="2" applyNumberFormat="1" applyFont="1" applyFill="1" applyBorder="1" applyAlignment="1">
      <alignment horizontal="center"/>
    </xf>
    <xf numFmtId="0" fontId="4" fillId="4" borderId="24" xfId="2" applyNumberFormat="1" applyFont="1" applyFill="1" applyBorder="1" applyAlignment="1">
      <alignment horizontal="center"/>
    </xf>
    <xf numFmtId="0" fontId="4" fillId="4" borderId="27" xfId="0" applyFont="1" applyFill="1" applyBorder="1"/>
    <xf numFmtId="167" fontId="4" fillId="4" borderId="16" xfId="10" applyNumberFormat="1" applyFont="1" applyFill="1" applyBorder="1" applyAlignment="1">
      <alignment horizontal="left"/>
    </xf>
    <xf numFmtId="167" fontId="4" fillId="4" borderId="16" xfId="10" applyNumberFormat="1" applyFont="1" applyFill="1" applyBorder="1" applyAlignment="1">
      <alignment horizontal="right"/>
    </xf>
    <xf numFmtId="43" fontId="4" fillId="2" borderId="0" xfId="1" applyFont="1" applyFill="1" applyBorder="1" applyAlignment="1">
      <alignment horizontal="right"/>
    </xf>
    <xf numFmtId="43" fontId="12" fillId="2" borderId="16" xfId="1" applyFont="1" applyFill="1" applyBorder="1" applyAlignment="1">
      <alignment horizontal="right"/>
    </xf>
    <xf numFmtId="167" fontId="4" fillId="0" borderId="0" xfId="10" applyNumberFormat="1" applyFont="1" applyFill="1" applyBorder="1" applyAlignment="1">
      <alignment horizontal="left"/>
    </xf>
    <xf numFmtId="43" fontId="4" fillId="2" borderId="0" xfId="1" applyFont="1" applyFill="1" applyBorder="1" applyAlignment="1">
      <alignment horizontal="center"/>
    </xf>
    <xf numFmtId="167" fontId="4" fillId="0" borderId="0" xfId="10" applyNumberFormat="1" applyFont="1" applyFill="1" applyBorder="1" applyAlignment="1">
      <alignment horizontal="right"/>
    </xf>
    <xf numFmtId="189" fontId="4" fillId="4" borderId="24" xfId="1" applyNumberFormat="1" applyFont="1" applyFill="1" applyBorder="1" applyAlignment="1">
      <alignment horizontal="center"/>
    </xf>
    <xf numFmtId="37" fontId="4" fillId="4" borderId="24" xfId="1" applyNumberFormat="1" applyFont="1" applyFill="1" applyBorder="1" applyAlignment="1">
      <alignment horizontal="center"/>
    </xf>
    <xf numFmtId="167" fontId="4" fillId="0" borderId="17" xfId="10" applyNumberFormat="1" applyFont="1" applyFill="1" applyBorder="1" applyAlignment="1">
      <alignment horizontal="left"/>
    </xf>
    <xf numFmtId="44" fontId="4" fillId="0" borderId="24" xfId="45" applyNumberFormat="1" applyFont="1" applyFill="1" applyBorder="1" applyAlignment="1">
      <alignment horizontal="center"/>
    </xf>
    <xf numFmtId="179" fontId="4" fillId="0" borderId="27" xfId="10" applyNumberFormat="1" applyFont="1" applyFill="1" applyBorder="1" applyAlignment="1">
      <alignment horizontal="right"/>
    </xf>
    <xf numFmtId="179" fontId="4" fillId="0" borderId="51" xfId="10" applyNumberFormat="1" applyFont="1" applyFill="1" applyBorder="1" applyAlignment="1">
      <alignment horizontal="right"/>
    </xf>
    <xf numFmtId="179" fontId="4" fillId="0" borderId="119" xfId="10" applyNumberFormat="1" applyFont="1" applyFill="1" applyBorder="1" applyAlignment="1">
      <alignment horizontal="right"/>
    </xf>
    <xf numFmtId="179" fontId="4" fillId="0" borderId="17" xfId="10" applyNumberFormat="1" applyFont="1" applyFill="1" applyBorder="1" applyAlignment="1">
      <alignment horizontal="right"/>
    </xf>
    <xf numFmtId="179" fontId="4" fillId="0" borderId="37" xfId="10" applyNumberFormat="1" applyFont="1" applyFill="1" applyBorder="1" applyAlignment="1">
      <alignment horizontal="right"/>
    </xf>
    <xf numFmtId="167" fontId="4" fillId="2" borderId="15" xfId="10" applyNumberFormat="1" applyFont="1" applyFill="1" applyBorder="1" applyAlignment="1">
      <alignment horizontal="left"/>
    </xf>
    <xf numFmtId="167" fontId="4" fillId="2" borderId="120" xfId="10" applyNumberFormat="1" applyFont="1" applyFill="1" applyBorder="1" applyAlignment="1">
      <alignment horizontal="left"/>
    </xf>
    <xf numFmtId="170" fontId="33" fillId="2" borderId="18" xfId="10" applyNumberFormat="1" applyFont="1" applyFill="1" applyBorder="1" applyAlignment="1">
      <alignment horizontal="left" indent="1"/>
    </xf>
    <xf numFmtId="170" fontId="33" fillId="2" borderId="121" xfId="10" applyNumberFormat="1" applyFont="1" applyFill="1" applyBorder="1" applyAlignment="1">
      <alignment horizontal="left" indent="1"/>
    </xf>
    <xf numFmtId="0" fontId="4" fillId="2" borderId="121" xfId="0" applyFont="1" applyFill="1" applyBorder="1"/>
    <xf numFmtId="0" fontId="12" fillId="2" borderId="121" xfId="0" applyFont="1" applyFill="1" applyBorder="1"/>
    <xf numFmtId="0" fontId="5" fillId="2" borderId="6" xfId="3" applyFont="1" applyFill="1" applyBorder="1" applyAlignment="1">
      <alignment horizontal="center"/>
    </xf>
    <xf numFmtId="179" fontId="4" fillId="4" borderId="37" xfId="10" applyNumberFormat="1" applyFont="1" applyFill="1" applyBorder="1" applyAlignment="1">
      <alignment horizontal="right"/>
    </xf>
    <xf numFmtId="0" fontId="4" fillId="2" borderId="122" xfId="0" applyFont="1" applyFill="1" applyBorder="1"/>
    <xf numFmtId="179" fontId="4" fillId="0" borderId="118" xfId="10" applyNumberFormat="1" applyFont="1" applyFill="1" applyBorder="1" applyAlignment="1">
      <alignment horizontal="right"/>
    </xf>
    <xf numFmtId="170" fontId="33" fillId="2" borderId="123" xfId="10" applyNumberFormat="1" applyFont="1" applyFill="1" applyBorder="1" applyAlignment="1">
      <alignment horizontal="left" indent="1"/>
    </xf>
    <xf numFmtId="167" fontId="12" fillId="2" borderId="39" xfId="10" applyNumberFormat="1" applyFont="1" applyFill="1" applyBorder="1" applyAlignment="1">
      <alignment horizontal="right"/>
    </xf>
    <xf numFmtId="167" fontId="12" fillId="0" borderId="27" xfId="10" applyNumberFormat="1" applyFont="1" applyFill="1" applyBorder="1" applyAlignment="1">
      <alignment horizontal="right"/>
    </xf>
    <xf numFmtId="167" fontId="12" fillId="2" borderId="118" xfId="10" applyNumberFormat="1" applyFont="1" applyFill="1" applyBorder="1" applyAlignment="1">
      <alignment horizontal="right"/>
    </xf>
    <xf numFmtId="0" fontId="72" fillId="8" borderId="57" xfId="0" applyFont="1" applyFill="1" applyBorder="1"/>
    <xf numFmtId="0" fontId="72" fillId="8" borderId="0" xfId="0" applyFont="1" applyFill="1" applyBorder="1"/>
    <xf numFmtId="167" fontId="72" fillId="8" borderId="0" xfId="0" applyNumberFormat="1" applyFont="1" applyFill="1" applyBorder="1"/>
    <xf numFmtId="0" fontId="72" fillId="8" borderId="6" xfId="0" applyFont="1" applyFill="1" applyBorder="1"/>
    <xf numFmtId="0" fontId="4" fillId="8" borderId="0" xfId="0" applyFont="1" applyFill="1" applyBorder="1"/>
    <xf numFmtId="0" fontId="4" fillId="8" borderId="6" xfId="0" applyFont="1" applyFill="1" applyBorder="1"/>
    <xf numFmtId="170" fontId="3" fillId="8" borderId="6" xfId="1" applyNumberFormat="1" applyFont="1" applyFill="1" applyBorder="1"/>
    <xf numFmtId="0" fontId="6" fillId="2" borderId="6" xfId="3" applyFont="1" applyFill="1" applyBorder="1" applyAlignment="1">
      <alignment horizontal="center"/>
    </xf>
    <xf numFmtId="0" fontId="72" fillId="2" borderId="57" xfId="0" applyFont="1" applyFill="1" applyBorder="1"/>
    <xf numFmtId="0" fontId="72" fillId="2" borderId="6" xfId="0" applyFont="1" applyFill="1" applyBorder="1"/>
    <xf numFmtId="170" fontId="4" fillId="2" borderId="37" xfId="10" applyNumberFormat="1" applyFont="1" applyFill="1" applyBorder="1" applyAlignment="1">
      <alignment horizontal="right"/>
    </xf>
    <xf numFmtId="170" fontId="4" fillId="2" borderId="118" xfId="10" applyNumberFormat="1" applyFont="1" applyFill="1" applyBorder="1" applyAlignment="1">
      <alignment horizontal="right"/>
    </xf>
    <xf numFmtId="0" fontId="34" fillId="2" borderId="6" xfId="0" applyFont="1" applyFill="1" applyBorder="1" applyAlignment="1">
      <alignment vertical="center" wrapText="1"/>
    </xf>
    <xf numFmtId="170" fontId="4" fillId="8" borderId="0" xfId="1" applyNumberFormat="1" applyFont="1" applyFill="1" applyBorder="1"/>
    <xf numFmtId="170" fontId="4" fillId="2" borderId="121" xfId="1" applyNumberFormat="1" applyFont="1" applyFill="1" applyBorder="1"/>
    <xf numFmtId="170" fontId="4" fillId="2" borderId="122" xfId="1" applyNumberFormat="1" applyFont="1" applyFill="1" applyBorder="1"/>
    <xf numFmtId="0" fontId="9" fillId="2" borderId="126" xfId="0" applyFont="1" applyFill="1" applyBorder="1"/>
    <xf numFmtId="0" fontId="4" fillId="11" borderId="127" xfId="0" applyFont="1" applyFill="1" applyBorder="1"/>
    <xf numFmtId="0" fontId="4" fillId="12" borderId="127" xfId="0" applyFont="1" applyFill="1" applyBorder="1"/>
    <xf numFmtId="0" fontId="4" fillId="13" borderId="127" xfId="0" applyFont="1" applyFill="1" applyBorder="1"/>
    <xf numFmtId="167" fontId="15" fillId="8" borderId="128" xfId="0" applyNumberFormat="1" applyFont="1" applyFill="1" applyBorder="1"/>
    <xf numFmtId="167" fontId="12" fillId="8" borderId="6" xfId="0" applyNumberFormat="1" applyFont="1" applyFill="1" applyBorder="1"/>
    <xf numFmtId="170" fontId="4" fillId="4" borderId="118" xfId="10" applyNumberFormat="1" applyFont="1" applyFill="1" applyBorder="1" applyAlignment="1">
      <alignment horizontal="right"/>
    </xf>
    <xf numFmtId="167" fontId="12" fillId="2" borderId="6" xfId="0" applyNumberFormat="1" applyFont="1" applyFill="1" applyBorder="1"/>
    <xf numFmtId="170" fontId="12" fillId="2" borderId="118" xfId="10" applyNumberFormat="1" applyFont="1" applyFill="1" applyBorder="1" applyAlignment="1">
      <alignment horizontal="right"/>
    </xf>
    <xf numFmtId="167" fontId="15" fillId="2" borderId="128" xfId="0" applyNumberFormat="1" applyFont="1" applyFill="1" applyBorder="1"/>
    <xf numFmtId="170" fontId="74" fillId="2" borderId="6" xfId="1" applyNumberFormat="1" applyFont="1" applyFill="1" applyBorder="1" applyAlignment="1">
      <alignment horizontal="center"/>
    </xf>
    <xf numFmtId="43" fontId="12" fillId="2" borderId="39" xfId="10" applyNumberFormat="1" applyFont="1" applyFill="1" applyBorder="1" applyAlignment="1">
      <alignment horizontal="right"/>
    </xf>
    <xf numFmtId="170" fontId="4" fillId="2" borderId="26" xfId="10" applyNumberFormat="1" applyFont="1" applyFill="1" applyBorder="1" applyAlignment="1">
      <alignment horizontal="right"/>
    </xf>
    <xf numFmtId="170" fontId="12" fillId="2" borderId="39" xfId="0" applyNumberFormat="1" applyFont="1" applyFill="1" applyBorder="1"/>
    <xf numFmtId="189" fontId="4" fillId="4" borderId="24" xfId="45" applyNumberFormat="1" applyFont="1" applyFill="1" applyBorder="1" applyAlignment="1"/>
    <xf numFmtId="167" fontId="8" fillId="2" borderId="129" xfId="10" applyNumberFormat="1" applyFont="1" applyFill="1" applyBorder="1" applyAlignment="1">
      <alignment horizontal="left"/>
    </xf>
    <xf numFmtId="43" fontId="13" fillId="2" borderId="6" xfId="0" applyNumberFormat="1" applyFont="1" applyFill="1" applyBorder="1" applyAlignment="1">
      <alignment horizontal="center"/>
    </xf>
    <xf numFmtId="167" fontId="4" fillId="4" borderId="108" xfId="10" applyNumberFormat="1" applyFont="1" applyFill="1" applyBorder="1" applyAlignment="1">
      <alignment horizontal="left"/>
    </xf>
    <xf numFmtId="167" fontId="4" fillId="4" borderId="21" xfId="10" applyNumberFormat="1" applyFont="1" applyFill="1" applyBorder="1" applyAlignment="1">
      <alignment horizontal="left"/>
    </xf>
    <xf numFmtId="167" fontId="4" fillId="4" borderId="130" xfId="10" applyNumberFormat="1" applyFont="1" applyFill="1" applyBorder="1" applyAlignment="1">
      <alignment horizontal="left"/>
    </xf>
    <xf numFmtId="167" fontId="4" fillId="4" borderId="12" xfId="10" applyNumberFormat="1" applyFont="1" applyFill="1" applyBorder="1" applyAlignment="1">
      <alignment horizontal="left"/>
    </xf>
    <xf numFmtId="167" fontId="4" fillId="4" borderId="19" xfId="10" applyNumberFormat="1" applyFont="1" applyFill="1" applyBorder="1" applyAlignment="1">
      <alignment horizontal="left"/>
    </xf>
    <xf numFmtId="182" fontId="4" fillId="4" borderId="19" xfId="2" applyNumberFormat="1" applyFont="1" applyFill="1" applyBorder="1" applyAlignment="1">
      <alignment horizontal="left"/>
    </xf>
    <xf numFmtId="182" fontId="4" fillId="4" borderId="19" xfId="10" applyNumberFormat="1" applyFont="1" applyFill="1" applyBorder="1" applyAlignment="1">
      <alignment horizontal="left"/>
    </xf>
    <xf numFmtId="167" fontId="4" fillId="4" borderId="132" xfId="10" applyNumberFormat="1" applyFont="1" applyFill="1" applyBorder="1" applyAlignment="1">
      <alignment horizontal="left"/>
    </xf>
    <xf numFmtId="167" fontId="4" fillId="4" borderId="133" xfId="10" applyNumberFormat="1" applyFont="1" applyFill="1" applyBorder="1" applyAlignment="1">
      <alignment horizontal="left"/>
    </xf>
    <xf numFmtId="43" fontId="4" fillId="4" borderId="131" xfId="1" applyFont="1" applyFill="1" applyBorder="1" applyAlignment="1">
      <alignment horizontal="left"/>
    </xf>
    <xf numFmtId="43" fontId="4" fillId="4" borderId="21" xfId="1" applyFont="1" applyFill="1" applyBorder="1" applyAlignment="1">
      <alignment horizontal="left"/>
    </xf>
    <xf numFmtId="182" fontId="4" fillId="4" borderId="113" xfId="2" applyNumberFormat="1" applyFont="1" applyFill="1" applyBorder="1" applyAlignment="1">
      <alignment horizontal="left"/>
    </xf>
    <xf numFmtId="43" fontId="4" fillId="4" borderId="16" xfId="1" applyFont="1" applyFill="1" applyBorder="1" applyAlignment="1">
      <alignment horizontal="left"/>
    </xf>
    <xf numFmtId="43" fontId="4" fillId="4" borderId="107" xfId="1" applyFont="1" applyFill="1" applyBorder="1" applyAlignment="1">
      <alignment horizontal="left"/>
    </xf>
    <xf numFmtId="190" fontId="4" fillId="4" borderId="16" xfId="1" applyNumberFormat="1" applyFont="1" applyFill="1" applyBorder="1" applyAlignment="1">
      <alignment horizontal="center"/>
    </xf>
    <xf numFmtId="191" fontId="4" fillId="4" borderId="24" xfId="45" applyNumberFormat="1" applyFont="1" applyFill="1" applyBorder="1" applyAlignment="1">
      <alignment horizontal="center"/>
    </xf>
    <xf numFmtId="190" fontId="4" fillId="4" borderId="24" xfId="2" applyNumberFormat="1" applyFont="1" applyFill="1" applyBorder="1" applyAlignment="1">
      <alignment horizontal="center"/>
    </xf>
    <xf numFmtId="192" fontId="4" fillId="4" borderId="24" xfId="45" applyNumberFormat="1" applyFont="1" applyFill="1" applyBorder="1" applyAlignment="1">
      <alignment horizontal="center"/>
    </xf>
    <xf numFmtId="167" fontId="4" fillId="2" borderId="134" xfId="10" applyNumberFormat="1" applyFont="1" applyFill="1" applyBorder="1" applyAlignment="1">
      <alignment horizontal="right"/>
    </xf>
    <xf numFmtId="167" fontId="4" fillId="2" borderId="135" xfId="10" applyNumberFormat="1" applyFont="1" applyFill="1" applyBorder="1" applyAlignment="1">
      <alignment horizontal="right"/>
    </xf>
    <xf numFmtId="167" fontId="4" fillId="2" borderId="136" xfId="10" applyNumberFormat="1" applyFont="1" applyFill="1" applyBorder="1" applyAlignment="1">
      <alignment horizontal="right"/>
    </xf>
    <xf numFmtId="0" fontId="4" fillId="2" borderId="137" xfId="0" applyFont="1" applyFill="1" applyBorder="1"/>
    <xf numFmtId="49" fontId="40" fillId="8" borderId="0" xfId="0" applyNumberFormat="1" applyFont="1" applyFill="1" applyAlignment="1">
      <alignment horizontal="left" indent="1"/>
    </xf>
    <xf numFmtId="0" fontId="4" fillId="2" borderId="5" xfId="0" applyFont="1" applyFill="1" applyBorder="1"/>
    <xf numFmtId="0" fontId="6" fillId="2" borderId="5" xfId="3" applyFont="1" applyFill="1" applyBorder="1" applyAlignment="1">
      <alignment horizontal="center"/>
    </xf>
    <xf numFmtId="170" fontId="12" fillId="2" borderId="51" xfId="10" applyNumberFormat="1" applyFont="1" applyFill="1" applyBorder="1" applyAlignment="1">
      <alignment horizontal="right"/>
    </xf>
    <xf numFmtId="167" fontId="12" fillId="2" borderId="138" xfId="10" applyNumberFormat="1" applyFont="1" applyFill="1" applyBorder="1" applyAlignment="1">
      <alignment horizontal="right"/>
    </xf>
    <xf numFmtId="167" fontId="12" fillId="2" borderId="138" xfId="0" applyNumberFormat="1" applyFont="1" applyFill="1" applyBorder="1"/>
    <xf numFmtId="167" fontId="15" fillId="2" borderId="139" xfId="0" applyNumberFormat="1" applyFont="1" applyFill="1" applyBorder="1"/>
    <xf numFmtId="167" fontId="4" fillId="2" borderId="138" xfId="10" applyNumberFormat="1" applyFont="1" applyFill="1" applyBorder="1" applyAlignment="1">
      <alignment horizontal="right"/>
    </xf>
    <xf numFmtId="170" fontId="4" fillId="2" borderId="51" xfId="10" applyNumberFormat="1" applyFont="1" applyFill="1" applyBorder="1" applyAlignment="1">
      <alignment horizontal="right"/>
    </xf>
    <xf numFmtId="167" fontId="12" fillId="2" borderId="5" xfId="0" applyNumberFormat="1" applyFont="1" applyFill="1" applyBorder="1"/>
    <xf numFmtId="167" fontId="4" fillId="2" borderId="140" xfId="10" applyNumberFormat="1" applyFont="1" applyFill="1" applyBorder="1" applyAlignment="1">
      <alignment horizontal="right"/>
    </xf>
    <xf numFmtId="170" fontId="12" fillId="2" borderId="119" xfId="10" applyNumberFormat="1" applyFont="1" applyFill="1" applyBorder="1" applyAlignment="1">
      <alignment horizontal="right"/>
    </xf>
    <xf numFmtId="0" fontId="7" fillId="2" borderId="6" xfId="3" applyFont="1" applyFill="1" applyBorder="1" applyAlignment="1">
      <alignment horizontal="center"/>
    </xf>
    <xf numFmtId="170" fontId="2" fillId="2" borderId="36" xfId="10" applyNumberFormat="1" applyFont="1" applyFill="1" applyBorder="1" applyAlignment="1">
      <alignment horizontal="left"/>
    </xf>
    <xf numFmtId="167" fontId="4" fillId="2" borderId="118" xfId="10" applyNumberFormat="1" applyFont="1" applyFill="1" applyBorder="1" applyAlignment="1">
      <alignment horizontal="center"/>
    </xf>
    <xf numFmtId="170" fontId="1" fillId="2" borderId="40" xfId="10" applyNumberFormat="1" applyFont="1" applyFill="1" applyBorder="1" applyAlignment="1">
      <alignment horizontal="left"/>
    </xf>
    <xf numFmtId="170" fontId="1" fillId="2" borderId="18" xfId="10" applyNumberFormat="1" applyFont="1" applyFill="1" applyBorder="1" applyAlignment="1">
      <alignment horizontal="left"/>
    </xf>
    <xf numFmtId="167" fontId="4" fillId="2" borderId="141" xfId="10" applyNumberFormat="1" applyFont="1" applyFill="1" applyBorder="1" applyAlignment="1">
      <alignment horizontal="left"/>
    </xf>
    <xf numFmtId="0" fontId="0" fillId="2" borderId="6" xfId="0" applyFill="1" applyBorder="1"/>
    <xf numFmtId="0" fontId="31" fillId="2" borderId="0" xfId="0" applyFont="1" applyFill="1" applyBorder="1"/>
    <xf numFmtId="170" fontId="0" fillId="2" borderId="0" xfId="0" applyNumberFormat="1" applyFont="1" applyFill="1" applyBorder="1"/>
    <xf numFmtId="0" fontId="0" fillId="2" borderId="6" xfId="0" applyFont="1" applyFill="1" applyBorder="1"/>
    <xf numFmtId="0" fontId="4" fillId="2" borderId="1" xfId="8" applyFont="1" applyFill="1" applyBorder="1" applyAlignment="1">
      <alignment horizontal="left"/>
    </xf>
    <xf numFmtId="0" fontId="42" fillId="2" borderId="0" xfId="0" applyFont="1" applyFill="1" applyBorder="1" applyAlignment="1">
      <alignment horizontal="center" vertical="center"/>
    </xf>
    <xf numFmtId="185" fontId="12" fillId="2" borderId="70" xfId="3" applyNumberFormat="1" applyFont="1" applyFill="1" applyBorder="1" applyAlignment="1">
      <alignment horizontal="right" vertical="center" wrapText="1"/>
    </xf>
    <xf numFmtId="185" fontId="4" fillId="4" borderId="1" xfId="3" applyNumberFormat="1" applyFont="1" applyFill="1" applyBorder="1" applyAlignment="1">
      <alignment horizontal="right" vertical="center" wrapText="1"/>
    </xf>
    <xf numFmtId="167" fontId="4" fillId="4" borderId="0" xfId="10" applyNumberFormat="1" applyFont="1" applyFill="1" applyBorder="1" applyAlignment="1">
      <alignment horizontal="left"/>
    </xf>
    <xf numFmtId="170" fontId="12" fillId="4" borderId="0" xfId="10" applyNumberFormat="1" applyFont="1" applyFill="1" applyBorder="1" applyAlignment="1">
      <alignment horizontal="right"/>
    </xf>
    <xf numFmtId="167" fontId="12" fillId="4" borderId="0" xfId="10" applyNumberFormat="1" applyFont="1" applyFill="1" applyBorder="1" applyAlignment="1">
      <alignment horizontal="right"/>
    </xf>
    <xf numFmtId="167" fontId="12" fillId="4" borderId="6" xfId="10" applyNumberFormat="1" applyFont="1" applyFill="1" applyBorder="1" applyAlignment="1">
      <alignment horizontal="right"/>
    </xf>
    <xf numFmtId="170" fontId="12" fillId="2" borderId="5" xfId="10" applyNumberFormat="1" applyFont="1" applyFill="1" applyBorder="1" applyAlignment="1">
      <alignment horizontal="right"/>
    </xf>
    <xf numFmtId="170" fontId="12" fillId="2" borderId="0" xfId="10" applyNumberFormat="1" applyFont="1" applyFill="1" applyBorder="1" applyAlignment="1">
      <alignment horizontal="right"/>
    </xf>
    <xf numFmtId="170" fontId="12" fillId="2" borderId="6" xfId="10" applyNumberFormat="1" applyFont="1" applyFill="1" applyBorder="1" applyAlignment="1">
      <alignment horizontal="right"/>
    </xf>
    <xf numFmtId="167" fontId="12" fillId="2" borderId="6" xfId="10" applyNumberFormat="1" applyFont="1" applyFill="1" applyBorder="1" applyAlignment="1">
      <alignment horizontal="right"/>
    </xf>
    <xf numFmtId="182" fontId="4" fillId="4" borderId="28" xfId="2" applyNumberFormat="1" applyFont="1" applyFill="1" applyBorder="1" applyAlignment="1">
      <alignment horizontal="left"/>
    </xf>
    <xf numFmtId="167" fontId="4" fillId="4" borderId="142" xfId="10" applyNumberFormat="1" applyFont="1" applyFill="1" applyBorder="1" applyAlignment="1">
      <alignment horizontal="left"/>
    </xf>
    <xf numFmtId="182" fontId="4" fillId="4" borderId="99" xfId="10" applyNumberFormat="1" applyFont="1" applyFill="1" applyBorder="1" applyAlignment="1">
      <alignment horizontal="left"/>
    </xf>
    <xf numFmtId="179" fontId="4" fillId="4" borderId="25" xfId="10" applyNumberFormat="1" applyFont="1" applyFill="1" applyBorder="1" applyAlignment="1">
      <alignment horizontal="left"/>
    </xf>
    <xf numFmtId="179" fontId="4" fillId="4" borderId="18" xfId="10" applyNumberFormat="1" applyFont="1" applyFill="1" applyBorder="1" applyAlignment="1">
      <alignment horizontal="left"/>
    </xf>
    <xf numFmtId="167" fontId="4" fillId="4" borderId="143" xfId="10" applyNumberFormat="1" applyFont="1" applyFill="1" applyBorder="1" applyAlignment="1">
      <alignment horizontal="left"/>
    </xf>
    <xf numFmtId="167" fontId="4" fillId="4" borderId="110" xfId="10" applyNumberFormat="1" applyFont="1" applyFill="1" applyBorder="1" applyAlignment="1">
      <alignment horizontal="left"/>
    </xf>
    <xf numFmtId="167" fontId="4" fillId="4" borderId="144" xfId="10" applyNumberFormat="1" applyFont="1" applyFill="1" applyBorder="1" applyAlignment="1">
      <alignment horizontal="left"/>
    </xf>
    <xf numFmtId="43" fontId="4" fillId="4" borderId="144" xfId="1" applyFont="1" applyFill="1" applyBorder="1" applyAlignment="1">
      <alignment horizontal="left"/>
    </xf>
    <xf numFmtId="167" fontId="4" fillId="4" borderId="145" xfId="10" applyNumberFormat="1" applyFont="1" applyFill="1" applyBorder="1" applyAlignment="1">
      <alignment horizontal="left"/>
    </xf>
    <xf numFmtId="43" fontId="4" fillId="4" borderId="146" xfId="1" applyFont="1" applyFill="1" applyBorder="1" applyAlignment="1">
      <alignment horizontal="left"/>
    </xf>
    <xf numFmtId="43" fontId="4" fillId="4" borderId="143" xfId="1" applyFont="1" applyFill="1" applyBorder="1" applyAlignment="1">
      <alignment horizontal="left"/>
    </xf>
    <xf numFmtId="43" fontId="4" fillId="4" borderId="110" xfId="1" applyFont="1" applyFill="1" applyBorder="1" applyAlignment="1">
      <alignment horizontal="left"/>
    </xf>
    <xf numFmtId="43" fontId="4" fillId="4" borderId="145" xfId="1" applyFont="1" applyFill="1" applyBorder="1" applyAlignment="1">
      <alignment horizontal="left"/>
    </xf>
    <xf numFmtId="166" fontId="4" fillId="2" borderId="0" xfId="11" applyFont="1" applyFill="1" applyBorder="1" applyAlignment="1">
      <alignment horizontal="center"/>
    </xf>
    <xf numFmtId="43" fontId="4" fillId="4" borderId="111" xfId="1" applyFont="1" applyFill="1" applyBorder="1" applyAlignment="1">
      <alignment horizontal="left"/>
    </xf>
    <xf numFmtId="43" fontId="4" fillId="4" borderId="23" xfId="1" applyFont="1" applyFill="1" applyBorder="1" applyAlignment="1">
      <alignment horizontal="left"/>
    </xf>
    <xf numFmtId="0" fontId="9" fillId="2" borderId="52" xfId="0" applyFont="1" applyFill="1" applyBorder="1" applyAlignment="1">
      <alignment horizontal="left"/>
    </xf>
    <xf numFmtId="0" fontId="9" fillId="2" borderId="54" xfId="0" applyFont="1" applyFill="1" applyBorder="1" applyAlignment="1">
      <alignment horizontal="left"/>
    </xf>
    <xf numFmtId="179" fontId="4" fillId="4" borderId="145" xfId="10" applyNumberFormat="1" applyFont="1" applyFill="1" applyBorder="1" applyAlignment="1">
      <alignment horizontal="left"/>
    </xf>
    <xf numFmtId="0" fontId="4" fillId="3" borderId="0" xfId="0" applyFont="1" applyFill="1" applyBorder="1"/>
    <xf numFmtId="0" fontId="42" fillId="2" borderId="0" xfId="0" applyFont="1" applyFill="1" applyBorder="1" applyAlignment="1">
      <alignment horizontal="center" vertical="center"/>
    </xf>
    <xf numFmtId="179" fontId="4" fillId="4" borderId="99" xfId="10" applyNumberFormat="1" applyFont="1" applyFill="1" applyBorder="1" applyAlignment="1">
      <alignment horizontal="left"/>
    </xf>
    <xf numFmtId="179" fontId="4" fillId="4" borderId="98" xfId="10" applyNumberFormat="1" applyFont="1" applyFill="1" applyBorder="1" applyAlignment="1">
      <alignment horizontal="left"/>
    </xf>
    <xf numFmtId="0" fontId="2" fillId="0" borderId="56" xfId="0" applyFont="1" applyBorder="1" applyAlignment="1">
      <alignment horizontal="center"/>
    </xf>
    <xf numFmtId="167" fontId="4" fillId="4" borderId="147" xfId="10" applyNumberFormat="1" applyFont="1" applyFill="1" applyBorder="1" applyAlignment="1">
      <alignment horizontal="left"/>
    </xf>
    <xf numFmtId="43" fontId="4" fillId="4" borderId="148" xfId="1" applyFont="1" applyFill="1" applyBorder="1" applyAlignment="1">
      <alignment horizontal="left"/>
    </xf>
    <xf numFmtId="41" fontId="4" fillId="2" borderId="1" xfId="10" applyNumberFormat="1" applyFont="1" applyFill="1" applyBorder="1" applyAlignment="1">
      <alignment horizontal="center"/>
    </xf>
    <xf numFmtId="186" fontId="4" fillId="2" borderId="1" xfId="11" applyNumberFormat="1" applyFont="1" applyFill="1" applyBorder="1" applyAlignment="1">
      <alignment horizontal="center"/>
    </xf>
    <xf numFmtId="182" fontId="4" fillId="2" borderId="1" xfId="2" applyNumberFormat="1" applyFont="1" applyFill="1" applyBorder="1" applyAlignment="1">
      <alignment horizontal="center"/>
    </xf>
    <xf numFmtId="180" fontId="4" fillId="2" borderId="1" xfId="11" applyNumberFormat="1" applyFont="1" applyFill="1" applyBorder="1" applyAlignment="1">
      <alignment horizontal="right"/>
    </xf>
    <xf numFmtId="1" fontId="4" fillId="2" borderId="1" xfId="11" applyNumberFormat="1" applyFont="1" applyFill="1" applyBorder="1" applyAlignment="1">
      <alignment horizontal="center"/>
    </xf>
    <xf numFmtId="0" fontId="9" fillId="2" borderId="95" xfId="0" applyFont="1" applyFill="1" applyBorder="1"/>
    <xf numFmtId="0" fontId="9" fillId="2" borderId="145" xfId="0" applyFont="1" applyFill="1" applyBorder="1"/>
    <xf numFmtId="49" fontId="3" fillId="2" borderId="89" xfId="10" applyNumberFormat="1" applyFont="1" applyFill="1" applyBorder="1" applyAlignment="1">
      <alignment horizontal="right"/>
    </xf>
    <xf numFmtId="166" fontId="4" fillId="2" borderId="69" xfId="11" applyFont="1" applyFill="1" applyBorder="1" applyAlignment="1">
      <alignment horizontal="center"/>
    </xf>
    <xf numFmtId="49" fontId="3" fillId="2" borderId="92" xfId="10" applyNumberFormat="1" applyFont="1" applyFill="1" applyBorder="1" applyAlignment="1">
      <alignment horizontal="right"/>
    </xf>
    <xf numFmtId="166" fontId="4" fillId="2" borderId="71" xfId="11" applyFont="1" applyFill="1" applyBorder="1" applyAlignment="1">
      <alignment horizontal="center"/>
    </xf>
    <xf numFmtId="166" fontId="4" fillId="2" borderId="150" xfId="11" applyFont="1" applyFill="1" applyBorder="1" applyAlignment="1">
      <alignment horizontal="center"/>
    </xf>
    <xf numFmtId="166" fontId="4" fillId="2" borderId="152" xfId="11" applyFont="1" applyFill="1" applyBorder="1" applyAlignment="1">
      <alignment horizontal="center"/>
    </xf>
    <xf numFmtId="49" fontId="3" fillId="2" borderId="86" xfId="10" applyNumberFormat="1" applyFont="1" applyFill="1" applyBorder="1" applyAlignment="1">
      <alignment horizontal="right"/>
    </xf>
    <xf numFmtId="41" fontId="4" fillId="8" borderId="87" xfId="10" applyNumberFormat="1" applyFont="1" applyFill="1" applyBorder="1" applyAlignment="1">
      <alignment horizontal="center"/>
    </xf>
    <xf numFmtId="166" fontId="4" fillId="2" borderId="87" xfId="11" applyFont="1" applyFill="1" applyBorder="1" applyAlignment="1">
      <alignment horizontal="center"/>
    </xf>
    <xf numFmtId="166" fontId="4" fillId="2" borderId="153" xfId="11" applyFont="1" applyFill="1" applyBorder="1" applyAlignment="1">
      <alignment horizontal="center"/>
    </xf>
    <xf numFmtId="41" fontId="4" fillId="8" borderId="155" xfId="10" applyNumberFormat="1" applyFont="1" applyFill="1" applyBorder="1" applyAlignment="1">
      <alignment horizontal="center"/>
    </xf>
    <xf numFmtId="166" fontId="4" fillId="0" borderId="87" xfId="11" applyFont="1" applyFill="1" applyBorder="1" applyAlignment="1">
      <alignment horizontal="center"/>
    </xf>
    <xf numFmtId="166" fontId="4" fillId="0" borderId="88" xfId="11" applyFont="1" applyFill="1" applyBorder="1" applyAlignment="1">
      <alignment horizontal="center"/>
    </xf>
    <xf numFmtId="166" fontId="4" fillId="0" borderId="1" xfId="11" applyFont="1" applyFill="1" applyBorder="1" applyAlignment="1">
      <alignment horizontal="center"/>
    </xf>
    <xf numFmtId="166" fontId="4" fillId="0" borderId="69" xfId="11" applyFont="1" applyFill="1" applyBorder="1" applyAlignment="1">
      <alignment horizontal="center"/>
    </xf>
    <xf numFmtId="166" fontId="4" fillId="0" borderId="62" xfId="11" applyFont="1" applyFill="1" applyBorder="1" applyAlignment="1">
      <alignment horizontal="center"/>
    </xf>
    <xf numFmtId="166" fontId="4" fillId="0" borderId="68" xfId="11" applyFont="1" applyFill="1" applyBorder="1" applyAlignment="1">
      <alignment horizontal="center"/>
    </xf>
    <xf numFmtId="166" fontId="4" fillId="0" borderId="154" xfId="11" applyFont="1" applyFill="1" applyBorder="1" applyAlignment="1">
      <alignment horizontal="center"/>
    </xf>
    <xf numFmtId="166" fontId="4" fillId="0" borderId="54" xfId="11" applyFont="1" applyFill="1" applyBorder="1" applyAlignment="1">
      <alignment horizontal="center"/>
    </xf>
    <xf numFmtId="166" fontId="4" fillId="0" borderId="60" xfId="11" applyFont="1" applyFill="1" applyBorder="1" applyAlignment="1">
      <alignment horizontal="center"/>
    </xf>
    <xf numFmtId="166" fontId="4" fillId="0" borderId="125" xfId="11" applyFont="1" applyFill="1" applyBorder="1" applyAlignment="1">
      <alignment horizontal="center"/>
    </xf>
    <xf numFmtId="166" fontId="4" fillId="0" borderId="58" xfId="11" applyFont="1" applyFill="1" applyBorder="1" applyAlignment="1">
      <alignment horizontal="center"/>
    </xf>
    <xf numFmtId="166" fontId="4" fillId="0" borderId="156" xfId="11" applyFont="1" applyFill="1" applyBorder="1" applyAlignment="1">
      <alignment horizontal="center"/>
    </xf>
    <xf numFmtId="166" fontId="4" fillId="8" borderId="151" xfId="11" applyFont="1" applyFill="1" applyBorder="1" applyAlignment="1">
      <alignment horizontal="center"/>
    </xf>
    <xf numFmtId="166" fontId="4" fillId="8" borderId="68" xfId="11" applyFont="1" applyFill="1" applyBorder="1" applyAlignment="1">
      <alignment horizontal="center"/>
    </xf>
    <xf numFmtId="41" fontId="9" fillId="2" borderId="0" xfId="10" applyNumberFormat="1" applyFont="1" applyFill="1" applyBorder="1" applyAlignment="1">
      <alignment horizontal="center" vertical="center" wrapText="1"/>
    </xf>
    <xf numFmtId="0" fontId="8" fillId="2" borderId="0" xfId="25" applyFont="1" applyFill="1" applyBorder="1" applyAlignment="1">
      <alignment horizontal="center" vertical="center"/>
    </xf>
    <xf numFmtId="0" fontId="4" fillId="2" borderId="0" xfId="25" applyFont="1" applyFill="1" applyBorder="1" applyAlignment="1">
      <alignment horizontal="center" vertical="center"/>
    </xf>
    <xf numFmtId="41" fontId="4" fillId="2" borderId="0" xfId="10" applyNumberFormat="1" applyFont="1" applyFill="1" applyBorder="1" applyAlignment="1">
      <alignment horizontal="right"/>
    </xf>
    <xf numFmtId="49" fontId="3" fillId="2" borderId="0" xfId="10" applyNumberFormat="1" applyFont="1" applyFill="1" applyBorder="1" applyAlignment="1">
      <alignment horizontal="right"/>
    </xf>
    <xf numFmtId="166" fontId="18" fillId="2" borderId="0" xfId="11" applyFont="1" applyFill="1" applyBorder="1" applyAlignment="1">
      <alignment horizontal="center"/>
    </xf>
    <xf numFmtId="0" fontId="75" fillId="2" borderId="0" xfId="25" applyFont="1" applyFill="1" applyBorder="1" applyAlignment="1">
      <alignment horizontal="center" vertical="center"/>
    </xf>
    <xf numFmtId="41" fontId="4" fillId="2" borderId="0" xfId="10" applyNumberFormat="1" applyFont="1" applyFill="1" applyBorder="1" applyAlignment="1">
      <alignment horizontal="center"/>
    </xf>
    <xf numFmtId="43" fontId="4" fillId="4" borderId="109" xfId="1" applyFont="1" applyFill="1" applyBorder="1" applyAlignment="1">
      <alignment horizontal="left"/>
    </xf>
    <xf numFmtId="43" fontId="4" fillId="4" borderId="157" xfId="1" applyFont="1" applyFill="1" applyBorder="1" applyAlignment="1">
      <alignment horizontal="left"/>
    </xf>
    <xf numFmtId="43" fontId="4" fillId="4" borderId="158" xfId="1" applyFont="1" applyFill="1" applyBorder="1" applyAlignment="1">
      <alignment horizontal="left"/>
    </xf>
    <xf numFmtId="165" fontId="4" fillId="2" borderId="1" xfId="8" applyNumberFormat="1" applyFont="1" applyFill="1" applyBorder="1"/>
    <xf numFmtId="165" fontId="4" fillId="2" borderId="1" xfId="9" applyNumberFormat="1" applyFont="1" applyFill="1" applyBorder="1"/>
    <xf numFmtId="165" fontId="4" fillId="2" borderId="83" xfId="8" applyNumberFormat="1" applyFont="1" applyFill="1" applyBorder="1"/>
    <xf numFmtId="165" fontId="4" fillId="2" borderId="83" xfId="9" applyNumberFormat="1" applyFont="1" applyFill="1" applyBorder="1"/>
    <xf numFmtId="167" fontId="15" fillId="8" borderId="0" xfId="0" applyNumberFormat="1" applyFont="1" applyFill="1" applyBorder="1"/>
    <xf numFmtId="167" fontId="15" fillId="8" borderId="6" xfId="0" applyNumberFormat="1" applyFont="1" applyFill="1" applyBorder="1"/>
    <xf numFmtId="167" fontId="15" fillId="2" borderId="5" xfId="0" applyNumberFormat="1" applyFont="1" applyFill="1" applyBorder="1"/>
    <xf numFmtId="167" fontId="15" fillId="2" borderId="0" xfId="0" applyNumberFormat="1" applyFont="1" applyFill="1" applyBorder="1"/>
    <xf numFmtId="167" fontId="15" fillId="2" borderId="6" xfId="0" applyNumberFormat="1" applyFont="1" applyFill="1" applyBorder="1"/>
    <xf numFmtId="0" fontId="4" fillId="2" borderId="27" xfId="10" applyNumberFormat="1" applyFont="1" applyFill="1" applyBorder="1" applyAlignment="1">
      <alignment horizontal="right"/>
    </xf>
    <xf numFmtId="0" fontId="52" fillId="0" borderId="159" xfId="0" applyFont="1" applyBorder="1"/>
    <xf numFmtId="0" fontId="3" fillId="0" borderId="160" xfId="0" applyFont="1" applyBorder="1"/>
    <xf numFmtId="0" fontId="52" fillId="0" borderId="160" xfId="0" applyFont="1" applyBorder="1" applyAlignment="1">
      <alignment wrapText="1"/>
    </xf>
    <xf numFmtId="0" fontId="52" fillId="0" borderId="108" xfId="0" applyFont="1" applyBorder="1"/>
    <xf numFmtId="183" fontId="3" fillId="0" borderId="0" xfId="0" applyNumberFormat="1" applyFont="1" applyBorder="1" applyAlignment="1">
      <alignment horizontal="right"/>
    </xf>
    <xf numFmtId="0" fontId="52" fillId="0" borderId="162" xfId="0" applyFont="1" applyBorder="1"/>
    <xf numFmtId="9" fontId="3" fillId="0" borderId="3" xfId="0" applyNumberFormat="1" applyFont="1" applyBorder="1"/>
    <xf numFmtId="9" fontId="3" fillId="0" borderId="3" xfId="0" applyNumberFormat="1" applyFont="1" applyFill="1" applyBorder="1"/>
    <xf numFmtId="9" fontId="3" fillId="0" borderId="0" xfId="0" applyNumberFormat="1" applyFont="1" applyBorder="1"/>
    <xf numFmtId="9" fontId="3" fillId="0" borderId="0" xfId="0" applyNumberFormat="1" applyFont="1" applyFill="1" applyBorder="1"/>
    <xf numFmtId="0" fontId="3" fillId="0" borderId="0" xfId="0" applyFont="1" applyFill="1" applyBorder="1"/>
    <xf numFmtId="187" fontId="3" fillId="0" borderId="0" xfId="0" applyNumberFormat="1" applyFont="1" applyBorder="1"/>
    <xf numFmtId="0" fontId="3" fillId="0" borderId="0" xfId="0" applyNumberFormat="1" applyFont="1" applyBorder="1"/>
    <xf numFmtId="0" fontId="3" fillId="0" borderId="0" xfId="0" applyNumberFormat="1" applyFont="1" applyFill="1" applyBorder="1"/>
    <xf numFmtId="187" fontId="3" fillId="0" borderId="56" xfId="0" applyNumberFormat="1" applyFont="1" applyBorder="1"/>
    <xf numFmtId="0" fontId="8" fillId="15" borderId="72" xfId="0" applyFont="1" applyFill="1" applyBorder="1"/>
    <xf numFmtId="0" fontId="52" fillId="15" borderId="72" xfId="0" applyFont="1" applyFill="1" applyBorder="1"/>
    <xf numFmtId="183" fontId="3" fillId="15" borderId="72" xfId="0" applyNumberFormat="1" applyFont="1" applyFill="1" applyBorder="1"/>
    <xf numFmtId="1" fontId="3" fillId="15" borderId="72" xfId="0" applyNumberFormat="1" applyFont="1" applyFill="1" applyBorder="1"/>
    <xf numFmtId="1" fontId="52" fillId="15" borderId="72" xfId="0" applyNumberFormat="1" applyFont="1" applyFill="1" applyBorder="1"/>
    <xf numFmtId="183" fontId="52" fillId="15" borderId="72" xfId="0" applyNumberFormat="1" applyFont="1" applyFill="1" applyBorder="1"/>
    <xf numFmtId="0" fontId="8" fillId="10" borderId="72" xfId="0" applyFont="1" applyFill="1" applyBorder="1"/>
    <xf numFmtId="1" fontId="3" fillId="10" borderId="72" xfId="0" applyNumberFormat="1" applyFont="1" applyFill="1" applyBorder="1"/>
    <xf numFmtId="183" fontId="3" fillId="10" borderId="72" xfId="0" applyNumberFormat="1" applyFont="1" applyFill="1" applyBorder="1"/>
    <xf numFmtId="183" fontId="3" fillId="2" borderId="0" xfId="0" applyNumberFormat="1" applyFont="1" applyFill="1" applyBorder="1"/>
    <xf numFmtId="0" fontId="52" fillId="10" borderId="72" xfId="0" applyFont="1" applyFill="1" applyBorder="1"/>
    <xf numFmtId="188" fontId="3" fillId="2" borderId="0" xfId="0" applyNumberFormat="1" applyFont="1" applyFill="1" applyBorder="1"/>
    <xf numFmtId="2" fontId="3" fillId="2" borderId="0" xfId="0" applyNumberFormat="1" applyFont="1" applyFill="1" applyBorder="1"/>
    <xf numFmtId="1" fontId="52" fillId="10" borderId="72" xfId="0" applyNumberFormat="1" applyFont="1" applyFill="1" applyBorder="1"/>
    <xf numFmtId="1" fontId="52" fillId="2" borderId="0" xfId="0" applyNumberFormat="1" applyFont="1" applyFill="1" applyBorder="1"/>
    <xf numFmtId="1" fontId="3" fillId="2" borderId="0" xfId="0" applyNumberFormat="1" applyFont="1" applyFill="1" applyBorder="1"/>
    <xf numFmtId="0" fontId="82" fillId="0" borderId="0" xfId="48" applyFont="1" applyFill="1" applyBorder="1"/>
    <xf numFmtId="183" fontId="83" fillId="0" borderId="0" xfId="48" applyNumberFormat="1" applyFont="1" applyFill="1" applyBorder="1" applyAlignment="1">
      <alignment horizontal="right"/>
    </xf>
    <xf numFmtId="0" fontId="84" fillId="0" borderId="0" xfId="48" applyFont="1" applyFill="1" applyBorder="1" applyAlignment="1">
      <alignment horizontal="left"/>
    </xf>
    <xf numFmtId="0" fontId="8" fillId="12" borderId="72" xfId="0" applyFont="1" applyFill="1" applyBorder="1"/>
    <xf numFmtId="0" fontId="3" fillId="0" borderId="72" xfId="0" applyFont="1" applyBorder="1"/>
    <xf numFmtId="49" fontId="3" fillId="0" borderId="72" xfId="0" applyNumberFormat="1" applyFont="1" applyBorder="1" applyAlignment="1">
      <alignment horizontal="center"/>
    </xf>
    <xf numFmtId="0" fontId="15" fillId="15" borderId="163" xfId="48" applyFont="1" applyFill="1" applyBorder="1"/>
    <xf numFmtId="0" fontId="13" fillId="15" borderId="164" xfId="48" applyFont="1" applyFill="1" applyBorder="1" applyAlignment="1">
      <alignment horizontal="right"/>
    </xf>
    <xf numFmtId="0" fontId="13" fillId="15" borderId="165" xfId="48" applyFont="1" applyFill="1" applyBorder="1" applyAlignment="1">
      <alignment horizontal="center"/>
    </xf>
    <xf numFmtId="0" fontId="13" fillId="0" borderId="80" xfId="48" applyFont="1" applyFill="1" applyBorder="1"/>
    <xf numFmtId="3" fontId="13" fillId="0" borderId="72" xfId="48" applyNumberFormat="1" applyFont="1" applyFill="1" applyBorder="1" applyAlignment="1">
      <alignment horizontal="right"/>
    </xf>
    <xf numFmtId="2" fontId="13" fillId="0" borderId="72" xfId="48" applyNumberFormat="1" applyFont="1" applyFill="1" applyBorder="1" applyAlignment="1">
      <alignment horizontal="right"/>
    </xf>
    <xf numFmtId="183" fontId="13" fillId="0" borderId="81" xfId="48" applyNumberFormat="1" applyFont="1" applyFill="1" applyBorder="1" applyAlignment="1">
      <alignment horizontal="right"/>
    </xf>
    <xf numFmtId="183" fontId="13" fillId="11" borderId="81" xfId="48" applyNumberFormat="1" applyFont="1" applyFill="1" applyBorder="1" applyAlignment="1">
      <alignment horizontal="right"/>
    </xf>
    <xf numFmtId="2" fontId="13" fillId="10" borderId="72" xfId="48" applyNumberFormat="1" applyFont="1" applyFill="1" applyBorder="1" applyAlignment="1">
      <alignment horizontal="right"/>
    </xf>
    <xf numFmtId="182" fontId="13" fillId="0" borderId="72" xfId="48" applyNumberFormat="1" applyFont="1" applyFill="1" applyBorder="1" applyAlignment="1">
      <alignment horizontal="right"/>
    </xf>
    <xf numFmtId="0" fontId="13" fillId="0" borderId="78" xfId="48" applyFont="1" applyFill="1" applyBorder="1" applyAlignment="1">
      <alignment horizontal="left"/>
    </xf>
    <xf numFmtId="0" fontId="3" fillId="0" borderId="72" xfId="0" applyFont="1" applyBorder="1" applyAlignment="1">
      <alignment wrapText="1"/>
    </xf>
    <xf numFmtId="10" fontId="3" fillId="0" borderId="56" xfId="0" applyNumberFormat="1" applyFont="1" applyBorder="1"/>
    <xf numFmtId="2" fontId="3" fillId="0" borderId="0" xfId="0" applyNumberFormat="1" applyFont="1" applyBorder="1" applyAlignment="1">
      <alignment horizontal="right"/>
    </xf>
    <xf numFmtId="2" fontId="3" fillId="15" borderId="72" xfId="0" applyNumberFormat="1" applyFont="1" applyFill="1" applyBorder="1"/>
    <xf numFmtId="0" fontId="0" fillId="0" borderId="57" xfId="0" applyBorder="1"/>
    <xf numFmtId="0" fontId="0" fillId="0" borderId="82" xfId="0" applyBorder="1"/>
    <xf numFmtId="0" fontId="0" fillId="0" borderId="6" xfId="0" applyBorder="1"/>
    <xf numFmtId="0" fontId="2" fillId="0" borderId="0" xfId="0" applyFont="1" applyBorder="1"/>
    <xf numFmtId="0" fontId="0" fillId="12" borderId="56" xfId="0" applyFill="1" applyBorder="1"/>
    <xf numFmtId="0" fontId="86" fillId="15" borderId="0" xfId="0" applyFont="1" applyFill="1" applyBorder="1"/>
    <xf numFmtId="0" fontId="0" fillId="17" borderId="0" xfId="0" applyFill="1" applyBorder="1"/>
    <xf numFmtId="0" fontId="0" fillId="9" borderId="0" xfId="0" applyFill="1" applyBorder="1"/>
    <xf numFmtId="0" fontId="0" fillId="18" borderId="0" xfId="0" applyFill="1" applyBorder="1"/>
    <xf numFmtId="0" fontId="0" fillId="18" borderId="6" xfId="0" applyFill="1" applyBorder="1"/>
    <xf numFmtId="0" fontId="0" fillId="0" borderId="6" xfId="0" applyFill="1" applyBorder="1"/>
    <xf numFmtId="0" fontId="0" fillId="19" borderId="0" xfId="0" applyFill="1" applyBorder="1"/>
    <xf numFmtId="0" fontId="0" fillId="12" borderId="0" xfId="0" applyFill="1" applyBorder="1"/>
    <xf numFmtId="0" fontId="0" fillId="0" borderId="57" xfId="0" applyFill="1" applyBorder="1"/>
    <xf numFmtId="0" fontId="0" fillId="17" borderId="56" xfId="0" applyFill="1" applyBorder="1"/>
    <xf numFmtId="0" fontId="0" fillId="0" borderId="0" xfId="0" applyFill="1"/>
    <xf numFmtId="0" fontId="86" fillId="0" borderId="0" xfId="0" applyFont="1" applyFill="1" applyBorder="1"/>
    <xf numFmtId="0" fontId="2" fillId="0" borderId="0" xfId="0" applyFont="1" applyFill="1" applyBorder="1"/>
    <xf numFmtId="49" fontId="2" fillId="0" borderId="79" xfId="0" applyNumberFormat="1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49" fontId="0" fillId="0" borderId="79" xfId="0" applyNumberFormat="1" applyBorder="1" applyAlignment="1">
      <alignment horizontal="center"/>
    </xf>
    <xf numFmtId="0" fontId="0" fillId="0" borderId="79" xfId="0" applyBorder="1"/>
    <xf numFmtId="177" fontId="2" fillId="0" borderId="79" xfId="0" applyNumberFormat="1" applyFont="1" applyBorder="1"/>
    <xf numFmtId="0" fontId="2" fillId="0" borderId="0" xfId="0" applyFont="1" applyAlignment="1">
      <alignment horizontal="right"/>
    </xf>
    <xf numFmtId="49" fontId="0" fillId="0" borderId="79" xfId="0" applyNumberFormat="1" applyFont="1" applyBorder="1" applyAlignment="1">
      <alignment horizontal="center"/>
    </xf>
    <xf numFmtId="0" fontId="0" fillId="0" borderId="79" xfId="0" applyFont="1" applyBorder="1"/>
    <xf numFmtId="0" fontId="0" fillId="0" borderId="0" xfId="0" applyFont="1" applyAlignment="1">
      <alignment horizontal="left"/>
    </xf>
    <xf numFmtId="177" fontId="2" fillId="16" borderId="79" xfId="0" applyNumberFormat="1" applyFont="1" applyFill="1" applyBorder="1"/>
    <xf numFmtId="177" fontId="2" fillId="0" borderId="79" xfId="0" applyNumberFormat="1" applyFont="1" applyFill="1" applyBorder="1"/>
    <xf numFmtId="10" fontId="2" fillId="0" borderId="79" xfId="0" applyNumberFormat="1" applyFont="1" applyBorder="1"/>
    <xf numFmtId="49" fontId="0" fillId="0" borderId="166" xfId="0" applyNumberFormat="1" applyBorder="1" applyAlignment="1">
      <alignment horizontal="center"/>
    </xf>
    <xf numFmtId="0" fontId="2" fillId="0" borderId="167" xfId="0" applyFont="1" applyBorder="1" applyAlignment="1">
      <alignment horizontal="right"/>
    </xf>
    <xf numFmtId="0" fontId="0" fillId="0" borderId="167" xfId="0" applyBorder="1"/>
    <xf numFmtId="177" fontId="0" fillId="0" borderId="167" xfId="0" applyNumberFormat="1" applyBorder="1"/>
    <xf numFmtId="177" fontId="9" fillId="0" borderId="168" xfId="0" applyNumberFormat="1" applyFont="1" applyBorder="1"/>
    <xf numFmtId="49" fontId="0" fillId="0" borderId="0" xfId="0" applyNumberFormat="1" applyAlignment="1">
      <alignment horizontal="center"/>
    </xf>
    <xf numFmtId="177" fontId="2" fillId="0" borderId="0" xfId="0" applyNumberFormat="1" applyFont="1"/>
    <xf numFmtId="49" fontId="2" fillId="0" borderId="72" xfId="0" applyNumberFormat="1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72" xfId="0" applyFont="1" applyBorder="1" applyAlignment="1">
      <alignment horizontal="center"/>
    </xf>
    <xf numFmtId="0" fontId="2" fillId="0" borderId="72" xfId="0" applyFont="1" applyFill="1" applyBorder="1" applyAlignment="1">
      <alignment horizontal="center"/>
    </xf>
    <xf numFmtId="177" fontId="2" fillId="0" borderId="72" xfId="0" applyNumberFormat="1" applyFont="1" applyFill="1" applyBorder="1" applyAlignment="1">
      <alignment horizontal="center"/>
    </xf>
    <xf numFmtId="177" fontId="2" fillId="0" borderId="82" xfId="0" applyNumberFormat="1" applyFont="1" applyBorder="1" applyAlignment="1">
      <alignment horizontal="center"/>
    </xf>
    <xf numFmtId="177" fontId="0" fillId="0" borderId="79" xfId="0" applyNumberFormat="1" applyBorder="1"/>
    <xf numFmtId="177" fontId="0" fillId="0" borderId="6" xfId="0" applyNumberFormat="1" applyBorder="1"/>
    <xf numFmtId="0" fontId="87" fillId="0" borderId="0" xfId="0" applyFont="1" applyBorder="1"/>
    <xf numFmtId="0" fontId="0" fillId="0" borderId="0" xfId="0" applyFont="1" applyBorder="1"/>
    <xf numFmtId="10" fontId="0" fillId="0" borderId="79" xfId="0" applyNumberFormat="1" applyBorder="1"/>
    <xf numFmtId="177" fontId="0" fillId="0" borderId="0" xfId="0" applyNumberFormat="1"/>
    <xf numFmtId="49" fontId="0" fillId="0" borderId="80" xfId="0" applyNumberFormat="1" applyBorder="1" applyAlignment="1">
      <alignment horizontal="center"/>
    </xf>
    <xf numFmtId="0" fontId="0" fillId="0" borderId="80" xfId="0" applyBorder="1"/>
    <xf numFmtId="177" fontId="0" fillId="0" borderId="80" xfId="0" applyNumberFormat="1" applyBorder="1"/>
    <xf numFmtId="177" fontId="0" fillId="0" borderId="57" xfId="0" applyNumberFormat="1" applyBorder="1"/>
    <xf numFmtId="49" fontId="0" fillId="0" borderId="169" xfId="0" applyNumberFormat="1" applyBorder="1" applyAlignment="1">
      <alignment horizontal="center"/>
    </xf>
    <xf numFmtId="0" fontId="2" fillId="0" borderId="170" xfId="0" applyFont="1" applyBorder="1" applyAlignment="1">
      <alignment horizontal="right"/>
    </xf>
    <xf numFmtId="0" fontId="0" fillId="0" borderId="170" xfId="0" applyBorder="1"/>
    <xf numFmtId="177" fontId="0" fillId="0" borderId="170" xfId="0" applyNumberFormat="1" applyBorder="1"/>
    <xf numFmtId="177" fontId="9" fillId="0" borderId="171" xfId="0" applyNumberFormat="1" applyFont="1" applyBorder="1"/>
    <xf numFmtId="177" fontId="2" fillId="0" borderId="82" xfId="0" applyNumberFormat="1" applyFont="1" applyFill="1" applyBorder="1" applyAlignment="1">
      <alignment horizontal="center"/>
    </xf>
    <xf numFmtId="177" fontId="2" fillId="0" borderId="72" xfId="0" applyNumberFormat="1" applyFont="1" applyBorder="1" applyAlignment="1">
      <alignment horizontal="center"/>
    </xf>
    <xf numFmtId="0" fontId="87" fillId="0" borderId="0" xfId="0" applyFont="1"/>
    <xf numFmtId="49" fontId="0" fillId="0" borderId="172" xfId="0" applyNumberFormat="1" applyBorder="1" applyAlignment="1">
      <alignment horizontal="center"/>
    </xf>
    <xf numFmtId="0" fontId="2" fillId="0" borderId="167" xfId="0" applyFont="1" applyBorder="1"/>
    <xf numFmtId="177" fontId="2" fillId="0" borderId="167" xfId="0" applyNumberFormat="1" applyFont="1" applyBorder="1"/>
    <xf numFmtId="0" fontId="2" fillId="0" borderId="0" xfId="0" applyFont="1" applyFill="1"/>
    <xf numFmtId="0" fontId="0" fillId="0" borderId="79" xfId="0" applyFill="1" applyBorder="1"/>
    <xf numFmtId="177" fontId="0" fillId="0" borderId="0" xfId="0" applyNumberFormat="1" applyFill="1"/>
    <xf numFmtId="177" fontId="0" fillId="0" borderId="79" xfId="0" applyNumberFormat="1" applyFill="1" applyBorder="1"/>
    <xf numFmtId="177" fontId="2" fillId="0" borderId="168" xfId="0" applyNumberFormat="1" applyFont="1" applyBorder="1"/>
    <xf numFmtId="49" fontId="0" fillId="0" borderId="5" xfId="0" applyNumberFormat="1" applyBorder="1" applyAlignment="1">
      <alignment horizontal="center"/>
    </xf>
    <xf numFmtId="177" fontId="0" fillId="0" borderId="0" xfId="0" applyNumberFormat="1" applyBorder="1"/>
    <xf numFmtId="0" fontId="48" fillId="0" borderId="72" xfId="0" applyFont="1" applyBorder="1" applyAlignment="1">
      <alignment horizontal="center"/>
    </xf>
    <xf numFmtId="0" fontId="48" fillId="0" borderId="72" xfId="0" applyFont="1" applyFill="1" applyBorder="1" applyAlignment="1">
      <alignment horizontal="center"/>
    </xf>
    <xf numFmtId="177" fontId="48" fillId="0" borderId="72" xfId="0" applyNumberFormat="1" applyFont="1" applyFill="1" applyBorder="1" applyAlignment="1">
      <alignment horizontal="center"/>
    </xf>
    <xf numFmtId="177" fontId="48" fillId="0" borderId="72" xfId="0" applyNumberFormat="1" applyFont="1" applyBorder="1" applyAlignment="1">
      <alignment horizontal="center"/>
    </xf>
    <xf numFmtId="0" fontId="25" fillId="0" borderId="0" xfId="0" applyFont="1"/>
    <xf numFmtId="0" fontId="25" fillId="0" borderId="79" xfId="0" applyFont="1" applyBorder="1" applyAlignment="1">
      <alignment horizontal="center"/>
    </xf>
    <xf numFmtId="0" fontId="25" fillId="0" borderId="79" xfId="0" applyFont="1" applyBorder="1"/>
    <xf numFmtId="177" fontId="25" fillId="0" borderId="0" xfId="0" applyNumberFormat="1" applyFont="1"/>
    <xf numFmtId="177" fontId="25" fillId="0" borderId="79" xfId="0" applyNumberFormat="1" applyFont="1" applyBorder="1"/>
    <xf numFmtId="49" fontId="25" fillId="0" borderId="79" xfId="0" applyNumberFormat="1" applyFont="1" applyBorder="1" applyAlignment="1">
      <alignment horizontal="center"/>
    </xf>
    <xf numFmtId="0" fontId="88" fillId="0" borderId="0" xfId="0" applyFont="1"/>
    <xf numFmtId="0" fontId="48" fillId="0" borderId="79" xfId="0" applyFont="1" applyBorder="1" applyAlignment="1">
      <alignment horizontal="center"/>
    </xf>
    <xf numFmtId="0" fontId="48" fillId="0" borderId="0" xfId="0" applyFont="1"/>
    <xf numFmtId="0" fontId="25" fillId="0" borderId="0" xfId="0" applyFont="1" applyAlignment="1">
      <alignment wrapText="1"/>
    </xf>
    <xf numFmtId="0" fontId="25" fillId="0" borderId="79" xfId="0" applyFont="1" applyFill="1" applyBorder="1"/>
    <xf numFmtId="177" fontId="25" fillId="0" borderId="0" xfId="0" applyNumberFormat="1" applyFont="1" applyFill="1"/>
    <xf numFmtId="177" fontId="25" fillId="0" borderId="79" xfId="0" applyNumberFormat="1" applyFont="1" applyFill="1" applyBorder="1"/>
    <xf numFmtId="177" fontId="48" fillId="0" borderId="0" xfId="0" applyNumberFormat="1" applyFont="1" applyFill="1"/>
    <xf numFmtId="0" fontId="48" fillId="0" borderId="0" xfId="0" applyFont="1" applyAlignment="1">
      <alignment wrapText="1"/>
    </xf>
    <xf numFmtId="0" fontId="25" fillId="0" borderId="166" xfId="0" applyFont="1" applyBorder="1"/>
    <xf numFmtId="0" fontId="48" fillId="0" borderId="167" xfId="0" applyFont="1" applyBorder="1" applyAlignment="1">
      <alignment horizontal="right" indent="2"/>
    </xf>
    <xf numFmtId="0" fontId="25" fillId="0" borderId="167" xfId="0" applyFont="1" applyBorder="1"/>
    <xf numFmtId="177" fontId="25" fillId="0" borderId="167" xfId="0" applyNumberFormat="1" applyFont="1" applyFill="1" applyBorder="1"/>
    <xf numFmtId="177" fontId="25" fillId="0" borderId="168" xfId="0" applyNumberFormat="1" applyFont="1" applyBorder="1"/>
    <xf numFmtId="0" fontId="0" fillId="0" borderId="0" xfId="0" applyBorder="1" applyAlignment="1">
      <alignment horizontal="center"/>
    </xf>
    <xf numFmtId="0" fontId="48" fillId="0" borderId="0" xfId="0" applyFont="1" applyBorder="1"/>
    <xf numFmtId="0" fontId="25" fillId="0" borderId="0" xfId="0" applyFont="1" applyBorder="1"/>
    <xf numFmtId="177" fontId="25" fillId="0" borderId="0" xfId="0" applyNumberFormat="1" applyFont="1" applyFill="1" applyBorder="1"/>
    <xf numFmtId="0" fontId="25" fillId="0" borderId="0" xfId="0" applyFont="1" applyBorder="1" applyAlignment="1">
      <alignment horizontal="center"/>
    </xf>
    <xf numFmtId="177" fontId="25" fillId="0" borderId="0" xfId="0" applyNumberFormat="1" applyFont="1" applyBorder="1"/>
    <xf numFmtId="0" fontId="25" fillId="0" borderId="0" xfId="0" applyFont="1" applyAlignment="1">
      <alignment horizontal="center"/>
    </xf>
    <xf numFmtId="0" fontId="0" fillId="0" borderId="79" xfId="0" applyBorder="1" applyAlignment="1">
      <alignment horizontal="center"/>
    </xf>
    <xf numFmtId="0" fontId="0" fillId="0" borderId="0" xfId="0" applyFont="1"/>
    <xf numFmtId="0" fontId="0" fillId="0" borderId="79" xfId="0" applyFont="1" applyBorder="1" applyAlignment="1">
      <alignment horizontal="center"/>
    </xf>
    <xf numFmtId="0" fontId="0" fillId="0" borderId="17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66" xfId="0" applyBorder="1" applyAlignment="1">
      <alignment horizontal="center"/>
    </xf>
    <xf numFmtId="9" fontId="0" fillId="0" borderId="79" xfId="0" applyNumberFormat="1" applyBorder="1"/>
    <xf numFmtId="182" fontId="0" fillId="0" borderId="79" xfId="0" applyNumberFormat="1" applyBorder="1"/>
    <xf numFmtId="1" fontId="0" fillId="0" borderId="79" xfId="0" applyNumberFormat="1" applyBorder="1"/>
    <xf numFmtId="49" fontId="48" fillId="0" borderId="79" xfId="0" applyNumberFormat="1" applyFont="1" applyBorder="1" applyAlignment="1">
      <alignment horizontal="center"/>
    </xf>
    <xf numFmtId="1" fontId="25" fillId="0" borderId="79" xfId="0" applyNumberFormat="1" applyFont="1" applyBorder="1"/>
    <xf numFmtId="177" fontId="48" fillId="0" borderId="168" xfId="0" applyNumberFormat="1" applyFont="1" applyBorder="1"/>
    <xf numFmtId="49" fontId="25" fillId="0" borderId="5" xfId="0" applyNumberFormat="1" applyFont="1" applyBorder="1" applyAlignment="1">
      <alignment horizontal="center"/>
    </xf>
    <xf numFmtId="177" fontId="25" fillId="0" borderId="6" xfId="0" applyNumberFormat="1" applyFont="1" applyBorder="1"/>
    <xf numFmtId="49" fontId="25" fillId="0" borderId="0" xfId="0" applyNumberFormat="1" applyFont="1" applyAlignment="1">
      <alignment horizontal="center"/>
    </xf>
    <xf numFmtId="0" fontId="25" fillId="0" borderId="0" xfId="0" applyFont="1" applyFill="1"/>
    <xf numFmtId="0" fontId="25" fillId="0" borderId="6" xfId="0" applyFont="1" applyBorder="1"/>
    <xf numFmtId="49" fontId="25" fillId="0" borderId="172" xfId="0" applyNumberFormat="1" applyFont="1" applyBorder="1" applyAlignment="1">
      <alignment horizontal="center"/>
    </xf>
    <xf numFmtId="0" fontId="25" fillId="0" borderId="167" xfId="0" applyFont="1" applyBorder="1" applyAlignment="1">
      <alignment horizontal="right"/>
    </xf>
    <xf numFmtId="177" fontId="25" fillId="0" borderId="167" xfId="0" applyNumberFormat="1" applyFont="1" applyBorder="1"/>
    <xf numFmtId="49" fontId="48" fillId="0" borderId="72" xfId="0" applyNumberFormat="1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8" xfId="0" applyFont="1" applyFill="1" applyBorder="1" applyAlignment="1">
      <alignment horizontal="center"/>
    </xf>
    <xf numFmtId="177" fontId="48" fillId="0" borderId="82" xfId="0" applyNumberFormat="1" applyFont="1" applyBorder="1" applyAlignment="1">
      <alignment horizontal="center"/>
    </xf>
    <xf numFmtId="177" fontId="25" fillId="0" borderId="78" xfId="0" applyNumberFormat="1" applyFont="1" applyBorder="1"/>
    <xf numFmtId="0" fontId="25" fillId="0" borderId="80" xfId="0" applyFont="1" applyBorder="1"/>
    <xf numFmtId="177" fontId="25" fillId="0" borderId="80" xfId="0" applyNumberFormat="1" applyFont="1" applyFill="1" applyBorder="1"/>
    <xf numFmtId="177" fontId="25" fillId="0" borderId="80" xfId="0" applyNumberFormat="1" applyFont="1" applyBorder="1"/>
    <xf numFmtId="0" fontId="88" fillId="0" borderId="0" xfId="0" applyFont="1" applyBorder="1"/>
    <xf numFmtId="1" fontId="25" fillId="0" borderId="79" xfId="0" applyNumberFormat="1" applyFont="1" applyFill="1" applyBorder="1"/>
    <xf numFmtId="177" fontId="25" fillId="0" borderId="57" xfId="0" applyNumberFormat="1" applyFont="1" applyBorder="1"/>
    <xf numFmtId="193" fontId="4" fillId="4" borderId="16" xfId="1" applyNumberFormat="1" applyFont="1" applyFill="1" applyBorder="1" applyAlignment="1">
      <alignment horizontal="center"/>
    </xf>
    <xf numFmtId="193" fontId="4" fillId="4" borderId="24" xfId="1" applyNumberFormat="1" applyFont="1" applyFill="1" applyBorder="1" applyAlignment="1">
      <alignment horizontal="center"/>
    </xf>
    <xf numFmtId="0" fontId="90" fillId="2" borderId="3" xfId="8" applyFont="1" applyFill="1" applyBorder="1"/>
    <xf numFmtId="0" fontId="1" fillId="2" borderId="0" xfId="8" applyFill="1"/>
    <xf numFmtId="0" fontId="51" fillId="2" borderId="0" xfId="8" applyFont="1" applyFill="1" applyBorder="1" applyAlignment="1">
      <alignment horizontal="center" wrapText="1"/>
    </xf>
    <xf numFmtId="0" fontId="51" fillId="2" borderId="0" xfId="8" applyFont="1" applyFill="1" applyBorder="1"/>
    <xf numFmtId="9" fontId="4" fillId="2" borderId="52" xfId="2" applyFont="1" applyFill="1" applyBorder="1" applyAlignment="1"/>
    <xf numFmtId="43" fontId="4" fillId="2" borderId="54" xfId="1" applyFont="1" applyFill="1" applyBorder="1" applyAlignment="1">
      <alignment horizontal="center"/>
    </xf>
    <xf numFmtId="43" fontId="4" fillId="2" borderId="54" xfId="0" applyNumberFormat="1" applyFont="1" applyFill="1" applyBorder="1" applyAlignment="1"/>
    <xf numFmtId="9" fontId="4" fillId="2" borderId="52" xfId="2" applyFont="1" applyFill="1" applyBorder="1" applyAlignment="1">
      <alignment horizontal="center"/>
    </xf>
    <xf numFmtId="0" fontId="4" fillId="0" borderId="1" xfId="8" applyFont="1" applyFill="1" applyBorder="1"/>
    <xf numFmtId="194" fontId="4" fillId="2" borderId="1" xfId="9" applyNumberFormat="1" applyFont="1" applyFill="1" applyBorder="1"/>
    <xf numFmtId="9" fontId="4" fillId="2" borderId="1" xfId="2" applyFont="1" applyFill="1" applyBorder="1"/>
    <xf numFmtId="175" fontId="4" fillId="2" borderId="1" xfId="1" applyNumberFormat="1" applyFont="1" applyFill="1" applyBorder="1"/>
    <xf numFmtId="0" fontId="51" fillId="2" borderId="0" xfId="8" applyFont="1" applyFill="1"/>
    <xf numFmtId="0" fontId="4" fillId="2" borderId="7" xfId="8" applyFont="1" applyFill="1" applyBorder="1"/>
    <xf numFmtId="0" fontId="4" fillId="2" borderId="7" xfId="8" applyFont="1" applyFill="1" applyBorder="1" applyAlignment="1">
      <alignment horizontal="right"/>
    </xf>
    <xf numFmtId="180" fontId="4" fillId="2" borderId="7" xfId="8" applyNumberFormat="1" applyFont="1" applyFill="1" applyBorder="1"/>
    <xf numFmtId="177" fontId="18" fillId="2" borderId="0" xfId="8" applyNumberFormat="1" applyFont="1" applyFill="1" applyBorder="1"/>
    <xf numFmtId="0" fontId="4" fillId="2" borderId="5" xfId="8" applyFont="1" applyFill="1" applyBorder="1" applyAlignment="1">
      <alignment horizontal="right"/>
    </xf>
    <xf numFmtId="180" fontId="4" fillId="2" borderId="0" xfId="8" applyNumberFormat="1" applyFont="1" applyFill="1" applyBorder="1" applyAlignment="1">
      <alignment horizontal="right"/>
    </xf>
    <xf numFmtId="188" fontId="51" fillId="2" borderId="0" xfId="8" applyNumberFormat="1" applyFont="1" applyFill="1" applyBorder="1" applyAlignment="1">
      <alignment horizontal="right"/>
    </xf>
    <xf numFmtId="188" fontId="4" fillId="2" borderId="0" xfId="8" applyNumberFormat="1" applyFont="1" applyFill="1" applyBorder="1" applyAlignment="1">
      <alignment horizontal="right"/>
    </xf>
    <xf numFmtId="0" fontId="1" fillId="2" borderId="0" xfId="8" applyFill="1" applyBorder="1"/>
    <xf numFmtId="0" fontId="90" fillId="2" borderId="0" xfId="8" applyFont="1" applyFill="1" applyBorder="1"/>
    <xf numFmtId="0" fontId="4" fillId="2" borderId="0" xfId="8" applyFont="1" applyFill="1"/>
    <xf numFmtId="0" fontId="15" fillId="2" borderId="0" xfId="8" applyFont="1" applyFill="1" applyBorder="1" applyAlignment="1">
      <alignment horizontal="left" wrapText="1"/>
    </xf>
    <xf numFmtId="0" fontId="4" fillId="2" borderId="0" xfId="8" applyFont="1" applyFill="1" applyAlignment="1">
      <alignment horizontal="center"/>
    </xf>
    <xf numFmtId="0" fontId="4" fillId="2" borderId="0" xfId="8" applyFont="1" applyFill="1" applyAlignment="1">
      <alignment horizontal="center" wrapText="1"/>
    </xf>
    <xf numFmtId="195" fontId="4" fillId="2" borderId="1" xfId="1" applyNumberFormat="1" applyFont="1" applyFill="1" applyBorder="1"/>
    <xf numFmtId="43" fontId="1" fillId="2" borderId="1" xfId="8" applyNumberFormat="1" applyFill="1" applyBorder="1"/>
    <xf numFmtId="196" fontId="1" fillId="2" borderId="0" xfId="8" applyNumberFormat="1" applyFill="1"/>
    <xf numFmtId="0" fontId="1" fillId="2" borderId="1" xfId="8" applyFill="1" applyBorder="1"/>
    <xf numFmtId="180" fontId="1" fillId="2" borderId="0" xfId="8" applyNumberFormat="1" applyFill="1"/>
    <xf numFmtId="0" fontId="3" fillId="2" borderId="0" xfId="8" applyFont="1" applyFill="1"/>
    <xf numFmtId="1" fontId="25" fillId="0" borderId="6" xfId="0" applyNumberFormat="1" applyFont="1" applyBorder="1"/>
    <xf numFmtId="0" fontId="2" fillId="0" borderId="0" xfId="0" applyFont="1" applyAlignment="1">
      <alignment horizontal="left"/>
    </xf>
    <xf numFmtId="1" fontId="3" fillId="2" borderId="0" xfId="0" applyNumberFormat="1" applyFont="1" applyFill="1"/>
    <xf numFmtId="173" fontId="4" fillId="2" borderId="51" xfId="10" applyNumberFormat="1" applyFont="1" applyFill="1" applyBorder="1" applyAlignment="1">
      <alignment horizontal="right"/>
    </xf>
    <xf numFmtId="0" fontId="5" fillId="8" borderId="0" xfId="3" applyFont="1" applyFill="1" applyBorder="1" applyAlignment="1">
      <alignment horizontal="center"/>
    </xf>
    <xf numFmtId="170" fontId="5" fillId="8" borderId="0" xfId="3" applyNumberFormat="1" applyFont="1" applyFill="1" applyBorder="1" applyAlignment="1">
      <alignment horizontal="center"/>
    </xf>
    <xf numFmtId="0" fontId="5" fillId="8" borderId="6" xfId="3" applyFont="1" applyFill="1" applyBorder="1" applyAlignment="1">
      <alignment horizontal="center"/>
    </xf>
    <xf numFmtId="167" fontId="8" fillId="8" borderId="15" xfId="10" applyNumberFormat="1" applyFont="1" applyFill="1" applyBorder="1" applyAlignment="1">
      <alignment horizontal="left"/>
    </xf>
    <xf numFmtId="167" fontId="8" fillId="8" borderId="36" xfId="10" applyNumberFormat="1" applyFont="1" applyFill="1" applyBorder="1" applyAlignment="1">
      <alignment horizontal="left"/>
    </xf>
    <xf numFmtId="167" fontId="4" fillId="8" borderId="17" xfId="10" applyNumberFormat="1" applyFont="1" applyFill="1" applyBorder="1" applyAlignment="1">
      <alignment horizontal="left"/>
    </xf>
    <xf numFmtId="167" fontId="4" fillId="8" borderId="37" xfId="10" applyNumberFormat="1" applyFont="1" applyFill="1" applyBorder="1" applyAlignment="1">
      <alignment horizontal="left"/>
    </xf>
    <xf numFmtId="167" fontId="4" fillId="8" borderId="19" xfId="10" applyNumberFormat="1" applyFont="1" applyFill="1" applyBorder="1" applyAlignment="1">
      <alignment horizontal="left"/>
    </xf>
    <xf numFmtId="167" fontId="4" fillId="8" borderId="40" xfId="10" applyNumberFormat="1" applyFont="1" applyFill="1" applyBorder="1" applyAlignment="1">
      <alignment horizontal="left"/>
    </xf>
    <xf numFmtId="167" fontId="4" fillId="8" borderId="29" xfId="10" applyNumberFormat="1" applyFont="1" applyFill="1" applyBorder="1" applyAlignment="1">
      <alignment horizontal="left"/>
    </xf>
    <xf numFmtId="167" fontId="4" fillId="8" borderId="38" xfId="10" applyNumberFormat="1" applyFont="1" applyFill="1" applyBorder="1" applyAlignment="1">
      <alignment horizontal="left"/>
    </xf>
    <xf numFmtId="167" fontId="4" fillId="8" borderId="30" xfId="10" applyNumberFormat="1" applyFont="1" applyFill="1" applyBorder="1" applyAlignment="1">
      <alignment horizontal="left"/>
    </xf>
    <xf numFmtId="167" fontId="15" fillId="8" borderId="26" xfId="0" applyNumberFormat="1" applyFont="1" applyFill="1" applyBorder="1"/>
    <xf numFmtId="167" fontId="15" fillId="8" borderId="39" xfId="0" applyNumberFormat="1" applyFont="1" applyFill="1" applyBorder="1"/>
    <xf numFmtId="167" fontId="4" fillId="8" borderId="17" xfId="10" applyNumberFormat="1" applyFont="1" applyFill="1" applyBorder="1" applyAlignment="1">
      <alignment horizontal="center"/>
    </xf>
    <xf numFmtId="167" fontId="4" fillId="8" borderId="37" xfId="10" applyNumberFormat="1" applyFont="1" applyFill="1" applyBorder="1" applyAlignment="1">
      <alignment horizontal="center"/>
    </xf>
    <xf numFmtId="167" fontId="4" fillId="8" borderId="29" xfId="10" applyNumberFormat="1" applyFont="1" applyFill="1" applyBorder="1" applyAlignment="1">
      <alignment horizontal="center"/>
    </xf>
    <xf numFmtId="167" fontId="4" fillId="8" borderId="38" xfId="10" applyNumberFormat="1" applyFont="1" applyFill="1" applyBorder="1" applyAlignment="1">
      <alignment horizontal="center"/>
    </xf>
    <xf numFmtId="167" fontId="8" fillId="8" borderId="15" xfId="0" applyNumberFormat="1" applyFont="1" applyFill="1" applyBorder="1"/>
    <xf numFmtId="167" fontId="8" fillId="8" borderId="36" xfId="0" applyNumberFormat="1" applyFont="1" applyFill="1" applyBorder="1"/>
    <xf numFmtId="167" fontId="4" fillId="8" borderId="19" xfId="10" applyNumberFormat="1" applyFont="1" applyFill="1" applyBorder="1" applyAlignment="1">
      <alignment horizontal="center"/>
    </xf>
    <xf numFmtId="167" fontId="4" fillId="8" borderId="40" xfId="10" applyNumberFormat="1" applyFont="1" applyFill="1" applyBorder="1" applyAlignment="1">
      <alignment horizontal="center"/>
    </xf>
    <xf numFmtId="167" fontId="8" fillId="8" borderId="32" xfId="10" applyNumberFormat="1" applyFont="1" applyFill="1" applyBorder="1" applyAlignment="1">
      <alignment horizontal="left"/>
    </xf>
    <xf numFmtId="167" fontId="8" fillId="8" borderId="41" xfId="10" applyNumberFormat="1" applyFont="1" applyFill="1" applyBorder="1" applyAlignment="1">
      <alignment horizontal="left"/>
    </xf>
    <xf numFmtId="0" fontId="4" fillId="8" borderId="0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170" fontId="2" fillId="8" borderId="15" xfId="10" applyNumberFormat="1" applyFont="1" applyFill="1" applyBorder="1" applyAlignment="1">
      <alignment horizontal="left"/>
    </xf>
    <xf numFmtId="170" fontId="2" fillId="8" borderId="36" xfId="10" applyNumberFormat="1" applyFont="1" applyFill="1" applyBorder="1" applyAlignment="1">
      <alignment horizontal="left"/>
    </xf>
    <xf numFmtId="167" fontId="4" fillId="8" borderId="27" xfId="10" applyNumberFormat="1" applyFont="1" applyFill="1" applyBorder="1" applyAlignment="1">
      <alignment horizontal="center"/>
    </xf>
    <xf numFmtId="167" fontId="4" fillId="8" borderId="118" xfId="10" applyNumberFormat="1" applyFont="1" applyFill="1" applyBorder="1" applyAlignment="1">
      <alignment horizontal="center"/>
    </xf>
    <xf numFmtId="167" fontId="8" fillId="8" borderId="34" xfId="10" applyNumberFormat="1" applyFont="1" applyFill="1" applyBorder="1" applyAlignment="1">
      <alignment horizontal="left"/>
    </xf>
    <xf numFmtId="170" fontId="1" fillId="8" borderId="19" xfId="10" applyNumberFormat="1" applyFont="1" applyFill="1" applyBorder="1" applyAlignment="1">
      <alignment horizontal="left"/>
    </xf>
    <xf numFmtId="170" fontId="1" fillId="8" borderId="40" xfId="10" applyNumberFormat="1" applyFont="1" applyFill="1" applyBorder="1" applyAlignment="1">
      <alignment horizontal="left"/>
    </xf>
    <xf numFmtId="167" fontId="8" fillId="8" borderId="129" xfId="10" applyNumberFormat="1" applyFont="1" applyFill="1" applyBorder="1" applyAlignment="1">
      <alignment horizontal="left"/>
    </xf>
    <xf numFmtId="0" fontId="5" fillId="2" borderId="5" xfId="3" applyFont="1" applyFill="1" applyBorder="1" applyAlignment="1">
      <alignment horizontal="center"/>
    </xf>
    <xf numFmtId="0" fontId="7" fillId="2" borderId="5" xfId="3" applyFont="1" applyFill="1" applyBorder="1" applyAlignment="1">
      <alignment horizontal="center"/>
    </xf>
    <xf numFmtId="170" fontId="3" fillId="2" borderId="5" xfId="1" applyNumberFormat="1" applyFont="1" applyFill="1" applyBorder="1"/>
    <xf numFmtId="167" fontId="8" fillId="2" borderId="138" xfId="10" applyNumberFormat="1" applyFont="1" applyFill="1" applyBorder="1" applyAlignment="1">
      <alignment horizontal="left"/>
    </xf>
    <xf numFmtId="167" fontId="4" fillId="2" borderId="174" xfId="10" applyNumberFormat="1" applyFont="1" applyFill="1" applyBorder="1" applyAlignment="1">
      <alignment horizontal="left"/>
    </xf>
    <xf numFmtId="167" fontId="4" fillId="2" borderId="175" xfId="10" applyNumberFormat="1" applyFont="1" applyFill="1" applyBorder="1" applyAlignment="1">
      <alignment horizontal="left"/>
    </xf>
    <xf numFmtId="167" fontId="4" fillId="2" borderId="176" xfId="10" applyNumberFormat="1" applyFont="1" applyFill="1" applyBorder="1" applyAlignment="1">
      <alignment horizontal="left"/>
    </xf>
    <xf numFmtId="167" fontId="8" fillId="2" borderId="124" xfId="10" applyNumberFormat="1" applyFont="1" applyFill="1" applyBorder="1" applyAlignment="1">
      <alignment horizontal="left"/>
    </xf>
    <xf numFmtId="167" fontId="15" fillId="2" borderId="138" xfId="0" applyNumberFormat="1" applyFont="1" applyFill="1" applyBorder="1"/>
    <xf numFmtId="167" fontId="4" fillId="2" borderId="174" xfId="10" applyNumberFormat="1" applyFont="1" applyFill="1" applyBorder="1" applyAlignment="1">
      <alignment horizontal="center"/>
    </xf>
    <xf numFmtId="167" fontId="4" fillId="2" borderId="176" xfId="10" applyNumberFormat="1" applyFont="1" applyFill="1" applyBorder="1" applyAlignment="1">
      <alignment horizontal="center"/>
    </xf>
    <xf numFmtId="167" fontId="8" fillId="2" borderId="124" xfId="0" applyNumberFormat="1" applyFont="1" applyFill="1" applyBorder="1"/>
    <xf numFmtId="167" fontId="4" fillId="2" borderId="177" xfId="10" applyNumberFormat="1" applyFont="1" applyFill="1" applyBorder="1" applyAlignment="1">
      <alignment horizontal="center"/>
    </xf>
    <xf numFmtId="167" fontId="8" fillId="2" borderId="178" xfId="10" applyNumberFormat="1" applyFont="1" applyFill="1" applyBorder="1" applyAlignment="1">
      <alignment horizontal="left"/>
    </xf>
    <xf numFmtId="0" fontId="0" fillId="2" borderId="5" xfId="0" applyFill="1" applyBorder="1"/>
    <xf numFmtId="0" fontId="0" fillId="2" borderId="5" xfId="0" applyFont="1" applyFill="1" applyBorder="1"/>
    <xf numFmtId="167" fontId="4" fillId="2" borderId="51" xfId="10" applyNumberFormat="1" applyFont="1" applyFill="1" applyBorder="1" applyAlignment="1">
      <alignment horizontal="center"/>
    </xf>
    <xf numFmtId="167" fontId="8" fillId="2" borderId="179" xfId="10" applyNumberFormat="1" applyFont="1" applyFill="1" applyBorder="1" applyAlignment="1">
      <alignment horizontal="left"/>
    </xf>
    <xf numFmtId="170" fontId="1" fillId="2" borderId="175" xfId="10" applyNumberFormat="1" applyFont="1" applyFill="1" applyBorder="1" applyAlignment="1">
      <alignment horizontal="left"/>
    </xf>
    <xf numFmtId="167" fontId="12" fillId="0" borderId="51" xfId="10" applyNumberFormat="1" applyFont="1" applyFill="1" applyBorder="1" applyAlignment="1">
      <alignment horizontal="right"/>
    </xf>
    <xf numFmtId="167" fontId="12" fillId="2" borderId="119" xfId="10" applyNumberFormat="1" applyFont="1" applyFill="1" applyBorder="1" applyAlignment="1">
      <alignment horizontal="right"/>
    </xf>
    <xf numFmtId="167" fontId="4" fillId="0" borderId="51" xfId="10" applyNumberFormat="1" applyFont="1" applyFill="1" applyBorder="1" applyAlignment="1">
      <alignment horizontal="right"/>
    </xf>
    <xf numFmtId="0" fontId="72" fillId="2" borderId="55" xfId="0" applyFont="1" applyFill="1" applyBorder="1"/>
    <xf numFmtId="0" fontId="72" fillId="2" borderId="5" xfId="0" applyFont="1" applyFill="1" applyBorder="1"/>
    <xf numFmtId="0" fontId="4" fillId="2" borderId="55" xfId="0" applyFont="1" applyFill="1" applyBorder="1"/>
    <xf numFmtId="0" fontId="34" fillId="2" borderId="5" xfId="0" applyFont="1" applyFill="1" applyBorder="1" applyAlignment="1">
      <alignment vertical="center" wrapText="1"/>
    </xf>
    <xf numFmtId="43" fontId="13" fillId="2" borderId="180" xfId="0" applyNumberFormat="1" applyFont="1" applyFill="1" applyBorder="1" applyAlignment="1">
      <alignment horizontal="center"/>
    </xf>
    <xf numFmtId="167" fontId="4" fillId="2" borderId="5" xfId="10" applyNumberFormat="1" applyFont="1" applyFill="1" applyBorder="1" applyAlignment="1">
      <alignment horizontal="right"/>
    </xf>
    <xf numFmtId="0" fontId="4" fillId="0" borderId="5" xfId="0" applyFont="1" applyFill="1" applyBorder="1"/>
    <xf numFmtId="170" fontId="4" fillId="2" borderId="181" xfId="1" applyNumberFormat="1" applyFont="1" applyFill="1" applyBorder="1"/>
    <xf numFmtId="0" fontId="4" fillId="2" borderId="118" xfId="10" applyNumberFormat="1" applyFont="1" applyFill="1" applyBorder="1" applyAlignment="1">
      <alignment horizontal="right"/>
    </xf>
    <xf numFmtId="0" fontId="9" fillId="4" borderId="95" xfId="0" applyFont="1" applyFill="1" applyBorder="1"/>
    <xf numFmtId="0" fontId="9" fillId="4" borderId="145" xfId="0" applyFont="1" applyFill="1" applyBorder="1"/>
    <xf numFmtId="0" fontId="0" fillId="4" borderId="145" xfId="0" applyFill="1" applyBorder="1"/>
    <xf numFmtId="0" fontId="9" fillId="4" borderId="115" xfId="0" applyFont="1" applyFill="1" applyBorder="1"/>
    <xf numFmtId="41" fontId="9" fillId="4" borderId="84" xfId="10" applyNumberFormat="1" applyFont="1" applyFill="1" applyBorder="1" applyAlignment="1">
      <alignment horizontal="center" vertical="center" wrapText="1"/>
    </xf>
    <xf numFmtId="0" fontId="8" fillId="4" borderId="54" xfId="25" applyFont="1" applyFill="1" applyBorder="1" applyAlignment="1">
      <alignment horizontal="center" vertical="center"/>
    </xf>
    <xf numFmtId="0" fontId="4" fillId="4" borderId="1" xfId="25" applyFont="1" applyFill="1" applyBorder="1" applyAlignment="1">
      <alignment horizontal="center" vertical="center"/>
    </xf>
    <xf numFmtId="0" fontId="4" fillId="4" borderId="69" xfId="25" applyFont="1" applyFill="1" applyBorder="1" applyAlignment="1">
      <alignment horizontal="center" vertical="center"/>
    </xf>
    <xf numFmtId="41" fontId="4" fillId="4" borderId="90" xfId="10" applyNumberFormat="1" applyFont="1" applyFill="1" applyBorder="1" applyAlignment="1">
      <alignment horizontal="right"/>
    </xf>
    <xf numFmtId="0" fontId="8" fillId="4" borderId="1" xfId="25" applyFont="1" applyFill="1" applyBorder="1" applyAlignment="1">
      <alignment horizontal="center" vertical="center"/>
    </xf>
    <xf numFmtId="0" fontId="75" fillId="4" borderId="1" xfId="25" applyFont="1" applyFill="1" applyBorder="1" applyAlignment="1">
      <alignment horizontal="center" vertical="center"/>
    </xf>
    <xf numFmtId="0" fontId="75" fillId="4" borderId="58" xfId="25" applyFont="1" applyFill="1" applyBorder="1" applyAlignment="1">
      <alignment horizontal="center" vertical="center"/>
    </xf>
    <xf numFmtId="0" fontId="75" fillId="4" borderId="149" xfId="25" applyFont="1" applyFill="1" applyBorder="1" applyAlignment="1">
      <alignment horizontal="center" vertical="center"/>
    </xf>
    <xf numFmtId="49" fontId="3" fillId="4" borderId="89" xfId="10" applyNumberFormat="1" applyFont="1" applyFill="1" applyBorder="1" applyAlignment="1">
      <alignment horizontal="right"/>
    </xf>
    <xf numFmtId="41" fontId="4" fillId="4" borderId="1" xfId="10" applyNumberFormat="1" applyFont="1" applyFill="1" applyBorder="1" applyAlignment="1">
      <alignment horizontal="center"/>
    </xf>
    <xf numFmtId="166" fontId="12" fillId="4" borderId="1" xfId="11" applyFont="1" applyFill="1" applyBorder="1" applyAlignment="1">
      <alignment horizontal="center"/>
    </xf>
    <xf numFmtId="166" fontId="12" fillId="4" borderId="52" xfId="11" applyFont="1" applyFill="1" applyBorder="1" applyAlignment="1">
      <alignment horizontal="center"/>
    </xf>
    <xf numFmtId="166" fontId="12" fillId="4" borderId="60" xfId="11" applyFont="1" applyFill="1" applyBorder="1" applyAlignment="1">
      <alignment horizontal="center"/>
    </xf>
    <xf numFmtId="166" fontId="12" fillId="4" borderId="62" xfId="11" applyFont="1" applyFill="1" applyBorder="1" applyAlignment="1">
      <alignment horizontal="center"/>
    </xf>
    <xf numFmtId="166" fontId="12" fillId="4" borderId="91" xfId="11" applyFont="1" applyFill="1" applyBorder="1" applyAlignment="1">
      <alignment horizontal="center"/>
    </xf>
    <xf numFmtId="166" fontId="12" fillId="4" borderId="54" xfId="11" applyFont="1" applyFill="1" applyBorder="1" applyAlignment="1">
      <alignment horizontal="center"/>
    </xf>
    <xf numFmtId="166" fontId="12" fillId="4" borderId="69" xfId="11" applyFont="1" applyFill="1" applyBorder="1" applyAlignment="1">
      <alignment horizontal="center"/>
    </xf>
    <xf numFmtId="49" fontId="3" fillId="4" borderId="90" xfId="10" applyNumberFormat="1" applyFont="1" applyFill="1" applyBorder="1" applyAlignment="1">
      <alignment horizontal="right"/>
    </xf>
    <xf numFmtId="41" fontId="4" fillId="4" borderId="62" xfId="10" applyNumberFormat="1" applyFont="1" applyFill="1" applyBorder="1" applyAlignment="1">
      <alignment horizontal="center"/>
    </xf>
    <xf numFmtId="166" fontId="12" fillId="4" borderId="59" xfId="11" applyFont="1" applyFill="1" applyBorder="1" applyAlignment="1">
      <alignment horizontal="center"/>
    </xf>
    <xf numFmtId="49" fontId="3" fillId="4" borderId="92" xfId="10" applyNumberFormat="1" applyFont="1" applyFill="1" applyBorder="1" applyAlignment="1">
      <alignment horizontal="right"/>
    </xf>
    <xf numFmtId="41" fontId="4" fillId="4" borderId="71" xfId="10" applyNumberFormat="1" applyFont="1" applyFill="1" applyBorder="1" applyAlignment="1">
      <alignment horizontal="center"/>
    </xf>
    <xf numFmtId="166" fontId="12" fillId="4" borderId="71" xfId="11" applyFont="1" applyFill="1" applyBorder="1" applyAlignment="1">
      <alignment horizontal="center"/>
    </xf>
    <xf numFmtId="166" fontId="12" fillId="4" borderId="150" xfId="11" applyFont="1" applyFill="1" applyBorder="1" applyAlignment="1">
      <alignment horizontal="center"/>
    </xf>
    <xf numFmtId="166" fontId="4" fillId="2" borderId="105" xfId="11" applyFont="1" applyFill="1" applyBorder="1" applyAlignment="1">
      <alignment horizontal="center"/>
    </xf>
    <xf numFmtId="166" fontId="4" fillId="2" borderId="106" xfId="11" applyFont="1" applyFill="1" applyBorder="1" applyAlignment="1">
      <alignment horizontal="center"/>
    </xf>
    <xf numFmtId="43" fontId="4" fillId="4" borderId="0" xfId="1" applyFont="1" applyFill="1" applyBorder="1" applyAlignment="1">
      <alignment horizontal="left"/>
    </xf>
    <xf numFmtId="0" fontId="34" fillId="2" borderId="0" xfId="0" applyFont="1" applyFill="1" applyBorder="1" applyAlignment="1">
      <alignment horizontal="center" vertical="center"/>
    </xf>
    <xf numFmtId="197" fontId="4" fillId="0" borderId="0" xfId="0" applyNumberFormat="1" applyFont="1" applyFill="1"/>
    <xf numFmtId="0" fontId="12" fillId="5" borderId="121" xfId="0" applyFont="1" applyFill="1" applyBorder="1"/>
    <xf numFmtId="167" fontId="12" fillId="2" borderId="20" xfId="0" applyNumberFormat="1" applyFont="1" applyFill="1" applyBorder="1"/>
    <xf numFmtId="0" fontId="34" fillId="2" borderId="6" xfId="0" applyFont="1" applyFill="1" applyBorder="1" applyAlignment="1">
      <alignment horizontal="center" vertical="center"/>
    </xf>
    <xf numFmtId="10" fontId="12" fillId="5" borderId="0" xfId="2" applyNumberFormat="1" applyFont="1" applyFill="1" applyBorder="1"/>
    <xf numFmtId="10" fontId="12" fillId="5" borderId="6" xfId="2" applyNumberFormat="1" applyFont="1" applyFill="1" applyBorder="1"/>
    <xf numFmtId="10" fontId="12" fillId="2" borderId="0" xfId="2" applyNumberFormat="1" applyFont="1" applyFill="1" applyBorder="1"/>
    <xf numFmtId="10" fontId="12" fillId="2" borderId="6" xfId="2" applyNumberFormat="1" applyFont="1" applyFill="1" applyBorder="1"/>
    <xf numFmtId="0" fontId="12" fillId="2" borderId="6" xfId="0" applyFont="1" applyFill="1" applyBorder="1"/>
    <xf numFmtId="0" fontId="4" fillId="2" borderId="118" xfId="2" applyNumberFormat="1" applyFont="1" applyFill="1" applyBorder="1" applyAlignment="1">
      <alignment horizontal="right"/>
    </xf>
    <xf numFmtId="173" fontId="12" fillId="2" borderId="0" xfId="0" applyNumberFormat="1" applyFont="1" applyFill="1" applyBorder="1"/>
    <xf numFmtId="0" fontId="4" fillId="2" borderId="6" xfId="2" applyNumberFormat="1" applyFont="1" applyFill="1" applyBorder="1" applyAlignment="1">
      <alignment horizontal="right"/>
    </xf>
    <xf numFmtId="9" fontId="12" fillId="2" borderId="0" xfId="2" applyFont="1" applyFill="1" applyBorder="1"/>
    <xf numFmtId="170" fontId="4" fillId="2" borderId="6" xfId="1" applyNumberFormat="1" applyFont="1" applyFill="1" applyBorder="1" applyAlignment="1">
      <alignment horizontal="right"/>
    </xf>
    <xf numFmtId="9" fontId="4" fillId="2" borderId="6" xfId="2" applyFont="1" applyFill="1" applyBorder="1" applyAlignment="1">
      <alignment horizontal="right"/>
    </xf>
    <xf numFmtId="0" fontId="12" fillId="2" borderId="122" xfId="0" applyFont="1" applyFill="1" applyBorder="1"/>
    <xf numFmtId="0" fontId="12" fillId="2" borderId="0" xfId="0" applyNumberFormat="1" applyFont="1" applyFill="1" applyBorder="1"/>
    <xf numFmtId="0" fontId="12" fillId="2" borderId="6" xfId="0" applyNumberFormat="1" applyFont="1" applyFill="1" applyBorder="1"/>
    <xf numFmtId="173" fontId="12" fillId="2" borderId="6" xfId="0" applyNumberFormat="1" applyFont="1" applyFill="1" applyBorder="1"/>
    <xf numFmtId="8" fontId="12" fillId="2" borderId="0" xfId="0" applyNumberFormat="1" applyFont="1" applyFill="1" applyBorder="1"/>
    <xf numFmtId="43" fontId="12" fillId="2" borderId="0" xfId="0" applyNumberFormat="1" applyFont="1" applyFill="1" applyBorder="1"/>
    <xf numFmtId="169" fontId="12" fillId="2" borderId="0" xfId="0" applyNumberFormat="1" applyFont="1" applyFill="1" applyBorder="1"/>
    <xf numFmtId="164" fontId="15" fillId="2" borderId="0" xfId="9" applyNumberFormat="1" applyFont="1" applyFill="1" applyBorder="1"/>
    <xf numFmtId="0" fontId="2" fillId="0" borderId="82" xfId="0" applyFont="1" applyFill="1" applyBorder="1" applyAlignment="1">
      <alignment horizontal="center"/>
    </xf>
    <xf numFmtId="0" fontId="0" fillId="0" borderId="81" xfId="0" applyBorder="1"/>
    <xf numFmtId="0" fontId="0" fillId="0" borderId="5" xfId="0" applyBorder="1"/>
    <xf numFmtId="0" fontId="0" fillId="18" borderId="5" xfId="0" applyFill="1" applyBorder="1"/>
    <xf numFmtId="0" fontId="0" fillId="0" borderId="5" xfId="0" applyFill="1" applyBorder="1"/>
    <xf numFmtId="0" fontId="0" fillId="19" borderId="6" xfId="0" applyFill="1" applyBorder="1"/>
    <xf numFmtId="0" fontId="0" fillId="17" borderId="6" xfId="0" applyFill="1" applyBorder="1"/>
    <xf numFmtId="0" fontId="0" fillId="0" borderId="55" xfId="0" applyFill="1" applyBorder="1"/>
    <xf numFmtId="0" fontId="0" fillId="17" borderId="57" xfId="0" applyFill="1" applyBorder="1"/>
    <xf numFmtId="0" fontId="0" fillId="12" borderId="57" xfId="0" applyFill="1" applyBorder="1"/>
    <xf numFmtId="0" fontId="0" fillId="12" borderId="55" xfId="0" applyFill="1" applyBorder="1"/>
    <xf numFmtId="0" fontId="0" fillId="19" borderId="5" xfId="0" applyFill="1" applyBorder="1"/>
    <xf numFmtId="0" fontId="0" fillId="17" borderId="5" xfId="0" applyFill="1" applyBorder="1"/>
    <xf numFmtId="0" fontId="0" fillId="17" borderId="55" xfId="0" applyFill="1" applyBorder="1"/>
    <xf numFmtId="0" fontId="15" fillId="2" borderId="0" xfId="24" applyFont="1" applyFill="1" applyBorder="1"/>
    <xf numFmtId="0" fontId="15" fillId="2" borderId="0" xfId="24" applyFont="1" applyFill="1" applyBorder="1" applyAlignment="1">
      <alignment horizontal="center"/>
    </xf>
    <xf numFmtId="0" fontId="4" fillId="2" borderId="0" xfId="24" applyFont="1" applyFill="1" applyBorder="1" applyAlignment="1">
      <alignment horizontal="center"/>
    </xf>
    <xf numFmtId="0" fontId="4" fillId="2" borderId="0" xfId="24" applyFont="1" applyFill="1" applyBorder="1"/>
    <xf numFmtId="182" fontId="8" fillId="2" borderId="0" xfId="47" applyNumberFormat="1" applyFont="1" applyFill="1" applyBorder="1"/>
    <xf numFmtId="169" fontId="8" fillId="2" borderId="0" xfId="46" applyFont="1" applyFill="1" applyBorder="1"/>
    <xf numFmtId="0" fontId="24" fillId="2" borderId="0" xfId="0" applyFont="1" applyFill="1"/>
    <xf numFmtId="0" fontId="12" fillId="4" borderId="22" xfId="0" quotePrefix="1" applyFont="1" applyFill="1" applyBorder="1" applyAlignment="1">
      <alignment horizontal="center" vertical="center"/>
    </xf>
    <xf numFmtId="0" fontId="12" fillId="4" borderId="182" xfId="0" quotePrefix="1" applyFont="1" applyFill="1" applyBorder="1" applyAlignment="1">
      <alignment horizontal="center" vertical="center"/>
    </xf>
    <xf numFmtId="2" fontId="4" fillId="2" borderId="17" xfId="10" applyNumberFormat="1" applyFont="1" applyFill="1" applyBorder="1" applyAlignment="1">
      <alignment horizontal="left"/>
    </xf>
    <xf numFmtId="167" fontId="1" fillId="2" borderId="27" xfId="10" applyNumberFormat="1" applyFont="1" applyFill="1" applyBorder="1" applyAlignment="1">
      <alignment horizontal="right"/>
    </xf>
    <xf numFmtId="43" fontId="1" fillId="2" borderId="17" xfId="1" applyFont="1" applyFill="1" applyBorder="1" applyAlignment="1">
      <alignment horizontal="right"/>
    </xf>
    <xf numFmtId="43" fontId="1" fillId="2" borderId="24" xfId="1" applyFont="1" applyFill="1" applyBorder="1" applyAlignment="1">
      <alignment horizontal="right"/>
    </xf>
    <xf numFmtId="43" fontId="1" fillId="2" borderId="27" xfId="1" applyFont="1" applyFill="1" applyBorder="1" applyAlignment="1">
      <alignment horizontal="right"/>
    </xf>
    <xf numFmtId="2" fontId="4" fillId="2" borderId="17" xfId="10" applyNumberFormat="1" applyFont="1" applyFill="1" applyBorder="1" applyAlignment="1">
      <alignment horizontal="center"/>
    </xf>
    <xf numFmtId="170" fontId="4" fillId="2" borderId="17" xfId="1" applyNumberFormat="1" applyFont="1" applyFill="1" applyBorder="1" applyAlignment="1">
      <alignment horizontal="center"/>
    </xf>
    <xf numFmtId="0" fontId="62" fillId="2" borderId="0" xfId="0" applyFont="1" applyFill="1"/>
    <xf numFmtId="167" fontId="9" fillId="2" borderId="17" xfId="10" applyNumberFormat="1" applyFont="1" applyFill="1" applyBorder="1" applyAlignment="1">
      <alignment horizontal="left"/>
    </xf>
    <xf numFmtId="2" fontId="9" fillId="2" borderId="17" xfId="10" applyNumberFormat="1" applyFont="1" applyFill="1" applyBorder="1" applyAlignment="1">
      <alignment horizontal="center"/>
    </xf>
    <xf numFmtId="167" fontId="9" fillId="2" borderId="17" xfId="10" applyNumberFormat="1" applyFont="1" applyFill="1" applyBorder="1" applyAlignment="1">
      <alignment horizontal="right"/>
    </xf>
    <xf numFmtId="167" fontId="9" fillId="2" borderId="24" xfId="10" applyNumberFormat="1" applyFont="1" applyFill="1" applyBorder="1" applyAlignment="1">
      <alignment horizontal="right"/>
    </xf>
    <xf numFmtId="167" fontId="9" fillId="2" borderId="16" xfId="10" applyNumberFormat="1" applyFont="1" applyFill="1" applyBorder="1" applyAlignment="1">
      <alignment horizontal="right"/>
    </xf>
    <xf numFmtId="43" fontId="1" fillId="2" borderId="16" xfId="1" applyFont="1" applyFill="1" applyBorder="1" applyAlignment="1">
      <alignment horizontal="right"/>
    </xf>
    <xf numFmtId="167" fontId="8" fillId="4" borderId="17" xfId="10" applyNumberFormat="1" applyFont="1" applyFill="1" applyBorder="1" applyAlignment="1">
      <alignment horizontal="left"/>
    </xf>
    <xf numFmtId="2" fontId="8" fillId="2" borderId="17" xfId="10" applyNumberFormat="1" applyFont="1" applyFill="1" applyBorder="1" applyAlignment="1">
      <alignment horizontal="center"/>
    </xf>
    <xf numFmtId="43" fontId="2" fillId="2" borderId="17" xfId="1" applyFont="1" applyFill="1" applyBorder="1" applyAlignment="1">
      <alignment horizontal="right"/>
    </xf>
    <xf numFmtId="43" fontId="2" fillId="2" borderId="24" xfId="1" applyFont="1" applyFill="1" applyBorder="1" applyAlignment="1">
      <alignment horizontal="right"/>
    </xf>
    <xf numFmtId="43" fontId="2" fillId="2" borderId="16" xfId="1" applyFont="1" applyFill="1" applyBorder="1" applyAlignment="1">
      <alignment horizontal="right"/>
    </xf>
    <xf numFmtId="167" fontId="8" fillId="4" borderId="183" xfId="10" applyNumberFormat="1" applyFont="1" applyFill="1" applyBorder="1" applyAlignment="1">
      <alignment horizontal="left"/>
    </xf>
    <xf numFmtId="2" fontId="8" fillId="2" borderId="183" xfId="10" applyNumberFormat="1" applyFont="1" applyFill="1" applyBorder="1" applyAlignment="1">
      <alignment horizontal="center"/>
    </xf>
    <xf numFmtId="43" fontId="2" fillId="2" borderId="183" xfId="1" applyFont="1" applyFill="1" applyBorder="1" applyAlignment="1">
      <alignment horizontal="right"/>
    </xf>
    <xf numFmtId="43" fontId="2" fillId="2" borderId="184" xfId="1" applyFont="1" applyFill="1" applyBorder="1" applyAlignment="1">
      <alignment horizontal="right"/>
    </xf>
    <xf numFmtId="43" fontId="2" fillId="2" borderId="185" xfId="1" applyFont="1" applyFill="1" applyBorder="1" applyAlignment="1">
      <alignment horizontal="right"/>
    </xf>
    <xf numFmtId="0" fontId="50" fillId="2" borderId="0" xfId="0" applyFont="1" applyFill="1"/>
    <xf numFmtId="167" fontId="49" fillId="2" borderId="0" xfId="10" applyNumberFormat="1" applyFont="1" applyFill="1" applyBorder="1" applyAlignment="1">
      <alignment horizontal="left"/>
    </xf>
    <xf numFmtId="2" fontId="49" fillId="2" borderId="0" xfId="10" applyNumberFormat="1" applyFont="1" applyFill="1" applyBorder="1" applyAlignment="1">
      <alignment horizontal="center"/>
    </xf>
    <xf numFmtId="43" fontId="49" fillId="2" borderId="0" xfId="1" applyFont="1" applyFill="1" applyBorder="1" applyAlignment="1">
      <alignment horizontal="right"/>
    </xf>
    <xf numFmtId="43" fontId="9" fillId="2" borderId="21" xfId="1" applyFont="1" applyFill="1" applyBorder="1" applyAlignment="1">
      <alignment horizontal="right"/>
    </xf>
    <xf numFmtId="0" fontId="9" fillId="2" borderId="0" xfId="0" applyFont="1" applyFill="1" applyAlignment="1">
      <alignment horizontal="right"/>
    </xf>
    <xf numFmtId="198" fontId="9" fillId="2" borderId="21" xfId="1" applyNumberFormat="1" applyFont="1" applyFill="1" applyBorder="1" applyAlignment="1"/>
    <xf numFmtId="10" fontId="9" fillId="2" borderId="21" xfId="1" applyNumberFormat="1" applyFont="1" applyFill="1" applyBorder="1" applyAlignment="1"/>
    <xf numFmtId="171" fontId="9" fillId="2" borderId="21" xfId="1" applyNumberFormat="1" applyFont="1" applyFill="1" applyBorder="1" applyAlignment="1"/>
    <xf numFmtId="43" fontId="49" fillId="2" borderId="0" xfId="1" applyFont="1" applyFill="1" applyBorder="1" applyAlignment="1"/>
    <xf numFmtId="0" fontId="12" fillId="4" borderId="77" xfId="0" quotePrefix="1" applyFont="1" applyFill="1" applyBorder="1" applyAlignment="1">
      <alignment horizontal="center" vertical="center"/>
    </xf>
    <xf numFmtId="167" fontId="1" fillId="2" borderId="16" xfId="10" applyNumberFormat="1" applyFont="1" applyFill="1" applyBorder="1" applyAlignment="1">
      <alignment horizontal="right"/>
    </xf>
    <xf numFmtId="167" fontId="4" fillId="8" borderId="118" xfId="10" applyNumberFormat="1" applyFont="1" applyFill="1" applyBorder="1" applyAlignment="1">
      <alignment horizontal="right"/>
    </xf>
    <xf numFmtId="167" fontId="0" fillId="2" borderId="17" xfId="10" applyNumberFormat="1" applyFont="1" applyFill="1" applyBorder="1" applyAlignment="1">
      <alignment horizontal="right"/>
    </xf>
    <xf numFmtId="0" fontId="12" fillId="4" borderId="186" xfId="0" quotePrefix="1" applyFont="1" applyFill="1" applyBorder="1" applyAlignment="1">
      <alignment horizontal="center" vertical="center"/>
    </xf>
    <xf numFmtId="167" fontId="1" fillId="2" borderId="187" xfId="10" applyNumberFormat="1" applyFont="1" applyFill="1" applyBorder="1" applyAlignment="1">
      <alignment horizontal="right"/>
    </xf>
    <xf numFmtId="167" fontId="1" fillId="2" borderId="188" xfId="10" applyNumberFormat="1" applyFont="1" applyFill="1" applyBorder="1" applyAlignment="1">
      <alignment horizontal="right"/>
    </xf>
    <xf numFmtId="43" fontId="1" fillId="2" borderId="188" xfId="1" applyFont="1" applyFill="1" applyBorder="1" applyAlignment="1">
      <alignment horizontal="right"/>
    </xf>
    <xf numFmtId="0" fontId="4" fillId="2" borderId="161" xfId="0" applyFont="1" applyFill="1" applyBorder="1"/>
    <xf numFmtId="167" fontId="1" fillId="2" borderId="189" xfId="10" applyNumberFormat="1" applyFont="1" applyFill="1" applyBorder="1" applyAlignment="1">
      <alignment horizontal="right"/>
    </xf>
    <xf numFmtId="167" fontId="9" fillId="2" borderId="188" xfId="10" applyNumberFormat="1" applyFont="1" applyFill="1" applyBorder="1" applyAlignment="1">
      <alignment horizontal="right"/>
    </xf>
    <xf numFmtId="43" fontId="2" fillId="2" borderId="188" xfId="1" applyFont="1" applyFill="1" applyBorder="1" applyAlignment="1">
      <alignment horizontal="right"/>
    </xf>
    <xf numFmtId="43" fontId="2" fillId="2" borderId="190" xfId="1" applyFont="1" applyFill="1" applyBorder="1" applyAlignment="1">
      <alignment horizontal="right"/>
    </xf>
    <xf numFmtId="43" fontId="2" fillId="2" borderId="191" xfId="1" applyFont="1" applyFill="1" applyBorder="1" applyAlignment="1">
      <alignment horizontal="right"/>
    </xf>
    <xf numFmtId="43" fontId="0" fillId="2" borderId="24" xfId="1" applyFont="1" applyFill="1" applyBorder="1" applyAlignment="1">
      <alignment horizontal="right"/>
    </xf>
    <xf numFmtId="170" fontId="4" fillId="2" borderId="119" xfId="10" applyNumberFormat="1" applyFont="1" applyFill="1" applyBorder="1" applyAlignment="1">
      <alignment horizontal="right"/>
    </xf>
    <xf numFmtId="0" fontId="4" fillId="2" borderId="181" xfId="0" applyFont="1" applyFill="1" applyBorder="1"/>
    <xf numFmtId="170" fontId="33" fillId="2" borderId="192" xfId="10" applyNumberFormat="1" applyFont="1" applyFill="1" applyBorder="1" applyAlignment="1">
      <alignment horizontal="left" indent="1"/>
    </xf>
    <xf numFmtId="0" fontId="13" fillId="2" borderId="5" xfId="0" applyFont="1" applyFill="1" applyBorder="1" applyAlignment="1">
      <alignment horizontal="center"/>
    </xf>
    <xf numFmtId="170" fontId="4" fillId="2" borderId="5" xfId="1" applyNumberFormat="1" applyFont="1" applyFill="1" applyBorder="1"/>
    <xf numFmtId="43" fontId="4" fillId="2" borderId="5" xfId="10" applyNumberFormat="1" applyFont="1" applyFill="1" applyBorder="1" applyAlignment="1">
      <alignment horizontal="right"/>
    </xf>
    <xf numFmtId="189" fontId="4" fillId="2" borderId="0" xfId="9" applyNumberFormat="1" applyFont="1" applyFill="1" applyBorder="1"/>
    <xf numFmtId="170" fontId="24" fillId="2" borderId="14" xfId="10" applyNumberFormat="1" applyFont="1" applyFill="1" applyBorder="1" applyAlignment="1">
      <alignment horizontal="left" indent="1"/>
    </xf>
    <xf numFmtId="0" fontId="42" fillId="2" borderId="0" xfId="0" applyFont="1" applyFill="1" applyBorder="1" applyAlignment="1">
      <alignment horizontal="left" vertical="top" indent="1"/>
    </xf>
    <xf numFmtId="170" fontId="24" fillId="2" borderId="16" xfId="10" applyNumberFormat="1" applyFont="1" applyFill="1" applyBorder="1" applyAlignment="1">
      <alignment horizontal="left" wrapText="1" indent="1"/>
    </xf>
    <xf numFmtId="170" fontId="24" fillId="2" borderId="16" xfId="10" applyNumberFormat="1" applyFont="1" applyFill="1" applyBorder="1" applyAlignment="1">
      <alignment horizontal="left" indent="1"/>
    </xf>
    <xf numFmtId="170" fontId="0" fillId="2" borderId="16" xfId="10" applyNumberFormat="1" applyFont="1" applyFill="1" applyBorder="1" applyAlignment="1">
      <alignment horizontal="left" indent="1"/>
    </xf>
    <xf numFmtId="0" fontId="0" fillId="2" borderId="0" xfId="0" applyFont="1" applyFill="1" applyBorder="1" applyAlignment="1">
      <alignment horizontal="center"/>
    </xf>
    <xf numFmtId="170" fontId="33" fillId="2" borderId="0" xfId="10" applyNumberFormat="1" applyFont="1" applyFill="1" applyBorder="1" applyAlignment="1">
      <alignment horizontal="left" indent="1"/>
    </xf>
    <xf numFmtId="170" fontId="37" fillId="2" borderId="0" xfId="10" applyNumberFormat="1" applyFont="1" applyFill="1" applyBorder="1" applyAlignment="1">
      <alignment horizontal="center" vertical="top"/>
    </xf>
    <xf numFmtId="0" fontId="12" fillId="2" borderId="0" xfId="0" quotePrefix="1" applyFont="1" applyFill="1" applyBorder="1" applyAlignment="1">
      <alignment horizontal="center" vertical="center"/>
    </xf>
    <xf numFmtId="0" fontId="2" fillId="2" borderId="0" xfId="0" applyFont="1" applyFill="1" applyBorder="1"/>
    <xf numFmtId="170" fontId="24" fillId="2" borderId="0" xfId="10" applyNumberFormat="1" applyFont="1" applyFill="1" applyBorder="1" applyAlignment="1">
      <alignment horizontal="left" indent="1"/>
    </xf>
    <xf numFmtId="0" fontId="30" fillId="2" borderId="0" xfId="10" applyNumberFormat="1" applyFont="1" applyFill="1" applyBorder="1" applyAlignment="1">
      <alignment horizontal="center"/>
    </xf>
    <xf numFmtId="170" fontId="0" fillId="2" borderId="0" xfId="10" applyNumberFormat="1" applyFont="1" applyFill="1" applyBorder="1" applyAlignment="1">
      <alignment horizontal="left" indent="1"/>
    </xf>
    <xf numFmtId="0" fontId="55" fillId="2" borderId="0" xfId="10" applyNumberFormat="1" applyFont="1" applyFill="1" applyBorder="1" applyAlignment="1">
      <alignment horizontal="center"/>
    </xf>
    <xf numFmtId="167" fontId="1" fillId="2" borderId="0" xfId="10" applyNumberFormat="1" applyFont="1" applyFill="1" applyBorder="1" applyAlignment="1">
      <alignment horizontal="right"/>
    </xf>
    <xf numFmtId="170" fontId="24" fillId="2" borderId="0" xfId="10" applyNumberFormat="1" applyFont="1" applyFill="1" applyBorder="1" applyAlignment="1">
      <alignment wrapText="1"/>
    </xf>
    <xf numFmtId="167" fontId="2" fillId="2" borderId="0" xfId="0" applyNumberFormat="1" applyFont="1" applyFill="1" applyBorder="1" applyAlignment="1">
      <alignment horizontal="right"/>
    </xf>
    <xf numFmtId="167" fontId="2" fillId="2" borderId="23" xfId="10" applyNumberFormat="1" applyFont="1" applyFill="1" applyBorder="1" applyAlignment="1">
      <alignment horizontal="right"/>
    </xf>
    <xf numFmtId="167" fontId="2" fillId="2" borderId="193" xfId="10" applyNumberFormat="1" applyFont="1" applyFill="1" applyBorder="1" applyAlignment="1">
      <alignment horizontal="right"/>
    </xf>
    <xf numFmtId="167" fontId="2" fillId="2" borderId="26" xfId="10" applyNumberFormat="1" applyFont="1" applyFill="1" applyBorder="1" applyAlignment="1">
      <alignment horizontal="right"/>
    </xf>
    <xf numFmtId="0" fontId="55" fillId="3" borderId="27" xfId="10" applyNumberFormat="1" applyFont="1" applyFill="1" applyBorder="1" applyAlignment="1">
      <alignment horizontal="center"/>
    </xf>
    <xf numFmtId="170" fontId="1" fillId="2" borderId="24" xfId="1" applyNumberFormat="1" applyFont="1" applyFill="1" applyBorder="1" applyAlignment="1">
      <alignment horizontal="right"/>
    </xf>
    <xf numFmtId="170" fontId="1" fillId="2" borderId="188" xfId="1" applyNumberFormat="1" applyFont="1" applyFill="1" applyBorder="1" applyAlignment="1">
      <alignment horizontal="right"/>
    </xf>
    <xf numFmtId="170" fontId="1" fillId="2" borderId="27" xfId="1" applyNumberFormat="1" applyFont="1" applyFill="1" applyBorder="1" applyAlignment="1">
      <alignment horizontal="right"/>
    </xf>
    <xf numFmtId="170" fontId="1" fillId="2" borderId="17" xfId="1" applyNumberFormat="1" applyFont="1" applyFill="1" applyBorder="1" applyAlignment="1">
      <alignment horizontal="right"/>
    </xf>
    <xf numFmtId="1" fontId="55" fillId="2" borderId="26" xfId="10" applyNumberFormat="1" applyFont="1" applyFill="1" applyBorder="1" applyAlignment="1">
      <alignment horizontal="center"/>
    </xf>
    <xf numFmtId="167" fontId="1" fillId="2" borderId="15" xfId="10" applyNumberFormat="1" applyFont="1" applyFill="1" applyBorder="1" applyAlignment="1">
      <alignment horizontal="right"/>
    </xf>
    <xf numFmtId="167" fontId="1" fillId="2" borderId="23" xfId="10" applyNumberFormat="1" applyFont="1" applyFill="1" applyBorder="1" applyAlignment="1">
      <alignment horizontal="right"/>
    </xf>
    <xf numFmtId="167" fontId="1" fillId="2" borderId="193" xfId="10" applyNumberFormat="1" applyFont="1" applyFill="1" applyBorder="1" applyAlignment="1">
      <alignment horizontal="right"/>
    </xf>
    <xf numFmtId="167" fontId="1" fillId="2" borderId="26" xfId="10" applyNumberFormat="1" applyFont="1" applyFill="1" applyBorder="1" applyAlignment="1">
      <alignment horizontal="right"/>
    </xf>
    <xf numFmtId="43" fontId="55" fillId="3" borderId="27" xfId="1" applyFont="1" applyFill="1" applyBorder="1" applyAlignment="1">
      <alignment horizontal="center"/>
    </xf>
    <xf numFmtId="43" fontId="30" fillId="3" borderId="16" xfId="1" applyFont="1" applyFill="1" applyBorder="1" applyAlignment="1">
      <alignment horizontal="center"/>
    </xf>
    <xf numFmtId="43" fontId="1" fillId="2" borderId="25" xfId="1" applyFont="1" applyFill="1" applyBorder="1" applyAlignment="1">
      <alignment horizontal="right"/>
    </xf>
    <xf numFmtId="43" fontId="1" fillId="2" borderId="28" xfId="1" applyFont="1" applyFill="1" applyBorder="1" applyAlignment="1">
      <alignment horizontal="right"/>
    </xf>
    <xf numFmtId="43" fontId="1" fillId="2" borderId="19" xfId="1" applyFont="1" applyFill="1" applyBorder="1" applyAlignment="1">
      <alignment horizontal="right"/>
    </xf>
    <xf numFmtId="43" fontId="1" fillId="2" borderId="18" xfId="1" applyFont="1" applyFill="1" applyBorder="1" applyAlignment="1">
      <alignment horizontal="right"/>
    </xf>
    <xf numFmtId="167" fontId="1" fillId="2" borderId="18" xfId="10" applyNumberFormat="1" applyFont="1" applyFill="1" applyBorder="1" applyAlignment="1">
      <alignment horizontal="right"/>
    </xf>
    <xf numFmtId="9" fontId="30" fillId="3" borderId="16" xfId="2" applyFont="1" applyFill="1" applyBorder="1" applyAlignment="1">
      <alignment horizontal="center"/>
    </xf>
    <xf numFmtId="43" fontId="24" fillId="2" borderId="27" xfId="1" applyFont="1" applyFill="1" applyBorder="1" applyAlignment="1">
      <alignment wrapText="1"/>
    </xf>
    <xf numFmtId="43" fontId="24" fillId="2" borderId="16" xfId="1" applyFont="1" applyFill="1" applyBorder="1" applyAlignment="1">
      <alignment wrapText="1"/>
    </xf>
    <xf numFmtId="43" fontId="24" fillId="2" borderId="190" xfId="1" applyFont="1" applyFill="1" applyBorder="1" applyAlignment="1">
      <alignment wrapText="1"/>
    </xf>
    <xf numFmtId="170" fontId="2" fillId="2" borderId="16" xfId="10" applyNumberFormat="1" applyFont="1" applyFill="1" applyBorder="1" applyAlignment="1">
      <alignment horizontal="left" indent="1"/>
    </xf>
    <xf numFmtId="43" fontId="30" fillId="2" borderId="16" xfId="1" applyFont="1" applyFill="1" applyBorder="1" applyAlignment="1">
      <alignment horizontal="center"/>
    </xf>
    <xf numFmtId="43" fontId="4" fillId="2" borderId="0" xfId="1" applyFont="1" applyFill="1"/>
    <xf numFmtId="170" fontId="2" fillId="4" borderId="16" xfId="10" applyNumberFormat="1" applyFont="1" applyFill="1" applyBorder="1" applyAlignment="1">
      <alignment horizontal="left" indent="1"/>
    </xf>
    <xf numFmtId="43" fontId="30" fillId="4" borderId="16" xfId="1" applyFont="1" applyFill="1" applyBorder="1" applyAlignment="1">
      <alignment horizontal="center"/>
    </xf>
    <xf numFmtId="167" fontId="1" fillId="4" borderId="17" xfId="10" applyNumberFormat="1" applyFont="1" applyFill="1" applyBorder="1" applyAlignment="1">
      <alignment horizontal="right"/>
    </xf>
    <xf numFmtId="43" fontId="1" fillId="4" borderId="24" xfId="1" applyFont="1" applyFill="1" applyBorder="1" applyAlignment="1">
      <alignment horizontal="right"/>
    </xf>
    <xf numFmtId="170" fontId="0" fillId="4" borderId="16" xfId="10" applyNumberFormat="1" applyFont="1" applyFill="1" applyBorder="1" applyAlignment="1">
      <alignment horizontal="left" indent="1"/>
    </xf>
    <xf numFmtId="43" fontId="1" fillId="4" borderId="25" xfId="1" applyFont="1" applyFill="1" applyBorder="1" applyAlignment="1">
      <alignment horizontal="right"/>
    </xf>
    <xf numFmtId="9" fontId="30" fillId="4" borderId="16" xfId="1" applyNumberFormat="1" applyFont="1" applyFill="1" applyBorder="1" applyAlignment="1">
      <alignment horizontal="center"/>
    </xf>
    <xf numFmtId="9" fontId="30" fillId="2" borderId="16" xfId="1" applyNumberFormat="1" applyFont="1" applyFill="1" applyBorder="1" applyAlignment="1">
      <alignment horizontal="center"/>
    </xf>
    <xf numFmtId="0" fontId="12" fillId="4" borderId="194" xfId="0" quotePrefix="1" applyFont="1" applyFill="1" applyBorder="1" applyAlignment="1">
      <alignment horizontal="center" vertical="center"/>
    </xf>
    <xf numFmtId="167" fontId="2" fillId="2" borderId="187" xfId="10" applyNumberFormat="1" applyFont="1" applyFill="1" applyBorder="1" applyAlignment="1">
      <alignment horizontal="right"/>
    </xf>
    <xf numFmtId="43" fontId="1" fillId="2" borderId="189" xfId="1" applyFont="1" applyFill="1" applyBorder="1" applyAlignment="1">
      <alignment horizontal="right"/>
    </xf>
    <xf numFmtId="170" fontId="0" fillId="2" borderId="16" xfId="10" applyNumberFormat="1" applyFont="1" applyFill="1" applyBorder="1" applyAlignment="1">
      <alignment horizontal="left" indent="1"/>
    </xf>
    <xf numFmtId="43" fontId="30" fillId="3" borderId="16" xfId="1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left" vertical="top" indent="1"/>
    </xf>
    <xf numFmtId="170" fontId="0" fillId="2" borderId="16" xfId="10" applyNumberFormat="1" applyFont="1" applyFill="1" applyBorder="1" applyAlignment="1">
      <alignment horizontal="left" indent="1"/>
    </xf>
    <xf numFmtId="0" fontId="3" fillId="0" borderId="56" xfId="0" applyFont="1" applyFill="1" applyBorder="1"/>
    <xf numFmtId="0" fontId="52" fillId="0" borderId="56" xfId="0" applyFont="1" applyFill="1" applyBorder="1" applyAlignment="1">
      <alignment wrapText="1"/>
    </xf>
    <xf numFmtId="183" fontId="52" fillId="0" borderId="3" xfId="0" applyNumberFormat="1" applyFont="1" applyFill="1" applyBorder="1"/>
    <xf numFmtId="183" fontId="52" fillId="0" borderId="0" xfId="0" applyNumberFormat="1" applyFont="1" applyFill="1" applyBorder="1"/>
    <xf numFmtId="1" fontId="52" fillId="0" borderId="0" xfId="0" applyNumberFormat="1" applyFont="1" applyFill="1" applyBorder="1"/>
    <xf numFmtId="1" fontId="52" fillId="0" borderId="56" xfId="0" applyNumberFormat="1" applyFont="1" applyFill="1" applyBorder="1"/>
    <xf numFmtId="0" fontId="78" fillId="0" borderId="0" xfId="0" applyFont="1" applyBorder="1"/>
    <xf numFmtId="0" fontId="52" fillId="0" borderId="0" xfId="0" applyFont="1" applyBorder="1"/>
    <xf numFmtId="187" fontId="3" fillId="0" borderId="3" xfId="0" applyNumberFormat="1" applyFont="1" applyBorder="1"/>
    <xf numFmtId="0" fontId="3" fillId="0" borderId="3" xfId="0" applyNumberFormat="1" applyFont="1" applyBorder="1"/>
    <xf numFmtId="0" fontId="3" fillId="0" borderId="3" xfId="0" applyFont="1" applyBorder="1"/>
    <xf numFmtId="183" fontId="3" fillId="0" borderId="3" xfId="0" applyNumberFormat="1" applyFont="1" applyBorder="1" applyAlignment="1">
      <alignment horizontal="right"/>
    </xf>
    <xf numFmtId="1" fontId="3" fillId="0" borderId="56" xfId="0" applyNumberFormat="1" applyFont="1" applyBorder="1" applyAlignment="1">
      <alignment horizontal="left" indent="1"/>
    </xf>
    <xf numFmtId="1" fontId="3" fillId="0" borderId="56" xfId="0" applyNumberFormat="1" applyFont="1" applyFill="1" applyBorder="1"/>
    <xf numFmtId="0" fontId="52" fillId="0" borderId="3" xfId="0" applyFont="1" applyFill="1" applyBorder="1"/>
    <xf numFmtId="188" fontId="3" fillId="0" borderId="3" xfId="0" applyNumberFormat="1" applyFont="1" applyBorder="1"/>
    <xf numFmtId="1" fontId="52" fillId="0" borderId="3" xfId="0" applyNumberFormat="1" applyFont="1" applyFill="1" applyBorder="1"/>
    <xf numFmtId="0" fontId="52" fillId="0" borderId="8" xfId="0" applyFont="1" applyBorder="1"/>
    <xf numFmtId="0" fontId="3" fillId="0" borderId="8" xfId="0" applyFont="1" applyBorder="1"/>
    <xf numFmtId="0" fontId="42" fillId="2" borderId="0" xfId="0" applyFont="1" applyFill="1" applyBorder="1" applyAlignment="1">
      <alignment horizontal="left" vertical="top" indent="1"/>
    </xf>
    <xf numFmtId="167" fontId="4" fillId="2" borderId="174" xfId="10" applyNumberFormat="1" applyFont="1" applyFill="1" applyBorder="1" applyAlignment="1">
      <alignment horizontal="right"/>
    </xf>
    <xf numFmtId="1" fontId="4" fillId="4" borderId="24" xfId="45" applyNumberFormat="1" applyFont="1" applyFill="1" applyBorder="1" applyAlignment="1">
      <alignment horizontal="center"/>
    </xf>
    <xf numFmtId="0" fontId="4" fillId="2" borderId="77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left" vertical="top" indent="1"/>
    </xf>
    <xf numFmtId="0" fontId="38" fillId="2" borderId="0" xfId="0" quotePrefix="1" applyFont="1" applyFill="1" applyBorder="1" applyAlignment="1">
      <alignment horizontal="center" vertical="center"/>
    </xf>
    <xf numFmtId="0" fontId="38" fillId="2" borderId="77" xfId="0" quotePrefix="1" applyFont="1" applyFill="1" applyBorder="1" applyAlignment="1">
      <alignment horizontal="center" vertical="center"/>
    </xf>
    <xf numFmtId="0" fontId="38" fillId="2" borderId="93" xfId="0" quotePrefix="1" applyFont="1" applyFill="1" applyBorder="1" applyAlignment="1">
      <alignment horizontal="center" vertical="center"/>
    </xf>
    <xf numFmtId="170" fontId="24" fillId="2" borderId="14" xfId="10" applyNumberFormat="1" applyFont="1" applyFill="1" applyBorder="1" applyAlignment="1">
      <alignment horizontal="left" indent="1"/>
    </xf>
    <xf numFmtId="170" fontId="10" fillId="2" borderId="14" xfId="10" applyNumberFormat="1" applyFont="1" applyFill="1" applyBorder="1" applyAlignment="1">
      <alignment horizontal="left" indent="1"/>
    </xf>
    <xf numFmtId="170" fontId="24" fillId="2" borderId="16" xfId="10" applyNumberFormat="1" applyFont="1" applyFill="1" applyBorder="1" applyAlignment="1">
      <alignment horizontal="left" wrapText="1" indent="1"/>
    </xf>
    <xf numFmtId="170" fontId="24" fillId="2" borderId="27" xfId="10" applyNumberFormat="1" applyFont="1" applyFill="1" applyBorder="1" applyAlignment="1">
      <alignment horizontal="left" wrapText="1" indent="1"/>
    </xf>
    <xf numFmtId="0" fontId="26" fillId="2" borderId="0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center" vertical="center" wrapText="1"/>
    </xf>
    <xf numFmtId="0" fontId="26" fillId="2" borderId="5" xfId="0" applyFont="1" applyFill="1" applyBorder="1" applyAlignment="1">
      <alignment horizontal="center" vertical="center"/>
    </xf>
    <xf numFmtId="0" fontId="47" fillId="2" borderId="0" xfId="0" applyFont="1" applyFill="1" applyBorder="1" applyAlignment="1">
      <alignment horizontal="left" vertical="top"/>
    </xf>
    <xf numFmtId="0" fontId="26" fillId="8" borderId="0" xfId="0" applyFont="1" applyFill="1" applyBorder="1" applyAlignment="1">
      <alignment horizontal="center" vertical="center"/>
    </xf>
    <xf numFmtId="0" fontId="26" fillId="8" borderId="6" xfId="0" applyFont="1" applyFill="1" applyBorder="1" applyAlignment="1">
      <alignment horizontal="center" vertical="center"/>
    </xf>
    <xf numFmtId="170" fontId="0" fillId="2" borderId="16" xfId="10" applyNumberFormat="1" applyFont="1" applyFill="1" applyBorder="1" applyAlignment="1">
      <alignment horizontal="left" indent="1"/>
    </xf>
    <xf numFmtId="170" fontId="1" fillId="2" borderId="16" xfId="10" applyNumberFormat="1" applyFont="1" applyFill="1" applyBorder="1" applyAlignment="1">
      <alignment horizontal="left" indent="1"/>
    </xf>
    <xf numFmtId="170" fontId="24" fillId="2" borderId="16" xfId="10" applyNumberFormat="1" applyFont="1" applyFill="1" applyBorder="1" applyAlignment="1">
      <alignment horizontal="left" indent="1"/>
    </xf>
    <xf numFmtId="0" fontId="42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 wrapText="1"/>
    </xf>
    <xf numFmtId="167" fontId="8" fillId="4" borderId="24" xfId="10" applyNumberFormat="1" applyFont="1" applyFill="1" applyBorder="1" applyAlignment="1">
      <alignment horizontal="center"/>
    </xf>
    <xf numFmtId="167" fontId="8" fillId="4" borderId="16" xfId="10" applyNumberFormat="1" applyFont="1" applyFill="1" applyBorder="1" applyAlignment="1">
      <alignment horizontal="center"/>
    </xf>
    <xf numFmtId="167" fontId="8" fillId="4" borderId="27" xfId="10" applyNumberFormat="1" applyFont="1" applyFill="1" applyBorder="1" applyAlignment="1">
      <alignment horizontal="center"/>
    </xf>
    <xf numFmtId="0" fontId="4" fillId="4" borderId="24" xfId="10" applyNumberFormat="1" applyFont="1" applyFill="1" applyBorder="1" applyAlignment="1">
      <alignment horizontal="center"/>
    </xf>
    <xf numFmtId="0" fontId="4" fillId="4" borderId="27" xfId="10" applyNumberFormat="1" applyFont="1" applyFill="1" applyBorder="1" applyAlignment="1">
      <alignment horizontal="center"/>
    </xf>
    <xf numFmtId="0" fontId="26" fillId="2" borderId="0" xfId="0" applyFont="1" applyFill="1" applyAlignment="1">
      <alignment horizontal="center" vertical="center"/>
    </xf>
    <xf numFmtId="0" fontId="26" fillId="8" borderId="0" xfId="0" applyFont="1" applyFill="1" applyAlignment="1">
      <alignment horizontal="center" vertical="center"/>
    </xf>
    <xf numFmtId="167" fontId="24" fillId="2" borderId="16" xfId="10" applyNumberFormat="1" applyFont="1" applyFill="1" applyBorder="1" applyAlignment="1">
      <alignment horizontal="left" indent="1"/>
    </xf>
    <xf numFmtId="167" fontId="24" fillId="2" borderId="27" xfId="10" applyNumberFormat="1" applyFont="1" applyFill="1" applyBorder="1" applyAlignment="1">
      <alignment horizontal="left" indent="1"/>
    </xf>
    <xf numFmtId="170" fontId="24" fillId="2" borderId="16" xfId="10" applyNumberFormat="1" applyFont="1" applyFill="1" applyBorder="1" applyAlignment="1">
      <alignment horizontal="left" wrapText="1"/>
    </xf>
    <xf numFmtId="170" fontId="24" fillId="2" borderId="27" xfId="10" applyNumberFormat="1" applyFont="1" applyFill="1" applyBorder="1" applyAlignment="1">
      <alignment horizontal="left" wrapText="1"/>
    </xf>
    <xf numFmtId="0" fontId="72" fillId="2" borderId="56" xfId="0" applyFont="1" applyFill="1" applyBorder="1" applyAlignment="1">
      <alignment horizontal="right" vertical="center" wrapText="1"/>
    </xf>
    <xf numFmtId="0" fontId="63" fillId="2" borderId="7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left" vertical="center" indent="1"/>
    </xf>
    <xf numFmtId="0" fontId="26" fillId="2" borderId="0" xfId="0" applyFont="1" applyFill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 wrapText="1"/>
    </xf>
    <xf numFmtId="167" fontId="8" fillId="2" borderId="24" xfId="10" applyNumberFormat="1" applyFont="1" applyFill="1" applyBorder="1" applyAlignment="1">
      <alignment horizontal="center"/>
    </xf>
    <xf numFmtId="167" fontId="8" fillId="2" borderId="27" xfId="10" applyNumberFormat="1" applyFont="1" applyFill="1" applyBorder="1" applyAlignment="1">
      <alignment horizontal="center"/>
    </xf>
    <xf numFmtId="170" fontId="24" fillId="2" borderId="0" xfId="10" applyNumberFormat="1" applyFont="1" applyFill="1" applyBorder="1" applyAlignment="1">
      <alignment horizontal="center" wrapText="1"/>
    </xf>
    <xf numFmtId="0" fontId="4" fillId="2" borderId="52" xfId="0" applyFont="1" applyFill="1" applyBorder="1" applyAlignment="1">
      <alignment horizontal="center"/>
    </xf>
    <xf numFmtId="0" fontId="4" fillId="2" borderId="54" xfId="0" applyFont="1" applyFill="1" applyBorder="1" applyAlignment="1">
      <alignment horizontal="center"/>
    </xf>
    <xf numFmtId="0" fontId="4" fillId="2" borderId="9" xfId="8" applyFont="1" applyFill="1" applyBorder="1" applyAlignment="1">
      <alignment horizontal="center" wrapText="1"/>
    </xf>
    <xf numFmtId="0" fontId="4" fillId="2" borderId="0" xfId="8" applyFont="1" applyFill="1" applyBorder="1" applyAlignment="1">
      <alignment horizontal="center" wrapText="1"/>
    </xf>
    <xf numFmtId="0" fontId="4" fillId="2" borderId="58" xfId="8" applyFont="1" applyFill="1" applyBorder="1" applyAlignment="1">
      <alignment horizontal="center" vertical="center" wrapText="1"/>
    </xf>
    <xf numFmtId="0" fontId="4" fillId="2" borderId="85" xfId="8" applyFont="1" applyFill="1" applyBorder="1" applyAlignment="1">
      <alignment horizontal="center" vertical="center" wrapText="1"/>
    </xf>
    <xf numFmtId="0" fontId="4" fillId="2" borderId="62" xfId="8" applyFont="1" applyFill="1" applyBorder="1" applyAlignment="1">
      <alignment horizontal="center" vertical="center" wrapText="1"/>
    </xf>
    <xf numFmtId="180" fontId="4" fillId="2" borderId="52" xfId="9" applyNumberFormat="1" applyFont="1" applyFill="1" applyBorder="1" applyAlignment="1">
      <alignment horizontal="center"/>
    </xf>
    <xf numFmtId="180" fontId="4" fillId="2" borderId="53" xfId="9" applyNumberFormat="1" applyFont="1" applyFill="1" applyBorder="1" applyAlignment="1">
      <alignment horizontal="center"/>
    </xf>
    <xf numFmtId="177" fontId="9" fillId="2" borderId="173" xfId="8" applyNumberFormat="1" applyFont="1" applyFill="1" applyBorder="1" applyAlignment="1">
      <alignment horizontal="center" vertical="center"/>
    </xf>
    <xf numFmtId="177" fontId="9" fillId="2" borderId="125" xfId="8" applyNumberFormat="1" applyFont="1" applyFill="1" applyBorder="1" applyAlignment="1">
      <alignment horizontal="center" vertical="center"/>
    </xf>
    <xf numFmtId="177" fontId="9" fillId="2" borderId="66" xfId="8" applyNumberFormat="1" applyFont="1" applyFill="1" applyBorder="1" applyAlignment="1">
      <alignment horizontal="center" vertical="center"/>
    </xf>
    <xf numFmtId="177" fontId="9" fillId="2" borderId="10" xfId="8" applyNumberFormat="1" applyFont="1" applyFill="1" applyBorder="1" applyAlignment="1">
      <alignment horizontal="center" vertical="center"/>
    </xf>
    <xf numFmtId="177" fontId="9" fillId="2" borderId="59" xfId="8" applyNumberFormat="1" applyFont="1" applyFill="1" applyBorder="1" applyAlignment="1">
      <alignment horizontal="center" vertical="center"/>
    </xf>
    <xf numFmtId="177" fontId="9" fillId="2" borderId="60" xfId="8" applyNumberFormat="1" applyFont="1" applyFill="1" applyBorder="1" applyAlignment="1">
      <alignment horizontal="center" vertical="center"/>
    </xf>
    <xf numFmtId="43" fontId="3" fillId="2" borderId="1" xfId="1" applyFont="1" applyFill="1" applyBorder="1" applyAlignment="1">
      <alignment horizontal="center" vertical="center"/>
    </xf>
    <xf numFmtId="180" fontId="4" fillId="2" borderId="52" xfId="9" applyNumberFormat="1" applyFont="1" applyFill="1" applyBorder="1" applyAlignment="1">
      <alignment horizontal="right"/>
    </xf>
    <xf numFmtId="180" fontId="4" fillId="2" borderId="53" xfId="9" applyNumberFormat="1" applyFont="1" applyFill="1" applyBorder="1" applyAlignment="1">
      <alignment horizontal="right"/>
    </xf>
    <xf numFmtId="177" fontId="4" fillId="2" borderId="6" xfId="8" applyNumberFormat="1" applyFont="1" applyFill="1" applyBorder="1" applyAlignment="1">
      <alignment horizontal="center" vertical="center"/>
    </xf>
    <xf numFmtId="0" fontId="4" fillId="2" borderId="62" xfId="8" applyFont="1" applyFill="1" applyBorder="1" applyAlignment="1">
      <alignment horizontal="left"/>
    </xf>
    <xf numFmtId="0" fontId="4" fillId="2" borderId="52" xfId="8" applyFont="1" applyFill="1" applyBorder="1" applyAlignment="1">
      <alignment horizontal="left"/>
    </xf>
    <xf numFmtId="0" fontId="4" fillId="2" borderId="53" xfId="8" applyFont="1" applyFill="1" applyBorder="1" applyAlignment="1">
      <alignment horizontal="left"/>
    </xf>
    <xf numFmtId="0" fontId="4" fillId="2" borderId="54" xfId="8" applyFont="1" applyFill="1" applyBorder="1" applyAlignment="1">
      <alignment horizontal="left"/>
    </xf>
    <xf numFmtId="0" fontId="4" fillId="2" borderId="1" xfId="8" applyFont="1" applyFill="1" applyBorder="1" applyAlignment="1">
      <alignment horizontal="left"/>
    </xf>
    <xf numFmtId="0" fontId="8" fillId="2" borderId="52" xfId="8" applyFont="1" applyFill="1" applyBorder="1" applyAlignment="1">
      <alignment horizontal="left" indent="2"/>
    </xf>
    <xf numFmtId="0" fontId="8" fillId="2" borderId="53" xfId="8" applyFont="1" applyFill="1" applyBorder="1" applyAlignment="1">
      <alignment horizontal="left" indent="2"/>
    </xf>
    <xf numFmtId="0" fontId="8" fillId="2" borderId="54" xfId="8" applyFont="1" applyFill="1" applyBorder="1" applyAlignment="1">
      <alignment horizontal="left" indent="2"/>
    </xf>
    <xf numFmtId="0" fontId="4" fillId="2" borderId="66" xfId="8" applyFont="1" applyFill="1" applyBorder="1" applyAlignment="1">
      <alignment horizontal="right" vertical="center"/>
    </xf>
    <xf numFmtId="0" fontId="51" fillId="2" borderId="9" xfId="8" applyFont="1" applyFill="1" applyBorder="1" applyAlignment="1">
      <alignment horizontal="center"/>
    </xf>
    <xf numFmtId="0" fontId="4" fillId="2" borderId="63" xfId="8" applyFont="1" applyFill="1" applyBorder="1" applyAlignment="1">
      <alignment horizontal="left"/>
    </xf>
    <xf numFmtId="0" fontId="4" fillId="2" borderId="64" xfId="8" applyFont="1" applyFill="1" applyBorder="1" applyAlignment="1">
      <alignment horizontal="left"/>
    </xf>
    <xf numFmtId="0" fontId="4" fillId="2" borderId="65" xfId="8" applyFont="1" applyFill="1" applyBorder="1" applyAlignment="1">
      <alignment horizontal="left"/>
    </xf>
    <xf numFmtId="0" fontId="34" fillId="2" borderId="3" xfId="8" applyFont="1" applyFill="1" applyBorder="1" applyAlignment="1">
      <alignment horizontal="center" vertical="center" wrapText="1"/>
    </xf>
    <xf numFmtId="0" fontId="34" fillId="2" borderId="0" xfId="8" applyFont="1" applyFill="1" applyBorder="1" applyAlignment="1">
      <alignment horizontal="center" vertical="center" wrapText="1"/>
    </xf>
    <xf numFmtId="185" fontId="12" fillId="2" borderId="70" xfId="3" applyNumberFormat="1" applyFont="1" applyFill="1" applyBorder="1" applyAlignment="1">
      <alignment horizontal="right" vertical="center" wrapText="1"/>
    </xf>
    <xf numFmtId="0" fontId="9" fillId="2" borderId="52" xfId="0" applyFont="1" applyFill="1" applyBorder="1" applyAlignment="1">
      <alignment horizontal="left"/>
    </xf>
    <xf numFmtId="0" fontId="9" fillId="2" borderId="54" xfId="0" applyFont="1" applyFill="1" applyBorder="1" applyAlignment="1">
      <alignment horizontal="left"/>
    </xf>
    <xf numFmtId="0" fontId="9" fillId="2" borderId="52" xfId="0" applyFont="1" applyFill="1" applyBorder="1" applyAlignment="1">
      <alignment horizontal="center"/>
    </xf>
    <xf numFmtId="0" fontId="9" fillId="2" borderId="54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left"/>
    </xf>
    <xf numFmtId="1" fontId="73" fillId="2" borderId="52" xfId="0" applyNumberFormat="1" applyFont="1" applyFill="1" applyBorder="1" applyAlignment="1">
      <alignment horizontal="center" vertical="center"/>
    </xf>
    <xf numFmtId="1" fontId="73" fillId="2" borderId="54" xfId="0" applyNumberFormat="1" applyFont="1" applyFill="1" applyBorder="1" applyAlignment="1">
      <alignment horizontal="center" vertical="center"/>
    </xf>
    <xf numFmtId="0" fontId="4" fillId="2" borderId="61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horizontal="left" vertical="top"/>
    </xf>
    <xf numFmtId="185" fontId="4" fillId="4" borderId="1" xfId="3" applyNumberFormat="1" applyFont="1" applyFill="1" applyBorder="1" applyAlignment="1">
      <alignment horizontal="right" vertical="center" wrapText="1"/>
    </xf>
    <xf numFmtId="17" fontId="9" fillId="2" borderId="52" xfId="0" applyNumberFormat="1" applyFont="1" applyFill="1" applyBorder="1" applyAlignment="1">
      <alignment horizontal="center"/>
    </xf>
    <xf numFmtId="17" fontId="9" fillId="2" borderId="54" xfId="0" applyNumberFormat="1" applyFont="1" applyFill="1" applyBorder="1" applyAlignment="1">
      <alignment horizontal="center"/>
    </xf>
    <xf numFmtId="1" fontId="9" fillId="2" borderId="52" xfId="1" applyNumberFormat="1" applyFont="1" applyFill="1" applyBorder="1" applyAlignment="1">
      <alignment horizontal="center"/>
    </xf>
    <xf numFmtId="1" fontId="9" fillId="2" borderId="54" xfId="1" applyNumberFormat="1" applyFont="1" applyFill="1" applyBorder="1" applyAlignment="1">
      <alignment horizontal="center"/>
    </xf>
    <xf numFmtId="167" fontId="8" fillId="2" borderId="104" xfId="10" applyNumberFormat="1" applyFont="1" applyFill="1" applyBorder="1" applyAlignment="1">
      <alignment horizontal="center" wrapText="1"/>
    </xf>
    <xf numFmtId="0" fontId="0" fillId="0" borderId="105" xfId="0" applyBorder="1" applyAlignment="1"/>
    <xf numFmtId="0" fontId="0" fillId="0" borderId="106" xfId="0" applyBorder="1" applyAlignment="1"/>
    <xf numFmtId="0" fontId="2" fillId="10" borderId="104" xfId="0" applyFont="1" applyFill="1" applyBorder="1" applyAlignment="1">
      <alignment horizontal="center"/>
    </xf>
    <xf numFmtId="0" fontId="2" fillId="10" borderId="105" xfId="0" applyFont="1" applyFill="1" applyBorder="1" applyAlignment="1">
      <alignment horizontal="center"/>
    </xf>
    <xf numFmtId="0" fontId="2" fillId="10" borderId="106" xfId="0" applyFont="1" applyFill="1" applyBorder="1" applyAlignment="1">
      <alignment horizontal="center"/>
    </xf>
    <xf numFmtId="0" fontId="9" fillId="14" borderId="105" xfId="0" applyFont="1" applyFill="1" applyBorder="1" applyAlignment="1">
      <alignment horizontal="center"/>
    </xf>
    <xf numFmtId="0" fontId="9" fillId="14" borderId="106" xfId="0" applyFont="1" applyFill="1" applyBorder="1" applyAlignment="1">
      <alignment horizontal="center"/>
    </xf>
    <xf numFmtId="0" fontId="0" fillId="0" borderId="105" xfId="0" applyBorder="1" applyAlignment="1">
      <alignment horizontal="center"/>
    </xf>
    <xf numFmtId="0" fontId="0" fillId="0" borderId="106" xfId="0" applyBorder="1" applyAlignment="1">
      <alignment horizontal="center"/>
    </xf>
    <xf numFmtId="0" fontId="9" fillId="2" borderId="53" xfId="0" applyFont="1" applyFill="1" applyBorder="1" applyAlignment="1">
      <alignment horizontal="center"/>
    </xf>
    <xf numFmtId="17" fontId="9" fillId="2" borderId="53" xfId="0" applyNumberFormat="1" applyFont="1" applyFill="1" applyBorder="1" applyAlignment="1">
      <alignment horizontal="center"/>
    </xf>
    <xf numFmtId="1" fontId="9" fillId="2" borderId="53" xfId="1" applyNumberFormat="1" applyFont="1" applyFill="1" applyBorder="1" applyAlignment="1">
      <alignment horizontal="center"/>
    </xf>
    <xf numFmtId="1" fontId="9" fillId="2" borderId="52" xfId="0" applyNumberFormat="1" applyFont="1" applyFill="1" applyBorder="1" applyAlignment="1">
      <alignment horizontal="center"/>
    </xf>
    <xf numFmtId="1" fontId="9" fillId="2" borderId="53" xfId="0" applyNumberFormat="1" applyFont="1" applyFill="1" applyBorder="1" applyAlignment="1">
      <alignment horizontal="center"/>
    </xf>
    <xf numFmtId="1" fontId="9" fillId="2" borderId="54" xfId="0" applyNumberFormat="1" applyFont="1" applyFill="1" applyBorder="1" applyAlignment="1">
      <alignment horizontal="center"/>
    </xf>
    <xf numFmtId="0" fontId="0" fillId="0" borderId="105" xfId="0" applyBorder="1" applyAlignment="1">
      <alignment wrapText="1"/>
    </xf>
    <xf numFmtId="1" fontId="73" fillId="2" borderId="53" xfId="0" applyNumberFormat="1" applyFont="1" applyFill="1" applyBorder="1" applyAlignment="1">
      <alignment horizontal="center" vertical="center"/>
    </xf>
    <xf numFmtId="167" fontId="8" fillId="2" borderId="108" xfId="10" applyNumberFormat="1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 applyAlignment="1"/>
    <xf numFmtId="0" fontId="0" fillId="0" borderId="116" xfId="0" applyBorder="1" applyAlignment="1"/>
    <xf numFmtId="0" fontId="0" fillId="3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56" xfId="0" applyFont="1" applyBorder="1" applyAlignment="1">
      <alignment horizontal="center"/>
    </xf>
    <xf numFmtId="0" fontId="0" fillId="0" borderId="56" xfId="0" applyBorder="1" applyAlignment="1"/>
    <xf numFmtId="0" fontId="0" fillId="0" borderId="57" xfId="0" applyBorder="1" applyAlignment="1"/>
    <xf numFmtId="0" fontId="2" fillId="0" borderId="55" xfId="0" applyFont="1" applyBorder="1" applyAlignment="1">
      <alignment horizontal="center"/>
    </xf>
    <xf numFmtId="0" fontId="0" fillId="0" borderId="0" xfId="0" applyBorder="1" applyAlignment="1">
      <alignment horizontal="center"/>
    </xf>
  </cellXfs>
  <cellStyles count="49">
    <cellStyle name="Comma" xfId="1" builtinId="3"/>
    <cellStyle name="Comma 10" xfId="41"/>
    <cellStyle name="Comma 12" xfId="46"/>
    <cellStyle name="Comma 2" xfId="5"/>
    <cellStyle name="Comma 2 2" xfId="7"/>
    <cellStyle name="Comma 2 2 2" xfId="10"/>
    <cellStyle name="Comma 2 3" xfId="11"/>
    <cellStyle name="Comma 3" xfId="6"/>
    <cellStyle name="Comma 3 2" xfId="12"/>
    <cellStyle name="Comma 4" xfId="13"/>
    <cellStyle name="Comma 5" xfId="14"/>
    <cellStyle name="Comma 6" xfId="15"/>
    <cellStyle name="Comma 7" xfId="16"/>
    <cellStyle name="Comma 8" xfId="17"/>
    <cellStyle name="Comma 8 2" xfId="9"/>
    <cellStyle name="Comma 9" xfId="18"/>
    <cellStyle name="Currency" xfId="45" builtinId="4"/>
    <cellStyle name="Currency 2" xfId="19"/>
    <cellStyle name="Currency 3" xfId="20"/>
    <cellStyle name="Normal" xfId="0" builtinId="0"/>
    <cellStyle name="Normal 10" xfId="21"/>
    <cellStyle name="Normal 11" xfId="22"/>
    <cellStyle name="Normal 11 2" xfId="8"/>
    <cellStyle name="Normal 12" xfId="43"/>
    <cellStyle name="Normal 12 2" xfId="44"/>
    <cellStyle name="Normal 2" xfId="23"/>
    <cellStyle name="Normal 2 2" xfId="24"/>
    <cellStyle name="Normal 2 2 2" xfId="25"/>
    <cellStyle name="Normal 2 2 3" xfId="26"/>
    <cellStyle name="Normal 3" xfId="27"/>
    <cellStyle name="Normal 4" xfId="3"/>
    <cellStyle name="Normal 4 2" xfId="28"/>
    <cellStyle name="Normal 5" xfId="29"/>
    <cellStyle name="Normal 5 2" xfId="30"/>
    <cellStyle name="Normal 6" xfId="31"/>
    <cellStyle name="Normal 6 2" xfId="42"/>
    <cellStyle name="Normal 7" xfId="32"/>
    <cellStyle name="Normal 8" xfId="33"/>
    <cellStyle name="Normal 8 2" xfId="34"/>
    <cellStyle name="Normal 9" xfId="35"/>
    <cellStyle name="Normal_System Parameters Sturgeon 6-12-07" xfId="48"/>
    <cellStyle name="Percent" xfId="2" builtinId="5"/>
    <cellStyle name="Percent 2" xfId="4"/>
    <cellStyle name="Percent 2 2" xfId="47"/>
    <cellStyle name="Percent 3" xfId="36"/>
    <cellStyle name="Percent 4" xfId="37"/>
    <cellStyle name="Percent 4 2" xfId="38"/>
    <cellStyle name="Percent 5" xfId="39"/>
    <cellStyle name="Percent 6" xfId="40"/>
  </cellStyles>
  <dxfs count="34"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</dxfs>
  <tableStyles count="0" defaultTableStyle="TableStyleMedium2" defaultPivotStyle="PivotStyleLight16"/>
  <colors>
    <mruColors>
      <color rgb="FFD00023"/>
      <color rgb="FFE9252A"/>
      <color rgb="FFDB3337"/>
      <color rgb="FFCC0409"/>
      <color rgb="FFE93325"/>
      <color rgb="FFE13A2D"/>
      <color rgb="FFB6251A"/>
      <color rgb="FF66FF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 sz="1600" b="1" baseline="0"/>
              <a:t>Atlantic Salmon RAS Hatchery and Cage Growout</a:t>
            </a:r>
            <a:endParaRPr lang="en-ZA" sz="1600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Sensitivities!$B$26</c:f>
              <c:strCache>
                <c:ptCount val="1"/>
                <c:pt idx="0">
                  <c:v>Sales Price /kg HOG</c:v>
                </c:pt>
              </c:strCache>
            </c:strRef>
          </c:tx>
          <c:spPr>
            <a:ln w="31750" cap="rnd" cmpd="sng" algn="ctr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 cap="flat" cmpd="sng" algn="ctr">
                <a:noFill/>
                <a:round/>
              </a:ln>
              <a:effectLst/>
            </c:spPr>
          </c:marker>
          <c:cat>
            <c:numRef>
              <c:f>Sensitivities!$E$21:$R$21</c:f>
              <c:numCache>
                <c:formatCode>General</c:formatCode>
                <c:ptCount val="14"/>
                <c:pt idx="0">
                  <c:v>250</c:v>
                </c:pt>
                <c:pt idx="1">
                  <c:v>500</c:v>
                </c:pt>
                <c:pt idx="2">
                  <c:v>750</c:v>
                </c:pt>
                <c:pt idx="3">
                  <c:v>1000</c:v>
                </c:pt>
                <c:pt idx="4">
                  <c:v>1250</c:v>
                </c:pt>
                <c:pt idx="5">
                  <c:v>1500</c:v>
                </c:pt>
                <c:pt idx="6">
                  <c:v>1750</c:v>
                </c:pt>
                <c:pt idx="7">
                  <c:v>2000</c:v>
                </c:pt>
                <c:pt idx="8">
                  <c:v>2250</c:v>
                </c:pt>
                <c:pt idx="9">
                  <c:v>2500</c:v>
                </c:pt>
                <c:pt idx="10">
                  <c:v>2750</c:v>
                </c:pt>
                <c:pt idx="11">
                  <c:v>3000</c:v>
                </c:pt>
                <c:pt idx="12">
                  <c:v>3250</c:v>
                </c:pt>
                <c:pt idx="13">
                  <c:v>3500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Sensitivities!$D$21:$R$21</c15:sqref>
                  </c15:fullRef>
                </c:ext>
              </c:extLst>
            </c:numRef>
          </c:cat>
          <c:val>
            <c:numRef>
              <c:f>Sensitivities!$F$26:$R$26</c:f>
              <c:numCache>
                <c:formatCode>_(* #,##0.00_);_(* \(#,##0.00\);_(* "-"??_);_(@_)</c:formatCode>
                <c:ptCount val="13"/>
                <c:pt idx="0">
                  <c:v>84</c:v>
                </c:pt>
                <c:pt idx="1">
                  <c:v>84</c:v>
                </c:pt>
                <c:pt idx="2">
                  <c:v>84</c:v>
                </c:pt>
                <c:pt idx="3">
                  <c:v>84</c:v>
                </c:pt>
                <c:pt idx="4">
                  <c:v>84</c:v>
                </c:pt>
                <c:pt idx="5">
                  <c:v>84</c:v>
                </c:pt>
                <c:pt idx="6">
                  <c:v>84</c:v>
                </c:pt>
                <c:pt idx="7">
                  <c:v>84</c:v>
                </c:pt>
                <c:pt idx="8">
                  <c:v>84</c:v>
                </c:pt>
                <c:pt idx="9">
                  <c:v>84</c:v>
                </c:pt>
                <c:pt idx="10">
                  <c:v>84</c:v>
                </c:pt>
                <c:pt idx="11">
                  <c:v>84</c:v>
                </c:pt>
                <c:pt idx="12">
                  <c:v>84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Sensitivities!$E$26:$R$26</c15:sqref>
                  </c15:fullRef>
                </c:ext>
              </c:extLst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9F3-418A-8321-CCCB437D9E1A}"/>
            </c:ext>
          </c:extLst>
        </c:ser>
        <c:ser>
          <c:idx val="2"/>
          <c:order val="1"/>
          <c:tx>
            <c:strRef>
              <c:f>Sensitivities!$B$41</c:f>
              <c:strCache>
                <c:ptCount val="1"/>
                <c:pt idx="0">
                  <c:v>Sales price upper range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Sensitivities!$E$21:$R$21</c:f>
              <c:numCache>
                <c:formatCode>General</c:formatCode>
                <c:ptCount val="14"/>
                <c:pt idx="0">
                  <c:v>250</c:v>
                </c:pt>
                <c:pt idx="1">
                  <c:v>500</c:v>
                </c:pt>
                <c:pt idx="2">
                  <c:v>750</c:v>
                </c:pt>
                <c:pt idx="3">
                  <c:v>1000</c:v>
                </c:pt>
                <c:pt idx="4">
                  <c:v>1250</c:v>
                </c:pt>
                <c:pt idx="5">
                  <c:v>1500</c:v>
                </c:pt>
                <c:pt idx="6">
                  <c:v>1750</c:v>
                </c:pt>
                <c:pt idx="7">
                  <c:v>2000</c:v>
                </c:pt>
                <c:pt idx="8">
                  <c:v>2250</c:v>
                </c:pt>
                <c:pt idx="9">
                  <c:v>2500</c:v>
                </c:pt>
                <c:pt idx="10">
                  <c:v>2750</c:v>
                </c:pt>
                <c:pt idx="11">
                  <c:v>3000</c:v>
                </c:pt>
                <c:pt idx="12">
                  <c:v>3250</c:v>
                </c:pt>
                <c:pt idx="13">
                  <c:v>3500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Sensitivities!$D$21:$R$21</c15:sqref>
                  </c15:fullRef>
                </c:ext>
              </c:extLst>
            </c:numRef>
          </c:cat>
          <c:val>
            <c:numRef>
              <c:f>Sensitivities!$F$41:$R$41</c:f>
              <c:numCache>
                <c:formatCode>_(* #,##0.00_);_(* \(#,##0.00\);_(* "-"??_);_(@_)</c:formatCode>
                <c:ptCount val="13"/>
                <c:pt idx="0">
                  <c:v>88.2</c:v>
                </c:pt>
                <c:pt idx="1">
                  <c:v>88.2</c:v>
                </c:pt>
                <c:pt idx="2">
                  <c:v>88.2</c:v>
                </c:pt>
                <c:pt idx="3">
                  <c:v>88.2</c:v>
                </c:pt>
                <c:pt idx="4">
                  <c:v>88.2</c:v>
                </c:pt>
                <c:pt idx="5">
                  <c:v>88.2</c:v>
                </c:pt>
                <c:pt idx="6">
                  <c:v>88.2</c:v>
                </c:pt>
                <c:pt idx="7">
                  <c:v>88.2</c:v>
                </c:pt>
                <c:pt idx="8">
                  <c:v>88.2</c:v>
                </c:pt>
                <c:pt idx="9">
                  <c:v>88.2</c:v>
                </c:pt>
                <c:pt idx="10">
                  <c:v>88.2</c:v>
                </c:pt>
                <c:pt idx="11">
                  <c:v>88.2</c:v>
                </c:pt>
                <c:pt idx="12">
                  <c:v>88.2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Sensitivities!$E$41:$R$41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F3-418A-8321-CCCB437D9E1A}"/>
            </c:ext>
          </c:extLst>
        </c:ser>
        <c:ser>
          <c:idx val="0"/>
          <c:order val="2"/>
          <c:tx>
            <c:strRef>
              <c:f>Sensitivities!$B$38</c:f>
              <c:strCache>
                <c:ptCount val="1"/>
                <c:pt idx="0">
                  <c:v>Total costs</c:v>
                </c:pt>
              </c:strCache>
            </c:strRef>
          </c:tx>
          <c:spPr>
            <a:ln w="31750" cap="rnd" cmpd="sng" algn="ctr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cat>
            <c:numRef>
              <c:f>Sensitivities!$E$21:$R$21</c:f>
              <c:numCache>
                <c:formatCode>General</c:formatCode>
                <c:ptCount val="14"/>
                <c:pt idx="0">
                  <c:v>250</c:v>
                </c:pt>
                <c:pt idx="1">
                  <c:v>500</c:v>
                </c:pt>
                <c:pt idx="2">
                  <c:v>750</c:v>
                </c:pt>
                <c:pt idx="3">
                  <c:v>1000</c:v>
                </c:pt>
                <c:pt idx="4">
                  <c:v>1250</c:v>
                </c:pt>
                <c:pt idx="5">
                  <c:v>1500</c:v>
                </c:pt>
                <c:pt idx="6">
                  <c:v>1750</c:v>
                </c:pt>
                <c:pt idx="7">
                  <c:v>2000</c:v>
                </c:pt>
                <c:pt idx="8">
                  <c:v>2250</c:v>
                </c:pt>
                <c:pt idx="9">
                  <c:v>2500</c:v>
                </c:pt>
                <c:pt idx="10">
                  <c:v>2750</c:v>
                </c:pt>
                <c:pt idx="11">
                  <c:v>3000</c:v>
                </c:pt>
                <c:pt idx="12">
                  <c:v>3250</c:v>
                </c:pt>
                <c:pt idx="13">
                  <c:v>3500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Sensitivities!$D$21:$R$21</c15:sqref>
                  </c15:fullRef>
                </c:ext>
              </c:extLst>
            </c:numRef>
          </c:cat>
          <c:val>
            <c:numRef>
              <c:f>Sensitivities!$F$38:$R$38</c:f>
              <c:numCache>
                <c:formatCode>_(* #,##0.00_);_(* \(#,##0.00\);_(* "-"??_);_(@_)</c:formatCode>
                <c:ptCount val="13"/>
                <c:pt idx="0">
                  <c:v>83.755818109565269</c:v>
                </c:pt>
                <c:pt idx="1">
                  <c:v>80.652141328159843</c:v>
                </c:pt>
                <c:pt idx="2">
                  <c:v>77.173994433077056</c:v>
                </c:pt>
                <c:pt idx="3">
                  <c:v>74.029661148530806</c:v>
                </c:pt>
                <c:pt idx="4">
                  <c:v>71.780886213111557</c:v>
                </c:pt>
                <c:pt idx="5">
                  <c:v>70.273238368952704</c:v>
                </c:pt>
                <c:pt idx="6">
                  <c:v>68.922633528875792</c:v>
                </c:pt>
                <c:pt idx="7">
                  <c:v>68.83930019554245</c:v>
                </c:pt>
                <c:pt idx="8">
                  <c:v>68.56667988442652</c:v>
                </c:pt>
                <c:pt idx="9">
                  <c:v>68.388950551649771</c:v>
                </c:pt>
                <c:pt idx="10">
                  <c:v>68.196300417316223</c:v>
                </c:pt>
                <c:pt idx="11">
                  <c:v>68.157838878854676</c:v>
                </c:pt>
                <c:pt idx="12">
                  <c:v>68.12487184588764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Sensitivities!$E$38:$R$38</c15:sqref>
                  </c15:fullRef>
                </c:ext>
              </c:extLst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9F3-418A-8321-CCCB437D9E1A}"/>
            </c:ext>
          </c:extLst>
        </c:ser>
        <c:ser>
          <c:idx val="3"/>
          <c:order val="3"/>
          <c:tx>
            <c:strRef>
              <c:f>Sensitivities!$B$42</c:f>
              <c:strCache>
                <c:ptCount val="1"/>
                <c:pt idx="0">
                  <c:v>Sales price lower range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Sensitivities!$E$21:$R$21</c:f>
              <c:numCache>
                <c:formatCode>General</c:formatCode>
                <c:ptCount val="14"/>
                <c:pt idx="0">
                  <c:v>250</c:v>
                </c:pt>
                <c:pt idx="1">
                  <c:v>500</c:v>
                </c:pt>
                <c:pt idx="2">
                  <c:v>750</c:v>
                </c:pt>
                <c:pt idx="3">
                  <c:v>1000</c:v>
                </c:pt>
                <c:pt idx="4">
                  <c:v>1250</c:v>
                </c:pt>
                <c:pt idx="5">
                  <c:v>1500</c:v>
                </c:pt>
                <c:pt idx="6">
                  <c:v>1750</c:v>
                </c:pt>
                <c:pt idx="7">
                  <c:v>2000</c:v>
                </c:pt>
                <c:pt idx="8">
                  <c:v>2250</c:v>
                </c:pt>
                <c:pt idx="9">
                  <c:v>2500</c:v>
                </c:pt>
                <c:pt idx="10">
                  <c:v>2750</c:v>
                </c:pt>
                <c:pt idx="11">
                  <c:v>3000</c:v>
                </c:pt>
                <c:pt idx="12">
                  <c:v>3250</c:v>
                </c:pt>
                <c:pt idx="13">
                  <c:v>3500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Sensitivities!$D$21:$R$21</c15:sqref>
                  </c15:fullRef>
                </c:ext>
              </c:extLst>
            </c:numRef>
          </c:cat>
          <c:val>
            <c:numRef>
              <c:f>Sensitivities!$F$42:$R$42</c:f>
              <c:numCache>
                <c:formatCode>_(* #,##0.00_);_(* \(#,##0.00\);_(* "-"??_);_(@_)</c:formatCode>
                <c:ptCount val="13"/>
                <c:pt idx="0">
                  <c:v>67.2</c:v>
                </c:pt>
                <c:pt idx="1">
                  <c:v>67.2</c:v>
                </c:pt>
                <c:pt idx="2">
                  <c:v>67.2</c:v>
                </c:pt>
                <c:pt idx="3">
                  <c:v>67.2</c:v>
                </c:pt>
                <c:pt idx="4">
                  <c:v>67.2</c:v>
                </c:pt>
                <c:pt idx="5">
                  <c:v>67.2</c:v>
                </c:pt>
                <c:pt idx="6">
                  <c:v>67.2</c:v>
                </c:pt>
                <c:pt idx="7">
                  <c:v>67.2</c:v>
                </c:pt>
                <c:pt idx="8">
                  <c:v>67.2</c:v>
                </c:pt>
                <c:pt idx="9">
                  <c:v>67.2</c:v>
                </c:pt>
                <c:pt idx="10">
                  <c:v>67.2</c:v>
                </c:pt>
                <c:pt idx="11">
                  <c:v>67.2</c:v>
                </c:pt>
                <c:pt idx="12">
                  <c:v>67.2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Sensitivities!$E$42:$R$42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9F3-418A-8321-CCCB437D9E1A}"/>
            </c:ext>
          </c:extLst>
        </c:ser>
        <c:ser>
          <c:idx val="4"/>
          <c:order val="4"/>
          <c:tx>
            <c:strRef>
              <c:f>Sensitivities!$B$85</c:f>
              <c:strCache>
                <c:ptCount val="1"/>
                <c:pt idx="0">
                  <c:v>Total costs upper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Sensitivities!$E$21:$R$21</c:f>
              <c:numCache>
                <c:formatCode>General</c:formatCode>
                <c:ptCount val="14"/>
                <c:pt idx="0">
                  <c:v>250</c:v>
                </c:pt>
                <c:pt idx="1">
                  <c:v>500</c:v>
                </c:pt>
                <c:pt idx="2">
                  <c:v>750</c:v>
                </c:pt>
                <c:pt idx="3">
                  <c:v>1000</c:v>
                </c:pt>
                <c:pt idx="4">
                  <c:v>1250</c:v>
                </c:pt>
                <c:pt idx="5">
                  <c:v>1500</c:v>
                </c:pt>
                <c:pt idx="6">
                  <c:v>1750</c:v>
                </c:pt>
                <c:pt idx="7">
                  <c:v>2000</c:v>
                </c:pt>
                <c:pt idx="8">
                  <c:v>2250</c:v>
                </c:pt>
                <c:pt idx="9">
                  <c:v>2500</c:v>
                </c:pt>
                <c:pt idx="10">
                  <c:v>2750</c:v>
                </c:pt>
                <c:pt idx="11">
                  <c:v>3000</c:v>
                </c:pt>
                <c:pt idx="12">
                  <c:v>3250</c:v>
                </c:pt>
                <c:pt idx="13">
                  <c:v>3500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Sensitivities!$D$21:$R$21</c15:sqref>
                  </c15:fullRef>
                </c:ext>
              </c:extLst>
            </c:numRef>
          </c:cat>
          <c:val>
            <c:numRef>
              <c:f>Sensitivities!$F$85:$R$85</c:f>
              <c:numCache>
                <c:formatCode>_(* #,##0.00_);_(* \(#,##0.00\);_(* "-"??_);_(@_)</c:formatCode>
                <c:ptCount val="13"/>
                <c:pt idx="0">
                  <c:v>89.859221330844917</c:v>
                </c:pt>
                <c:pt idx="1">
                  <c:v>86.584261992135026</c:v>
                </c:pt>
                <c:pt idx="2">
                  <c:v>82.912084354505396</c:v>
                </c:pt>
                <c:pt idx="3">
                  <c:v>79.590411007939153</c:v>
                </c:pt>
                <c:pt idx="4">
                  <c:v>77.213098607514766</c:v>
                </c:pt>
                <c:pt idx="5">
                  <c:v>75.613969652913852</c:v>
                </c:pt>
                <c:pt idx="6">
                  <c:v>74.187785211715976</c:v>
                </c:pt>
                <c:pt idx="7">
                  <c:v>74.100285211715985</c:v>
                </c:pt>
                <c:pt idx="8">
                  <c:v>73.814033885044253</c:v>
                </c:pt>
                <c:pt idx="9">
                  <c:v>73.625405745849406</c:v>
                </c:pt>
                <c:pt idx="10">
                  <c:v>73.42312310479916</c:v>
                </c:pt>
                <c:pt idx="11">
                  <c:v>73.382738489414535</c:v>
                </c:pt>
                <c:pt idx="12">
                  <c:v>73.348123104799157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Sensitivities!$E$85:$R$85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9F3-418A-8321-CCCB437D9E1A}"/>
            </c:ext>
          </c:extLst>
        </c:ser>
        <c:ser>
          <c:idx val="5"/>
          <c:order val="5"/>
          <c:tx>
            <c:strRef>
              <c:f>Sensitivities!$B$86</c:f>
              <c:strCache>
                <c:ptCount val="1"/>
                <c:pt idx="0">
                  <c:v>Total costs lower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Sensitivities!$E$21:$R$21</c:f>
              <c:numCache>
                <c:formatCode>General</c:formatCode>
                <c:ptCount val="14"/>
                <c:pt idx="0">
                  <c:v>250</c:v>
                </c:pt>
                <c:pt idx="1">
                  <c:v>500</c:v>
                </c:pt>
                <c:pt idx="2">
                  <c:v>750</c:v>
                </c:pt>
                <c:pt idx="3">
                  <c:v>1000</c:v>
                </c:pt>
                <c:pt idx="4">
                  <c:v>1250</c:v>
                </c:pt>
                <c:pt idx="5">
                  <c:v>1500</c:v>
                </c:pt>
                <c:pt idx="6">
                  <c:v>1750</c:v>
                </c:pt>
                <c:pt idx="7">
                  <c:v>2000</c:v>
                </c:pt>
                <c:pt idx="8">
                  <c:v>2250</c:v>
                </c:pt>
                <c:pt idx="9">
                  <c:v>2500</c:v>
                </c:pt>
                <c:pt idx="10">
                  <c:v>2750</c:v>
                </c:pt>
                <c:pt idx="11">
                  <c:v>3000</c:v>
                </c:pt>
                <c:pt idx="12">
                  <c:v>3250</c:v>
                </c:pt>
                <c:pt idx="13">
                  <c:v>3500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Sensitivities!$D$21:$R$21</c15:sqref>
                  </c15:fullRef>
                </c:ext>
              </c:extLst>
            </c:numRef>
          </c:cat>
          <c:val>
            <c:numRef>
              <c:f>Sensitivities!$F$86:$R$86</c:f>
              <c:numCache>
                <c:formatCode>_(* #,##0.00_);_(* \(#,##0.00\);_(* "-"??_);_(@_)</c:formatCode>
                <c:ptCount val="13"/>
                <c:pt idx="0">
                  <c:v>78.688128790529959</c:v>
                </c:pt>
                <c:pt idx="1">
                  <c:v>75.772588431306687</c:v>
                </c:pt>
                <c:pt idx="2">
                  <c:v>72.509539609867872</c:v>
                </c:pt>
                <c:pt idx="3">
                  <c:v>69.563613718438788</c:v>
                </c:pt>
                <c:pt idx="4">
                  <c:v>67.46846825868036</c:v>
                </c:pt>
                <c:pt idx="5">
                  <c:v>66.05267909828541</c:v>
                </c:pt>
                <c:pt idx="6">
                  <c:v>64.794318937546237</c:v>
                </c:pt>
                <c:pt idx="7">
                  <c:v>64.715152270879571</c:v>
                </c:pt>
                <c:pt idx="8">
                  <c:v>64.46440112109741</c:v>
                </c:pt>
                <c:pt idx="9">
                  <c:v>64.295558254959502</c:v>
                </c:pt>
                <c:pt idx="10">
                  <c:v>64.112540627342597</c:v>
                </c:pt>
                <c:pt idx="11">
                  <c:v>64.076002165804141</c:v>
                </c:pt>
                <c:pt idx="12">
                  <c:v>64.044683484485461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Sensitivities!$E$86:$R$86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9F3-418A-8321-CCCB437D9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marker val="1"/>
        <c:smooth val="0"/>
        <c:axId val="252281216"/>
        <c:axId val="252283136"/>
      </c:lineChart>
      <c:catAx>
        <c:axId val="2522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 (tonnes per annum)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283136"/>
        <c:crosses val="autoZero"/>
        <c:auto val="1"/>
        <c:lblAlgn val="ctr"/>
        <c:lblOffset val="100"/>
        <c:noMultiLvlLbl val="0"/>
      </c:catAx>
      <c:valAx>
        <c:axId val="252283136"/>
        <c:scaling>
          <c:orientation val="minMax"/>
          <c:max val="95"/>
          <c:min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Sales prices (R/kg)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281216"/>
        <c:crosses val="autoZero"/>
        <c:crossBetween val="between"/>
      </c:valAx>
      <c:spPr>
        <a:gradFill flip="none" rotWithShape="1">
          <a:gsLst>
            <a:gs pos="0">
              <a:schemeClr val="accent3">
                <a:lumMod val="5000"/>
                <a:lumOff val="95000"/>
              </a:schemeClr>
            </a:gs>
            <a:gs pos="74000">
              <a:schemeClr val="accent3">
                <a:lumMod val="45000"/>
                <a:lumOff val="55000"/>
              </a:schemeClr>
            </a:gs>
            <a:gs pos="83000">
              <a:schemeClr val="accent3">
                <a:lumMod val="45000"/>
                <a:lumOff val="55000"/>
              </a:schemeClr>
            </a:gs>
            <a:gs pos="100000">
              <a:schemeClr val="accent3">
                <a:lumMod val="30000"/>
                <a:lumOff val="70000"/>
              </a:schemeClr>
            </a:gs>
          </a:gsLst>
          <a:lin ang="5400000" scaled="1"/>
          <a:tileRect/>
        </a:gradFill>
        <a:ln>
          <a:solidFill>
            <a:srgbClr val="00B050">
              <a:alpha val="98000"/>
            </a:srgbClr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10 Year Cash Position in ZAR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Operational Profit/Loss</c:v>
          </c:tx>
          <c:spPr>
            <a:solidFill>
              <a:srgbClr val="00B050"/>
            </a:solidFill>
            <a:ln>
              <a:solidFill>
                <a:schemeClr val="tx1">
                  <a:lumMod val="15000"/>
                  <a:lumOff val="85000"/>
                  <a:alpha val="94000"/>
                </a:schemeClr>
              </a:solidFill>
            </a:ln>
            <a:effectLst/>
          </c:spPr>
          <c:invertIfNegative val="1"/>
          <c:val>
            <c:numRef>
              <c:f>'Fin Statements'!$E$11:$M$11</c:f>
              <c:numCache>
                <c:formatCode>_(* #,##0_);_(* \(#,##0\);_(* "-"_);_(@_)</c:formatCode>
                <c:ptCount val="9"/>
                <c:pt idx="0">
                  <c:v>-11189.646366766952</c:v>
                </c:pt>
                <c:pt idx="1">
                  <c:v>-52168.142268950309</c:v>
                </c:pt>
                <c:pt idx="2">
                  <c:v>9168.8184217213202</c:v>
                </c:pt>
                <c:pt idx="3">
                  <c:v>43184.931801019353</c:v>
                </c:pt>
                <c:pt idx="4">
                  <c:v>43214.428973840033</c:v>
                </c:pt>
                <c:pt idx="5">
                  <c:v>43946.637722047803</c:v>
                </c:pt>
                <c:pt idx="6">
                  <c:v>45528.227993706714</c:v>
                </c:pt>
                <c:pt idx="7">
                  <c:v>51923.795699770963</c:v>
                </c:pt>
                <c:pt idx="8">
                  <c:v>53144.240086036298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78-4457-98E8-29601AF1D41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solidFill>
                      <a:schemeClr val="tx1">
                        <a:lumMod val="15000"/>
                        <a:lumOff val="85000"/>
                        <a:alpha val="94000"/>
                      </a:schemeClr>
                    </a:solidFill>
                  </a:ln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2303616"/>
        <c:axId val="252313600"/>
      </c:barChart>
      <c:lineChart>
        <c:grouping val="standard"/>
        <c:varyColors val="0"/>
        <c:ser>
          <c:idx val="0"/>
          <c:order val="0"/>
          <c:tx>
            <c:v>Cumulative Cash Position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'Fin Statements'!$E$5:$M$5</c:f>
              <c:strCache>
                <c:ptCount val="9"/>
                <c:pt idx="0">
                  <c:v>Year 2</c:v>
                </c:pt>
                <c:pt idx="1">
                  <c:v>Year 3</c:v>
                </c:pt>
                <c:pt idx="2">
                  <c:v>Year 4</c:v>
                </c:pt>
                <c:pt idx="3">
                  <c:v>Year 5</c:v>
                </c:pt>
                <c:pt idx="4">
                  <c:v>Year 6</c:v>
                </c:pt>
                <c:pt idx="5">
                  <c:v>Year 7</c:v>
                </c:pt>
                <c:pt idx="6">
                  <c:v>Year 8</c:v>
                </c:pt>
                <c:pt idx="7">
                  <c:v>Year 9</c:v>
                </c:pt>
                <c:pt idx="8">
                  <c:v>Year 10</c:v>
                </c:pt>
              </c:strCache>
            </c:strRef>
          </c:cat>
          <c:val>
            <c:numRef>
              <c:f>'Fin Statements'!$E$47:$M$47</c:f>
              <c:numCache>
                <c:formatCode>_(* #,##0_);_(* \(#,##0\);_(* "-"_);_(@_)</c:formatCode>
                <c:ptCount val="9"/>
                <c:pt idx="0">
                  <c:v>-43172.750197622212</c:v>
                </c:pt>
                <c:pt idx="1">
                  <c:v>-111271.52028307914</c:v>
                </c:pt>
                <c:pt idx="2">
                  <c:v>-104919.44819469114</c:v>
                </c:pt>
                <c:pt idx="3">
                  <c:v>-61734.516393671729</c:v>
                </c:pt>
                <c:pt idx="4">
                  <c:v>-18520.087419831703</c:v>
                </c:pt>
                <c:pt idx="5">
                  <c:v>16734.286725517421</c:v>
                </c:pt>
                <c:pt idx="6">
                  <c:v>51065.273140986304</c:v>
                </c:pt>
                <c:pt idx="7">
                  <c:v>90001.068304821325</c:v>
                </c:pt>
                <c:pt idx="8">
                  <c:v>129815.58342676744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6C78-4457-98E8-29601AF1D415}"/>
            </c:ext>
          </c:extLst>
        </c:ser>
        <c:ser>
          <c:idx val="3"/>
          <c:order val="2"/>
          <c:spPr>
            <a:ln w="285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val>
            <c:numRef>
              <c:f>'Fin Statements'!$E$46:$M$46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C78-4457-98E8-29601AF1D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303616"/>
        <c:axId val="252313600"/>
      </c:lineChart>
      <c:catAx>
        <c:axId val="25230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313600"/>
        <c:crosses val="autoZero"/>
        <c:auto val="1"/>
        <c:lblAlgn val="ctr"/>
        <c:lblOffset val="100"/>
        <c:noMultiLvlLbl val="0"/>
      </c:catAx>
      <c:valAx>
        <c:axId val="25231360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  <a:alpha val="5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303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Parr-Smolts (n)</c:v>
          </c:tx>
          <c:spPr>
            <a:solidFill>
              <a:srgbClr val="00B0F0"/>
            </a:solidFill>
            <a:ln>
              <a:noFill/>
            </a:ln>
          </c:spPr>
          <c:invertIfNegative val="0"/>
          <c:val>
            <c:numRef>
              <c:f>'Smolt Production'!$D$59:$R$59</c:f>
              <c:numCache>
                <c:formatCode>_(* #,##0_);_(* \(#,##0\);_(* "-"_);_(@_)</c:formatCode>
                <c:ptCount val="15"/>
                <c:pt idx="0">
                  <c:v>820833.33333333326</c:v>
                </c:pt>
                <c:pt idx="1">
                  <c:v>808520.83333333326</c:v>
                </c:pt>
                <c:pt idx="2">
                  <c:v>796393.02083333326</c:v>
                </c:pt>
                <c:pt idx="3">
                  <c:v>784447.1255208333</c:v>
                </c:pt>
                <c:pt idx="4">
                  <c:v>772680.41863802075</c:v>
                </c:pt>
                <c:pt idx="5">
                  <c:v>761090.2123584504</c:v>
                </c:pt>
                <c:pt idx="6">
                  <c:v>749673.85917307367</c:v>
                </c:pt>
                <c:pt idx="7">
                  <c:v>738428.75128547754</c:v>
                </c:pt>
                <c:pt idx="8">
                  <c:v>470430.88245192159</c:v>
                </c:pt>
                <c:pt idx="9">
                  <c:v>463374.41921514279</c:v>
                </c:pt>
                <c:pt idx="10">
                  <c:v>456423.80292691564</c:v>
                </c:pt>
                <c:pt idx="11">
                  <c:v>231859.56489764649</c:v>
                </c:pt>
                <c:pt idx="12">
                  <c:v>229540.96924867004</c:v>
                </c:pt>
                <c:pt idx="13">
                  <c:v>227245.55955618335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7F-4A88-9512-050A3D975030}"/>
            </c:ext>
          </c:extLst>
        </c:ser>
        <c:ser>
          <c:idx val="6"/>
          <c:order val="2"/>
          <c:tx>
            <c:v>S1 smolts transferred to growout</c:v>
          </c:tx>
          <c:spPr>
            <a:solidFill>
              <a:srgbClr val="00B050"/>
            </a:solidFill>
          </c:spPr>
          <c:invertIfNegative val="0"/>
          <c:val>
            <c:numRef>
              <c:f>'Smolt Production'!$D$58:$R$58</c:f>
              <c:numCache>
                <c:formatCode>_(* #,##0_);_(* \(#,##0\);_(* "-"_);_(@_)</c:formatCode>
                <c:ptCount val="15"/>
                <c:pt idx="14">
                  <c:v>224973.10396062152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27F-4A88-9512-050A3D975030}"/>
            </c:ext>
          </c:extLst>
        </c:ser>
        <c:ser>
          <c:idx val="2"/>
          <c:order val="3"/>
          <c:tx>
            <c:v>S0 smolts transferred to growout</c:v>
          </c:tx>
          <c:invertIfNegative val="0"/>
          <c:val>
            <c:numRef>
              <c:f>'Smolt Production'!$D$57:$R$57</c:f>
              <c:numCache>
                <c:formatCode>_(* #,##0_);_(* \(#,##0\);_(* "-"_);_(@_)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220000</c:v>
                </c:pt>
                <c:pt idx="11">
                  <c:v>220000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F66-4447-8486-1F16CC368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267466240"/>
        <c:axId val="267455872"/>
      </c:barChart>
      <c:lineChart>
        <c:grouping val="standard"/>
        <c:varyColors val="0"/>
        <c:ser>
          <c:idx val="0"/>
          <c:order val="0"/>
          <c:tx>
            <c:v>Smolt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'Smolt Production'!$D$18:$R$18</c:f>
              <c:strCache>
                <c:ptCount val="1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  <c:pt idx="8">
                  <c:v>Apr</c:v>
                </c:pt>
                <c:pt idx="9">
                  <c:v>May</c:v>
                </c:pt>
                <c:pt idx="10">
                  <c:v>Jun</c:v>
                </c:pt>
                <c:pt idx="11">
                  <c:v>Jul</c:v>
                </c:pt>
                <c:pt idx="12">
                  <c:v>Aug</c:v>
                </c:pt>
                <c:pt idx="13">
                  <c:v>Sep</c:v>
                </c:pt>
                <c:pt idx="14">
                  <c:v>Oct</c:v>
                </c:pt>
              </c:strCache>
            </c:strRef>
          </c:cat>
          <c:val>
            <c:numRef>
              <c:f>'Smolt Production'!$D$65:$R$65</c:f>
              <c:numCache>
                <c:formatCode>_(* #,##0_);_(* \(#,##0\);_(* "-"_);_(@_)</c:formatCode>
                <c:ptCount val="15"/>
                <c:pt idx="0">
                  <c:v>2.0269156782882156</c:v>
                </c:pt>
                <c:pt idx="1">
                  <c:v>4.0158126066183799</c:v>
                </c:pt>
                <c:pt idx="2">
                  <c:v>8.5209352134193672</c:v>
                </c:pt>
                <c:pt idx="3">
                  <c:v>13.743044895875244</c:v>
                </c:pt>
                <c:pt idx="4">
                  <c:v>21.381896797860446</c:v>
                </c:pt>
                <c:pt idx="5">
                  <c:v>31.037081768432127</c:v>
                </c:pt>
                <c:pt idx="6">
                  <c:v>43.27506717742957</c:v>
                </c:pt>
                <c:pt idx="7">
                  <c:v>68.505058960747817</c:v>
                </c:pt>
                <c:pt idx="8">
                  <c:v>83.847573952179545</c:v>
                </c:pt>
                <c:pt idx="9">
                  <c:v>93.637522624670709</c:v>
                </c:pt>
                <c:pt idx="10">
                  <c:v>104.49551550559518</c:v>
                </c:pt>
                <c:pt idx="11">
                  <c:v>116.77521919335275</c:v>
                </c:pt>
                <c:pt idx="12">
                  <c:v>129.56700825272554</c:v>
                </c:pt>
                <c:pt idx="13">
                  <c:v>159.99660976692255</c:v>
                </c:pt>
                <c:pt idx="14">
                  <c:v>178.12681057277342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7F-4A88-9512-050A3D975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474048"/>
        <c:axId val="267467776"/>
      </c:lineChart>
      <c:valAx>
        <c:axId val="267455872"/>
        <c:scaling>
          <c:orientation val="minMax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ZA"/>
                  <a:t>Number</a:t>
                </a:r>
                <a:r>
                  <a:rPr lang="en-ZA" baseline="0"/>
                  <a:t> of fish (n)</a:t>
                </a:r>
                <a:endParaRPr lang="en-ZA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267466240"/>
        <c:crosses val="max"/>
        <c:crossBetween val="between"/>
      </c:valAx>
      <c:catAx>
        <c:axId val="2674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7455872"/>
        <c:crosses val="autoZero"/>
        <c:auto val="1"/>
        <c:lblAlgn val="ctr"/>
        <c:lblOffset val="100"/>
        <c:noMultiLvlLbl val="0"/>
      </c:catAx>
      <c:valAx>
        <c:axId val="2674677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ZA"/>
                  <a:t>Average live weight per fish</a:t>
                </a:r>
                <a:r>
                  <a:rPr lang="en-ZA" baseline="0"/>
                  <a:t> (g) </a:t>
                </a:r>
                <a:endParaRPr lang="en-ZA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267474048"/>
        <c:crosses val="autoZero"/>
        <c:crossBetween val="between"/>
      </c:valAx>
      <c:catAx>
        <c:axId val="26747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746777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344514093301217E-2"/>
          <c:y val="0.90805475486891407"/>
          <c:w val="0.83848345498907917"/>
          <c:h val="5.0512653292847487E-2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2: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val>
            <c:numRef>
              <c:f>'Batch2 - S0 Smolts'!$D$66:$T$66</c:f>
              <c:numCache>
                <c:formatCode>_(* #,##0_);_(* \(#,##0\);_(* "-"_);_(@_)</c:formatCode>
                <c:ptCount val="17"/>
                <c:pt idx="0">
                  <c:v>38679.455919294225</c:v>
                </c:pt>
                <c:pt idx="1">
                  <c:v>63414.143074583837</c:v>
                </c:pt>
                <c:pt idx="2">
                  <c:v>94862.975295843615</c:v>
                </c:pt>
                <c:pt idx="3">
                  <c:v>132377.869394629</c:v>
                </c:pt>
                <c:pt idx="4">
                  <c:v>169794.53452675341</c:v>
                </c:pt>
                <c:pt idx="5">
                  <c:v>205234.79850796747</c:v>
                </c:pt>
                <c:pt idx="6">
                  <c:v>241975.98073190745</c:v>
                </c:pt>
                <c:pt idx="7">
                  <c:v>270016.73173904873</c:v>
                </c:pt>
                <c:pt idx="8">
                  <c:v>315448.5810669788</c:v>
                </c:pt>
                <c:pt idx="9">
                  <c:v>284614.07685508468</c:v>
                </c:pt>
                <c:pt idx="10">
                  <c:v>257146.24919061319</c:v>
                </c:pt>
                <c:pt idx="11">
                  <c:v>303393.51292798074</c:v>
                </c:pt>
                <c:pt idx="12">
                  <c:v>354441.19533507089</c:v>
                </c:pt>
                <c:pt idx="13">
                  <c:v>419797.60539286904</c:v>
                </c:pt>
                <c:pt idx="14">
                  <c:v>278046.82556498138</c:v>
                </c:pt>
                <c:pt idx="15">
                  <c:v>73274.711504816412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71-42D5-85C8-BED396140851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val>
            <c:numRef>
              <c:f>'Batch2 - S0 Smolts'!$D$65:$T$65</c:f>
              <c:numCache>
                <c:formatCode>_(* #,##0_);_(* \(#,##0\);_(* "-"_);_(@_)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78862.145266744701</c:v>
                </c:pt>
                <c:pt idx="10">
                  <c:v>71153.519213771171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176906.59164156171</c:v>
                </c:pt>
                <c:pt idx="15">
                  <c:v>206073.52733018948</c:v>
                </c:pt>
                <c:pt idx="16">
                  <c:v>72541.964389768254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671-42D5-85C8-BED396140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268136832"/>
        <c:axId val="268130560"/>
      </c:barChart>
      <c:lineChart>
        <c:grouping val="standard"/>
        <c:varyColors val="0"/>
        <c:ser>
          <c:idx val="0"/>
          <c:order val="0"/>
          <c:tx>
            <c:v>Fish - Average weight (kg)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'Batch1 - S0 Smolts'!$D$17:$T$17</c:f>
              <c:strCache>
                <c:ptCount val="17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  <c:pt idx="12">
                  <c:v>Apr</c:v>
                </c:pt>
                <c:pt idx="13">
                  <c:v>May</c:v>
                </c:pt>
                <c:pt idx="14">
                  <c:v>Jun</c:v>
                </c:pt>
                <c:pt idx="15">
                  <c:v>Jul</c:v>
                </c:pt>
                <c:pt idx="16">
                  <c:v>Aug</c:v>
                </c:pt>
              </c:strCache>
            </c:strRef>
          </c:cat>
          <c:val>
            <c:numRef>
              <c:f>'Batch2 - S0 Smolts'!$D$62:$T$62</c:f>
              <c:numCache>
                <c:formatCode>_(* #,##0_);_(* \(#,##0\);_(* "-"_);_(@_)</c:formatCode>
                <c:ptCount val="17"/>
                <c:pt idx="0">
                  <c:v>177.59162497380268</c:v>
                </c:pt>
                <c:pt idx="1">
                  <c:v>294.09866838534026</c:v>
                </c:pt>
                <c:pt idx="2">
                  <c:v>444.39429727726673</c:v>
                </c:pt>
                <c:pt idx="3">
                  <c:v>626.40025764567201</c:v>
                </c:pt>
                <c:pt idx="4">
                  <c:v>811.56825861545747</c:v>
                </c:pt>
                <c:pt idx="5">
                  <c:v>990.87107503755681</c:v>
                </c:pt>
                <c:pt idx="6">
                  <c:v>1180.0576257646985</c:v>
                </c:pt>
                <c:pt idx="7">
                  <c:v>1330.1065701526109</c:v>
                </c:pt>
                <c:pt idx="8">
                  <c:v>1569.6005637745366</c:v>
                </c:pt>
                <c:pt idx="9">
                  <c:v>1913.750090807541</c:v>
                </c:pt>
                <c:pt idx="10">
                  <c:v>2336.5620694268646</c:v>
                </c:pt>
                <c:pt idx="11">
                  <c:v>2784.6346592707928</c:v>
                </c:pt>
                <c:pt idx="12">
                  <c:v>3286.0255179373094</c:v>
                </c:pt>
                <c:pt idx="13">
                  <c:v>3931.2575920347049</c:v>
                </c:pt>
                <c:pt idx="14">
                  <c:v>4579.4117184486549</c:v>
                </c:pt>
                <c:pt idx="15">
                  <c:v>4849.5642197645675</c:v>
                </c:pt>
                <c:pt idx="16">
                  <c:v>5083.7252677336619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671-42D5-85C8-BED396140851}"/>
            </c:ext>
          </c:extLst>
        </c:ser>
        <c:ser>
          <c:idx val="5"/>
          <c:order val="3"/>
          <c:tx>
            <c:v>4-6lb H&amp;G product range</c:v>
          </c:tx>
          <c:spPr>
            <a:ln w="984250" cap="sq">
              <a:solidFill>
                <a:srgbClr val="00B050">
                  <a:alpha val="20000"/>
                </a:srgbClr>
              </a:solidFill>
            </a:ln>
          </c:spPr>
          <c:marker>
            <c:symbol val="none"/>
          </c:marker>
          <c:cat>
            <c:strRef>
              <c:f>'Batch1 - S0 Smolts'!$D$17:$T$17</c:f>
              <c:strCache>
                <c:ptCount val="17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  <c:pt idx="12">
                  <c:v>Apr</c:v>
                </c:pt>
                <c:pt idx="13">
                  <c:v>May</c:v>
                </c:pt>
                <c:pt idx="14">
                  <c:v>Jun</c:v>
                </c:pt>
                <c:pt idx="15">
                  <c:v>Jul</c:v>
                </c:pt>
                <c:pt idx="16">
                  <c:v>Aug</c:v>
                </c:pt>
              </c:strCache>
            </c:strRef>
          </c:cat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671-42D5-85C8-BED396140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118656"/>
        <c:axId val="268128640"/>
      </c:lineChart>
      <c:catAx>
        <c:axId val="2681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68128640"/>
        <c:crosses val="autoZero"/>
        <c:auto val="1"/>
        <c:lblAlgn val="ctr"/>
        <c:lblOffset val="100"/>
        <c:noMultiLvlLbl val="0"/>
      </c:catAx>
      <c:valAx>
        <c:axId val="268128640"/>
        <c:scaling>
          <c:orientation val="minMax"/>
          <c:max val="5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fish (Grams)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268118656"/>
        <c:crosses val="autoZero"/>
        <c:crossBetween val="between"/>
      </c:valAx>
      <c:valAx>
        <c:axId val="268130560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268136832"/>
        <c:crosses val="max"/>
        <c:crossBetween val="between"/>
      </c:valAx>
      <c:catAx>
        <c:axId val="26813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81305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2: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strRef>
              <c:f>'Batch1 - S0 Smolts'!$D$9:$T$17</c:f>
              <c:strCache>
                <c:ptCount val="34"/>
                <c:pt idx="17">
                  <c:v>Apr</c:v>
                </c:pt>
                <c:pt idx="18">
                  <c:v>May</c:v>
                </c:pt>
                <c:pt idx="19">
                  <c:v>Jun</c:v>
                </c:pt>
                <c:pt idx="20">
                  <c:v>Jul</c:v>
                </c:pt>
                <c:pt idx="21">
                  <c:v>Aug</c:v>
                </c:pt>
                <c:pt idx="22">
                  <c:v>Sep</c:v>
                </c:pt>
                <c:pt idx="23">
                  <c:v>Oct</c:v>
                </c:pt>
                <c:pt idx="24">
                  <c:v>Nov</c:v>
                </c:pt>
                <c:pt idx="25">
                  <c:v>Dec</c:v>
                </c:pt>
                <c:pt idx="26">
                  <c:v>Jan</c:v>
                </c:pt>
                <c:pt idx="27">
                  <c:v>Feb</c:v>
                </c:pt>
                <c:pt idx="28">
                  <c:v>Mar</c:v>
                </c:pt>
                <c:pt idx="29">
                  <c:v>Apr</c:v>
                </c:pt>
                <c:pt idx="30">
                  <c:v>May</c:v>
                </c:pt>
                <c:pt idx="31">
                  <c:v>Jun</c:v>
                </c:pt>
                <c:pt idx="32">
                  <c:v>Jul</c:v>
                </c:pt>
                <c:pt idx="33">
                  <c:v>Aug</c:v>
                </c:pt>
              </c:strCache>
            </c:strRef>
          </c:cat>
          <c:val>
            <c:numRef>
              <c:f>'Batch1 - S0 Smolts'!$D$66:$T$66</c:f>
              <c:numCache>
                <c:formatCode>_(* #,##0_);_(* \(#,##0\);_(* "-"_);_(@_)</c:formatCode>
                <c:ptCount val="17"/>
                <c:pt idx="0">
                  <c:v>24863.666469951357</c:v>
                </c:pt>
                <c:pt idx="1">
                  <c:v>41725.369605776345</c:v>
                </c:pt>
                <c:pt idx="2">
                  <c:v>65306.692487260196</c:v>
                </c:pt>
                <c:pt idx="3">
                  <c:v>99047.644099396624</c:v>
                </c:pt>
                <c:pt idx="4">
                  <c:v>141128.21942351005</c:v>
                </c:pt>
                <c:pt idx="5">
                  <c:v>190397.97960478757</c:v>
                </c:pt>
                <c:pt idx="6">
                  <c:v>241866.49395795961</c:v>
                </c:pt>
                <c:pt idx="7">
                  <c:v>290473.47646593722</c:v>
                </c:pt>
                <c:pt idx="8">
                  <c:v>334928.28721332282</c:v>
                </c:pt>
                <c:pt idx="9">
                  <c:v>378514.83278057486</c:v>
                </c:pt>
                <c:pt idx="10">
                  <c:v>411309.44463053026</c:v>
                </c:pt>
                <c:pt idx="11">
                  <c:v>459559.83563547576</c:v>
                </c:pt>
                <c:pt idx="12">
                  <c:v>529975.08072034467</c:v>
                </c:pt>
                <c:pt idx="13">
                  <c:v>617525.69476713263</c:v>
                </c:pt>
                <c:pt idx="14">
                  <c:v>418161.833474226</c:v>
                </c:pt>
                <c:pt idx="15">
                  <c:v>124038.56253194806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C4-4402-9F3C-AB5657243895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'Batch1 - S0 Smolts'!$D$9:$T$17</c:f>
              <c:strCache>
                <c:ptCount val="34"/>
                <c:pt idx="17">
                  <c:v>Apr</c:v>
                </c:pt>
                <c:pt idx="18">
                  <c:v>May</c:v>
                </c:pt>
                <c:pt idx="19">
                  <c:v>Jun</c:v>
                </c:pt>
                <c:pt idx="20">
                  <c:v>Jul</c:v>
                </c:pt>
                <c:pt idx="21">
                  <c:v>Aug</c:v>
                </c:pt>
                <c:pt idx="22">
                  <c:v>Sep</c:v>
                </c:pt>
                <c:pt idx="23">
                  <c:v>Oct</c:v>
                </c:pt>
                <c:pt idx="24">
                  <c:v>Nov</c:v>
                </c:pt>
                <c:pt idx="25">
                  <c:v>Dec</c:v>
                </c:pt>
                <c:pt idx="26">
                  <c:v>Jan</c:v>
                </c:pt>
                <c:pt idx="27">
                  <c:v>Feb</c:v>
                </c:pt>
                <c:pt idx="28">
                  <c:v>Mar</c:v>
                </c:pt>
                <c:pt idx="29">
                  <c:v>Apr</c:v>
                </c:pt>
                <c:pt idx="30">
                  <c:v>May</c:v>
                </c:pt>
                <c:pt idx="31">
                  <c:v>Jun</c:v>
                </c:pt>
                <c:pt idx="32">
                  <c:v>Jul</c:v>
                </c:pt>
                <c:pt idx="33">
                  <c:v>Aug</c:v>
                </c:pt>
              </c:strCache>
            </c:strRef>
          </c:cat>
          <c:val>
            <c:numRef>
              <c:f>'Batch1 - S0 Smolts'!$D$65:$T$65</c:f>
              <c:numCache>
                <c:formatCode>_(* #,##0_);_(* \(#,##0\);_(* "-"_);_(@_)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259793.67825593904</c:v>
                </c:pt>
                <c:pt idx="15">
                  <c:v>309013.54580521834</c:v>
                </c:pt>
                <c:pt idx="16">
                  <c:v>122798.17690662858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6C4-4402-9F3C-AB5657243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268359552"/>
        <c:axId val="268357632"/>
      </c:barChart>
      <c:lineChart>
        <c:grouping val="standard"/>
        <c:varyColors val="0"/>
        <c:ser>
          <c:idx val="0"/>
          <c:order val="0"/>
          <c:tx>
            <c:v>Salmon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'Batch1 - S0 Smolts'!$D$17:$T$17</c:f>
              <c:strCache>
                <c:ptCount val="17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  <c:pt idx="12">
                  <c:v>Apr</c:v>
                </c:pt>
                <c:pt idx="13">
                  <c:v>May</c:v>
                </c:pt>
                <c:pt idx="14">
                  <c:v>Jun</c:v>
                </c:pt>
                <c:pt idx="15">
                  <c:v>Jul</c:v>
                </c:pt>
                <c:pt idx="16">
                  <c:v>Aug</c:v>
                </c:pt>
              </c:strCache>
            </c:strRef>
          </c:cat>
          <c:val>
            <c:numRef>
              <c:f>'Batch1 - S0 Smolts'!$D$62:$T$62</c:f>
              <c:numCache>
                <c:formatCode>_(* #,##0_);_(* \(#,##0\);_(* "-"_);_(@_)</c:formatCode>
                <c:ptCount val="17"/>
                <c:pt idx="0">
                  <c:v>114.73773174873723</c:v>
                </c:pt>
                <c:pt idx="1">
                  <c:v>194.49394548053843</c:v>
                </c:pt>
                <c:pt idx="2">
                  <c:v>307.48815356023346</c:v>
                </c:pt>
                <c:pt idx="3">
                  <c:v>471.06371736610646</c:v>
                </c:pt>
                <c:pt idx="4">
                  <c:v>677.97576918082007</c:v>
                </c:pt>
                <c:pt idx="5">
                  <c:v>923.90528473438849</c:v>
                </c:pt>
                <c:pt idx="6">
                  <c:v>1185.511115444938</c:v>
                </c:pt>
                <c:pt idx="7">
                  <c:v>1438.140143111797</c:v>
                </c:pt>
                <c:pt idx="8">
                  <c:v>1674.9866903319862</c:v>
                </c:pt>
                <c:pt idx="9">
                  <c:v>1912.0852005102129</c:v>
                </c:pt>
                <c:pt idx="10">
                  <c:v>2098.736061053196</c:v>
                </c:pt>
                <c:pt idx="11">
                  <c:v>2368.623389731988</c:v>
                </c:pt>
                <c:pt idx="12">
                  <c:v>2759.1429596238181</c:v>
                </c:pt>
                <c:pt idx="13">
                  <c:v>3247.4209781992381</c:v>
                </c:pt>
                <c:pt idx="14">
                  <c:v>3862.6693225652289</c:v>
                </c:pt>
                <c:pt idx="15">
                  <c:v>4564.4960761924458</c:v>
                </c:pt>
                <c:pt idx="16">
                  <c:v>4889.4380513260503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6C4-4402-9F3C-AB5657243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349824"/>
        <c:axId val="268351360"/>
      </c:lineChart>
      <c:catAx>
        <c:axId val="26834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68351360"/>
        <c:crosses val="autoZero"/>
        <c:auto val="1"/>
        <c:lblAlgn val="ctr"/>
        <c:lblOffset val="100"/>
        <c:noMultiLvlLbl val="0"/>
      </c:catAx>
      <c:valAx>
        <c:axId val="268351360"/>
        <c:scaling>
          <c:orientation val="minMax"/>
          <c:max val="6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fish (Grams)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268349824"/>
        <c:crosses val="autoZero"/>
        <c:crossBetween val="between"/>
      </c:valAx>
      <c:valAx>
        <c:axId val="268357632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268359552"/>
        <c:crosses val="max"/>
        <c:crossBetween val="between"/>
      </c:valAx>
      <c:catAx>
        <c:axId val="268359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83576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2: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strRef>
              <c:f>'Batch2 - S0 Smolts'!$D$17:$T$17</c:f>
              <c:strCache>
                <c:ptCount val="17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  <c:pt idx="12">
                  <c:v>Jul</c:v>
                </c:pt>
                <c:pt idx="13">
                  <c:v>Aug</c:v>
                </c:pt>
                <c:pt idx="14">
                  <c:v>Sep</c:v>
                </c:pt>
                <c:pt idx="15">
                  <c:v>Oct</c:v>
                </c:pt>
                <c:pt idx="16">
                  <c:v>Nov</c:v>
                </c:pt>
              </c:strCache>
            </c:strRef>
          </c:cat>
          <c:val>
            <c:numRef>
              <c:f>'Batch2 - S0 Smolts'!$D$66:$T$66</c:f>
              <c:numCache>
                <c:formatCode>_(* #,##0_);_(* \(#,##0\);_(* "-"_);_(@_)</c:formatCode>
                <c:ptCount val="17"/>
                <c:pt idx="0">
                  <c:v>38679.455919294225</c:v>
                </c:pt>
                <c:pt idx="1">
                  <c:v>63414.143074583837</c:v>
                </c:pt>
                <c:pt idx="2">
                  <c:v>94862.975295843615</c:v>
                </c:pt>
                <c:pt idx="3">
                  <c:v>132377.869394629</c:v>
                </c:pt>
                <c:pt idx="4">
                  <c:v>169794.53452675341</c:v>
                </c:pt>
                <c:pt idx="5">
                  <c:v>205234.79850796747</c:v>
                </c:pt>
                <c:pt idx="6">
                  <c:v>241975.98073190745</c:v>
                </c:pt>
                <c:pt idx="7">
                  <c:v>270016.73173904873</c:v>
                </c:pt>
                <c:pt idx="8">
                  <c:v>315448.5810669788</c:v>
                </c:pt>
                <c:pt idx="9">
                  <c:v>284614.07685508468</c:v>
                </c:pt>
                <c:pt idx="10">
                  <c:v>257146.24919061319</c:v>
                </c:pt>
                <c:pt idx="11">
                  <c:v>303393.51292798074</c:v>
                </c:pt>
                <c:pt idx="12">
                  <c:v>354441.19533507089</c:v>
                </c:pt>
                <c:pt idx="13">
                  <c:v>419797.60539286904</c:v>
                </c:pt>
                <c:pt idx="14">
                  <c:v>278046.82556498138</c:v>
                </c:pt>
                <c:pt idx="15">
                  <c:v>73274.711504816412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A5-43E7-A5E8-07A969D01FB1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'Batch2 - S0 Smolts'!$D$17:$T$17</c:f>
              <c:strCache>
                <c:ptCount val="17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  <c:pt idx="12">
                  <c:v>Jul</c:v>
                </c:pt>
                <c:pt idx="13">
                  <c:v>Aug</c:v>
                </c:pt>
                <c:pt idx="14">
                  <c:v>Sep</c:v>
                </c:pt>
                <c:pt idx="15">
                  <c:v>Oct</c:v>
                </c:pt>
                <c:pt idx="16">
                  <c:v>Nov</c:v>
                </c:pt>
              </c:strCache>
            </c:strRef>
          </c:cat>
          <c:val>
            <c:numRef>
              <c:f>'Batch2 - S0 Smolts'!$D$65:$T$65</c:f>
              <c:numCache>
                <c:formatCode>_(* #,##0_);_(* \(#,##0\);_(* "-"_);_(@_)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78862.145266744701</c:v>
                </c:pt>
                <c:pt idx="10">
                  <c:v>71153.519213771171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176906.59164156171</c:v>
                </c:pt>
                <c:pt idx="15">
                  <c:v>206073.52733018948</c:v>
                </c:pt>
                <c:pt idx="16">
                  <c:v>72541.964389768254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A5-43E7-A5E8-07A969D01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341180416"/>
        <c:axId val="341178240"/>
      </c:barChart>
      <c:lineChart>
        <c:grouping val="standard"/>
        <c:varyColors val="0"/>
        <c:ser>
          <c:idx val="0"/>
          <c:order val="0"/>
          <c:tx>
            <c:v>Salmon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'Batch2 - S0 Smolts'!$D$17:$T$17</c:f>
              <c:strCache>
                <c:ptCount val="17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  <c:pt idx="12">
                  <c:v>Jul</c:v>
                </c:pt>
                <c:pt idx="13">
                  <c:v>Aug</c:v>
                </c:pt>
                <c:pt idx="14">
                  <c:v>Sep</c:v>
                </c:pt>
                <c:pt idx="15">
                  <c:v>Oct</c:v>
                </c:pt>
                <c:pt idx="16">
                  <c:v>Nov</c:v>
                </c:pt>
              </c:strCache>
            </c:strRef>
          </c:cat>
          <c:val>
            <c:numRef>
              <c:f>'Batch2 - S0 Smolts'!$D$62:$T$62</c:f>
              <c:numCache>
                <c:formatCode>_(* #,##0_);_(* \(#,##0\);_(* "-"_);_(@_)</c:formatCode>
                <c:ptCount val="17"/>
                <c:pt idx="0">
                  <c:v>177.59162497380268</c:v>
                </c:pt>
                <c:pt idx="1">
                  <c:v>294.09866838534026</c:v>
                </c:pt>
                <c:pt idx="2">
                  <c:v>444.39429727726673</c:v>
                </c:pt>
                <c:pt idx="3">
                  <c:v>626.40025764567201</c:v>
                </c:pt>
                <c:pt idx="4">
                  <c:v>811.56825861545747</c:v>
                </c:pt>
                <c:pt idx="5">
                  <c:v>990.87107503755681</c:v>
                </c:pt>
                <c:pt idx="6">
                  <c:v>1180.0576257646985</c:v>
                </c:pt>
                <c:pt idx="7">
                  <c:v>1330.1065701526109</c:v>
                </c:pt>
                <c:pt idx="8">
                  <c:v>1569.6005637745366</c:v>
                </c:pt>
                <c:pt idx="9">
                  <c:v>1913.750090807541</c:v>
                </c:pt>
                <c:pt idx="10">
                  <c:v>2336.5620694268646</c:v>
                </c:pt>
                <c:pt idx="11">
                  <c:v>2784.6346592707928</c:v>
                </c:pt>
                <c:pt idx="12">
                  <c:v>3286.0255179373094</c:v>
                </c:pt>
                <c:pt idx="13">
                  <c:v>3931.2575920347049</c:v>
                </c:pt>
                <c:pt idx="14">
                  <c:v>4579.4117184486549</c:v>
                </c:pt>
                <c:pt idx="15">
                  <c:v>4849.5642197645675</c:v>
                </c:pt>
                <c:pt idx="16">
                  <c:v>5083.7252677336619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7A5-43E7-A5E8-07A969D01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166336"/>
        <c:axId val="341176320"/>
      </c:lineChart>
      <c:catAx>
        <c:axId val="34116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1176320"/>
        <c:crosses val="autoZero"/>
        <c:auto val="1"/>
        <c:lblAlgn val="ctr"/>
        <c:lblOffset val="100"/>
        <c:noMultiLvlLbl val="0"/>
      </c:catAx>
      <c:valAx>
        <c:axId val="341176320"/>
        <c:scaling>
          <c:orientation val="minMax"/>
          <c:max val="6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fish (Grams)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341166336"/>
        <c:crosses val="autoZero"/>
        <c:crossBetween val="between"/>
      </c:valAx>
      <c:valAx>
        <c:axId val="341178240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341180416"/>
        <c:crosses val="max"/>
        <c:crossBetween val="between"/>
      </c:valAx>
      <c:catAx>
        <c:axId val="341180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11782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3: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strRef>
              <c:f>'Batch 3 - S1 Smolts'!$D$17:$U$17</c:f>
              <c:strCache>
                <c:ptCount val="18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Oct</c:v>
                </c:pt>
                <c:pt idx="13">
                  <c:v>Nov</c:v>
                </c:pt>
                <c:pt idx="14">
                  <c:v>Dec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</c:strCache>
            </c:strRef>
          </c:cat>
          <c:val>
            <c:numRef>
              <c:f>'Batch 3 - S1 Smolts'!$D$66:$U$66</c:f>
              <c:numCache>
                <c:formatCode>_(* #,##0_);_(* \(#,##0\);_(* "-"_);_(@_)</c:formatCode>
                <c:ptCount val="18"/>
                <c:pt idx="0">
                  <c:v>56908.269399407858</c:v>
                </c:pt>
                <c:pt idx="1">
                  <c:v>80747.134861251674</c:v>
                </c:pt>
                <c:pt idx="2">
                  <c:v>104741.55738751107</c:v>
                </c:pt>
                <c:pt idx="3">
                  <c:v>131413.24038884862</c:v>
                </c:pt>
                <c:pt idx="4">
                  <c:v>152882.64577607453</c:v>
                </c:pt>
                <c:pt idx="5">
                  <c:v>186738.04068757241</c:v>
                </c:pt>
                <c:pt idx="6">
                  <c:v>212620.48941675798</c:v>
                </c:pt>
                <c:pt idx="7">
                  <c:v>249893.35236806265</c:v>
                </c:pt>
                <c:pt idx="8">
                  <c:v>310157.35549481638</c:v>
                </c:pt>
                <c:pt idx="9">
                  <c:v>375877.51799788611</c:v>
                </c:pt>
                <c:pt idx="10">
                  <c:v>446079.37522982643</c:v>
                </c:pt>
                <c:pt idx="11">
                  <c:v>517045.78835483227</c:v>
                </c:pt>
                <c:pt idx="12">
                  <c:v>595624.33412977553</c:v>
                </c:pt>
                <c:pt idx="13">
                  <c:v>664689.7953763454</c:v>
                </c:pt>
                <c:pt idx="14">
                  <c:v>514284.99755673605</c:v>
                </c:pt>
                <c:pt idx="15">
                  <c:v>313062.68624016346</c:v>
                </c:pt>
                <c:pt idx="16">
                  <c:v>96732.929362198935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9D-4178-8E9A-A61544FCB74A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'Batch 3 - S1 Smolts'!$D$17:$U$17</c:f>
              <c:strCache>
                <c:ptCount val="18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Oct</c:v>
                </c:pt>
                <c:pt idx="13">
                  <c:v>Nov</c:v>
                </c:pt>
                <c:pt idx="14">
                  <c:v>Dec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</c:strCache>
            </c:strRef>
          </c:cat>
          <c:val>
            <c:numRef>
              <c:f>'Batch 3 - S1 Smolts'!$D$65:$U$65</c:f>
              <c:numCache>
                <c:formatCode>_(* #,##0_);_(* \(#,##0\);_(* "-"_);_(@_)</c:formatCode>
                <c:ptCount val="1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18673.804068757243</c:v>
                </c:pt>
                <c:pt idx="7">
                  <c:v>21262.048941675796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189364.50472295342</c:v>
                </c:pt>
                <c:pt idx="15">
                  <c:v>207791.36688554633</c:v>
                </c:pt>
                <c:pt idx="16">
                  <c:v>215867.11454519042</c:v>
                </c:pt>
                <c:pt idx="17">
                  <c:v>95765.600068576954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9D-4178-8E9A-A61544FCB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341260160"/>
        <c:axId val="341258240"/>
      </c:barChart>
      <c:lineChart>
        <c:grouping val="standard"/>
        <c:varyColors val="0"/>
        <c:ser>
          <c:idx val="0"/>
          <c:order val="0"/>
          <c:tx>
            <c:v>Salmon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3 - S1 Smolts'!$D$17:$U$17</c:f>
              <c:strCache>
                <c:ptCount val="18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Oct</c:v>
                </c:pt>
                <c:pt idx="13">
                  <c:v>Nov</c:v>
                </c:pt>
                <c:pt idx="14">
                  <c:v>Dec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</c:strCache>
            </c:strRef>
          </c:cat>
          <c:val>
            <c:numRef>
              <c:f>'Batch 3 - S1 Smolts'!$D$62:$U$62</c:f>
              <c:numCache>
                <c:formatCode>_(* #,##0_);_(* \(#,##0\);_(* "-"_);_(@_)</c:formatCode>
                <c:ptCount val="18"/>
                <c:pt idx="0">
                  <c:v>255.510989498122</c:v>
                </c:pt>
                <c:pt idx="1">
                  <c:v>366.20657013414353</c:v>
                </c:pt>
                <c:pt idx="2">
                  <c:v>479.82496793127495</c:v>
                </c:pt>
                <c:pt idx="3">
                  <c:v>608.08983759806108</c:v>
                </c:pt>
                <c:pt idx="4">
                  <c:v>714.58125025947356</c:v>
                </c:pt>
                <c:pt idx="5">
                  <c:v>881.63948016991856</c:v>
                </c:pt>
                <c:pt idx="6">
                  <c:v>1127.9071219242328</c:v>
                </c:pt>
                <c:pt idx="7">
                  <c:v>1489.4739841349044</c:v>
                </c:pt>
                <c:pt idx="8">
                  <c:v>1867.3473482366749</c:v>
                </c:pt>
                <c:pt idx="9">
                  <c:v>2285.883959132188</c:v>
                </c:pt>
                <c:pt idx="10">
                  <c:v>2740.2158800599354</c:v>
                </c:pt>
                <c:pt idx="11">
                  <c:v>3208.2370158152298</c:v>
                </c:pt>
                <c:pt idx="12">
                  <c:v>3733.1434482612663</c:v>
                </c:pt>
                <c:pt idx="13">
                  <c:v>4208.1001049545212</c:v>
                </c:pt>
                <c:pt idx="14">
                  <c:v>4617.5859307899182</c:v>
                </c:pt>
                <c:pt idx="15">
                  <c:v>4797.0469898931206</c:v>
                </c:pt>
                <c:pt idx="16">
                  <c:v>4933.1066790760733</c:v>
                </c:pt>
                <c:pt idx="17">
                  <c:v>5127.767738681734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89D-4178-8E9A-A61544FCB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254528"/>
        <c:axId val="341256064"/>
      </c:lineChart>
      <c:catAx>
        <c:axId val="34125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341256064"/>
        <c:crosses val="autoZero"/>
        <c:auto val="1"/>
        <c:lblAlgn val="ctr"/>
        <c:lblOffset val="100"/>
        <c:tickLblSkip val="1"/>
        <c:noMultiLvlLbl val="0"/>
      </c:catAx>
      <c:valAx>
        <c:axId val="341256064"/>
        <c:scaling>
          <c:orientation val="minMax"/>
          <c:max val="6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fish (Grams)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341254528"/>
        <c:crosses val="autoZero"/>
        <c:crossBetween val="between"/>
      </c:valAx>
      <c:valAx>
        <c:axId val="341258240"/>
        <c:scaling>
          <c:orientation val="minMax"/>
          <c:max val="10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341260160"/>
        <c:crosses val="max"/>
        <c:crossBetween val="between"/>
      </c:valAx>
      <c:catAx>
        <c:axId val="34126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12582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0</xdr:row>
      <xdr:rowOff>426243</xdr:rowOff>
    </xdr:from>
    <xdr:to>
      <xdr:col>10</xdr:col>
      <xdr:colOff>714375</xdr:colOff>
      <xdr:row>18</xdr:row>
      <xdr:rowOff>209550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442612</xdr:colOff>
      <xdr:row>48</xdr:row>
      <xdr:rowOff>154188</xdr:rowOff>
    </xdr:from>
    <xdr:to>
      <xdr:col>13</xdr:col>
      <xdr:colOff>326454</xdr:colOff>
      <xdr:row>66</xdr:row>
      <xdr:rowOff>181981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53</xdr:row>
      <xdr:rowOff>0</xdr:rowOff>
    </xdr:from>
    <xdr:to>
      <xdr:col>1</xdr:col>
      <xdr:colOff>2085975</xdr:colOff>
      <xdr:row>53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CxnSpPr/>
      </xdr:nvCxnSpPr>
      <xdr:spPr>
        <a:xfrm>
          <a:off x="95250" y="3562350"/>
          <a:ext cx="219075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6</xdr:row>
      <xdr:rowOff>76200</xdr:rowOff>
    </xdr:from>
    <xdr:to>
      <xdr:col>6</xdr:col>
      <xdr:colOff>209550</xdr:colOff>
      <xdr:row>16</xdr:row>
      <xdr:rowOff>142875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SpPr/>
      </xdr:nvSpPr>
      <xdr:spPr>
        <a:xfrm>
          <a:off x="4972050" y="3695700"/>
          <a:ext cx="133350" cy="10191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476250</xdr:colOff>
      <xdr:row>15</xdr:row>
      <xdr:rowOff>190500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14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0</xdr:row>
      <xdr:rowOff>38100</xdr:rowOff>
    </xdr:from>
    <xdr:to>
      <xdr:col>14</xdr:col>
      <xdr:colOff>361950</xdr:colOff>
      <xdr:row>14</xdr:row>
      <xdr:rowOff>228600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14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0</xdr:row>
      <xdr:rowOff>38100</xdr:rowOff>
    </xdr:from>
    <xdr:to>
      <xdr:col>16</xdr:col>
      <xdr:colOff>323850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omashecht/Library/Containers/com.apple.mail/Data/Library/Mail%20Downloads/ED3C1C0F-5032-441C-A27F-63837FB49F67/Pomegranate%20Feasibility%20Cal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HT%20NPV%20updated%20to%20AFS%2004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imm/Desktop/Models/Kob/Full%20RAS/Dusky%20kob_500t_Full%20RAS_Financial%20Mod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X Interest"/>
      <sheetName val="Summary Pomegranate"/>
      <sheetName val="Phasing"/>
      <sheetName val="Capital Budget"/>
      <sheetName val="Inc &amp; Exp"/>
      <sheetName val="AX1 Prod"/>
      <sheetName val="AX2 Proc"/>
      <sheetName val="AX3 Price"/>
      <sheetName val="AX4 C.o.P"/>
      <sheetName val="AX5 HR"/>
      <sheetName val="AX6 Admin"/>
      <sheetName val="AX7 Sales"/>
      <sheetName val="AX9 Tax"/>
      <sheetName val="AX10 Deprec"/>
      <sheetName val="Summary"/>
      <sheetName val="Graphs"/>
      <sheetName val="All Frozen Fish"/>
      <sheetName val="Tilapia"/>
      <sheetName val="Frozen Fish Data"/>
      <sheetName val="Trade_Map_-_List_of_supplying_m"/>
      <sheetName val="F2014 Consolidated Budget"/>
    </sheetNames>
    <sheetDataSet>
      <sheetData sheetId="0">
        <row r="7">
          <cell r="D7">
            <v>10000000</v>
          </cell>
        </row>
        <row r="8">
          <cell r="D8">
            <v>7.4999999999999997E-2</v>
          </cell>
        </row>
        <row r="9">
          <cell r="D9">
            <v>10</v>
          </cell>
        </row>
        <row r="10">
          <cell r="D10">
            <v>12</v>
          </cell>
        </row>
        <row r="11">
          <cell r="D11">
            <v>40451</v>
          </cell>
        </row>
        <row r="13">
          <cell r="D13">
            <v>0</v>
          </cell>
        </row>
        <row r="14">
          <cell r="D14">
            <v>118701.76913585422</v>
          </cell>
        </row>
        <row r="16">
          <cell r="D16">
            <v>118701.76913585422</v>
          </cell>
          <cell r="H16">
            <v>10000000</v>
          </cell>
        </row>
        <row r="17">
          <cell r="D17">
            <v>1</v>
          </cell>
          <cell r="H1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D7">
            <v>10000000</v>
          </cell>
        </row>
      </sheetData>
      <sheetData sheetId="12"/>
      <sheetData sheetId="13"/>
      <sheetData sheetId="14" refreshError="1"/>
      <sheetData sheetId="15"/>
      <sheetData sheetId="16"/>
      <sheetData sheetId="17"/>
      <sheetData sheetId="18"/>
      <sheetData sheetId="19">
        <row r="16">
          <cell r="D16">
            <v>6827</v>
          </cell>
        </row>
      </sheetData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_St"/>
      <sheetName val="Bal_Sheet"/>
      <sheetName val="Cash_Flow"/>
      <sheetName val="Depr_Amort"/>
      <sheetName val="Income_Tax"/>
      <sheetName val="ASSUMPTIONS"/>
      <sheetName val="CAPITAL"/>
      <sheetName val="Biological Asset Calculation"/>
      <sheetName val="FINANCIALS"/>
      <sheetName val="BIO-PLAN"/>
      <sheetName val="INCOME"/>
      <sheetName val="EXPENDITURE"/>
      <sheetName val="GRAPHS"/>
      <sheetName val="Dev Prog"/>
      <sheetName val="Anx1 Base Bio-Plan"/>
      <sheetName val="Anx2 Bio-Plan"/>
      <sheetName val="Anx3 Capital"/>
      <sheetName val="Anx4 Cashflow"/>
      <sheetName val="Anx6 Income"/>
      <sheetName val="INCOME Forecast"/>
      <sheetName val="Anx6 Costs"/>
      <sheetName val="Feed Feb 13"/>
      <sheetName val="HR Yr2"/>
      <sheetName val="HR Yr3"/>
      <sheetName val="HR Yr4"/>
      <sheetName val="HR Yr5"/>
      <sheetName val="HR Yr6"/>
      <sheetName val="HR Calc"/>
      <sheetName val="Rental"/>
      <sheetName val="Price Matrix"/>
    </sheetNames>
    <sheetDataSet>
      <sheetData sheetId="0"/>
      <sheetData sheetId="1">
        <row r="24">
          <cell r="A24" t="str">
            <v>Other Long-Term Assets</v>
          </cell>
        </row>
      </sheetData>
      <sheetData sheetId="2"/>
      <sheetData sheetId="3">
        <row r="6">
          <cell r="N6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Valuation"/>
      <sheetName val="Sensitivities"/>
      <sheetName val="Fin Statements"/>
      <sheetName val="Monthly FS"/>
      <sheetName val="1.Revenue"/>
      <sheetName val="2.Sales Costs"/>
      <sheetName val="3. Variable Costs"/>
      <sheetName val="4. OH Expenses"/>
      <sheetName val="5.Depreciation"/>
      <sheetName val="6. Finance Income"/>
      <sheetName val="7.Finance Costs"/>
      <sheetName val="8.Income Tax"/>
      <sheetName val="9.CAPEX"/>
      <sheetName val="Production"/>
      <sheetName val="WACC"/>
      <sheetName val="HR"/>
      <sheetName val="Rental"/>
      <sheetName val="Feed"/>
      <sheetName val="R&amp;M"/>
      <sheetName val="Elec"/>
      <sheetName val="Capital Replacement"/>
      <sheetName val="Input data"/>
      <sheetName val="Summary Bioplan"/>
      <sheetName val="Batch 1"/>
      <sheetName val="Batch2"/>
      <sheetName val="Batch3"/>
      <sheetName val="Batch4"/>
      <sheetName val="Production Calcs"/>
      <sheetName val="Production Plan"/>
      <sheetName val="Capex Summary Sheet"/>
      <sheetName val="1. Pre-Development"/>
      <sheetName val="2. Land"/>
      <sheetName val="3. Infrastructure"/>
      <sheetName val="4. Buildings"/>
      <sheetName val="5. Services"/>
      <sheetName val="6. Aquaculture systems - Land"/>
      <sheetName val="7. Aquaculture system - Water"/>
      <sheetName val="8. Vehicles"/>
      <sheetName val="9. Transport and Logistics"/>
      <sheetName val="10. Professional Fees"/>
      <sheetName val="11. Contingency"/>
      <sheetName val="Sheet1"/>
    </sheetNames>
    <sheetDataSet>
      <sheetData sheetId="0"/>
      <sheetData sheetId="1"/>
      <sheetData sheetId="2">
        <row r="26">
          <cell r="B26" t="str">
            <v>Sales Price /kg G&amp;G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Q7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5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U66"/>
  <sheetViews>
    <sheetView tabSelected="1" topLeftCell="A58" zoomScale="69" zoomScaleNormal="69" workbookViewId="0">
      <selection activeCell="C60" sqref="C60"/>
    </sheetView>
  </sheetViews>
  <sheetFormatPr defaultColWidth="8.85546875" defaultRowHeight="12.75" x14ac:dyDescent="0.2"/>
  <cols>
    <col min="1" max="1" width="4.140625" style="2" customWidth="1"/>
    <col min="2" max="2" width="44.42578125" style="2" bestFit="1" customWidth="1"/>
    <col min="3" max="3" width="15.28515625" style="2" customWidth="1"/>
    <col min="4" max="4" width="25.140625" style="2" customWidth="1"/>
    <col min="5" max="5" width="13.28515625" style="2" customWidth="1"/>
    <col min="6" max="6" width="13.140625" style="2" customWidth="1"/>
    <col min="7" max="7" width="11.42578125" style="2" bestFit="1" customWidth="1"/>
    <col min="8" max="19" width="10.140625" style="2" bestFit="1" customWidth="1"/>
    <col min="20" max="16384" width="8.85546875" style="2"/>
  </cols>
  <sheetData>
    <row r="1" spans="1:21" ht="49.5" customHeight="1" x14ac:dyDescent="0.2">
      <c r="A1" s="207" t="s">
        <v>145</v>
      </c>
      <c r="B1" s="203"/>
      <c r="C1" s="155"/>
      <c r="D1" s="155"/>
      <c r="E1" s="155"/>
      <c r="F1" s="155"/>
    </row>
    <row r="2" spans="1:21" ht="12.75" customHeight="1" x14ac:dyDescent="0.2">
      <c r="A2" s="203"/>
      <c r="B2" s="203"/>
      <c r="C2" s="155"/>
      <c r="D2" s="155"/>
      <c r="E2" s="155"/>
      <c r="F2" s="155"/>
    </row>
    <row r="3" spans="1:21" s="77" customFormat="1" ht="21" customHeight="1" thickBot="1" x14ac:dyDescent="0.4">
      <c r="A3" s="197"/>
      <c r="B3" s="197"/>
      <c r="E3" s="1406" t="s">
        <v>547</v>
      </c>
      <c r="F3" s="1406"/>
      <c r="G3" s="1406"/>
      <c r="H3" s="1406"/>
      <c r="I3" s="1406"/>
      <c r="J3" s="1406"/>
      <c r="K3" s="1406"/>
      <c r="L3" s="1406"/>
      <c r="M3" s="1406"/>
      <c r="N3" s="1406"/>
    </row>
    <row r="4" spans="1:21" ht="27.75" customHeight="1" thickBot="1" x14ac:dyDescent="0.4">
      <c r="A4" s="198"/>
      <c r="B4" s="197" t="s">
        <v>77</v>
      </c>
      <c r="C4" s="55"/>
      <c r="E4" s="102" t="s">
        <v>507</v>
      </c>
      <c r="F4" s="102" t="s">
        <v>508</v>
      </c>
      <c r="G4" s="102" t="s">
        <v>509</v>
      </c>
      <c r="H4" s="102" t="s">
        <v>510</v>
      </c>
      <c r="I4" s="102" t="s">
        <v>511</v>
      </c>
      <c r="J4" s="102" t="s">
        <v>512</v>
      </c>
      <c r="K4" s="102" t="s">
        <v>513</v>
      </c>
      <c r="L4" s="102" t="s">
        <v>514</v>
      </c>
      <c r="M4" s="102" t="s">
        <v>515</v>
      </c>
      <c r="N4" s="102" t="s">
        <v>516</v>
      </c>
    </row>
    <row r="5" spans="1:21" ht="21" x14ac:dyDescent="0.35">
      <c r="A5" s="198"/>
      <c r="B5" s="170" t="s">
        <v>88</v>
      </c>
      <c r="C5" s="199">
        <v>14</v>
      </c>
      <c r="D5" s="597" t="s">
        <v>351</v>
      </c>
      <c r="E5" s="594">
        <f>C5</f>
        <v>14</v>
      </c>
      <c r="F5" s="276">
        <f t="shared" ref="F5:N6" si="0">E5*1.06</f>
        <v>14.84</v>
      </c>
      <c r="G5" s="276">
        <f t="shared" si="0"/>
        <v>15.730400000000001</v>
      </c>
      <c r="H5" s="276">
        <f t="shared" si="0"/>
        <v>16.674224000000002</v>
      </c>
      <c r="I5" s="276">
        <f t="shared" si="0"/>
        <v>17.674677440000004</v>
      </c>
      <c r="J5" s="276">
        <f t="shared" si="0"/>
        <v>18.735158086400006</v>
      </c>
      <c r="K5" s="276">
        <f t="shared" si="0"/>
        <v>19.859267571584006</v>
      </c>
      <c r="L5" s="276">
        <f t="shared" si="0"/>
        <v>21.050823625879048</v>
      </c>
      <c r="M5" s="276">
        <f t="shared" si="0"/>
        <v>22.313873043431791</v>
      </c>
      <c r="N5" s="276">
        <f t="shared" si="0"/>
        <v>23.652705426037699</v>
      </c>
    </row>
    <row r="6" spans="1:21" ht="21" x14ac:dyDescent="0.35">
      <c r="A6" s="198"/>
      <c r="B6" s="170" t="s">
        <v>89</v>
      </c>
      <c r="C6" s="199">
        <v>16</v>
      </c>
      <c r="D6" s="597" t="s">
        <v>351</v>
      </c>
      <c r="E6" s="594">
        <f>C6</f>
        <v>16</v>
      </c>
      <c r="F6" s="276">
        <f>C6*1.06</f>
        <v>16.96</v>
      </c>
      <c r="G6" s="276">
        <f t="shared" si="0"/>
        <v>17.977600000000002</v>
      </c>
      <c r="H6" s="276">
        <f t="shared" si="0"/>
        <v>19.056256000000005</v>
      </c>
      <c r="I6" s="276">
        <f t="shared" si="0"/>
        <v>20.199631360000005</v>
      </c>
      <c r="J6" s="276">
        <f t="shared" si="0"/>
        <v>21.411609241600008</v>
      </c>
      <c r="K6" s="276">
        <f t="shared" si="0"/>
        <v>22.696305796096009</v>
      </c>
      <c r="L6" s="276">
        <f t="shared" si="0"/>
        <v>24.05808414386177</v>
      </c>
      <c r="M6" s="276">
        <f t="shared" si="0"/>
        <v>25.501569192493477</v>
      </c>
      <c r="N6" s="276">
        <f t="shared" si="0"/>
        <v>27.031663344043086</v>
      </c>
    </row>
    <row r="7" spans="1:21" ht="21" x14ac:dyDescent="0.35">
      <c r="A7" s="198"/>
      <c r="B7" s="170" t="s">
        <v>90</v>
      </c>
      <c r="C7" s="199">
        <v>6.3E-2</v>
      </c>
      <c r="D7" s="597" t="s">
        <v>544</v>
      </c>
      <c r="E7" s="595">
        <v>1</v>
      </c>
      <c r="F7" s="592">
        <f>E7*(1+$C7)</f>
        <v>1.0629999999999999</v>
      </c>
      <c r="G7" s="592">
        <f t="shared" ref="G7:N7" si="1">F7*(1+$C7)</f>
        <v>1.1299689999999998</v>
      </c>
      <c r="H7" s="592">
        <f t="shared" si="1"/>
        <v>1.2011570469999997</v>
      </c>
      <c r="I7" s="592">
        <f t="shared" si="1"/>
        <v>1.2768299409609996</v>
      </c>
      <c r="J7" s="592">
        <f t="shared" si="1"/>
        <v>1.3572702272415424</v>
      </c>
      <c r="K7" s="592">
        <f t="shared" si="1"/>
        <v>1.4427782515577596</v>
      </c>
      <c r="L7" s="592">
        <f t="shared" si="1"/>
        <v>1.5336732814058984</v>
      </c>
      <c r="M7" s="592">
        <f t="shared" si="1"/>
        <v>1.6302946981344699</v>
      </c>
      <c r="N7" s="592">
        <f t="shared" si="1"/>
        <v>1.7330032641169415</v>
      </c>
    </row>
    <row r="8" spans="1:21" ht="21" x14ac:dyDescent="0.35">
      <c r="A8" s="198"/>
      <c r="B8" s="170" t="s">
        <v>94</v>
      </c>
      <c r="C8" s="199"/>
      <c r="D8" s="597"/>
      <c r="E8" s="596">
        <v>0.1</v>
      </c>
      <c r="F8" s="593">
        <v>0.1</v>
      </c>
      <c r="G8" s="593">
        <v>0.1</v>
      </c>
      <c r="H8" s="593">
        <v>0.1</v>
      </c>
      <c r="I8" s="593">
        <v>0.1</v>
      </c>
      <c r="J8" s="593">
        <v>0.1</v>
      </c>
      <c r="K8" s="593">
        <v>0.1</v>
      </c>
      <c r="L8" s="593">
        <v>0.1</v>
      </c>
      <c r="M8" s="593">
        <v>0.1</v>
      </c>
      <c r="N8" s="698">
        <v>0.1</v>
      </c>
      <c r="O8" s="3"/>
      <c r="P8" s="3"/>
      <c r="Q8" s="3"/>
      <c r="R8" s="3"/>
      <c r="S8" s="3"/>
      <c r="T8" s="3"/>
      <c r="U8" s="3"/>
    </row>
    <row r="9" spans="1:21" ht="21" x14ac:dyDescent="0.35">
      <c r="A9" s="198"/>
      <c r="B9" s="170" t="s">
        <v>91</v>
      </c>
      <c r="C9" s="699">
        <v>0.28000000000000003</v>
      </c>
      <c r="D9" s="201"/>
      <c r="E9" s="200"/>
    </row>
    <row r="10" spans="1:21" ht="21" x14ac:dyDescent="0.35">
      <c r="A10" s="198"/>
      <c r="B10" s="170" t="s">
        <v>146</v>
      </c>
      <c r="C10" s="202">
        <v>0</v>
      </c>
      <c r="D10" s="200"/>
      <c r="E10" s="200"/>
    </row>
    <row r="11" spans="1:21" ht="21" x14ac:dyDescent="0.35">
      <c r="A11" s="198"/>
      <c r="B11" s="170" t="s">
        <v>64</v>
      </c>
      <c r="C11" s="202">
        <v>0.14000000000000001</v>
      </c>
      <c r="D11" s="3" t="s">
        <v>275</v>
      </c>
      <c r="E11" s="201"/>
    </row>
    <row r="12" spans="1:21" ht="21" x14ac:dyDescent="0.35">
      <c r="A12" s="198"/>
    </row>
    <row r="13" spans="1:21" s="77" customFormat="1" ht="21" x14ac:dyDescent="0.35">
      <c r="A13" s="197"/>
      <c r="B13" s="197" t="s">
        <v>78</v>
      </c>
    </row>
    <row r="14" spans="1:21" ht="21" customHeight="1" x14ac:dyDescent="0.35">
      <c r="A14" s="198"/>
      <c r="B14" s="170" t="s">
        <v>1394</v>
      </c>
      <c r="C14" s="204">
        <v>0.9</v>
      </c>
      <c r="D14" s="24"/>
      <c r="E14" s="24"/>
      <c r="F14" s="206"/>
      <c r="G14" s="206"/>
      <c r="H14" s="206"/>
      <c r="I14" s="206"/>
      <c r="J14" s="206"/>
      <c r="K14" s="206"/>
      <c r="L14" s="206"/>
      <c r="M14" s="206"/>
      <c r="N14" s="206"/>
    </row>
    <row r="15" spans="1:21" ht="21" customHeight="1" x14ac:dyDescent="0.35">
      <c r="A15" s="198"/>
      <c r="B15" s="170" t="s">
        <v>553</v>
      </c>
      <c r="C15" s="204">
        <v>0.78</v>
      </c>
      <c r="D15" s="24"/>
      <c r="E15" s="24"/>
      <c r="F15" s="206"/>
      <c r="G15" s="206"/>
      <c r="H15" s="206"/>
      <c r="I15" s="206"/>
      <c r="J15" s="206"/>
      <c r="K15" s="206"/>
      <c r="L15" s="206"/>
      <c r="M15" s="206"/>
      <c r="N15" s="206"/>
    </row>
    <row r="16" spans="1:21" ht="21" customHeight="1" x14ac:dyDescent="0.35">
      <c r="A16" s="198"/>
      <c r="B16" s="170" t="s">
        <v>569</v>
      </c>
      <c r="C16" s="204">
        <v>0.45</v>
      </c>
      <c r="D16" s="24"/>
      <c r="E16" s="24"/>
      <c r="F16" s="206"/>
      <c r="G16" s="206"/>
      <c r="H16" s="206"/>
      <c r="I16" s="206"/>
      <c r="J16" s="206"/>
      <c r="K16" s="206"/>
      <c r="L16" s="206"/>
      <c r="M16" s="206"/>
      <c r="N16" s="206"/>
    </row>
    <row r="17" spans="1:18" ht="21" customHeight="1" x14ac:dyDescent="0.35">
      <c r="A17" s="198"/>
      <c r="B17" s="170" t="s">
        <v>1292</v>
      </c>
      <c r="C17" s="700">
        <v>1.3</v>
      </c>
      <c r="D17" s="24"/>
      <c r="E17" s="24"/>
      <c r="F17" s="206"/>
      <c r="G17" s="206"/>
      <c r="H17" s="206"/>
      <c r="I17" s="206"/>
      <c r="J17" s="206"/>
      <c r="K17" s="206"/>
      <c r="L17" s="206"/>
      <c r="M17" s="206"/>
      <c r="N17" s="206"/>
    </row>
    <row r="18" spans="1:18" ht="21" customHeight="1" x14ac:dyDescent="0.35">
      <c r="A18" s="198"/>
      <c r="B18" s="170" t="s">
        <v>1293</v>
      </c>
      <c r="C18" s="700">
        <v>1.3</v>
      </c>
      <c r="D18" s="24"/>
      <c r="E18" s="24"/>
      <c r="F18" s="206"/>
      <c r="G18" s="206"/>
      <c r="H18" s="206"/>
      <c r="I18" s="206"/>
      <c r="J18" s="206"/>
      <c r="K18" s="206"/>
      <c r="L18" s="206"/>
      <c r="M18" s="206"/>
      <c r="N18" s="206"/>
    </row>
    <row r="19" spans="1:18" ht="12.75" customHeight="1" x14ac:dyDescent="0.35">
      <c r="A19" s="198"/>
      <c r="B19" s="3"/>
      <c r="C19" s="24"/>
      <c r="D19" s="3"/>
      <c r="E19" s="3"/>
      <c r="F19" s="19"/>
      <c r="G19" s="19"/>
      <c r="H19" s="19"/>
      <c r="I19" s="19"/>
      <c r="J19" s="19"/>
      <c r="K19" s="19"/>
      <c r="L19" s="19"/>
      <c r="M19" s="19"/>
      <c r="N19" s="19"/>
    </row>
    <row r="20" spans="1:18" s="77" customFormat="1" ht="21" x14ac:dyDescent="0.35">
      <c r="A20" s="197"/>
      <c r="B20" s="197" t="s">
        <v>82</v>
      </c>
    </row>
    <row r="21" spans="1:18" ht="21" x14ac:dyDescent="0.35">
      <c r="A21" s="198"/>
      <c r="B21" s="5" t="s">
        <v>76</v>
      </c>
      <c r="F21" s="4"/>
      <c r="G21" s="4"/>
      <c r="H21" s="4"/>
      <c r="I21" s="4"/>
      <c r="J21" s="4"/>
      <c r="K21" s="4"/>
      <c r="L21" s="4"/>
      <c r="M21" s="4"/>
      <c r="N21" s="4"/>
    </row>
    <row r="22" spans="1:18" ht="21" x14ac:dyDescent="0.35">
      <c r="A22" s="198"/>
      <c r="B22" s="701" t="s">
        <v>1395</v>
      </c>
      <c r="C22" s="204">
        <v>0.5</v>
      </c>
      <c r="D22" s="351"/>
      <c r="E22" s="395">
        <f>$C22</f>
        <v>0.5</v>
      </c>
      <c r="F22" s="395">
        <f t="shared" ref="F22:N23" si="2">$C22</f>
        <v>0.5</v>
      </c>
      <c r="G22" s="395">
        <f t="shared" si="2"/>
        <v>0.5</v>
      </c>
      <c r="H22" s="395">
        <f t="shared" si="2"/>
        <v>0.5</v>
      </c>
      <c r="I22" s="395">
        <f t="shared" si="2"/>
        <v>0.5</v>
      </c>
      <c r="J22" s="395">
        <f t="shared" si="2"/>
        <v>0.5</v>
      </c>
      <c r="K22" s="395">
        <f t="shared" si="2"/>
        <v>0.5</v>
      </c>
      <c r="L22" s="395">
        <f t="shared" si="2"/>
        <v>0.5</v>
      </c>
      <c r="M22" s="395">
        <f t="shared" si="2"/>
        <v>0.5</v>
      </c>
      <c r="N22" s="395">
        <f t="shared" si="2"/>
        <v>0.5</v>
      </c>
    </row>
    <row r="23" spans="1:18" ht="21" x14ac:dyDescent="0.35">
      <c r="A23" s="198"/>
      <c r="B23" s="701" t="s">
        <v>555</v>
      </c>
      <c r="C23" s="204">
        <v>0</v>
      </c>
      <c r="D23" s="351"/>
      <c r="E23" s="395">
        <f>$C23</f>
        <v>0</v>
      </c>
      <c r="F23" s="395">
        <f t="shared" si="2"/>
        <v>0</v>
      </c>
      <c r="G23" s="395">
        <f t="shared" si="2"/>
        <v>0</v>
      </c>
      <c r="H23" s="395">
        <f t="shared" si="2"/>
        <v>0</v>
      </c>
      <c r="I23" s="395">
        <f t="shared" si="2"/>
        <v>0</v>
      </c>
      <c r="J23" s="395">
        <f t="shared" si="2"/>
        <v>0</v>
      </c>
      <c r="K23" s="395">
        <f t="shared" si="2"/>
        <v>0</v>
      </c>
      <c r="L23" s="395">
        <f t="shared" si="2"/>
        <v>0</v>
      </c>
      <c r="M23" s="395">
        <f t="shared" si="2"/>
        <v>0</v>
      </c>
      <c r="N23" s="395">
        <f t="shared" si="2"/>
        <v>0</v>
      </c>
    </row>
    <row r="24" spans="1:18" ht="21" x14ac:dyDescent="0.35">
      <c r="A24" s="198"/>
      <c r="B24" s="701" t="s">
        <v>564</v>
      </c>
      <c r="C24" s="204">
        <v>0</v>
      </c>
      <c r="D24" s="351"/>
      <c r="E24" s="395">
        <f t="shared" ref="E24:N27" si="3">$C24</f>
        <v>0</v>
      </c>
      <c r="F24" s="395">
        <f t="shared" si="3"/>
        <v>0</v>
      </c>
      <c r="G24" s="395">
        <f t="shared" si="3"/>
        <v>0</v>
      </c>
      <c r="H24" s="395">
        <f t="shared" si="3"/>
        <v>0</v>
      </c>
      <c r="I24" s="395">
        <f t="shared" si="3"/>
        <v>0</v>
      </c>
      <c r="J24" s="395">
        <f t="shared" si="3"/>
        <v>0</v>
      </c>
      <c r="K24" s="395">
        <f t="shared" si="3"/>
        <v>0</v>
      </c>
      <c r="L24" s="395">
        <f t="shared" si="3"/>
        <v>0</v>
      </c>
      <c r="M24" s="395">
        <f t="shared" si="3"/>
        <v>0</v>
      </c>
      <c r="N24" s="395">
        <f t="shared" si="3"/>
        <v>0</v>
      </c>
    </row>
    <row r="25" spans="1:18" ht="21" x14ac:dyDescent="0.35">
      <c r="A25" s="198"/>
      <c r="B25" s="701" t="s">
        <v>1396</v>
      </c>
      <c r="C25" s="204">
        <v>0</v>
      </c>
      <c r="D25" s="351"/>
      <c r="E25" s="395">
        <f t="shared" si="3"/>
        <v>0</v>
      </c>
      <c r="F25" s="395">
        <f t="shared" si="3"/>
        <v>0</v>
      </c>
      <c r="G25" s="395">
        <f t="shared" si="3"/>
        <v>0</v>
      </c>
      <c r="H25" s="395">
        <f t="shared" si="3"/>
        <v>0</v>
      </c>
      <c r="I25" s="395">
        <f t="shared" si="3"/>
        <v>0</v>
      </c>
      <c r="J25" s="395">
        <f t="shared" si="3"/>
        <v>0</v>
      </c>
      <c r="K25" s="395">
        <f t="shared" si="3"/>
        <v>0</v>
      </c>
      <c r="L25" s="395">
        <f t="shared" si="3"/>
        <v>0</v>
      </c>
      <c r="M25" s="395">
        <f t="shared" si="3"/>
        <v>0</v>
      </c>
      <c r="N25" s="395">
        <f t="shared" si="3"/>
        <v>0</v>
      </c>
    </row>
    <row r="26" spans="1:18" ht="21" x14ac:dyDescent="0.35">
      <c r="A26" s="198"/>
      <c r="B26" s="701" t="s">
        <v>554</v>
      </c>
      <c r="C26" s="204">
        <v>0.5</v>
      </c>
      <c r="D26" s="351"/>
      <c r="E26" s="395">
        <f t="shared" si="3"/>
        <v>0.5</v>
      </c>
      <c r="F26" s="395">
        <f t="shared" si="3"/>
        <v>0.5</v>
      </c>
      <c r="G26" s="395">
        <f t="shared" si="3"/>
        <v>0.5</v>
      </c>
      <c r="H26" s="395">
        <f t="shared" si="3"/>
        <v>0.5</v>
      </c>
      <c r="I26" s="395">
        <f t="shared" si="3"/>
        <v>0.5</v>
      </c>
      <c r="J26" s="395">
        <f t="shared" si="3"/>
        <v>0.5</v>
      </c>
      <c r="K26" s="395">
        <f t="shared" si="3"/>
        <v>0.5</v>
      </c>
      <c r="L26" s="395">
        <f t="shared" si="3"/>
        <v>0.5</v>
      </c>
      <c r="M26" s="395">
        <f t="shared" si="3"/>
        <v>0.5</v>
      </c>
      <c r="N26" s="395">
        <f t="shared" si="3"/>
        <v>0.5</v>
      </c>
    </row>
    <row r="27" spans="1:18" ht="21" hidden="1" x14ac:dyDescent="0.35">
      <c r="A27" s="198"/>
      <c r="B27" s="701" t="s">
        <v>548</v>
      </c>
      <c r="C27" s="204">
        <v>0</v>
      </c>
      <c r="D27" s="107"/>
      <c r="E27" s="395">
        <f t="shared" si="3"/>
        <v>0</v>
      </c>
      <c r="F27" s="395">
        <f t="shared" si="3"/>
        <v>0</v>
      </c>
      <c r="G27" s="395">
        <f t="shared" si="3"/>
        <v>0</v>
      </c>
      <c r="H27" s="395">
        <f t="shared" si="3"/>
        <v>0</v>
      </c>
      <c r="I27" s="395">
        <f t="shared" si="3"/>
        <v>0</v>
      </c>
      <c r="J27" s="395">
        <f t="shared" si="3"/>
        <v>0</v>
      </c>
      <c r="K27" s="395">
        <f t="shared" si="3"/>
        <v>0</v>
      </c>
      <c r="L27" s="395">
        <f t="shared" si="3"/>
        <v>0</v>
      </c>
      <c r="M27" s="395">
        <f t="shared" si="3"/>
        <v>0</v>
      </c>
      <c r="N27" s="395">
        <f t="shared" si="3"/>
        <v>0</v>
      </c>
    </row>
    <row r="28" spans="1:18" ht="21" x14ac:dyDescent="0.35">
      <c r="A28" s="198"/>
      <c r="B28" s="5"/>
      <c r="F28" s="4"/>
      <c r="G28" s="4"/>
      <c r="H28" s="4"/>
      <c r="I28" s="4"/>
      <c r="J28" s="4"/>
      <c r="K28" s="4"/>
      <c r="L28" s="4"/>
      <c r="M28" s="4"/>
      <c r="N28" s="4"/>
    </row>
    <row r="29" spans="1:18" ht="21" hidden="1" x14ac:dyDescent="0.35">
      <c r="A29" s="198"/>
      <c r="B29" s="170" t="s">
        <v>574</v>
      </c>
      <c r="C29" s="204">
        <v>0</v>
      </c>
      <c r="D29" s="351"/>
      <c r="E29" s="395">
        <f t="shared" ref="E29:N32" si="4">$C29</f>
        <v>0</v>
      </c>
      <c r="F29" s="395">
        <f t="shared" si="4"/>
        <v>0</v>
      </c>
      <c r="G29" s="395">
        <f t="shared" si="4"/>
        <v>0</v>
      </c>
      <c r="H29" s="395">
        <f t="shared" si="4"/>
        <v>0</v>
      </c>
      <c r="I29" s="395">
        <f t="shared" si="4"/>
        <v>0</v>
      </c>
      <c r="J29" s="395">
        <f t="shared" si="4"/>
        <v>0</v>
      </c>
      <c r="K29" s="395">
        <f t="shared" si="4"/>
        <v>0</v>
      </c>
      <c r="L29" s="395">
        <f t="shared" si="4"/>
        <v>0</v>
      </c>
      <c r="M29" s="395">
        <f t="shared" si="4"/>
        <v>0</v>
      </c>
      <c r="N29" s="395">
        <f t="shared" si="4"/>
        <v>0</v>
      </c>
    </row>
    <row r="30" spans="1:18" ht="21" x14ac:dyDescent="0.35">
      <c r="A30" s="198"/>
      <c r="B30" s="170" t="s">
        <v>575</v>
      </c>
      <c r="C30" s="204">
        <v>0.6</v>
      </c>
      <c r="D30" s="351"/>
      <c r="E30" s="395">
        <f t="shared" si="4"/>
        <v>0.6</v>
      </c>
      <c r="F30" s="395">
        <f t="shared" si="4"/>
        <v>0.6</v>
      </c>
      <c r="G30" s="395">
        <f t="shared" si="4"/>
        <v>0.6</v>
      </c>
      <c r="H30" s="395">
        <f t="shared" si="4"/>
        <v>0.6</v>
      </c>
      <c r="I30" s="395">
        <f t="shared" si="4"/>
        <v>0.6</v>
      </c>
      <c r="J30" s="395">
        <f t="shared" si="4"/>
        <v>0.6</v>
      </c>
      <c r="K30" s="395">
        <f t="shared" si="4"/>
        <v>0.6</v>
      </c>
      <c r="L30" s="395">
        <f t="shared" si="4"/>
        <v>0.6</v>
      </c>
      <c r="M30" s="395">
        <f t="shared" si="4"/>
        <v>0.6</v>
      </c>
      <c r="N30" s="395">
        <f t="shared" si="4"/>
        <v>0.6</v>
      </c>
    </row>
    <row r="31" spans="1:18" ht="21" x14ac:dyDescent="0.35">
      <c r="A31" s="198"/>
      <c r="B31" s="170" t="s">
        <v>576</v>
      </c>
      <c r="C31" s="204">
        <v>0.4</v>
      </c>
      <c r="D31" s="108"/>
      <c r="E31" s="395">
        <f t="shared" si="4"/>
        <v>0.4</v>
      </c>
      <c r="F31" s="395">
        <f t="shared" si="4"/>
        <v>0.4</v>
      </c>
      <c r="G31" s="395">
        <f t="shared" si="4"/>
        <v>0.4</v>
      </c>
      <c r="H31" s="395">
        <f t="shared" si="4"/>
        <v>0.4</v>
      </c>
      <c r="I31" s="395">
        <f t="shared" si="4"/>
        <v>0.4</v>
      </c>
      <c r="J31" s="395">
        <f t="shared" si="4"/>
        <v>0.4</v>
      </c>
      <c r="K31" s="395">
        <f t="shared" si="4"/>
        <v>0.4</v>
      </c>
      <c r="L31" s="395">
        <f t="shared" si="4"/>
        <v>0.4</v>
      </c>
      <c r="M31" s="395">
        <f t="shared" si="4"/>
        <v>0.4</v>
      </c>
      <c r="N31" s="395">
        <f t="shared" si="4"/>
        <v>0.4</v>
      </c>
    </row>
    <row r="32" spans="1:18" ht="21" x14ac:dyDescent="0.35">
      <c r="A32" s="198"/>
      <c r="B32" s="5" t="s">
        <v>67</v>
      </c>
      <c r="C32" s="1223">
        <v>6</v>
      </c>
      <c r="E32" s="4">
        <f t="shared" si="4"/>
        <v>6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</row>
    <row r="33" spans="1:19" ht="21" hidden="1" x14ac:dyDescent="0.35">
      <c r="A33" s="198"/>
      <c r="B33" s="702" t="s">
        <v>572</v>
      </c>
      <c r="C33" s="779">
        <v>64</v>
      </c>
      <c r="D33" s="703"/>
      <c r="E33" s="705">
        <f t="shared" ref="E33:N33" si="5">$C33*E7</f>
        <v>64</v>
      </c>
      <c r="F33" s="705">
        <f t="shared" si="5"/>
        <v>68.031999999999996</v>
      </c>
      <c r="G33" s="705">
        <f t="shared" si="5"/>
        <v>72.318015999999986</v>
      </c>
      <c r="H33" s="705">
        <f t="shared" si="5"/>
        <v>76.874051007999981</v>
      </c>
      <c r="I33" s="705">
        <f t="shared" si="5"/>
        <v>81.717116221503971</v>
      </c>
      <c r="J33" s="705">
        <f t="shared" si="5"/>
        <v>86.865294543458717</v>
      </c>
      <c r="K33" s="705">
        <f t="shared" si="5"/>
        <v>92.337808099696616</v>
      </c>
      <c r="L33" s="705">
        <f t="shared" si="5"/>
        <v>98.155090009977499</v>
      </c>
      <c r="M33" s="705">
        <f t="shared" si="5"/>
        <v>104.33886068060607</v>
      </c>
      <c r="N33" s="705">
        <f t="shared" si="5"/>
        <v>110.91220890348426</v>
      </c>
      <c r="O33" s="4"/>
      <c r="P33" s="4"/>
      <c r="Q33" s="4"/>
      <c r="R33" s="4"/>
    </row>
    <row r="34" spans="1:19" ht="21" x14ac:dyDescent="0.35">
      <c r="A34" s="198"/>
      <c r="B34" s="702" t="s">
        <v>1397</v>
      </c>
      <c r="C34" s="1086">
        <f>C32*C5</f>
        <v>84</v>
      </c>
      <c r="D34" s="703"/>
      <c r="E34" s="705">
        <f t="shared" ref="E34:N34" si="6">$C34*E7</f>
        <v>84</v>
      </c>
      <c r="F34" s="705">
        <f t="shared" si="6"/>
        <v>89.292000000000002</v>
      </c>
      <c r="G34" s="705">
        <f t="shared" si="6"/>
        <v>94.917395999999982</v>
      </c>
      <c r="H34" s="705">
        <f t="shared" si="6"/>
        <v>100.89719194799997</v>
      </c>
      <c r="I34" s="705">
        <f t="shared" si="6"/>
        <v>107.25371504072396</v>
      </c>
      <c r="J34" s="705">
        <f t="shared" si="6"/>
        <v>114.01069908828957</v>
      </c>
      <c r="K34" s="705">
        <f t="shared" si="6"/>
        <v>121.19337313085181</v>
      </c>
      <c r="L34" s="705">
        <f t="shared" si="6"/>
        <v>128.82855563809548</v>
      </c>
      <c r="M34" s="705">
        <f t="shared" si="6"/>
        <v>136.94475464329548</v>
      </c>
      <c r="N34" s="705">
        <f t="shared" si="6"/>
        <v>145.57227418582309</v>
      </c>
      <c r="O34" s="704"/>
      <c r="P34" s="704"/>
      <c r="Q34" s="704"/>
      <c r="R34" s="704"/>
      <c r="S34" s="704"/>
    </row>
    <row r="35" spans="1:19" ht="21" x14ac:dyDescent="0.35">
      <c r="A35" s="198"/>
      <c r="B35" s="702" t="s">
        <v>1398</v>
      </c>
      <c r="C35" s="1087">
        <f>C32*C5</f>
        <v>84</v>
      </c>
      <c r="D35" s="107"/>
      <c r="E35" s="276">
        <f t="shared" ref="E35:N35" si="7">$C35*E7</f>
        <v>84</v>
      </c>
      <c r="F35" s="276">
        <f t="shared" si="7"/>
        <v>89.292000000000002</v>
      </c>
      <c r="G35" s="276">
        <f t="shared" si="7"/>
        <v>94.917395999999982</v>
      </c>
      <c r="H35" s="276">
        <f t="shared" si="7"/>
        <v>100.89719194799997</v>
      </c>
      <c r="I35" s="276">
        <f t="shared" si="7"/>
        <v>107.25371504072396</v>
      </c>
      <c r="J35" s="276">
        <f t="shared" si="7"/>
        <v>114.01069908828957</v>
      </c>
      <c r="K35" s="276">
        <f t="shared" si="7"/>
        <v>121.19337313085181</v>
      </c>
      <c r="L35" s="276">
        <f t="shared" si="7"/>
        <v>128.82855563809548</v>
      </c>
      <c r="M35" s="276">
        <f t="shared" si="7"/>
        <v>136.94475464329548</v>
      </c>
      <c r="N35" s="276">
        <f t="shared" si="7"/>
        <v>145.57227418582309</v>
      </c>
      <c r="O35" s="704"/>
      <c r="P35" s="704"/>
      <c r="Q35" s="704"/>
      <c r="R35" s="704"/>
      <c r="S35" s="704"/>
    </row>
    <row r="36" spans="1:19" ht="21" x14ac:dyDescent="0.35">
      <c r="A36" s="198"/>
      <c r="B36" s="702" t="s">
        <v>557</v>
      </c>
      <c r="C36" s="1086">
        <f>C34</f>
        <v>84</v>
      </c>
      <c r="D36" s="703"/>
      <c r="E36" s="276">
        <f t="shared" ref="E36:N36" si="8">$C36*E7</f>
        <v>84</v>
      </c>
      <c r="F36" s="276">
        <f t="shared" si="8"/>
        <v>89.292000000000002</v>
      </c>
      <c r="G36" s="276">
        <f t="shared" si="8"/>
        <v>94.917395999999982</v>
      </c>
      <c r="H36" s="276">
        <f t="shared" si="8"/>
        <v>100.89719194799997</v>
      </c>
      <c r="I36" s="276">
        <f t="shared" si="8"/>
        <v>107.25371504072396</v>
      </c>
      <c r="J36" s="276">
        <f t="shared" si="8"/>
        <v>114.01069908828957</v>
      </c>
      <c r="K36" s="276">
        <f t="shared" si="8"/>
        <v>121.19337313085181</v>
      </c>
      <c r="L36" s="276">
        <f t="shared" si="8"/>
        <v>128.82855563809548</v>
      </c>
      <c r="M36" s="276">
        <f t="shared" si="8"/>
        <v>136.94475464329548</v>
      </c>
      <c r="N36" s="276">
        <f t="shared" si="8"/>
        <v>145.57227418582309</v>
      </c>
      <c r="O36" s="704"/>
      <c r="P36" s="704"/>
      <c r="Q36" s="704"/>
      <c r="R36" s="704"/>
      <c r="S36" s="704"/>
    </row>
    <row r="37" spans="1:19" ht="21" x14ac:dyDescent="0.35">
      <c r="A37" s="198"/>
      <c r="B37" s="702" t="s">
        <v>556</v>
      </c>
      <c r="C37" s="1086">
        <f t="shared" ref="C37:C43" si="9">C35</f>
        <v>84</v>
      </c>
      <c r="D37" s="703"/>
      <c r="E37" s="276">
        <f t="shared" ref="E37:N37" si="10">$C37*E7</f>
        <v>84</v>
      </c>
      <c r="F37" s="276">
        <f t="shared" si="10"/>
        <v>89.292000000000002</v>
      </c>
      <c r="G37" s="276">
        <f t="shared" si="10"/>
        <v>94.917395999999982</v>
      </c>
      <c r="H37" s="276">
        <f t="shared" si="10"/>
        <v>100.89719194799997</v>
      </c>
      <c r="I37" s="276">
        <f t="shared" si="10"/>
        <v>107.25371504072396</v>
      </c>
      <c r="J37" s="276">
        <f t="shared" si="10"/>
        <v>114.01069908828957</v>
      </c>
      <c r="K37" s="276">
        <f t="shared" si="10"/>
        <v>121.19337313085181</v>
      </c>
      <c r="L37" s="276">
        <f t="shared" si="10"/>
        <v>128.82855563809548</v>
      </c>
      <c r="M37" s="276">
        <f t="shared" si="10"/>
        <v>136.94475464329548</v>
      </c>
      <c r="N37" s="276">
        <f t="shared" si="10"/>
        <v>145.57227418582309</v>
      </c>
      <c r="O37" s="704"/>
      <c r="P37" s="704"/>
      <c r="Q37" s="704"/>
      <c r="R37" s="704"/>
      <c r="S37" s="704"/>
    </row>
    <row r="38" spans="1:19" ht="21" hidden="1" x14ac:dyDescent="0.35">
      <c r="A38" s="198"/>
      <c r="B38" s="702" t="s">
        <v>560</v>
      </c>
      <c r="C38" s="1086">
        <f t="shared" si="9"/>
        <v>84</v>
      </c>
      <c r="D38" s="703"/>
      <c r="E38" s="276">
        <f t="shared" ref="E38:N38" si="11">$C$38*E7</f>
        <v>84</v>
      </c>
      <c r="F38" s="276">
        <f t="shared" si="11"/>
        <v>89.292000000000002</v>
      </c>
      <c r="G38" s="276">
        <f t="shared" si="11"/>
        <v>94.917395999999982</v>
      </c>
      <c r="H38" s="276">
        <f t="shared" si="11"/>
        <v>100.89719194799997</v>
      </c>
      <c r="I38" s="276">
        <f t="shared" si="11"/>
        <v>107.25371504072396</v>
      </c>
      <c r="J38" s="276">
        <f t="shared" si="11"/>
        <v>114.01069908828957</v>
      </c>
      <c r="K38" s="276">
        <f t="shared" si="11"/>
        <v>121.19337313085181</v>
      </c>
      <c r="L38" s="276">
        <f t="shared" si="11"/>
        <v>128.82855563809548</v>
      </c>
      <c r="M38" s="276">
        <f t="shared" si="11"/>
        <v>136.94475464329548</v>
      </c>
      <c r="N38" s="276">
        <f t="shared" si="11"/>
        <v>145.57227418582309</v>
      </c>
      <c r="O38" s="704"/>
      <c r="P38" s="704"/>
      <c r="Q38" s="704"/>
      <c r="R38" s="704"/>
      <c r="S38" s="704"/>
    </row>
    <row r="39" spans="1:19" ht="21" hidden="1" x14ac:dyDescent="0.35">
      <c r="A39" s="198"/>
      <c r="B39" s="702" t="s">
        <v>559</v>
      </c>
      <c r="C39" s="1086">
        <f t="shared" si="9"/>
        <v>84</v>
      </c>
      <c r="D39" s="107"/>
      <c r="E39" s="705">
        <f t="shared" ref="E39:N39" si="12">$C39*E7</f>
        <v>84</v>
      </c>
      <c r="F39" s="705">
        <f t="shared" si="12"/>
        <v>89.292000000000002</v>
      </c>
      <c r="G39" s="705">
        <f t="shared" si="12"/>
        <v>94.917395999999982</v>
      </c>
      <c r="H39" s="705">
        <f t="shared" si="12"/>
        <v>100.89719194799997</v>
      </c>
      <c r="I39" s="705">
        <f t="shared" si="12"/>
        <v>107.25371504072396</v>
      </c>
      <c r="J39" s="705">
        <f t="shared" si="12"/>
        <v>114.01069908828957</v>
      </c>
      <c r="K39" s="705">
        <f t="shared" si="12"/>
        <v>121.19337313085181</v>
      </c>
      <c r="L39" s="705">
        <f t="shared" si="12"/>
        <v>128.82855563809548</v>
      </c>
      <c r="M39" s="705">
        <f t="shared" si="12"/>
        <v>136.94475464329548</v>
      </c>
      <c r="N39" s="705">
        <f t="shared" si="12"/>
        <v>145.57227418582309</v>
      </c>
      <c r="O39" s="704"/>
      <c r="P39" s="704"/>
      <c r="Q39" s="704"/>
      <c r="R39" s="704"/>
      <c r="S39" s="704"/>
    </row>
    <row r="40" spans="1:19" ht="21" hidden="1" x14ac:dyDescent="0.35">
      <c r="A40" s="198"/>
      <c r="B40" s="702" t="s">
        <v>1399</v>
      </c>
      <c r="C40" s="1086">
        <f t="shared" si="9"/>
        <v>84</v>
      </c>
      <c r="D40" s="703"/>
      <c r="E40" s="276">
        <f t="shared" ref="E40:N40" si="13">$C$40*E7</f>
        <v>84</v>
      </c>
      <c r="F40" s="276">
        <f t="shared" si="13"/>
        <v>89.292000000000002</v>
      </c>
      <c r="G40" s="276">
        <f t="shared" si="13"/>
        <v>94.917395999999982</v>
      </c>
      <c r="H40" s="276">
        <f t="shared" si="13"/>
        <v>100.89719194799997</v>
      </c>
      <c r="I40" s="276">
        <f t="shared" si="13"/>
        <v>107.25371504072396</v>
      </c>
      <c r="J40" s="276">
        <f t="shared" si="13"/>
        <v>114.01069908828957</v>
      </c>
      <c r="K40" s="276">
        <f t="shared" si="13"/>
        <v>121.19337313085181</v>
      </c>
      <c r="L40" s="276">
        <f t="shared" si="13"/>
        <v>128.82855563809548</v>
      </c>
      <c r="M40" s="276">
        <f t="shared" si="13"/>
        <v>136.94475464329548</v>
      </c>
      <c r="N40" s="276">
        <f t="shared" si="13"/>
        <v>145.57227418582309</v>
      </c>
      <c r="O40" s="704"/>
      <c r="P40" s="704"/>
      <c r="Q40" s="704"/>
      <c r="R40" s="704"/>
      <c r="S40" s="704"/>
    </row>
    <row r="41" spans="1:19" ht="21" hidden="1" x14ac:dyDescent="0.35">
      <c r="A41" s="198"/>
      <c r="B41" s="702" t="s">
        <v>1400</v>
      </c>
      <c r="C41" s="1086">
        <f t="shared" si="9"/>
        <v>84</v>
      </c>
      <c r="D41" s="107"/>
      <c r="E41" s="705">
        <f t="shared" ref="E41:N41" si="14">$C41*E7</f>
        <v>84</v>
      </c>
      <c r="F41" s="705">
        <f t="shared" si="14"/>
        <v>89.292000000000002</v>
      </c>
      <c r="G41" s="705">
        <f t="shared" si="14"/>
        <v>94.917395999999982</v>
      </c>
      <c r="H41" s="705">
        <f t="shared" si="14"/>
        <v>100.89719194799997</v>
      </c>
      <c r="I41" s="705">
        <f t="shared" si="14"/>
        <v>107.25371504072396</v>
      </c>
      <c r="J41" s="705">
        <f t="shared" si="14"/>
        <v>114.01069908828957</v>
      </c>
      <c r="K41" s="705">
        <f t="shared" si="14"/>
        <v>121.19337313085181</v>
      </c>
      <c r="L41" s="705">
        <f t="shared" si="14"/>
        <v>128.82855563809548</v>
      </c>
      <c r="M41" s="705">
        <f t="shared" si="14"/>
        <v>136.94475464329548</v>
      </c>
      <c r="N41" s="705">
        <f t="shared" si="14"/>
        <v>145.57227418582309</v>
      </c>
      <c r="O41" s="704"/>
      <c r="P41" s="704"/>
      <c r="Q41" s="704"/>
      <c r="R41" s="704"/>
      <c r="S41" s="704"/>
    </row>
    <row r="42" spans="1:19" ht="21" x14ac:dyDescent="0.35">
      <c r="A42" s="198"/>
      <c r="B42" s="702" t="s">
        <v>561</v>
      </c>
      <c r="C42" s="1086">
        <f t="shared" si="9"/>
        <v>84</v>
      </c>
      <c r="D42" s="703"/>
      <c r="E42" s="705">
        <f t="shared" ref="E42:N42" si="15">$C42*E7</f>
        <v>84</v>
      </c>
      <c r="F42" s="705">
        <f t="shared" si="15"/>
        <v>89.292000000000002</v>
      </c>
      <c r="G42" s="705">
        <f t="shared" si="15"/>
        <v>94.917395999999982</v>
      </c>
      <c r="H42" s="705">
        <f t="shared" si="15"/>
        <v>100.89719194799997</v>
      </c>
      <c r="I42" s="705">
        <f t="shared" si="15"/>
        <v>107.25371504072396</v>
      </c>
      <c r="J42" s="705">
        <f t="shared" si="15"/>
        <v>114.01069908828957</v>
      </c>
      <c r="K42" s="705">
        <f t="shared" si="15"/>
        <v>121.19337313085181</v>
      </c>
      <c r="L42" s="705">
        <f t="shared" si="15"/>
        <v>128.82855563809548</v>
      </c>
      <c r="M42" s="705">
        <f t="shared" si="15"/>
        <v>136.94475464329548</v>
      </c>
      <c r="N42" s="705">
        <f t="shared" si="15"/>
        <v>145.57227418582309</v>
      </c>
      <c r="O42" s="704"/>
      <c r="P42" s="704"/>
      <c r="Q42" s="704"/>
      <c r="R42" s="704"/>
      <c r="S42" s="704"/>
    </row>
    <row r="43" spans="1:19" ht="21" x14ac:dyDescent="0.35">
      <c r="A43" s="198"/>
      <c r="B43" s="702" t="s">
        <v>558</v>
      </c>
      <c r="C43" s="1086">
        <f t="shared" si="9"/>
        <v>84</v>
      </c>
      <c r="D43" s="703"/>
      <c r="E43" s="705">
        <f t="shared" ref="E43:N43" si="16">$C43*E7</f>
        <v>84</v>
      </c>
      <c r="F43" s="705">
        <f t="shared" si="16"/>
        <v>89.292000000000002</v>
      </c>
      <c r="G43" s="705">
        <f t="shared" si="16"/>
        <v>94.917395999999982</v>
      </c>
      <c r="H43" s="705">
        <f t="shared" si="16"/>
        <v>100.89719194799997</v>
      </c>
      <c r="I43" s="705">
        <f t="shared" si="16"/>
        <v>107.25371504072396</v>
      </c>
      <c r="J43" s="705">
        <f t="shared" si="16"/>
        <v>114.01069908828957</v>
      </c>
      <c r="K43" s="705">
        <f t="shared" si="16"/>
        <v>121.19337313085181</v>
      </c>
      <c r="L43" s="705">
        <f t="shared" si="16"/>
        <v>128.82855563809548</v>
      </c>
      <c r="M43" s="705">
        <f t="shared" si="16"/>
        <v>136.94475464329548</v>
      </c>
      <c r="N43" s="705">
        <f t="shared" si="16"/>
        <v>145.57227418582309</v>
      </c>
      <c r="O43" s="704"/>
      <c r="P43" s="704"/>
      <c r="Q43" s="704"/>
      <c r="R43" s="704"/>
      <c r="S43" s="704"/>
    </row>
    <row r="44" spans="1:19" ht="21" hidden="1" x14ac:dyDescent="0.35">
      <c r="A44" s="198"/>
      <c r="B44" s="702" t="s">
        <v>582</v>
      </c>
      <c r="C44" s="1086">
        <v>120</v>
      </c>
      <c r="D44" s="703"/>
      <c r="E44" s="276">
        <f t="shared" ref="E44:N44" si="17">$C44*E7</f>
        <v>120</v>
      </c>
      <c r="F44" s="276">
        <f t="shared" si="17"/>
        <v>127.55999999999999</v>
      </c>
      <c r="G44" s="276">
        <f t="shared" si="17"/>
        <v>135.59627999999998</v>
      </c>
      <c r="H44" s="276">
        <f t="shared" si="17"/>
        <v>144.13884563999997</v>
      </c>
      <c r="I44" s="276">
        <f t="shared" si="17"/>
        <v>153.21959291531994</v>
      </c>
      <c r="J44" s="276">
        <f t="shared" si="17"/>
        <v>162.87242726898509</v>
      </c>
      <c r="K44" s="276">
        <f t="shared" si="17"/>
        <v>173.13339018693117</v>
      </c>
      <c r="L44" s="276">
        <f t="shared" si="17"/>
        <v>184.0407937687078</v>
      </c>
      <c r="M44" s="276">
        <f t="shared" si="17"/>
        <v>195.63536377613639</v>
      </c>
      <c r="N44" s="276">
        <f t="shared" si="17"/>
        <v>207.96039169403298</v>
      </c>
      <c r="O44" s="704"/>
      <c r="P44" s="704"/>
      <c r="Q44" s="704"/>
      <c r="R44" s="704"/>
      <c r="S44" s="704"/>
    </row>
    <row r="45" spans="1:19" ht="21" hidden="1" x14ac:dyDescent="0.35">
      <c r="A45" s="198"/>
      <c r="B45" s="702" t="s">
        <v>581</v>
      </c>
      <c r="C45" s="1087">
        <v>115</v>
      </c>
      <c r="D45" s="107"/>
      <c r="E45" s="276">
        <f t="shared" ref="E45:N45" si="18">$C$45*E7</f>
        <v>115</v>
      </c>
      <c r="F45" s="276">
        <f t="shared" si="18"/>
        <v>122.24499999999999</v>
      </c>
      <c r="G45" s="276">
        <f t="shared" si="18"/>
        <v>129.94643499999998</v>
      </c>
      <c r="H45" s="276">
        <f t="shared" si="18"/>
        <v>138.13306040499995</v>
      </c>
      <c r="I45" s="276">
        <f t="shared" si="18"/>
        <v>146.83544321051494</v>
      </c>
      <c r="J45" s="276">
        <f t="shared" si="18"/>
        <v>156.08607613277738</v>
      </c>
      <c r="K45" s="276">
        <f t="shared" si="18"/>
        <v>165.91949892914235</v>
      </c>
      <c r="L45" s="276">
        <f t="shared" si="18"/>
        <v>176.37242736167832</v>
      </c>
      <c r="M45" s="276">
        <f t="shared" si="18"/>
        <v>187.48389028546404</v>
      </c>
      <c r="N45" s="276">
        <f t="shared" si="18"/>
        <v>199.29537537344828</v>
      </c>
      <c r="O45" s="704"/>
      <c r="P45" s="704"/>
      <c r="Q45" s="704"/>
      <c r="R45" s="704"/>
      <c r="S45" s="704"/>
    </row>
    <row r="46" spans="1:19" ht="21" x14ac:dyDescent="0.35">
      <c r="A46" s="198"/>
      <c r="B46" s="706"/>
      <c r="C46" s="707"/>
      <c r="D46" s="708"/>
      <c r="E46" s="704"/>
      <c r="F46" s="704"/>
      <c r="G46" s="704"/>
      <c r="H46" s="704"/>
      <c r="I46" s="704"/>
      <c r="J46" s="704"/>
      <c r="K46" s="704"/>
      <c r="L46" s="704"/>
      <c r="M46" s="704"/>
      <c r="N46" s="704"/>
      <c r="O46" s="704"/>
      <c r="P46" s="704"/>
      <c r="Q46" s="704"/>
      <c r="R46" s="704"/>
      <c r="S46" s="704"/>
    </row>
    <row r="47" spans="1:19" ht="21" x14ac:dyDescent="0.35">
      <c r="A47" s="198"/>
      <c r="B47" s="5" t="s">
        <v>549</v>
      </c>
      <c r="C47" s="271"/>
      <c r="D47" s="128"/>
      <c r="E47" s="704"/>
      <c r="F47" s="704"/>
      <c r="G47" s="704"/>
      <c r="H47" s="704"/>
      <c r="I47" s="704"/>
      <c r="J47" s="704"/>
      <c r="K47" s="704"/>
      <c r="L47" s="704"/>
      <c r="M47" s="704"/>
      <c r="N47" s="704"/>
      <c r="O47" s="704"/>
      <c r="P47" s="704"/>
      <c r="Q47" s="704"/>
      <c r="R47" s="704"/>
      <c r="S47" s="704"/>
    </row>
    <row r="48" spans="1:19" ht="21" x14ac:dyDescent="0.35">
      <c r="A48" s="198"/>
      <c r="B48" s="170" t="s">
        <v>568</v>
      </c>
      <c r="C48" s="709">
        <v>21000</v>
      </c>
      <c r="D48" s="128"/>
      <c r="E48" s="704"/>
      <c r="F48" s="704"/>
      <c r="G48" s="704"/>
      <c r="H48" s="704"/>
      <c r="I48" s="704"/>
      <c r="J48" s="704"/>
      <c r="K48" s="704"/>
      <c r="L48" s="704"/>
      <c r="M48" s="704"/>
      <c r="N48" s="704"/>
      <c r="O48" s="704"/>
      <c r="P48" s="704"/>
      <c r="Q48" s="704"/>
      <c r="R48" s="704"/>
      <c r="S48" s="704"/>
    </row>
    <row r="49" spans="1:19" ht="21" x14ac:dyDescent="0.35">
      <c r="A49" s="198"/>
      <c r="B49" s="170" t="s">
        <v>306</v>
      </c>
      <c r="C49" s="710">
        <v>21000</v>
      </c>
      <c r="D49" s="128"/>
      <c r="E49" s="704"/>
      <c r="F49" s="704"/>
      <c r="G49" s="704"/>
      <c r="H49" s="704"/>
      <c r="I49" s="704"/>
      <c r="J49" s="704"/>
      <c r="K49" s="704"/>
      <c r="L49" s="704"/>
      <c r="M49" s="704"/>
      <c r="N49" s="704"/>
      <c r="O49" s="704"/>
      <c r="P49" s="704"/>
      <c r="Q49" s="704"/>
      <c r="R49" s="704"/>
      <c r="S49" s="704"/>
    </row>
    <row r="50" spans="1:19" ht="21" x14ac:dyDescent="0.35">
      <c r="A50" s="198"/>
      <c r="B50" s="170" t="s">
        <v>550</v>
      </c>
      <c r="C50" s="780">
        <v>25000</v>
      </c>
      <c r="D50" s="128"/>
      <c r="E50" s="704"/>
      <c r="F50" s="704"/>
      <c r="G50" s="704"/>
      <c r="H50" s="704"/>
      <c r="I50" s="704"/>
      <c r="J50" s="704"/>
      <c r="K50" s="704"/>
      <c r="L50" s="704"/>
      <c r="M50" s="704"/>
      <c r="N50" s="704"/>
      <c r="O50" s="704"/>
      <c r="P50" s="704"/>
      <c r="Q50" s="704"/>
      <c r="R50" s="704"/>
      <c r="S50" s="704"/>
    </row>
    <row r="51" spans="1:19" ht="21" x14ac:dyDescent="0.35">
      <c r="A51" s="198"/>
      <c r="B51" s="170" t="s">
        <v>551</v>
      </c>
      <c r="C51" s="204">
        <v>0.05</v>
      </c>
    </row>
    <row r="52" spans="1:19" ht="21" x14ac:dyDescent="0.35">
      <c r="A52" s="198"/>
      <c r="B52" s="170" t="s">
        <v>583</v>
      </c>
      <c r="C52" s="781">
        <v>85000</v>
      </c>
    </row>
    <row r="53" spans="1:19" ht="21" x14ac:dyDescent="0.35">
      <c r="A53" s="198"/>
      <c r="B53" s="170" t="s">
        <v>1298</v>
      </c>
      <c r="C53" s="782">
        <v>2</v>
      </c>
    </row>
    <row r="54" spans="1:19" ht="21" x14ac:dyDescent="0.35">
      <c r="A54" s="198"/>
      <c r="B54" s="170" t="s">
        <v>1299</v>
      </c>
      <c r="C54" s="782">
        <v>2.5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</row>
    <row r="55" spans="1:19" ht="21" x14ac:dyDescent="0.35">
      <c r="A55" s="198"/>
      <c r="B55" s="170" t="s">
        <v>270</v>
      </c>
      <c r="C55" s="782">
        <f>30*C6</f>
        <v>480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</row>
    <row r="56" spans="1:19" ht="21" x14ac:dyDescent="0.35">
      <c r="A56" s="198"/>
      <c r="B56" s="170" t="s">
        <v>271</v>
      </c>
      <c r="C56" s="782">
        <v>0.2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</row>
    <row r="57" spans="1:19" ht="21" x14ac:dyDescent="0.35">
      <c r="A57" s="198"/>
      <c r="B57" s="170" t="s">
        <v>584</v>
      </c>
      <c r="C57" s="782">
        <v>2.5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</row>
    <row r="58" spans="1:19" ht="21" x14ac:dyDescent="0.35">
      <c r="A58" s="198"/>
      <c r="B58" s="170" t="s">
        <v>1300</v>
      </c>
      <c r="C58" s="782">
        <v>24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</row>
    <row r="59" spans="1:19" ht="21" x14ac:dyDescent="0.35">
      <c r="A59" s="198"/>
      <c r="B59" s="170" t="s">
        <v>1475</v>
      </c>
      <c r="C59" s="782">
        <v>7.0000000000000007E-2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1:19" ht="21" x14ac:dyDescent="0.35">
      <c r="A60" s="198"/>
      <c r="B60" s="170" t="s">
        <v>1476</v>
      </c>
      <c r="C60" s="1405">
        <f>C63*250</f>
        <v>511466.89701063035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1:19" ht="21" x14ac:dyDescent="0.35">
      <c r="A61" s="198"/>
      <c r="B61" s="711"/>
      <c r="C61" s="71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  <row r="62" spans="1:19" ht="21" x14ac:dyDescent="0.35">
      <c r="A62" s="198"/>
      <c r="B62" s="170" t="s">
        <v>1402</v>
      </c>
      <c r="C62" s="762">
        <v>1250000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</row>
    <row r="63" spans="1:19" ht="21" x14ac:dyDescent="0.35">
      <c r="A63" s="198"/>
      <c r="B63" s="170" t="s">
        <v>1401</v>
      </c>
      <c r="C63" s="762">
        <f>SUM(Production!BY10:CJ10)/1000</f>
        <v>2045.8675880425214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</row>
    <row r="64" spans="1:19" ht="21" hidden="1" x14ac:dyDescent="0.35">
      <c r="A64" s="198"/>
      <c r="B64" s="170" t="s">
        <v>573</v>
      </c>
      <c r="C64" s="762">
        <v>3000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1:14" ht="21" hidden="1" x14ac:dyDescent="0.35">
      <c r="A65" s="198"/>
      <c r="B65" s="170" t="s">
        <v>552</v>
      </c>
      <c r="C65" s="762">
        <v>20000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1:14" x14ac:dyDescent="0.2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</sheetData>
  <mergeCells count="1">
    <mergeCell ref="E3:N3"/>
  </mergeCell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Y119"/>
  <sheetViews>
    <sheetView topLeftCell="I8" zoomScale="80" zoomScaleNormal="80" zoomScalePageLayoutView="85" workbookViewId="0">
      <selection activeCell="S14" sqref="S14"/>
    </sheetView>
  </sheetViews>
  <sheetFormatPr defaultColWidth="8.85546875" defaultRowHeight="12.75" x14ac:dyDescent="0.2"/>
  <cols>
    <col min="1" max="1" width="30" style="2" customWidth="1"/>
    <col min="2" max="2" width="14.7109375" style="2" customWidth="1"/>
    <col min="3" max="3" width="14" style="2" bestFit="1" customWidth="1"/>
    <col min="4" max="4" width="11.42578125" style="2" bestFit="1" customWidth="1"/>
    <col min="5" max="5" width="8.85546875" style="2"/>
    <col min="6" max="9" width="11.5703125" style="2" bestFit="1" customWidth="1"/>
    <col min="10" max="11" width="10.5703125" style="2" bestFit="1" customWidth="1"/>
    <col min="12" max="12" width="11.85546875" style="2" customWidth="1"/>
    <col min="13" max="13" width="11.28515625" style="2" customWidth="1"/>
    <col min="14" max="14" width="10.85546875" style="2" customWidth="1"/>
    <col min="15" max="16" width="12.7109375" style="2" customWidth="1"/>
    <col min="17" max="17" width="2.28515625" style="2" customWidth="1"/>
    <col min="18" max="18" width="25" style="2" customWidth="1"/>
    <col min="19" max="19" width="18.85546875" style="2" customWidth="1"/>
    <col min="20" max="20" width="15.140625" style="2" customWidth="1"/>
    <col min="21" max="16384" width="8.85546875" style="2"/>
  </cols>
  <sheetData>
    <row r="1" spans="1:24" ht="12.75" customHeight="1" x14ac:dyDescent="0.2">
      <c r="A1" s="1426" t="s">
        <v>186</v>
      </c>
      <c r="B1" s="1426"/>
      <c r="C1" s="140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24" ht="12.75" customHeight="1" x14ac:dyDescent="0.2">
      <c r="A2" s="1426"/>
      <c r="B2" s="1426"/>
      <c r="C2" s="141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4" ht="12.75" customHeight="1" x14ac:dyDescent="0.2">
      <c r="A3" s="1426"/>
      <c r="B3" s="1426"/>
      <c r="C3" s="141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4" ht="18.75" x14ac:dyDescent="0.3">
      <c r="A4" s="177" t="s">
        <v>20</v>
      </c>
      <c r="B4" s="27"/>
      <c r="C4" s="27"/>
      <c r="D4" s="27"/>
      <c r="E4" s="26"/>
    </row>
    <row r="5" spans="1:24" x14ac:dyDescent="0.2">
      <c r="A5" s="34"/>
      <c r="B5" s="27"/>
      <c r="C5" s="27"/>
      <c r="D5" s="27"/>
      <c r="E5" s="26"/>
    </row>
    <row r="6" spans="1:24" ht="18.75" x14ac:dyDescent="0.3">
      <c r="A6" s="177" t="s">
        <v>21</v>
      </c>
      <c r="B6" s="27"/>
      <c r="C6" s="27"/>
      <c r="D6" s="27"/>
      <c r="E6" s="26"/>
    </row>
    <row r="7" spans="1:24" x14ac:dyDescent="0.2">
      <c r="A7" s="34"/>
      <c r="B7" s="27"/>
      <c r="C7" s="27"/>
      <c r="D7" s="27"/>
      <c r="E7" s="27"/>
      <c r="F7" s="26"/>
      <c r="G7" s="26"/>
      <c r="H7" s="26"/>
      <c r="I7" s="26"/>
      <c r="J7" s="26"/>
      <c r="K7" s="26"/>
      <c r="L7" s="26"/>
      <c r="M7" s="26"/>
      <c r="N7" s="26"/>
      <c r="O7" s="26"/>
      <c r="P7" s="3"/>
    </row>
    <row r="8" spans="1:24" ht="15" x14ac:dyDescent="0.25">
      <c r="A8" s="176" t="s">
        <v>59</v>
      </c>
      <c r="B8" s="178" t="s">
        <v>60</v>
      </c>
      <c r="C8" s="179" t="s">
        <v>22</v>
      </c>
      <c r="D8" s="178" t="s">
        <v>60</v>
      </c>
      <c r="E8" s="26"/>
      <c r="F8" s="35"/>
      <c r="G8" s="35"/>
      <c r="H8" s="35"/>
      <c r="I8" s="35"/>
      <c r="J8" s="35"/>
      <c r="K8" s="35"/>
      <c r="L8" s="35"/>
      <c r="M8" s="35"/>
      <c r="N8" s="35"/>
      <c r="O8" s="35"/>
      <c r="P8" s="3"/>
      <c r="Q8" s="3"/>
      <c r="R8" s="84"/>
      <c r="S8" s="3"/>
      <c r="T8" s="19"/>
      <c r="U8" s="57"/>
      <c r="V8" s="185"/>
      <c r="W8" s="186"/>
      <c r="X8" s="57"/>
    </row>
    <row r="9" spans="1:24" ht="3" customHeight="1" x14ac:dyDescent="0.2">
      <c r="A9" s="36"/>
      <c r="B9" s="37"/>
      <c r="C9" s="37"/>
      <c r="D9" s="37"/>
      <c r="E9" s="27"/>
      <c r="F9" s="35"/>
      <c r="G9" s="35"/>
      <c r="H9" s="35"/>
      <c r="I9" s="35"/>
      <c r="J9" s="35"/>
      <c r="K9" s="35"/>
      <c r="L9" s="35"/>
      <c r="M9" s="35"/>
      <c r="N9" s="35"/>
      <c r="O9" s="35"/>
      <c r="P9" s="3"/>
      <c r="Q9" s="3"/>
      <c r="R9" s="84"/>
      <c r="S9" s="3"/>
      <c r="T9" s="19"/>
      <c r="U9" s="57"/>
      <c r="V9" s="185"/>
      <c r="W9" s="186"/>
      <c r="X9" s="57"/>
    </row>
    <row r="10" spans="1:24" ht="20.100000000000001" customHeight="1" x14ac:dyDescent="0.2">
      <c r="A10" s="171" t="s">
        <v>65</v>
      </c>
      <c r="B10" s="172">
        <v>20</v>
      </c>
      <c r="C10" s="107"/>
      <c r="D10" s="173" t="s">
        <v>74</v>
      </c>
      <c r="E10" s="128"/>
      <c r="F10" s="171" t="s">
        <v>68</v>
      </c>
      <c r="G10" s="172"/>
      <c r="H10" s="107">
        <v>0</v>
      </c>
      <c r="I10" s="27"/>
      <c r="J10" s="1428" t="s">
        <v>10</v>
      </c>
      <c r="K10" s="1429"/>
      <c r="L10" s="1430"/>
      <c r="M10" s="27"/>
      <c r="N10" s="1428" t="s">
        <v>11</v>
      </c>
      <c r="O10" s="1429"/>
      <c r="P10" s="1430"/>
      <c r="R10" s="191"/>
      <c r="S10" s="191"/>
      <c r="U10" s="30"/>
      <c r="V10" s="30"/>
      <c r="W10" s="30"/>
      <c r="X10" s="30"/>
    </row>
    <row r="11" spans="1:24" ht="20.100000000000001" customHeight="1" x14ac:dyDescent="0.2">
      <c r="A11" s="171" t="s">
        <v>61</v>
      </c>
      <c r="B11" s="172">
        <v>4</v>
      </c>
      <c r="C11" s="107"/>
      <c r="D11" s="173" t="s">
        <v>273</v>
      </c>
      <c r="E11" s="128"/>
      <c r="F11" s="171" t="s">
        <v>12</v>
      </c>
      <c r="G11" s="172"/>
      <c r="H11" s="107">
        <v>0</v>
      </c>
      <c r="I11" s="27"/>
      <c r="J11" s="175">
        <v>0</v>
      </c>
      <c r="K11" s="174" t="s">
        <v>13</v>
      </c>
      <c r="L11" s="107"/>
      <c r="M11" s="27"/>
      <c r="N11" s="171" t="s">
        <v>14</v>
      </c>
      <c r="O11" s="172"/>
      <c r="P11" s="107"/>
      <c r="R11" s="191"/>
      <c r="S11" s="191"/>
      <c r="U11" s="30"/>
      <c r="V11" s="30"/>
      <c r="W11" s="30"/>
      <c r="X11" s="30"/>
    </row>
    <row r="12" spans="1:24" ht="20.100000000000001" customHeight="1" x14ac:dyDescent="0.2">
      <c r="A12" s="171" t="s">
        <v>62</v>
      </c>
      <c r="B12" s="172">
        <v>5</v>
      </c>
      <c r="C12" s="107"/>
      <c r="D12" s="173" t="s">
        <v>98</v>
      </c>
      <c r="E12" s="128"/>
      <c r="F12" s="171" t="s">
        <v>15</v>
      </c>
      <c r="G12" s="172"/>
      <c r="H12" s="107">
        <f>SUM(H10:H11)</f>
        <v>0</v>
      </c>
      <c r="I12" s="27"/>
      <c r="J12" s="27"/>
      <c r="K12" s="27"/>
      <c r="L12" s="27"/>
      <c r="M12" s="27"/>
      <c r="N12" s="175">
        <v>1</v>
      </c>
      <c r="O12" s="1431" t="str">
        <f>IF(N12=1, "Tax Deductible", "Not Deductible")</f>
        <v>Tax Deductible</v>
      </c>
      <c r="P12" s="1432"/>
      <c r="R12" s="191"/>
      <c r="S12" s="191"/>
      <c r="U12" s="30"/>
      <c r="V12" s="30"/>
      <c r="W12" s="30"/>
      <c r="X12" s="30"/>
    </row>
    <row r="13" spans="1:24" ht="20.100000000000001" customHeight="1" x14ac:dyDescent="0.2">
      <c r="A13" s="171" t="s">
        <v>97</v>
      </c>
      <c r="B13" s="172">
        <v>10</v>
      </c>
      <c r="C13" s="107"/>
      <c r="D13" s="173" t="s">
        <v>75</v>
      </c>
      <c r="E13" s="128"/>
      <c r="F13" s="171" t="s">
        <v>16</v>
      </c>
      <c r="G13" s="172"/>
      <c r="H13" s="107">
        <v>0</v>
      </c>
      <c r="I13" s="27"/>
      <c r="J13" s="1428" t="s">
        <v>17</v>
      </c>
      <c r="K13" s="1429"/>
      <c r="L13" s="1430"/>
      <c r="M13" s="27"/>
      <c r="N13" s="27"/>
      <c r="O13" s="27"/>
      <c r="P13" s="27"/>
      <c r="R13" s="30"/>
      <c r="S13" s="30"/>
      <c r="U13" s="30"/>
      <c r="V13" s="30"/>
      <c r="W13" s="30"/>
      <c r="X13" s="30"/>
    </row>
    <row r="14" spans="1:24" ht="20.100000000000001" customHeight="1" x14ac:dyDescent="0.2">
      <c r="A14" s="171" t="s">
        <v>83</v>
      </c>
      <c r="B14" s="172">
        <v>5</v>
      </c>
      <c r="C14" s="107"/>
      <c r="D14" s="173" t="s">
        <v>98</v>
      </c>
      <c r="E14" s="128"/>
      <c r="F14" s="171" t="s">
        <v>18</v>
      </c>
      <c r="G14" s="172"/>
      <c r="H14" s="107">
        <v>0</v>
      </c>
      <c r="I14" s="27"/>
      <c r="J14" s="175">
        <v>1</v>
      </c>
      <c r="K14" s="174" t="s">
        <v>19</v>
      </c>
      <c r="L14" s="107"/>
      <c r="M14" s="27"/>
      <c r="N14" s="27"/>
      <c r="O14" s="27"/>
      <c r="P14" s="27"/>
    </row>
    <row r="15" spans="1:24" ht="20.100000000000001" customHeight="1" x14ac:dyDescent="0.2">
      <c r="A15" s="171" t="s">
        <v>274</v>
      </c>
      <c r="B15" s="172">
        <v>5</v>
      </c>
      <c r="C15" s="107"/>
      <c r="D15" s="173" t="s">
        <v>98</v>
      </c>
      <c r="E15" s="128"/>
      <c r="F15" s="345"/>
      <c r="G15" s="346"/>
      <c r="H15" s="128"/>
      <c r="I15" s="27"/>
      <c r="J15" s="346"/>
      <c r="K15" s="347"/>
      <c r="L15" s="128"/>
      <c r="M15" s="27"/>
      <c r="N15" s="27"/>
      <c r="O15" s="27"/>
      <c r="P15" s="27"/>
    </row>
    <row r="16" spans="1:24" ht="20.100000000000001" customHeight="1" thickBot="1" x14ac:dyDescent="0.25">
      <c r="A16" s="171" t="s">
        <v>95</v>
      </c>
      <c r="B16" s="172">
        <v>10</v>
      </c>
      <c r="C16" s="107"/>
      <c r="D16" s="173" t="s">
        <v>75</v>
      </c>
      <c r="E16" s="128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25" ht="19.5" thickBot="1" x14ac:dyDescent="0.35">
      <c r="A17" s="36"/>
      <c r="B17" s="35"/>
      <c r="C17" s="35"/>
      <c r="D17" s="35"/>
      <c r="E17" s="35"/>
      <c r="F17" s="264" t="s">
        <v>507</v>
      </c>
      <c r="G17" s="102" t="s">
        <v>508</v>
      </c>
      <c r="H17" s="102" t="s">
        <v>509</v>
      </c>
      <c r="I17" s="102" t="s">
        <v>510</v>
      </c>
      <c r="J17" s="102" t="s">
        <v>511</v>
      </c>
      <c r="K17" s="102" t="s">
        <v>512</v>
      </c>
      <c r="L17" s="102" t="s">
        <v>513</v>
      </c>
      <c r="M17" s="102" t="s">
        <v>514</v>
      </c>
      <c r="N17" s="102" t="s">
        <v>515</v>
      </c>
      <c r="O17" s="102" t="s">
        <v>516</v>
      </c>
      <c r="P17" s="102"/>
      <c r="R17" s="192" t="s">
        <v>137</v>
      </c>
    </row>
    <row r="18" spans="1:25" ht="2.25" customHeight="1" thickBot="1" x14ac:dyDescent="0.25">
      <c r="A18" s="36"/>
      <c r="B18" s="38"/>
      <c r="C18" s="39"/>
      <c r="D18" s="82"/>
      <c r="E18" s="28"/>
      <c r="F18" s="265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25" ht="26.25" thickBot="1" x14ac:dyDescent="0.35">
      <c r="A19" s="180" t="s">
        <v>23</v>
      </c>
      <c r="B19" s="38"/>
      <c r="C19" s="38"/>
      <c r="D19" s="83"/>
      <c r="E19" s="28"/>
      <c r="F19" s="264">
        <v>1</v>
      </c>
      <c r="G19" s="102">
        <f t="shared" ref="G19:O19" si="0">F19+1</f>
        <v>2</v>
      </c>
      <c r="H19" s="102">
        <f t="shared" si="0"/>
        <v>3</v>
      </c>
      <c r="I19" s="102">
        <f t="shared" si="0"/>
        <v>4</v>
      </c>
      <c r="J19" s="102">
        <f t="shared" si="0"/>
        <v>5</v>
      </c>
      <c r="K19" s="102">
        <f t="shared" si="0"/>
        <v>6</v>
      </c>
      <c r="L19" s="102">
        <f t="shared" si="0"/>
        <v>7</v>
      </c>
      <c r="M19" s="102">
        <f t="shared" si="0"/>
        <v>8</v>
      </c>
      <c r="N19" s="102">
        <f t="shared" si="0"/>
        <v>9</v>
      </c>
      <c r="O19" s="102">
        <f t="shared" si="0"/>
        <v>10</v>
      </c>
      <c r="P19" s="102"/>
      <c r="R19" s="189" t="s">
        <v>56</v>
      </c>
      <c r="S19" s="189" t="s">
        <v>57</v>
      </c>
      <c r="T19" s="189" t="s">
        <v>96</v>
      </c>
      <c r="U19" s="189" t="s">
        <v>58</v>
      </c>
      <c r="V19" s="189" t="s">
        <v>21</v>
      </c>
      <c r="W19" s="189" t="s">
        <v>60</v>
      </c>
      <c r="X19" s="190" t="s">
        <v>22</v>
      </c>
    </row>
    <row r="20" spans="1:25" ht="15" x14ac:dyDescent="0.25">
      <c r="A20" s="181" t="s">
        <v>20</v>
      </c>
      <c r="B20" s="182" t="s">
        <v>23</v>
      </c>
      <c r="C20" s="182" t="s">
        <v>24</v>
      </c>
      <c r="D20" s="182" t="s">
        <v>22</v>
      </c>
      <c r="E20" s="183"/>
      <c r="F20" s="266"/>
      <c r="G20" s="28"/>
      <c r="H20" s="28"/>
      <c r="I20" s="28"/>
      <c r="J20" s="28"/>
      <c r="K20" s="28"/>
      <c r="L20" s="28"/>
      <c r="M20" s="28"/>
      <c r="N20" s="28"/>
      <c r="O20" s="28"/>
      <c r="P20" s="3"/>
      <c r="R20" s="614"/>
      <c r="S20" s="614"/>
      <c r="T20" s="615"/>
      <c r="U20" s="616"/>
      <c r="V20" s="616"/>
      <c r="W20" s="616"/>
      <c r="X20" s="615"/>
    </row>
    <row r="21" spans="1:25" ht="15" x14ac:dyDescent="0.25">
      <c r="A21" s="107">
        <v>1</v>
      </c>
      <c r="B21" s="107">
        <f t="shared" ref="B21:B60" si="1">SUMIFS($T$20:$T$80,$V$20:$V$80,A21,$W$20:$W$80,C21)</f>
        <v>32653050</v>
      </c>
      <c r="C21" s="107">
        <v>20</v>
      </c>
      <c r="D21" s="107"/>
      <c r="E21" s="263"/>
      <c r="F21" s="344">
        <f t="shared" ref="F21:O30" si="2">-IF($A21&gt;F$19,0,IF(F$19&gt;$C21+$A21-1,0,IF($J$11=1,SYD($B21,$D21,$C21,F$19),SLN($B21,$D21,$C21))))</f>
        <v>-1632652.5</v>
      </c>
      <c r="G21" s="108">
        <f t="shared" si="2"/>
        <v>-1632652.5</v>
      </c>
      <c r="H21" s="108">
        <f t="shared" si="2"/>
        <v>-1632652.5</v>
      </c>
      <c r="I21" s="108">
        <f t="shared" si="2"/>
        <v>-1632652.5</v>
      </c>
      <c r="J21" s="108">
        <f t="shared" si="2"/>
        <v>-1632652.5</v>
      </c>
      <c r="K21" s="108">
        <f t="shared" si="2"/>
        <v>-1632652.5</v>
      </c>
      <c r="L21" s="108">
        <f t="shared" si="2"/>
        <v>-1632652.5</v>
      </c>
      <c r="M21" s="109">
        <f t="shared" si="2"/>
        <v>-1632652.5</v>
      </c>
      <c r="N21" s="108">
        <f t="shared" si="2"/>
        <v>-1632652.5</v>
      </c>
      <c r="O21" s="108">
        <f t="shared" si="2"/>
        <v>-1632652.5</v>
      </c>
      <c r="P21" s="108"/>
      <c r="R21" s="609" t="s">
        <v>591</v>
      </c>
      <c r="S21" s="188" t="s">
        <v>83</v>
      </c>
      <c r="T21" s="108">
        <f>-'9.CAPEX'!C11</f>
        <v>2532000</v>
      </c>
      <c r="U21" s="108" t="s">
        <v>507</v>
      </c>
      <c r="V21" s="108">
        <f t="shared" ref="V21:V26" si="3">IF(U21&gt;0,(HLOOKUP(U21,$F$17:$O$19,3,FALSE)),(0))</f>
        <v>1</v>
      </c>
      <c r="W21" s="108">
        <f t="shared" ref="W21:W26" si="4">IF(S21&gt;0,(VLOOKUP(S21,$A$10:$B$16,2,FALSE)),(0))</f>
        <v>5</v>
      </c>
      <c r="X21" s="108"/>
    </row>
    <row r="22" spans="1:25" ht="15" x14ac:dyDescent="0.25">
      <c r="A22" s="107">
        <v>1</v>
      </c>
      <c r="B22" s="107">
        <f t="shared" si="1"/>
        <v>0</v>
      </c>
      <c r="C22" s="107">
        <v>10</v>
      </c>
      <c r="D22" s="107">
        <v>0</v>
      </c>
      <c r="E22" s="263"/>
      <c r="F22" s="344">
        <f t="shared" si="2"/>
        <v>0</v>
      </c>
      <c r="G22" s="108">
        <f t="shared" si="2"/>
        <v>0</v>
      </c>
      <c r="H22" s="108">
        <f t="shared" si="2"/>
        <v>0</v>
      </c>
      <c r="I22" s="108">
        <f t="shared" si="2"/>
        <v>0</v>
      </c>
      <c r="J22" s="108">
        <f t="shared" si="2"/>
        <v>0</v>
      </c>
      <c r="K22" s="108">
        <f t="shared" si="2"/>
        <v>0</v>
      </c>
      <c r="L22" s="108">
        <f t="shared" si="2"/>
        <v>0</v>
      </c>
      <c r="M22" s="109">
        <f t="shared" si="2"/>
        <v>0</v>
      </c>
      <c r="N22" s="108">
        <f t="shared" si="2"/>
        <v>0</v>
      </c>
      <c r="O22" s="108">
        <f t="shared" si="2"/>
        <v>0</v>
      </c>
      <c r="P22" s="108"/>
      <c r="R22" s="609" t="s">
        <v>65</v>
      </c>
      <c r="S22" s="188" t="s">
        <v>65</v>
      </c>
      <c r="T22" s="108">
        <f>-'9.CAPEX'!C12</f>
        <v>32653050</v>
      </c>
      <c r="U22" s="108" t="s">
        <v>507</v>
      </c>
      <c r="V22" s="108">
        <f t="shared" si="3"/>
        <v>1</v>
      </c>
      <c r="W22" s="108">
        <f t="shared" si="4"/>
        <v>20</v>
      </c>
      <c r="X22" s="108"/>
    </row>
    <row r="23" spans="1:25" ht="15" x14ac:dyDescent="0.25">
      <c r="A23" s="107">
        <v>1</v>
      </c>
      <c r="B23" s="107">
        <f t="shared" si="1"/>
        <v>14855940.99337709</v>
      </c>
      <c r="C23" s="107">
        <v>5</v>
      </c>
      <c r="D23" s="107"/>
      <c r="E23" s="263"/>
      <c r="F23" s="344">
        <f t="shared" si="2"/>
        <v>-2971188.1986754178</v>
      </c>
      <c r="G23" s="108">
        <f t="shared" si="2"/>
        <v>-2971188.1986754178</v>
      </c>
      <c r="H23" s="108">
        <f t="shared" si="2"/>
        <v>-2971188.1986754178</v>
      </c>
      <c r="I23" s="108">
        <f t="shared" si="2"/>
        <v>-2971188.1986754178</v>
      </c>
      <c r="J23" s="108">
        <f t="shared" si="2"/>
        <v>-2971188.1986754178</v>
      </c>
      <c r="K23" s="108">
        <f t="shared" si="2"/>
        <v>0</v>
      </c>
      <c r="L23" s="108">
        <f t="shared" si="2"/>
        <v>0</v>
      </c>
      <c r="M23" s="109">
        <f t="shared" si="2"/>
        <v>0</v>
      </c>
      <c r="N23" s="108">
        <f t="shared" si="2"/>
        <v>0</v>
      </c>
      <c r="O23" s="108">
        <f t="shared" si="2"/>
        <v>0</v>
      </c>
      <c r="P23" s="108"/>
      <c r="R23" s="609" t="s">
        <v>522</v>
      </c>
      <c r="S23" s="188" t="s">
        <v>83</v>
      </c>
      <c r="T23" s="108">
        <f>-'9.CAPEX'!C13</f>
        <v>4159750</v>
      </c>
      <c r="U23" s="108" t="s">
        <v>507</v>
      </c>
      <c r="V23" s="108">
        <f t="shared" si="3"/>
        <v>1</v>
      </c>
      <c r="W23" s="108">
        <f t="shared" si="4"/>
        <v>5</v>
      </c>
      <c r="X23" s="108"/>
    </row>
    <row r="24" spans="1:25" ht="15" x14ac:dyDescent="0.25">
      <c r="A24" s="107">
        <v>1</v>
      </c>
      <c r="B24" s="107">
        <f t="shared" si="1"/>
        <v>0</v>
      </c>
      <c r="C24" s="107">
        <v>4</v>
      </c>
      <c r="D24" s="107">
        <v>0</v>
      </c>
      <c r="E24" s="263"/>
      <c r="F24" s="344">
        <f t="shared" si="2"/>
        <v>0</v>
      </c>
      <c r="G24" s="108">
        <f t="shared" si="2"/>
        <v>0</v>
      </c>
      <c r="H24" s="108">
        <f t="shared" si="2"/>
        <v>0</v>
      </c>
      <c r="I24" s="108">
        <f t="shared" si="2"/>
        <v>0</v>
      </c>
      <c r="J24" s="108">
        <f t="shared" si="2"/>
        <v>0</v>
      </c>
      <c r="K24" s="108">
        <f t="shared" si="2"/>
        <v>0</v>
      </c>
      <c r="L24" s="108">
        <f t="shared" si="2"/>
        <v>0</v>
      </c>
      <c r="M24" s="109">
        <f t="shared" si="2"/>
        <v>0</v>
      </c>
      <c r="N24" s="108">
        <f t="shared" si="2"/>
        <v>0</v>
      </c>
      <c r="O24" s="108">
        <f t="shared" si="2"/>
        <v>0</v>
      </c>
      <c r="P24" s="108"/>
      <c r="R24" s="609" t="s">
        <v>1389</v>
      </c>
      <c r="S24" s="188" t="s">
        <v>83</v>
      </c>
      <c r="T24" s="108">
        <f>-'9.CAPEX'!C14</f>
        <v>8164190.9933770886</v>
      </c>
      <c r="U24" s="108" t="s">
        <v>507</v>
      </c>
      <c r="V24" s="108">
        <f t="shared" si="3"/>
        <v>1</v>
      </c>
      <c r="W24" s="108">
        <f t="shared" si="4"/>
        <v>5</v>
      </c>
      <c r="X24" s="108"/>
    </row>
    <row r="25" spans="1:25" ht="15" x14ac:dyDescent="0.25">
      <c r="A25" s="107">
        <v>2</v>
      </c>
      <c r="B25" s="107">
        <f t="shared" si="1"/>
        <v>0</v>
      </c>
      <c r="C25" s="107">
        <v>20</v>
      </c>
      <c r="D25" s="107"/>
      <c r="E25" s="263"/>
      <c r="F25" s="344">
        <f t="shared" si="2"/>
        <v>0</v>
      </c>
      <c r="G25" s="108">
        <f t="shared" si="2"/>
        <v>0</v>
      </c>
      <c r="H25" s="108">
        <f t="shared" si="2"/>
        <v>0</v>
      </c>
      <c r="I25" s="108">
        <f t="shared" si="2"/>
        <v>0</v>
      </c>
      <c r="J25" s="108">
        <f t="shared" si="2"/>
        <v>0</v>
      </c>
      <c r="K25" s="108">
        <f t="shared" si="2"/>
        <v>0</v>
      </c>
      <c r="L25" s="108">
        <f t="shared" si="2"/>
        <v>0</v>
      </c>
      <c r="M25" s="109">
        <f t="shared" si="2"/>
        <v>0</v>
      </c>
      <c r="N25" s="108">
        <f t="shared" si="2"/>
        <v>0</v>
      </c>
      <c r="O25" s="108">
        <f t="shared" si="2"/>
        <v>0</v>
      </c>
      <c r="P25" s="108"/>
      <c r="R25" s="609" t="s">
        <v>1390</v>
      </c>
      <c r="S25" s="188" t="s">
        <v>97</v>
      </c>
      <c r="T25" s="108">
        <f>-'9.CAPEX'!C15</f>
        <v>12071770</v>
      </c>
      <c r="U25" s="108" t="s">
        <v>508</v>
      </c>
      <c r="V25" s="108">
        <f t="shared" si="3"/>
        <v>2</v>
      </c>
      <c r="W25" s="108">
        <f t="shared" si="4"/>
        <v>10</v>
      </c>
      <c r="X25" s="108"/>
    </row>
    <row r="26" spans="1:25" ht="15" x14ac:dyDescent="0.25">
      <c r="A26" s="107">
        <v>2</v>
      </c>
      <c r="B26" s="107">
        <f t="shared" si="1"/>
        <v>39054270</v>
      </c>
      <c r="C26" s="107">
        <v>10</v>
      </c>
      <c r="D26" s="107">
        <v>0</v>
      </c>
      <c r="E26" s="263"/>
      <c r="F26" s="344">
        <f t="shared" si="2"/>
        <v>0</v>
      </c>
      <c r="G26" s="108">
        <f t="shared" si="2"/>
        <v>-3905427</v>
      </c>
      <c r="H26" s="108">
        <f t="shared" si="2"/>
        <v>-3905427</v>
      </c>
      <c r="I26" s="108">
        <f t="shared" si="2"/>
        <v>-3905427</v>
      </c>
      <c r="J26" s="108">
        <f t="shared" si="2"/>
        <v>-3905427</v>
      </c>
      <c r="K26" s="108">
        <f t="shared" si="2"/>
        <v>-3905427</v>
      </c>
      <c r="L26" s="108">
        <f t="shared" si="2"/>
        <v>-3905427</v>
      </c>
      <c r="M26" s="109">
        <f t="shared" si="2"/>
        <v>-3905427</v>
      </c>
      <c r="N26" s="108">
        <f t="shared" si="2"/>
        <v>-3905427</v>
      </c>
      <c r="O26" s="108">
        <f t="shared" si="2"/>
        <v>-3905427</v>
      </c>
      <c r="P26" s="108"/>
      <c r="R26" s="609" t="s">
        <v>592</v>
      </c>
      <c r="S26" s="188" t="s">
        <v>95</v>
      </c>
      <c r="T26" s="108">
        <f>-'9.CAPEX'!C16</f>
        <v>26982500</v>
      </c>
      <c r="U26" s="108" t="s">
        <v>508</v>
      </c>
      <c r="V26" s="108">
        <f t="shared" si="3"/>
        <v>2</v>
      </c>
      <c r="W26" s="108">
        <f t="shared" si="4"/>
        <v>10</v>
      </c>
      <c r="X26" s="108"/>
    </row>
    <row r="27" spans="1:25" ht="15" x14ac:dyDescent="0.25">
      <c r="A27" s="107">
        <v>2</v>
      </c>
      <c r="B27" s="107">
        <f t="shared" si="1"/>
        <v>0</v>
      </c>
      <c r="C27" s="107">
        <v>5</v>
      </c>
      <c r="D27" s="107"/>
      <c r="E27" s="263"/>
      <c r="F27" s="344">
        <f t="shared" si="2"/>
        <v>0</v>
      </c>
      <c r="G27" s="108">
        <f t="shared" si="2"/>
        <v>0</v>
      </c>
      <c r="H27" s="108">
        <f t="shared" si="2"/>
        <v>0</v>
      </c>
      <c r="I27" s="108">
        <f t="shared" si="2"/>
        <v>0</v>
      </c>
      <c r="J27" s="108">
        <f t="shared" si="2"/>
        <v>0</v>
      </c>
      <c r="K27" s="108">
        <f t="shared" si="2"/>
        <v>0</v>
      </c>
      <c r="L27" s="108">
        <f t="shared" si="2"/>
        <v>0</v>
      </c>
      <c r="M27" s="109">
        <f t="shared" si="2"/>
        <v>0</v>
      </c>
      <c r="N27" s="108">
        <f t="shared" si="2"/>
        <v>0</v>
      </c>
      <c r="O27" s="108">
        <f t="shared" si="2"/>
        <v>0</v>
      </c>
      <c r="P27" s="108"/>
      <c r="R27" s="609"/>
      <c r="S27" s="188"/>
      <c r="T27" s="108"/>
      <c r="U27" s="108"/>
      <c r="V27" s="108"/>
      <c r="W27" s="108"/>
      <c r="X27" s="108"/>
    </row>
    <row r="28" spans="1:25" ht="15" x14ac:dyDescent="0.25">
      <c r="A28" s="107">
        <v>2</v>
      </c>
      <c r="B28" s="107">
        <f t="shared" si="1"/>
        <v>0</v>
      </c>
      <c r="C28" s="107">
        <v>4</v>
      </c>
      <c r="D28" s="107"/>
      <c r="E28" s="263"/>
      <c r="F28" s="344">
        <f t="shared" si="2"/>
        <v>0</v>
      </c>
      <c r="G28" s="108">
        <f t="shared" si="2"/>
        <v>0</v>
      </c>
      <c r="H28" s="108">
        <f t="shared" si="2"/>
        <v>0</v>
      </c>
      <c r="I28" s="108">
        <f t="shared" si="2"/>
        <v>0</v>
      </c>
      <c r="J28" s="108">
        <f t="shared" si="2"/>
        <v>0</v>
      </c>
      <c r="K28" s="108">
        <f t="shared" si="2"/>
        <v>0</v>
      </c>
      <c r="L28" s="108">
        <f t="shared" si="2"/>
        <v>0</v>
      </c>
      <c r="M28" s="109">
        <f t="shared" si="2"/>
        <v>0</v>
      </c>
      <c r="N28" s="108">
        <f t="shared" si="2"/>
        <v>0</v>
      </c>
      <c r="O28" s="108">
        <f t="shared" si="2"/>
        <v>0</v>
      </c>
      <c r="P28" s="108"/>
      <c r="R28" s="609"/>
      <c r="S28" s="188"/>
      <c r="T28" s="108"/>
      <c r="U28" s="108"/>
      <c r="V28" s="108">
        <f>IF(U28&gt;0,(HLOOKUP(U28,$F$17:$O$19,3,FALSE)),(0))</f>
        <v>0</v>
      </c>
      <c r="W28" s="108">
        <f>IF(S28&gt;0,(VLOOKUP(S28,$A$10:$B$16,2,FALSE)),(0))</f>
        <v>0</v>
      </c>
      <c r="X28" s="108"/>
    </row>
    <row r="29" spans="1:25" ht="15" x14ac:dyDescent="0.25">
      <c r="A29" s="107">
        <v>3</v>
      </c>
      <c r="B29" s="107">
        <f t="shared" si="1"/>
        <v>0</v>
      </c>
      <c r="C29" s="107">
        <v>20</v>
      </c>
      <c r="D29" s="107"/>
      <c r="E29" s="263"/>
      <c r="F29" s="344">
        <f t="shared" si="2"/>
        <v>0</v>
      </c>
      <c r="G29" s="108">
        <f t="shared" si="2"/>
        <v>0</v>
      </c>
      <c r="H29" s="108">
        <f t="shared" si="2"/>
        <v>0</v>
      </c>
      <c r="I29" s="108">
        <f t="shared" si="2"/>
        <v>0</v>
      </c>
      <c r="J29" s="108">
        <f t="shared" si="2"/>
        <v>0</v>
      </c>
      <c r="K29" s="108">
        <f t="shared" si="2"/>
        <v>0</v>
      </c>
      <c r="L29" s="108">
        <f t="shared" si="2"/>
        <v>0</v>
      </c>
      <c r="M29" s="109">
        <f t="shared" si="2"/>
        <v>0</v>
      </c>
      <c r="N29" s="108">
        <f t="shared" si="2"/>
        <v>0</v>
      </c>
      <c r="O29" s="108">
        <f t="shared" si="2"/>
        <v>0</v>
      </c>
      <c r="P29" s="108"/>
      <c r="R29" s="609"/>
      <c r="S29" s="188"/>
      <c r="T29" s="108"/>
      <c r="U29" s="108"/>
      <c r="V29" s="108">
        <f>IF(U29&gt;0,(HLOOKUP(U29,$F$17:$O$19,3,FALSE)),(0))</f>
        <v>0</v>
      </c>
      <c r="W29" s="108">
        <f>IF(S29&gt;0,(VLOOKUP(S29,$A$10:$B$16,2,FALSE)),(0))</f>
        <v>0</v>
      </c>
      <c r="X29" s="108"/>
    </row>
    <row r="30" spans="1:25" ht="15" x14ac:dyDescent="0.25">
      <c r="A30" s="107">
        <v>3</v>
      </c>
      <c r="B30" s="107">
        <f t="shared" si="1"/>
        <v>0</v>
      </c>
      <c r="C30" s="107">
        <v>10</v>
      </c>
      <c r="D30" s="107">
        <v>0</v>
      </c>
      <c r="E30" s="263"/>
      <c r="F30" s="344">
        <f t="shared" si="2"/>
        <v>0</v>
      </c>
      <c r="G30" s="108">
        <f t="shared" si="2"/>
        <v>0</v>
      </c>
      <c r="H30" s="108">
        <f t="shared" si="2"/>
        <v>0</v>
      </c>
      <c r="I30" s="108">
        <f t="shared" si="2"/>
        <v>0</v>
      </c>
      <c r="J30" s="108">
        <f t="shared" si="2"/>
        <v>0</v>
      </c>
      <c r="K30" s="108">
        <f t="shared" si="2"/>
        <v>0</v>
      </c>
      <c r="L30" s="108">
        <f t="shared" si="2"/>
        <v>0</v>
      </c>
      <c r="M30" s="109">
        <f t="shared" si="2"/>
        <v>0</v>
      </c>
      <c r="N30" s="108">
        <f t="shared" si="2"/>
        <v>0</v>
      </c>
      <c r="O30" s="108">
        <f t="shared" si="2"/>
        <v>0</v>
      </c>
      <c r="P30" s="108"/>
      <c r="R30" s="609"/>
      <c r="S30" s="188"/>
      <c r="T30" s="108"/>
      <c r="U30" s="108"/>
      <c r="V30" s="108">
        <f>IF(U30&gt;0,(HLOOKUP(U30,$F$17:$O$19,3,FALSE)),(0))</f>
        <v>0</v>
      </c>
      <c r="W30" s="108">
        <f>IF(S30&gt;0,(VLOOKUP(S30,$A$10:$B$16,2,FALSE)),(0))</f>
        <v>0</v>
      </c>
      <c r="X30" s="108"/>
    </row>
    <row r="31" spans="1:25" ht="15" x14ac:dyDescent="0.25">
      <c r="A31" s="107">
        <v>3</v>
      </c>
      <c r="B31" s="107">
        <f t="shared" si="1"/>
        <v>0</v>
      </c>
      <c r="C31" s="107">
        <v>5</v>
      </c>
      <c r="D31" s="107"/>
      <c r="E31" s="263"/>
      <c r="F31" s="344">
        <f t="shared" ref="F31:O40" si="5">-IF($A31&gt;F$19,0,IF(F$19&gt;$C31+$A31-1,0,IF($J$11=1,SYD($B31,$D31,$C31,F$19),SLN($B31,$D31,$C31))))</f>
        <v>0</v>
      </c>
      <c r="G31" s="108">
        <f t="shared" si="5"/>
        <v>0</v>
      </c>
      <c r="H31" s="108">
        <f t="shared" si="5"/>
        <v>0</v>
      </c>
      <c r="I31" s="108">
        <f t="shared" si="5"/>
        <v>0</v>
      </c>
      <c r="J31" s="108">
        <f t="shared" si="5"/>
        <v>0</v>
      </c>
      <c r="K31" s="108">
        <f t="shared" si="5"/>
        <v>0</v>
      </c>
      <c r="L31" s="108">
        <f t="shared" si="5"/>
        <v>0</v>
      </c>
      <c r="M31" s="109">
        <f t="shared" si="5"/>
        <v>0</v>
      </c>
      <c r="N31" s="108">
        <f t="shared" si="5"/>
        <v>0</v>
      </c>
      <c r="O31" s="108">
        <f t="shared" si="5"/>
        <v>0</v>
      </c>
      <c r="P31" s="108"/>
      <c r="R31" s="609"/>
      <c r="S31" s="188"/>
      <c r="T31" s="108"/>
      <c r="U31" s="108"/>
      <c r="V31" s="108">
        <f>IF(U31&gt;0,(HLOOKUP(U31,$F$17:$O$19,3,FALSE)),(0))</f>
        <v>0</v>
      </c>
      <c r="W31" s="108">
        <f>IF(S31&gt;0,(VLOOKUP(S31,$A$10:$B$16,2,FALSE)),(0))</f>
        <v>0</v>
      </c>
      <c r="X31" s="108"/>
    </row>
    <row r="32" spans="1:25" ht="15" x14ac:dyDescent="0.25">
      <c r="A32" s="107">
        <v>3</v>
      </c>
      <c r="B32" s="107">
        <f t="shared" si="1"/>
        <v>0</v>
      </c>
      <c r="C32" s="107">
        <v>4</v>
      </c>
      <c r="D32" s="107"/>
      <c r="E32" s="263"/>
      <c r="F32" s="344">
        <f t="shared" si="5"/>
        <v>0</v>
      </c>
      <c r="G32" s="108">
        <f t="shared" si="5"/>
        <v>0</v>
      </c>
      <c r="H32" s="108">
        <f t="shared" si="5"/>
        <v>0</v>
      </c>
      <c r="I32" s="108">
        <f t="shared" si="5"/>
        <v>0</v>
      </c>
      <c r="J32" s="108">
        <f t="shared" si="5"/>
        <v>0</v>
      </c>
      <c r="K32" s="108">
        <f t="shared" si="5"/>
        <v>0</v>
      </c>
      <c r="L32" s="108">
        <f t="shared" si="5"/>
        <v>0</v>
      </c>
      <c r="M32" s="109">
        <f t="shared" si="5"/>
        <v>0</v>
      </c>
      <c r="N32" s="108">
        <f t="shared" si="5"/>
        <v>0</v>
      </c>
      <c r="O32" s="108">
        <f t="shared" si="5"/>
        <v>0</v>
      </c>
      <c r="P32" s="108"/>
      <c r="R32" s="609"/>
      <c r="S32" s="188"/>
      <c r="T32" s="108"/>
      <c r="U32" s="108"/>
      <c r="V32" s="108">
        <f>IF(U32&gt;0,(HLOOKUP(U32,$F$17:$O$19,3,FALSE)),(0))</f>
        <v>0</v>
      </c>
      <c r="W32" s="108">
        <f>IF(S32&gt;0,(VLOOKUP(S32,$A$10:$B$16,2,FALSE)),(0))</f>
        <v>0</v>
      </c>
      <c r="X32" s="108"/>
      <c r="Y32" s="349"/>
    </row>
    <row r="33" spans="1:25" x14ac:dyDescent="0.2">
      <c r="A33" s="107">
        <v>4</v>
      </c>
      <c r="B33" s="107">
        <f t="shared" si="1"/>
        <v>0</v>
      </c>
      <c r="C33" s="107">
        <v>20</v>
      </c>
      <c r="D33" s="107"/>
      <c r="E33" s="263"/>
      <c r="F33" s="344">
        <f t="shared" si="5"/>
        <v>0</v>
      </c>
      <c r="G33" s="108">
        <f t="shared" si="5"/>
        <v>0</v>
      </c>
      <c r="H33" s="108">
        <f t="shared" si="5"/>
        <v>0</v>
      </c>
      <c r="I33" s="108">
        <f t="shared" si="5"/>
        <v>0</v>
      </c>
      <c r="J33" s="108">
        <f t="shared" si="5"/>
        <v>0</v>
      </c>
      <c r="K33" s="108">
        <f t="shared" si="5"/>
        <v>0</v>
      </c>
      <c r="L33" s="108">
        <f t="shared" si="5"/>
        <v>0</v>
      </c>
      <c r="M33" s="109">
        <f t="shared" si="5"/>
        <v>0</v>
      </c>
      <c r="N33" s="108">
        <f t="shared" si="5"/>
        <v>0</v>
      </c>
      <c r="O33" s="108">
        <f t="shared" si="5"/>
        <v>0</v>
      </c>
      <c r="P33" s="108"/>
      <c r="R33" s="188"/>
      <c r="S33" s="188"/>
      <c r="T33" s="108"/>
      <c r="U33" s="108"/>
      <c r="V33" s="108"/>
      <c r="W33" s="108">
        <f t="shared" ref="W33:W40" si="6">IF(S33&gt;0,(VLOOKUP(S33,$A$10:$B$16,2,FALSE)),(0))</f>
        <v>0</v>
      </c>
      <c r="X33" s="108"/>
      <c r="Y33" s="349"/>
    </row>
    <row r="34" spans="1:25" x14ac:dyDescent="0.2">
      <c r="A34" s="107">
        <v>4</v>
      </c>
      <c r="B34" s="107">
        <f t="shared" si="1"/>
        <v>0</v>
      </c>
      <c r="C34" s="107">
        <v>10</v>
      </c>
      <c r="D34" s="107"/>
      <c r="E34" s="263"/>
      <c r="F34" s="344">
        <f t="shared" si="5"/>
        <v>0</v>
      </c>
      <c r="G34" s="108">
        <f t="shared" si="5"/>
        <v>0</v>
      </c>
      <c r="H34" s="108">
        <f t="shared" si="5"/>
        <v>0</v>
      </c>
      <c r="I34" s="108">
        <f t="shared" si="5"/>
        <v>0</v>
      </c>
      <c r="J34" s="108">
        <f t="shared" si="5"/>
        <v>0</v>
      </c>
      <c r="K34" s="108">
        <f t="shared" si="5"/>
        <v>0</v>
      </c>
      <c r="L34" s="108">
        <f t="shared" si="5"/>
        <v>0</v>
      </c>
      <c r="M34" s="109">
        <f t="shared" si="5"/>
        <v>0</v>
      </c>
      <c r="N34" s="108">
        <f t="shared" si="5"/>
        <v>0</v>
      </c>
      <c r="O34" s="108">
        <f t="shared" si="5"/>
        <v>0</v>
      </c>
      <c r="P34" s="108"/>
      <c r="R34" s="188"/>
      <c r="S34" s="188"/>
      <c r="T34" s="108"/>
      <c r="U34" s="108"/>
      <c r="V34" s="108"/>
      <c r="W34" s="108">
        <f>IF(S34&gt;0,(VLOOKUP(S34,$A$10:$B$16,2,FALSE)),(0))</f>
        <v>0</v>
      </c>
      <c r="X34" s="108"/>
      <c r="Y34" s="349"/>
    </row>
    <row r="35" spans="1:25" x14ac:dyDescent="0.2">
      <c r="A35" s="107">
        <v>4</v>
      </c>
      <c r="B35" s="107">
        <f t="shared" si="1"/>
        <v>0</v>
      </c>
      <c r="C35" s="107">
        <v>5</v>
      </c>
      <c r="D35" s="107"/>
      <c r="E35" s="263"/>
      <c r="F35" s="344">
        <f t="shared" si="5"/>
        <v>0</v>
      </c>
      <c r="G35" s="108">
        <f t="shared" si="5"/>
        <v>0</v>
      </c>
      <c r="H35" s="108">
        <f t="shared" si="5"/>
        <v>0</v>
      </c>
      <c r="I35" s="108">
        <f t="shared" si="5"/>
        <v>0</v>
      </c>
      <c r="J35" s="108">
        <f t="shared" si="5"/>
        <v>0</v>
      </c>
      <c r="K35" s="108">
        <f t="shared" si="5"/>
        <v>0</v>
      </c>
      <c r="L35" s="108">
        <f t="shared" si="5"/>
        <v>0</v>
      </c>
      <c r="M35" s="109">
        <f t="shared" si="5"/>
        <v>0</v>
      </c>
      <c r="N35" s="108">
        <f t="shared" si="5"/>
        <v>0</v>
      </c>
      <c r="O35" s="108">
        <f t="shared" si="5"/>
        <v>0</v>
      </c>
      <c r="P35" s="108"/>
      <c r="R35" s="188"/>
      <c r="S35" s="188"/>
      <c r="T35" s="108"/>
      <c r="U35" s="108"/>
      <c r="V35" s="108"/>
      <c r="W35" s="108">
        <f>IF(S35&gt;0,(VLOOKUP(S35,$A$10:$B$16,2,FALSE)),(0))</f>
        <v>0</v>
      </c>
      <c r="X35" s="108"/>
      <c r="Y35" s="349"/>
    </row>
    <row r="36" spans="1:25" x14ac:dyDescent="0.2">
      <c r="A36" s="107">
        <v>4</v>
      </c>
      <c r="B36" s="107">
        <f t="shared" si="1"/>
        <v>0</v>
      </c>
      <c r="C36" s="107">
        <v>4</v>
      </c>
      <c r="D36" s="107"/>
      <c r="E36" s="263"/>
      <c r="F36" s="344">
        <f t="shared" si="5"/>
        <v>0</v>
      </c>
      <c r="G36" s="108">
        <f t="shared" si="5"/>
        <v>0</v>
      </c>
      <c r="H36" s="108">
        <f t="shared" si="5"/>
        <v>0</v>
      </c>
      <c r="I36" s="108">
        <f t="shared" si="5"/>
        <v>0</v>
      </c>
      <c r="J36" s="108">
        <f t="shared" si="5"/>
        <v>0</v>
      </c>
      <c r="K36" s="108">
        <f t="shared" si="5"/>
        <v>0</v>
      </c>
      <c r="L36" s="108">
        <f t="shared" si="5"/>
        <v>0</v>
      </c>
      <c r="M36" s="109">
        <f t="shared" si="5"/>
        <v>0</v>
      </c>
      <c r="N36" s="108">
        <f t="shared" si="5"/>
        <v>0</v>
      </c>
      <c r="O36" s="108">
        <f t="shared" si="5"/>
        <v>0</v>
      </c>
      <c r="P36" s="108"/>
      <c r="R36" s="188"/>
      <c r="S36" s="188"/>
      <c r="T36" s="108"/>
      <c r="U36" s="108"/>
      <c r="V36" s="108"/>
      <c r="W36" s="108">
        <f>IF(S36&gt;0,(VLOOKUP(S36,$A$10:$B$16,2,FALSE)),(0))</f>
        <v>0</v>
      </c>
      <c r="X36" s="108"/>
      <c r="Y36" s="349"/>
    </row>
    <row r="37" spans="1:25" x14ac:dyDescent="0.2">
      <c r="A37" s="107">
        <v>5</v>
      </c>
      <c r="B37" s="107">
        <f t="shared" si="1"/>
        <v>0</v>
      </c>
      <c r="C37" s="107">
        <v>20</v>
      </c>
      <c r="D37" s="107"/>
      <c r="E37" s="263"/>
      <c r="F37" s="344">
        <f t="shared" si="5"/>
        <v>0</v>
      </c>
      <c r="G37" s="108">
        <f t="shared" si="5"/>
        <v>0</v>
      </c>
      <c r="H37" s="108">
        <f t="shared" si="5"/>
        <v>0</v>
      </c>
      <c r="I37" s="108">
        <f t="shared" si="5"/>
        <v>0</v>
      </c>
      <c r="J37" s="108">
        <f t="shared" si="5"/>
        <v>0</v>
      </c>
      <c r="K37" s="108">
        <f t="shared" si="5"/>
        <v>0</v>
      </c>
      <c r="L37" s="108">
        <f t="shared" si="5"/>
        <v>0</v>
      </c>
      <c r="M37" s="109">
        <f t="shared" si="5"/>
        <v>0</v>
      </c>
      <c r="N37" s="108">
        <f t="shared" si="5"/>
        <v>0</v>
      </c>
      <c r="O37" s="108">
        <f t="shared" si="5"/>
        <v>0</v>
      </c>
      <c r="P37" s="108"/>
      <c r="R37" s="188"/>
      <c r="S37" s="188"/>
      <c r="T37" s="108"/>
      <c r="U37" s="108"/>
      <c r="V37" s="108"/>
      <c r="W37" s="108">
        <f t="shared" si="6"/>
        <v>0</v>
      </c>
      <c r="X37" s="108"/>
      <c r="Y37" s="349"/>
    </row>
    <row r="38" spans="1:25" x14ac:dyDescent="0.2">
      <c r="A38" s="107">
        <v>5</v>
      </c>
      <c r="B38" s="107">
        <f t="shared" si="1"/>
        <v>0</v>
      </c>
      <c r="C38" s="107">
        <v>10</v>
      </c>
      <c r="D38" s="107"/>
      <c r="E38" s="263"/>
      <c r="F38" s="344">
        <f t="shared" si="5"/>
        <v>0</v>
      </c>
      <c r="G38" s="108">
        <f t="shared" si="5"/>
        <v>0</v>
      </c>
      <c r="H38" s="108">
        <f t="shared" si="5"/>
        <v>0</v>
      </c>
      <c r="I38" s="108">
        <f t="shared" si="5"/>
        <v>0</v>
      </c>
      <c r="J38" s="108">
        <f t="shared" si="5"/>
        <v>0</v>
      </c>
      <c r="K38" s="108">
        <f t="shared" si="5"/>
        <v>0</v>
      </c>
      <c r="L38" s="108">
        <f t="shared" si="5"/>
        <v>0</v>
      </c>
      <c r="M38" s="109">
        <f t="shared" si="5"/>
        <v>0</v>
      </c>
      <c r="N38" s="108">
        <f t="shared" si="5"/>
        <v>0</v>
      </c>
      <c r="O38" s="108">
        <f t="shared" si="5"/>
        <v>0</v>
      </c>
      <c r="P38" s="108"/>
      <c r="R38" s="188"/>
      <c r="S38" s="188"/>
      <c r="T38" s="108"/>
      <c r="U38" s="108"/>
      <c r="V38" s="108"/>
      <c r="W38" s="108">
        <f t="shared" si="6"/>
        <v>0</v>
      </c>
      <c r="X38" s="108"/>
      <c r="Y38" s="349"/>
    </row>
    <row r="39" spans="1:25" x14ac:dyDescent="0.2">
      <c r="A39" s="107">
        <v>5</v>
      </c>
      <c r="B39" s="107">
        <f t="shared" si="1"/>
        <v>0</v>
      </c>
      <c r="C39" s="107">
        <v>5</v>
      </c>
      <c r="D39" s="107"/>
      <c r="E39" s="263"/>
      <c r="F39" s="344">
        <f t="shared" si="5"/>
        <v>0</v>
      </c>
      <c r="G39" s="108">
        <f t="shared" si="5"/>
        <v>0</v>
      </c>
      <c r="H39" s="108">
        <f t="shared" si="5"/>
        <v>0</v>
      </c>
      <c r="I39" s="108">
        <f t="shared" si="5"/>
        <v>0</v>
      </c>
      <c r="J39" s="108">
        <f t="shared" si="5"/>
        <v>0</v>
      </c>
      <c r="K39" s="108">
        <f t="shared" si="5"/>
        <v>0</v>
      </c>
      <c r="L39" s="108">
        <f t="shared" si="5"/>
        <v>0</v>
      </c>
      <c r="M39" s="109">
        <f t="shared" si="5"/>
        <v>0</v>
      </c>
      <c r="N39" s="108">
        <f t="shared" si="5"/>
        <v>0</v>
      </c>
      <c r="O39" s="108">
        <f t="shared" si="5"/>
        <v>0</v>
      </c>
      <c r="P39" s="108"/>
      <c r="R39" s="188"/>
      <c r="S39" s="188"/>
      <c r="T39" s="108"/>
      <c r="U39" s="108"/>
      <c r="V39" s="108"/>
      <c r="W39" s="108">
        <f t="shared" si="6"/>
        <v>0</v>
      </c>
      <c r="X39" s="108"/>
      <c r="Y39" s="350"/>
    </row>
    <row r="40" spans="1:25" x14ac:dyDescent="0.2">
      <c r="A40" s="107">
        <v>5</v>
      </c>
      <c r="B40" s="107">
        <f t="shared" si="1"/>
        <v>0</v>
      </c>
      <c r="C40" s="107">
        <v>4</v>
      </c>
      <c r="D40" s="107"/>
      <c r="E40" s="263"/>
      <c r="F40" s="344">
        <f t="shared" si="5"/>
        <v>0</v>
      </c>
      <c r="G40" s="108">
        <f t="shared" si="5"/>
        <v>0</v>
      </c>
      <c r="H40" s="108">
        <f t="shared" si="5"/>
        <v>0</v>
      </c>
      <c r="I40" s="108">
        <f t="shared" si="5"/>
        <v>0</v>
      </c>
      <c r="J40" s="108">
        <f t="shared" si="5"/>
        <v>0</v>
      </c>
      <c r="K40" s="108">
        <f t="shared" si="5"/>
        <v>0</v>
      </c>
      <c r="L40" s="108">
        <f t="shared" si="5"/>
        <v>0</v>
      </c>
      <c r="M40" s="109">
        <f t="shared" si="5"/>
        <v>0</v>
      </c>
      <c r="N40" s="108">
        <f t="shared" si="5"/>
        <v>0</v>
      </c>
      <c r="O40" s="108">
        <f t="shared" si="5"/>
        <v>0</v>
      </c>
      <c r="P40" s="108"/>
      <c r="R40" s="188"/>
      <c r="S40" s="188"/>
      <c r="T40" s="108"/>
      <c r="U40" s="108"/>
      <c r="V40" s="108"/>
      <c r="W40" s="108">
        <f t="shared" si="6"/>
        <v>0</v>
      </c>
      <c r="X40" s="108"/>
      <c r="Y40" s="350"/>
    </row>
    <row r="41" spans="1:25" x14ac:dyDescent="0.2">
      <c r="A41" s="107">
        <v>6</v>
      </c>
      <c r="B41" s="107">
        <f t="shared" si="1"/>
        <v>0</v>
      </c>
      <c r="C41" s="107">
        <v>20</v>
      </c>
      <c r="D41" s="107"/>
      <c r="E41" s="263"/>
      <c r="F41" s="344">
        <f t="shared" ref="F41:O50" si="7">-IF($A41&gt;F$19,0,IF(F$19&gt;$C41+$A41-1,0,IF($J$11=1,SYD($B41,$D41,$C41,F$19),SLN($B41,$D41,$C41))))</f>
        <v>0</v>
      </c>
      <c r="G41" s="108">
        <f t="shared" si="7"/>
        <v>0</v>
      </c>
      <c r="H41" s="108">
        <f t="shared" si="7"/>
        <v>0</v>
      </c>
      <c r="I41" s="108">
        <f t="shared" si="7"/>
        <v>0</v>
      </c>
      <c r="J41" s="108">
        <f t="shared" si="7"/>
        <v>0</v>
      </c>
      <c r="K41" s="108">
        <f t="shared" si="7"/>
        <v>0</v>
      </c>
      <c r="L41" s="108">
        <f t="shared" si="7"/>
        <v>0</v>
      </c>
      <c r="M41" s="109">
        <f t="shared" si="7"/>
        <v>0</v>
      </c>
      <c r="N41" s="108">
        <f t="shared" si="7"/>
        <v>0</v>
      </c>
      <c r="O41" s="108">
        <f t="shared" si="7"/>
        <v>0</v>
      </c>
      <c r="P41" s="108"/>
      <c r="R41" s="188"/>
      <c r="S41" s="188"/>
      <c r="T41" s="108"/>
      <c r="U41" s="108"/>
      <c r="V41" s="108"/>
      <c r="W41" s="108">
        <f>IF(S41&gt;0,(VLOOKUP(S41,$A$10:$B$16,2,FALSE)),(0))</f>
        <v>0</v>
      </c>
      <c r="X41" s="108"/>
      <c r="Y41" s="350"/>
    </row>
    <row r="42" spans="1:25" x14ac:dyDescent="0.2">
      <c r="A42" s="107">
        <v>6</v>
      </c>
      <c r="B42" s="107">
        <f t="shared" si="1"/>
        <v>0</v>
      </c>
      <c r="C42" s="107">
        <v>10</v>
      </c>
      <c r="D42" s="107"/>
      <c r="E42" s="263"/>
      <c r="F42" s="344">
        <f t="shared" si="7"/>
        <v>0</v>
      </c>
      <c r="G42" s="108">
        <f t="shared" si="7"/>
        <v>0</v>
      </c>
      <c r="H42" s="108">
        <f t="shared" si="7"/>
        <v>0</v>
      </c>
      <c r="I42" s="108">
        <f t="shared" si="7"/>
        <v>0</v>
      </c>
      <c r="J42" s="108">
        <f t="shared" si="7"/>
        <v>0</v>
      </c>
      <c r="K42" s="108">
        <f t="shared" si="7"/>
        <v>0</v>
      </c>
      <c r="L42" s="108">
        <f t="shared" si="7"/>
        <v>0</v>
      </c>
      <c r="M42" s="109">
        <f t="shared" si="7"/>
        <v>0</v>
      </c>
      <c r="N42" s="108">
        <f t="shared" si="7"/>
        <v>0</v>
      </c>
      <c r="O42" s="108">
        <f t="shared" si="7"/>
        <v>0</v>
      </c>
      <c r="P42" s="108"/>
      <c r="R42" s="188"/>
      <c r="S42" s="188"/>
      <c r="T42" s="108"/>
      <c r="U42" s="108"/>
      <c r="V42" s="108"/>
      <c r="W42" s="108">
        <f>IF(S42&gt;0,(VLOOKUP(S42,$A$10:$B$16,2,FALSE)),(0))</f>
        <v>0</v>
      </c>
      <c r="X42" s="108"/>
      <c r="Y42" s="350"/>
    </row>
    <row r="43" spans="1:25" x14ac:dyDescent="0.2">
      <c r="A43" s="107">
        <v>6</v>
      </c>
      <c r="B43" s="107">
        <f t="shared" si="1"/>
        <v>0</v>
      </c>
      <c r="C43" s="107">
        <v>5</v>
      </c>
      <c r="D43" s="107"/>
      <c r="E43" s="263"/>
      <c r="F43" s="344">
        <f t="shared" si="7"/>
        <v>0</v>
      </c>
      <c r="G43" s="108">
        <f t="shared" si="7"/>
        <v>0</v>
      </c>
      <c r="H43" s="108">
        <f t="shared" si="7"/>
        <v>0</v>
      </c>
      <c r="I43" s="108">
        <f t="shared" si="7"/>
        <v>0</v>
      </c>
      <c r="J43" s="108">
        <f t="shared" si="7"/>
        <v>0</v>
      </c>
      <c r="K43" s="108">
        <f t="shared" si="7"/>
        <v>0</v>
      </c>
      <c r="L43" s="108">
        <f t="shared" si="7"/>
        <v>0</v>
      </c>
      <c r="M43" s="109">
        <f t="shared" si="7"/>
        <v>0</v>
      </c>
      <c r="N43" s="108">
        <f t="shared" si="7"/>
        <v>0</v>
      </c>
      <c r="O43" s="108">
        <f t="shared" si="7"/>
        <v>0</v>
      </c>
      <c r="P43" s="108"/>
      <c r="R43" s="188"/>
      <c r="S43" s="188"/>
      <c r="T43" s="108"/>
      <c r="U43" s="108"/>
      <c r="V43" s="108"/>
      <c r="W43" s="108">
        <f t="shared" ref="W43:W53" si="8">IF(S43&gt;0,(VLOOKUP(S43,$A$10:$B$16,2,FALSE)),(0))</f>
        <v>0</v>
      </c>
      <c r="X43" s="108"/>
      <c r="Y43" s="350"/>
    </row>
    <row r="44" spans="1:25" x14ac:dyDescent="0.2">
      <c r="A44" s="107">
        <v>6</v>
      </c>
      <c r="B44" s="107">
        <f t="shared" si="1"/>
        <v>0</v>
      </c>
      <c r="C44" s="107">
        <v>4</v>
      </c>
      <c r="D44" s="107"/>
      <c r="E44" s="263"/>
      <c r="F44" s="344">
        <f t="shared" si="7"/>
        <v>0</v>
      </c>
      <c r="G44" s="108">
        <f t="shared" si="7"/>
        <v>0</v>
      </c>
      <c r="H44" s="108">
        <f t="shared" si="7"/>
        <v>0</v>
      </c>
      <c r="I44" s="108">
        <f t="shared" si="7"/>
        <v>0</v>
      </c>
      <c r="J44" s="108">
        <f t="shared" si="7"/>
        <v>0</v>
      </c>
      <c r="K44" s="108">
        <f t="shared" si="7"/>
        <v>0</v>
      </c>
      <c r="L44" s="108">
        <f t="shared" si="7"/>
        <v>0</v>
      </c>
      <c r="M44" s="109">
        <f t="shared" si="7"/>
        <v>0</v>
      </c>
      <c r="N44" s="108">
        <f t="shared" si="7"/>
        <v>0</v>
      </c>
      <c r="O44" s="108">
        <f t="shared" si="7"/>
        <v>0</v>
      </c>
      <c r="P44" s="108"/>
      <c r="R44" s="188"/>
      <c r="S44" s="188"/>
      <c r="T44" s="108"/>
      <c r="U44" s="108"/>
      <c r="V44" s="108"/>
      <c r="W44" s="108">
        <f t="shared" si="8"/>
        <v>0</v>
      </c>
      <c r="X44" s="108"/>
      <c r="Y44" s="350"/>
    </row>
    <row r="45" spans="1:25" x14ac:dyDescent="0.2">
      <c r="A45" s="107">
        <v>7</v>
      </c>
      <c r="B45" s="107">
        <f t="shared" si="1"/>
        <v>0</v>
      </c>
      <c r="C45" s="107">
        <v>20</v>
      </c>
      <c r="D45" s="107"/>
      <c r="E45" s="263"/>
      <c r="F45" s="344">
        <f t="shared" si="7"/>
        <v>0</v>
      </c>
      <c r="G45" s="108">
        <f t="shared" si="7"/>
        <v>0</v>
      </c>
      <c r="H45" s="108">
        <f t="shared" si="7"/>
        <v>0</v>
      </c>
      <c r="I45" s="108">
        <f t="shared" si="7"/>
        <v>0</v>
      </c>
      <c r="J45" s="108">
        <f t="shared" si="7"/>
        <v>0</v>
      </c>
      <c r="K45" s="108">
        <f t="shared" si="7"/>
        <v>0</v>
      </c>
      <c r="L45" s="108">
        <f t="shared" si="7"/>
        <v>0</v>
      </c>
      <c r="M45" s="109">
        <f t="shared" si="7"/>
        <v>0</v>
      </c>
      <c r="N45" s="108">
        <f t="shared" si="7"/>
        <v>0</v>
      </c>
      <c r="O45" s="108">
        <f t="shared" si="7"/>
        <v>0</v>
      </c>
      <c r="P45" s="108"/>
      <c r="R45" s="188"/>
      <c r="S45" s="188"/>
      <c r="T45" s="108"/>
      <c r="U45" s="108"/>
      <c r="V45" s="108"/>
      <c r="W45" s="108">
        <f t="shared" si="8"/>
        <v>0</v>
      </c>
      <c r="X45" s="108"/>
      <c r="Y45" s="350"/>
    </row>
    <row r="46" spans="1:25" x14ac:dyDescent="0.2">
      <c r="A46" s="107">
        <v>7</v>
      </c>
      <c r="B46" s="107">
        <f t="shared" si="1"/>
        <v>0</v>
      </c>
      <c r="C46" s="107">
        <v>10</v>
      </c>
      <c r="D46" s="107"/>
      <c r="E46" s="263"/>
      <c r="F46" s="344">
        <f t="shared" si="7"/>
        <v>0</v>
      </c>
      <c r="G46" s="108">
        <f t="shared" si="7"/>
        <v>0</v>
      </c>
      <c r="H46" s="108">
        <f t="shared" si="7"/>
        <v>0</v>
      </c>
      <c r="I46" s="108">
        <f t="shared" si="7"/>
        <v>0</v>
      </c>
      <c r="J46" s="108">
        <f t="shared" si="7"/>
        <v>0</v>
      </c>
      <c r="K46" s="108">
        <f t="shared" si="7"/>
        <v>0</v>
      </c>
      <c r="L46" s="108">
        <f t="shared" si="7"/>
        <v>0</v>
      </c>
      <c r="M46" s="109">
        <f t="shared" si="7"/>
        <v>0</v>
      </c>
      <c r="N46" s="108">
        <f t="shared" si="7"/>
        <v>0</v>
      </c>
      <c r="O46" s="108">
        <f t="shared" si="7"/>
        <v>0</v>
      </c>
      <c r="P46" s="108"/>
      <c r="R46" s="188"/>
      <c r="S46" s="188"/>
      <c r="T46" s="108"/>
      <c r="U46" s="108"/>
      <c r="V46" s="108">
        <f t="shared" ref="V46:V53" si="9">IF(U46&gt;0,(HLOOKUP(U46,$F$17:$O$19,3,FALSE)),(0))</f>
        <v>0</v>
      </c>
      <c r="W46" s="108">
        <f t="shared" si="8"/>
        <v>0</v>
      </c>
      <c r="X46" s="108"/>
      <c r="Y46" s="350"/>
    </row>
    <row r="47" spans="1:25" x14ac:dyDescent="0.2">
      <c r="A47" s="107">
        <v>7</v>
      </c>
      <c r="B47" s="107">
        <f t="shared" si="1"/>
        <v>0</v>
      </c>
      <c r="C47" s="107">
        <v>5</v>
      </c>
      <c r="D47" s="107"/>
      <c r="E47" s="263"/>
      <c r="F47" s="344">
        <f t="shared" si="7"/>
        <v>0</v>
      </c>
      <c r="G47" s="108">
        <f t="shared" si="7"/>
        <v>0</v>
      </c>
      <c r="H47" s="108">
        <f t="shared" si="7"/>
        <v>0</v>
      </c>
      <c r="I47" s="108">
        <f t="shared" si="7"/>
        <v>0</v>
      </c>
      <c r="J47" s="108">
        <f t="shared" si="7"/>
        <v>0</v>
      </c>
      <c r="K47" s="108">
        <f t="shared" si="7"/>
        <v>0</v>
      </c>
      <c r="L47" s="108">
        <f t="shared" si="7"/>
        <v>0</v>
      </c>
      <c r="M47" s="109">
        <f t="shared" si="7"/>
        <v>0</v>
      </c>
      <c r="N47" s="108">
        <f t="shared" si="7"/>
        <v>0</v>
      </c>
      <c r="O47" s="108">
        <f t="shared" si="7"/>
        <v>0</v>
      </c>
      <c r="P47" s="108"/>
      <c r="R47" s="188"/>
      <c r="S47" s="188"/>
      <c r="T47" s="108"/>
      <c r="U47" s="108"/>
      <c r="V47" s="108">
        <f t="shared" si="9"/>
        <v>0</v>
      </c>
      <c r="W47" s="108">
        <f t="shared" si="8"/>
        <v>0</v>
      </c>
      <c r="X47" s="108"/>
      <c r="Y47" s="350"/>
    </row>
    <row r="48" spans="1:25" x14ac:dyDescent="0.2">
      <c r="A48" s="107">
        <v>7</v>
      </c>
      <c r="B48" s="107">
        <f t="shared" si="1"/>
        <v>0</v>
      </c>
      <c r="C48" s="107">
        <v>4</v>
      </c>
      <c r="D48" s="107"/>
      <c r="E48" s="263"/>
      <c r="F48" s="344">
        <f t="shared" si="7"/>
        <v>0</v>
      </c>
      <c r="G48" s="108">
        <f t="shared" si="7"/>
        <v>0</v>
      </c>
      <c r="H48" s="108">
        <f t="shared" si="7"/>
        <v>0</v>
      </c>
      <c r="I48" s="108">
        <f t="shared" si="7"/>
        <v>0</v>
      </c>
      <c r="J48" s="108">
        <f t="shared" si="7"/>
        <v>0</v>
      </c>
      <c r="K48" s="108">
        <f t="shared" si="7"/>
        <v>0</v>
      </c>
      <c r="L48" s="108">
        <f t="shared" si="7"/>
        <v>0</v>
      </c>
      <c r="M48" s="109">
        <f t="shared" si="7"/>
        <v>0</v>
      </c>
      <c r="N48" s="108">
        <f t="shared" si="7"/>
        <v>0</v>
      </c>
      <c r="O48" s="108">
        <f t="shared" si="7"/>
        <v>0</v>
      </c>
      <c r="P48" s="108"/>
      <c r="R48" s="188"/>
      <c r="S48" s="188"/>
      <c r="T48" s="108"/>
      <c r="U48" s="108"/>
      <c r="V48" s="108">
        <f t="shared" si="9"/>
        <v>0</v>
      </c>
      <c r="W48" s="108">
        <f t="shared" si="8"/>
        <v>0</v>
      </c>
      <c r="X48" s="108"/>
      <c r="Y48" s="350"/>
    </row>
    <row r="49" spans="1:25" x14ac:dyDescent="0.2">
      <c r="A49" s="107">
        <v>8</v>
      </c>
      <c r="B49" s="107">
        <f t="shared" si="1"/>
        <v>0</v>
      </c>
      <c r="C49" s="107">
        <v>20</v>
      </c>
      <c r="D49" s="107"/>
      <c r="E49" s="263"/>
      <c r="F49" s="344">
        <f t="shared" si="7"/>
        <v>0</v>
      </c>
      <c r="G49" s="108">
        <f t="shared" si="7"/>
        <v>0</v>
      </c>
      <c r="H49" s="108">
        <f t="shared" si="7"/>
        <v>0</v>
      </c>
      <c r="I49" s="108">
        <f t="shared" si="7"/>
        <v>0</v>
      </c>
      <c r="J49" s="108">
        <f t="shared" si="7"/>
        <v>0</v>
      </c>
      <c r="K49" s="108">
        <f t="shared" si="7"/>
        <v>0</v>
      </c>
      <c r="L49" s="108">
        <f t="shared" si="7"/>
        <v>0</v>
      </c>
      <c r="M49" s="109">
        <f t="shared" si="7"/>
        <v>0</v>
      </c>
      <c r="N49" s="108">
        <f t="shared" si="7"/>
        <v>0</v>
      </c>
      <c r="O49" s="108">
        <f t="shared" si="7"/>
        <v>0</v>
      </c>
      <c r="P49" s="108"/>
      <c r="R49" s="188"/>
      <c r="S49" s="188"/>
      <c r="T49" s="108"/>
      <c r="U49" s="108"/>
      <c r="V49" s="108">
        <f t="shared" si="9"/>
        <v>0</v>
      </c>
      <c r="W49" s="108">
        <f t="shared" si="8"/>
        <v>0</v>
      </c>
      <c r="X49" s="108"/>
      <c r="Y49" s="350"/>
    </row>
    <row r="50" spans="1:25" x14ac:dyDescent="0.2">
      <c r="A50" s="107">
        <v>8</v>
      </c>
      <c r="B50" s="107">
        <f t="shared" si="1"/>
        <v>0</v>
      </c>
      <c r="C50" s="107">
        <v>10</v>
      </c>
      <c r="D50" s="107"/>
      <c r="E50" s="263"/>
      <c r="F50" s="344">
        <f t="shared" si="7"/>
        <v>0</v>
      </c>
      <c r="G50" s="108">
        <f t="shared" si="7"/>
        <v>0</v>
      </c>
      <c r="H50" s="108">
        <f t="shared" si="7"/>
        <v>0</v>
      </c>
      <c r="I50" s="108">
        <f t="shared" si="7"/>
        <v>0</v>
      </c>
      <c r="J50" s="108">
        <f t="shared" si="7"/>
        <v>0</v>
      </c>
      <c r="K50" s="108">
        <f t="shared" si="7"/>
        <v>0</v>
      </c>
      <c r="L50" s="108">
        <f t="shared" si="7"/>
        <v>0</v>
      </c>
      <c r="M50" s="109">
        <f t="shared" si="7"/>
        <v>0</v>
      </c>
      <c r="N50" s="108">
        <f t="shared" si="7"/>
        <v>0</v>
      </c>
      <c r="O50" s="108">
        <f t="shared" si="7"/>
        <v>0</v>
      </c>
      <c r="P50" s="108"/>
      <c r="R50" s="188"/>
      <c r="S50" s="188"/>
      <c r="T50" s="108"/>
      <c r="U50" s="108"/>
      <c r="V50" s="108">
        <f t="shared" si="9"/>
        <v>0</v>
      </c>
      <c r="W50" s="108">
        <f t="shared" si="8"/>
        <v>0</v>
      </c>
      <c r="X50" s="108"/>
      <c r="Y50" s="350"/>
    </row>
    <row r="51" spans="1:25" x14ac:dyDescent="0.2">
      <c r="A51" s="107">
        <v>8</v>
      </c>
      <c r="B51" s="107">
        <f t="shared" si="1"/>
        <v>0</v>
      </c>
      <c r="C51" s="107">
        <v>5</v>
      </c>
      <c r="D51" s="107"/>
      <c r="E51" s="263"/>
      <c r="F51" s="344">
        <f t="shared" ref="F51:O60" si="10">-IF($A51&gt;F$19,0,IF(F$19&gt;$C51+$A51-1,0,IF($J$11=1,SYD($B51,$D51,$C51,F$19),SLN($B51,$D51,$C51))))</f>
        <v>0</v>
      </c>
      <c r="G51" s="108">
        <f t="shared" si="10"/>
        <v>0</v>
      </c>
      <c r="H51" s="108">
        <f t="shared" si="10"/>
        <v>0</v>
      </c>
      <c r="I51" s="108">
        <f t="shared" si="10"/>
        <v>0</v>
      </c>
      <c r="J51" s="108">
        <f t="shared" si="10"/>
        <v>0</v>
      </c>
      <c r="K51" s="108">
        <f t="shared" si="10"/>
        <v>0</v>
      </c>
      <c r="L51" s="108">
        <f t="shared" si="10"/>
        <v>0</v>
      </c>
      <c r="M51" s="109">
        <f t="shared" si="10"/>
        <v>0</v>
      </c>
      <c r="N51" s="108">
        <f t="shared" si="10"/>
        <v>0</v>
      </c>
      <c r="O51" s="108">
        <f t="shared" si="10"/>
        <v>0</v>
      </c>
      <c r="P51" s="108"/>
      <c r="R51" s="188"/>
      <c r="S51" s="188"/>
      <c r="T51" s="108"/>
      <c r="U51" s="108"/>
      <c r="V51" s="108">
        <f t="shared" si="9"/>
        <v>0</v>
      </c>
      <c r="W51" s="108">
        <f t="shared" si="8"/>
        <v>0</v>
      </c>
      <c r="X51" s="108"/>
      <c r="Y51" s="350"/>
    </row>
    <row r="52" spans="1:25" x14ac:dyDescent="0.2">
      <c r="A52" s="107">
        <v>8</v>
      </c>
      <c r="B52" s="107">
        <f t="shared" si="1"/>
        <v>0</v>
      </c>
      <c r="C52" s="107">
        <v>4</v>
      </c>
      <c r="D52" s="107"/>
      <c r="E52" s="263"/>
      <c r="F52" s="344">
        <f t="shared" si="10"/>
        <v>0</v>
      </c>
      <c r="G52" s="108">
        <f t="shared" si="10"/>
        <v>0</v>
      </c>
      <c r="H52" s="108">
        <f t="shared" si="10"/>
        <v>0</v>
      </c>
      <c r="I52" s="108">
        <f t="shared" si="10"/>
        <v>0</v>
      </c>
      <c r="J52" s="108">
        <f t="shared" si="10"/>
        <v>0</v>
      </c>
      <c r="K52" s="108">
        <f t="shared" si="10"/>
        <v>0</v>
      </c>
      <c r="L52" s="108">
        <f t="shared" si="10"/>
        <v>0</v>
      </c>
      <c r="M52" s="109">
        <f t="shared" si="10"/>
        <v>0</v>
      </c>
      <c r="N52" s="108">
        <f t="shared" si="10"/>
        <v>0</v>
      </c>
      <c r="O52" s="108">
        <f t="shared" si="10"/>
        <v>0</v>
      </c>
      <c r="P52" s="108"/>
      <c r="R52" s="188"/>
      <c r="S52" s="188"/>
      <c r="T52" s="108"/>
      <c r="U52" s="108"/>
      <c r="V52" s="108">
        <f t="shared" si="9"/>
        <v>0</v>
      </c>
      <c r="W52" s="108">
        <f t="shared" si="8"/>
        <v>0</v>
      </c>
      <c r="X52" s="108"/>
      <c r="Y52" s="350"/>
    </row>
    <row r="53" spans="1:25" x14ac:dyDescent="0.2">
      <c r="A53" s="107">
        <v>9</v>
      </c>
      <c r="B53" s="107">
        <f t="shared" si="1"/>
        <v>0</v>
      </c>
      <c r="C53" s="107">
        <v>20</v>
      </c>
      <c r="D53" s="107"/>
      <c r="E53" s="263"/>
      <c r="F53" s="344">
        <f t="shared" si="10"/>
        <v>0</v>
      </c>
      <c r="G53" s="108">
        <f t="shared" si="10"/>
        <v>0</v>
      </c>
      <c r="H53" s="108">
        <f t="shared" si="10"/>
        <v>0</v>
      </c>
      <c r="I53" s="108">
        <f t="shared" si="10"/>
        <v>0</v>
      </c>
      <c r="J53" s="108">
        <f t="shared" si="10"/>
        <v>0</v>
      </c>
      <c r="K53" s="108">
        <f t="shared" si="10"/>
        <v>0</v>
      </c>
      <c r="L53" s="108">
        <f t="shared" si="10"/>
        <v>0</v>
      </c>
      <c r="M53" s="109">
        <f t="shared" si="10"/>
        <v>0</v>
      </c>
      <c r="N53" s="108">
        <f t="shared" si="10"/>
        <v>0</v>
      </c>
      <c r="O53" s="108">
        <f t="shared" si="10"/>
        <v>0</v>
      </c>
      <c r="P53" s="108"/>
      <c r="R53" s="188"/>
      <c r="S53" s="188"/>
      <c r="T53" s="108"/>
      <c r="U53" s="108"/>
      <c r="V53" s="108">
        <f t="shared" si="9"/>
        <v>0</v>
      </c>
      <c r="W53" s="108">
        <f t="shared" si="8"/>
        <v>0</v>
      </c>
      <c r="X53" s="108"/>
      <c r="Y53" s="350"/>
    </row>
    <row r="54" spans="1:25" x14ac:dyDescent="0.2">
      <c r="A54" s="107">
        <v>9</v>
      </c>
      <c r="B54" s="107">
        <f t="shared" si="1"/>
        <v>0</v>
      </c>
      <c r="C54" s="107">
        <v>10</v>
      </c>
      <c r="D54" s="107"/>
      <c r="E54" s="263"/>
      <c r="F54" s="344">
        <f t="shared" si="10"/>
        <v>0</v>
      </c>
      <c r="G54" s="108">
        <f t="shared" si="10"/>
        <v>0</v>
      </c>
      <c r="H54" s="108">
        <f t="shared" si="10"/>
        <v>0</v>
      </c>
      <c r="I54" s="108">
        <f t="shared" si="10"/>
        <v>0</v>
      </c>
      <c r="J54" s="108">
        <f t="shared" si="10"/>
        <v>0</v>
      </c>
      <c r="K54" s="108">
        <f t="shared" si="10"/>
        <v>0</v>
      </c>
      <c r="L54" s="108">
        <f t="shared" si="10"/>
        <v>0</v>
      </c>
      <c r="M54" s="109">
        <f t="shared" si="10"/>
        <v>0</v>
      </c>
      <c r="N54" s="108">
        <f t="shared" si="10"/>
        <v>0</v>
      </c>
      <c r="O54" s="108">
        <f t="shared" si="10"/>
        <v>0</v>
      </c>
      <c r="P54" s="108"/>
      <c r="R54" s="188"/>
      <c r="S54" s="188"/>
      <c r="T54" s="108"/>
      <c r="U54" s="108"/>
      <c r="V54" s="108">
        <f t="shared" ref="V54:V69" si="11">IF(U54&gt;0,(HLOOKUP(U54,$F$17:$O$19,3,FALSE)),(0))</f>
        <v>0</v>
      </c>
      <c r="W54" s="108">
        <f t="shared" ref="W54:W69" si="12">IF(S54&gt;0,(VLOOKUP(S54,$A$10:$B$16,2,FALSE)),(0))</f>
        <v>0</v>
      </c>
      <c r="X54" s="108"/>
      <c r="Y54" s="350"/>
    </row>
    <row r="55" spans="1:25" x14ac:dyDescent="0.2">
      <c r="A55" s="107">
        <v>9</v>
      </c>
      <c r="B55" s="107">
        <f t="shared" si="1"/>
        <v>0</v>
      </c>
      <c r="C55" s="107">
        <v>5</v>
      </c>
      <c r="D55" s="107"/>
      <c r="E55" s="263"/>
      <c r="F55" s="344">
        <f t="shared" si="10"/>
        <v>0</v>
      </c>
      <c r="G55" s="108">
        <f t="shared" si="10"/>
        <v>0</v>
      </c>
      <c r="H55" s="108">
        <f t="shared" si="10"/>
        <v>0</v>
      </c>
      <c r="I55" s="108">
        <f t="shared" si="10"/>
        <v>0</v>
      </c>
      <c r="J55" s="108">
        <f t="shared" si="10"/>
        <v>0</v>
      </c>
      <c r="K55" s="108">
        <f t="shared" si="10"/>
        <v>0</v>
      </c>
      <c r="L55" s="108">
        <f t="shared" si="10"/>
        <v>0</v>
      </c>
      <c r="M55" s="109">
        <f t="shared" si="10"/>
        <v>0</v>
      </c>
      <c r="N55" s="108">
        <f t="shared" si="10"/>
        <v>0</v>
      </c>
      <c r="O55" s="108">
        <f t="shared" si="10"/>
        <v>0</v>
      </c>
      <c r="P55" s="108"/>
      <c r="R55" s="188"/>
      <c r="S55" s="188"/>
      <c r="T55" s="108"/>
      <c r="U55" s="108"/>
      <c r="V55" s="108">
        <f t="shared" si="11"/>
        <v>0</v>
      </c>
      <c r="W55" s="108">
        <f t="shared" si="12"/>
        <v>0</v>
      </c>
      <c r="X55" s="108"/>
      <c r="Y55" s="350"/>
    </row>
    <row r="56" spans="1:25" x14ac:dyDescent="0.2">
      <c r="A56" s="107">
        <v>9</v>
      </c>
      <c r="B56" s="107">
        <f t="shared" si="1"/>
        <v>0</v>
      </c>
      <c r="C56" s="107">
        <v>4</v>
      </c>
      <c r="D56" s="107"/>
      <c r="E56" s="263"/>
      <c r="F56" s="344">
        <f t="shared" si="10"/>
        <v>0</v>
      </c>
      <c r="G56" s="108">
        <f t="shared" si="10"/>
        <v>0</v>
      </c>
      <c r="H56" s="108">
        <f t="shared" si="10"/>
        <v>0</v>
      </c>
      <c r="I56" s="108">
        <f t="shared" si="10"/>
        <v>0</v>
      </c>
      <c r="J56" s="108">
        <f t="shared" si="10"/>
        <v>0</v>
      </c>
      <c r="K56" s="108">
        <f t="shared" si="10"/>
        <v>0</v>
      </c>
      <c r="L56" s="108">
        <f t="shared" si="10"/>
        <v>0</v>
      </c>
      <c r="M56" s="109">
        <f t="shared" si="10"/>
        <v>0</v>
      </c>
      <c r="N56" s="108">
        <f t="shared" si="10"/>
        <v>0</v>
      </c>
      <c r="O56" s="108">
        <f t="shared" si="10"/>
        <v>0</v>
      </c>
      <c r="P56" s="108"/>
      <c r="R56" s="188"/>
      <c r="S56" s="188"/>
      <c r="T56" s="108"/>
      <c r="U56" s="108"/>
      <c r="V56" s="108">
        <f t="shared" si="11"/>
        <v>0</v>
      </c>
      <c r="W56" s="108">
        <f t="shared" si="12"/>
        <v>0</v>
      </c>
      <c r="X56" s="108"/>
      <c r="Y56" s="350"/>
    </row>
    <row r="57" spans="1:25" x14ac:dyDescent="0.2">
      <c r="A57" s="107">
        <v>10</v>
      </c>
      <c r="B57" s="107">
        <f t="shared" si="1"/>
        <v>0</v>
      </c>
      <c r="C57" s="107">
        <v>20</v>
      </c>
      <c r="D57" s="107"/>
      <c r="E57" s="263"/>
      <c r="F57" s="344">
        <f t="shared" si="10"/>
        <v>0</v>
      </c>
      <c r="G57" s="108">
        <f t="shared" si="10"/>
        <v>0</v>
      </c>
      <c r="H57" s="108">
        <f t="shared" si="10"/>
        <v>0</v>
      </c>
      <c r="I57" s="108">
        <f t="shared" si="10"/>
        <v>0</v>
      </c>
      <c r="J57" s="108">
        <f t="shared" si="10"/>
        <v>0</v>
      </c>
      <c r="K57" s="108">
        <f t="shared" si="10"/>
        <v>0</v>
      </c>
      <c r="L57" s="108">
        <f t="shared" si="10"/>
        <v>0</v>
      </c>
      <c r="M57" s="109">
        <f t="shared" si="10"/>
        <v>0</v>
      </c>
      <c r="N57" s="108">
        <f t="shared" si="10"/>
        <v>0</v>
      </c>
      <c r="O57" s="108">
        <f t="shared" si="10"/>
        <v>0</v>
      </c>
      <c r="P57" s="108"/>
      <c r="R57" s="188"/>
      <c r="S57" s="188"/>
      <c r="T57" s="108"/>
      <c r="U57" s="108"/>
      <c r="V57" s="108">
        <f t="shared" si="11"/>
        <v>0</v>
      </c>
      <c r="W57" s="108">
        <f t="shared" si="12"/>
        <v>0</v>
      </c>
      <c r="X57" s="108"/>
      <c r="Y57" s="350"/>
    </row>
    <row r="58" spans="1:25" x14ac:dyDescent="0.2">
      <c r="A58" s="107">
        <v>10</v>
      </c>
      <c r="B58" s="107">
        <f t="shared" si="1"/>
        <v>0</v>
      </c>
      <c r="C58" s="107">
        <v>10</v>
      </c>
      <c r="D58" s="107"/>
      <c r="E58" s="263"/>
      <c r="F58" s="344">
        <f t="shared" si="10"/>
        <v>0</v>
      </c>
      <c r="G58" s="108">
        <f t="shared" si="10"/>
        <v>0</v>
      </c>
      <c r="H58" s="108">
        <f t="shared" si="10"/>
        <v>0</v>
      </c>
      <c r="I58" s="108">
        <f t="shared" si="10"/>
        <v>0</v>
      </c>
      <c r="J58" s="108">
        <f t="shared" si="10"/>
        <v>0</v>
      </c>
      <c r="K58" s="108">
        <f t="shared" si="10"/>
        <v>0</v>
      </c>
      <c r="L58" s="108">
        <f t="shared" si="10"/>
        <v>0</v>
      </c>
      <c r="M58" s="109">
        <f t="shared" si="10"/>
        <v>0</v>
      </c>
      <c r="N58" s="108">
        <f t="shared" si="10"/>
        <v>0</v>
      </c>
      <c r="O58" s="108">
        <f t="shared" si="10"/>
        <v>0</v>
      </c>
      <c r="P58" s="108"/>
      <c r="R58" s="188"/>
      <c r="S58" s="188"/>
      <c r="T58" s="108"/>
      <c r="U58" s="108"/>
      <c r="V58" s="108">
        <f t="shared" si="11"/>
        <v>0</v>
      </c>
      <c r="W58" s="108">
        <f t="shared" si="12"/>
        <v>0</v>
      </c>
      <c r="X58" s="108"/>
      <c r="Y58" s="350"/>
    </row>
    <row r="59" spans="1:25" x14ac:dyDescent="0.2">
      <c r="A59" s="107">
        <v>10</v>
      </c>
      <c r="B59" s="107">
        <f t="shared" si="1"/>
        <v>0</v>
      </c>
      <c r="C59" s="107">
        <v>5</v>
      </c>
      <c r="D59" s="107"/>
      <c r="E59" s="263"/>
      <c r="F59" s="344">
        <f t="shared" si="10"/>
        <v>0</v>
      </c>
      <c r="G59" s="108">
        <f t="shared" si="10"/>
        <v>0</v>
      </c>
      <c r="H59" s="108">
        <f t="shared" si="10"/>
        <v>0</v>
      </c>
      <c r="I59" s="108">
        <f t="shared" si="10"/>
        <v>0</v>
      </c>
      <c r="J59" s="108">
        <f t="shared" si="10"/>
        <v>0</v>
      </c>
      <c r="K59" s="108">
        <f t="shared" si="10"/>
        <v>0</v>
      </c>
      <c r="L59" s="108">
        <f t="shared" si="10"/>
        <v>0</v>
      </c>
      <c r="M59" s="109">
        <f t="shared" si="10"/>
        <v>0</v>
      </c>
      <c r="N59" s="108">
        <f t="shared" si="10"/>
        <v>0</v>
      </c>
      <c r="O59" s="108">
        <f t="shared" si="10"/>
        <v>0</v>
      </c>
      <c r="P59" s="108"/>
      <c r="R59" s="188"/>
      <c r="S59" s="188"/>
      <c r="T59" s="108"/>
      <c r="U59" s="108"/>
      <c r="V59" s="108">
        <f t="shared" si="11"/>
        <v>0</v>
      </c>
      <c r="W59" s="108">
        <f t="shared" si="12"/>
        <v>0</v>
      </c>
      <c r="X59" s="108"/>
      <c r="Y59" s="350"/>
    </row>
    <row r="60" spans="1:25" x14ac:dyDescent="0.2">
      <c r="A60" s="107">
        <v>10</v>
      </c>
      <c r="B60" s="107">
        <f t="shared" si="1"/>
        <v>0</v>
      </c>
      <c r="C60" s="107">
        <v>4</v>
      </c>
      <c r="D60" s="107"/>
      <c r="E60" s="263"/>
      <c r="F60" s="344">
        <f t="shared" si="10"/>
        <v>0</v>
      </c>
      <c r="G60" s="108">
        <f t="shared" si="10"/>
        <v>0</v>
      </c>
      <c r="H60" s="108">
        <f t="shared" si="10"/>
        <v>0</v>
      </c>
      <c r="I60" s="108">
        <f t="shared" si="10"/>
        <v>0</v>
      </c>
      <c r="J60" s="108">
        <f t="shared" si="10"/>
        <v>0</v>
      </c>
      <c r="K60" s="108">
        <f t="shared" si="10"/>
        <v>0</v>
      </c>
      <c r="L60" s="108">
        <f t="shared" si="10"/>
        <v>0</v>
      </c>
      <c r="M60" s="109">
        <f t="shared" si="10"/>
        <v>0</v>
      </c>
      <c r="N60" s="108">
        <f t="shared" si="10"/>
        <v>0</v>
      </c>
      <c r="O60" s="108">
        <f t="shared" si="10"/>
        <v>0</v>
      </c>
      <c r="P60" s="108"/>
      <c r="R60" s="188"/>
      <c r="S60" s="188"/>
      <c r="T60" s="108"/>
      <c r="U60" s="108"/>
      <c r="V60" s="108">
        <f t="shared" si="11"/>
        <v>0</v>
      </c>
      <c r="W60" s="108">
        <f t="shared" si="12"/>
        <v>0</v>
      </c>
      <c r="X60" s="108"/>
      <c r="Y60" s="350"/>
    </row>
    <row r="61" spans="1:25" x14ac:dyDescent="0.2">
      <c r="A61" s="42"/>
      <c r="B61" s="45"/>
      <c r="C61" s="35"/>
      <c r="D61" s="81"/>
      <c r="E61" s="28"/>
      <c r="F61" s="266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3"/>
      <c r="R61" s="38"/>
      <c r="S61" s="38"/>
      <c r="T61" s="28"/>
      <c r="U61" s="28"/>
      <c r="V61" s="28">
        <f t="shared" si="11"/>
        <v>0</v>
      </c>
      <c r="W61" s="28">
        <f t="shared" si="12"/>
        <v>0</v>
      </c>
      <c r="X61" s="28"/>
    </row>
    <row r="62" spans="1:25" x14ac:dyDescent="0.2">
      <c r="A62" s="36"/>
      <c r="B62" s="107">
        <f>SUM(B21:B40)</f>
        <v>86563260.99337709</v>
      </c>
      <c r="C62" s="38" t="s">
        <v>370</v>
      </c>
      <c r="D62" s="483">
        <f>B62+SUM(F62:I62)</f>
        <v>56431617.198675416</v>
      </c>
      <c r="E62" s="28"/>
      <c r="F62" s="474">
        <f>SUM(F21:F60)</f>
        <v>-4603840.6986754183</v>
      </c>
      <c r="G62" s="310">
        <f t="shared" ref="G62:O62" si="13">SUM(G21:G60)</f>
        <v>-8509267.6986754183</v>
      </c>
      <c r="H62" s="310">
        <f t="shared" si="13"/>
        <v>-8509267.6986754183</v>
      </c>
      <c r="I62" s="310">
        <f t="shared" si="13"/>
        <v>-8509267.6986754183</v>
      </c>
      <c r="J62" s="310">
        <f t="shared" si="13"/>
        <v>-8509267.6986754183</v>
      </c>
      <c r="K62" s="310">
        <f t="shared" si="13"/>
        <v>-5538079.5</v>
      </c>
      <c r="L62" s="310">
        <f t="shared" si="13"/>
        <v>-5538079.5</v>
      </c>
      <c r="M62" s="280">
        <f t="shared" si="13"/>
        <v>-5538079.5</v>
      </c>
      <c r="N62" s="310">
        <f t="shared" si="13"/>
        <v>-5538079.5</v>
      </c>
      <c r="O62" s="310">
        <f t="shared" si="13"/>
        <v>-5538079.5</v>
      </c>
      <c r="P62" s="310"/>
      <c r="Q62" s="200"/>
      <c r="R62" s="597"/>
      <c r="S62" s="597"/>
      <c r="T62" s="310"/>
      <c r="U62" s="310"/>
      <c r="V62" s="310">
        <f t="shared" si="11"/>
        <v>0</v>
      </c>
      <c r="W62" s="310">
        <f t="shared" si="12"/>
        <v>0</v>
      </c>
      <c r="X62" s="310"/>
    </row>
    <row r="63" spans="1:25" x14ac:dyDescent="0.2">
      <c r="A63" s="36"/>
      <c r="B63" s="38"/>
      <c r="C63" s="38"/>
      <c r="D63" s="28"/>
      <c r="E63" s="28"/>
      <c r="F63" s="266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00"/>
      <c r="R63" s="38"/>
      <c r="S63" s="38"/>
      <c r="T63" s="28"/>
      <c r="U63" s="28"/>
      <c r="V63" s="28">
        <f t="shared" si="11"/>
        <v>0</v>
      </c>
      <c r="W63" s="28">
        <f t="shared" si="12"/>
        <v>0</v>
      </c>
      <c r="X63" s="28"/>
    </row>
    <row r="64" spans="1:25" x14ac:dyDescent="0.2">
      <c r="A64" s="107" t="s">
        <v>25</v>
      </c>
      <c r="B64" s="107"/>
      <c r="C64" s="107"/>
      <c r="D64" s="107"/>
      <c r="E64" s="263"/>
      <c r="F64" s="474">
        <f>F62</f>
        <v>-4603840.6986754183</v>
      </c>
      <c r="G64" s="310">
        <f t="shared" ref="G64:O64" si="14">G62</f>
        <v>-8509267.6986754183</v>
      </c>
      <c r="H64" s="310">
        <f t="shared" si="14"/>
        <v>-8509267.6986754183</v>
      </c>
      <c r="I64" s="310">
        <f t="shared" si="14"/>
        <v>-8509267.6986754183</v>
      </c>
      <c r="J64" s="310">
        <f t="shared" si="14"/>
        <v>-8509267.6986754183</v>
      </c>
      <c r="K64" s="310">
        <f t="shared" si="14"/>
        <v>-5538079.5</v>
      </c>
      <c r="L64" s="310">
        <f t="shared" si="14"/>
        <v>-5538079.5</v>
      </c>
      <c r="M64" s="280">
        <f t="shared" si="14"/>
        <v>-5538079.5</v>
      </c>
      <c r="N64" s="310">
        <f t="shared" si="14"/>
        <v>-5538079.5</v>
      </c>
      <c r="O64" s="310">
        <f t="shared" si="14"/>
        <v>-5538079.5</v>
      </c>
      <c r="P64" s="310"/>
      <c r="Q64" s="200"/>
      <c r="R64" s="597"/>
      <c r="S64" s="597"/>
      <c r="T64" s="310"/>
      <c r="U64" s="310"/>
      <c r="V64" s="310">
        <f t="shared" si="11"/>
        <v>0</v>
      </c>
      <c r="W64" s="310">
        <f t="shared" si="12"/>
        <v>0</v>
      </c>
      <c r="X64" s="310"/>
    </row>
    <row r="65" spans="1:25" x14ac:dyDescent="0.2">
      <c r="A65" s="107" t="s">
        <v>26</v>
      </c>
      <c r="B65" s="107"/>
      <c r="C65" s="107"/>
      <c r="D65" s="107"/>
      <c r="E65" s="263"/>
      <c r="F65" s="474"/>
      <c r="G65" s="310"/>
      <c r="H65" s="310"/>
      <c r="I65" s="310"/>
      <c r="J65" s="310"/>
      <c r="K65" s="310"/>
      <c r="L65" s="310"/>
      <c r="M65" s="280"/>
      <c r="N65" s="310"/>
      <c r="O65" s="310"/>
      <c r="P65" s="310"/>
      <c r="Q65" s="200"/>
      <c r="R65" s="597"/>
      <c r="S65" s="597"/>
      <c r="T65" s="310"/>
      <c r="U65" s="310"/>
      <c r="V65" s="310">
        <f t="shared" si="11"/>
        <v>0</v>
      </c>
      <c r="W65" s="310">
        <f t="shared" si="12"/>
        <v>0</v>
      </c>
      <c r="X65" s="310"/>
    </row>
    <row r="66" spans="1:25" x14ac:dyDescent="0.2">
      <c r="A66" s="43"/>
      <c r="B66" s="44"/>
      <c r="C66" s="44"/>
      <c r="D66" s="28"/>
      <c r="E66" s="28"/>
      <c r="F66" s="266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00"/>
      <c r="R66" s="38"/>
      <c r="S66" s="38"/>
      <c r="T66" s="28"/>
      <c r="U66" s="28"/>
      <c r="V66" s="28">
        <f t="shared" si="11"/>
        <v>0</v>
      </c>
      <c r="W66" s="28">
        <f t="shared" si="12"/>
        <v>0</v>
      </c>
      <c r="X66" s="28"/>
    </row>
    <row r="67" spans="1:25" ht="13.5" thickBot="1" x14ac:dyDescent="0.25">
      <c r="A67" s="107" t="s">
        <v>27</v>
      </c>
      <c r="B67" s="107"/>
      <c r="C67" s="107"/>
      <c r="D67" s="107"/>
      <c r="E67" s="263"/>
      <c r="F67" s="474">
        <f>IF($J$14=1,F64,F65)</f>
        <v>-4603840.6986754183</v>
      </c>
      <c r="G67" s="310">
        <f>IF($J$14=1,G64,G65)</f>
        <v>-8509267.6986754183</v>
      </c>
      <c r="H67" s="310">
        <f>IF($J$14=1,H64,H65)</f>
        <v>-8509267.6986754183</v>
      </c>
      <c r="I67" s="310">
        <f>IF($J$14=1,I64,I65)</f>
        <v>-8509267.6986754183</v>
      </c>
      <c r="J67" s="310">
        <f t="shared" ref="J67:O67" si="15">IF($J$14=1,J64,J65)</f>
        <v>-8509267.6986754183</v>
      </c>
      <c r="K67" s="310">
        <f t="shared" si="15"/>
        <v>-5538079.5</v>
      </c>
      <c r="L67" s="310">
        <f t="shared" si="15"/>
        <v>-5538079.5</v>
      </c>
      <c r="M67" s="280">
        <f t="shared" si="15"/>
        <v>-5538079.5</v>
      </c>
      <c r="N67" s="310">
        <f t="shared" si="15"/>
        <v>-5538079.5</v>
      </c>
      <c r="O67" s="310">
        <f t="shared" si="15"/>
        <v>-5538079.5</v>
      </c>
      <c r="P67" s="310"/>
      <c r="Q67" s="200"/>
      <c r="R67" s="310"/>
      <c r="S67" s="310"/>
      <c r="T67" s="310"/>
      <c r="U67" s="310"/>
      <c r="V67" s="310">
        <f t="shared" si="11"/>
        <v>0</v>
      </c>
      <c r="W67" s="310">
        <f t="shared" si="12"/>
        <v>0</v>
      </c>
      <c r="X67" s="310"/>
    </row>
    <row r="68" spans="1:25" ht="13.5" thickBot="1" x14ac:dyDescent="0.25">
      <c r="A68" s="43"/>
      <c r="B68" s="44"/>
      <c r="C68" s="44"/>
      <c r="D68" s="28"/>
      <c r="E68" s="28"/>
      <c r="F68" s="266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00"/>
      <c r="R68" s="614"/>
      <c r="S68" s="614"/>
      <c r="T68" s="615"/>
      <c r="U68" s="616"/>
      <c r="V68" s="616">
        <f t="shared" si="11"/>
        <v>0</v>
      </c>
      <c r="W68" s="616">
        <f t="shared" si="12"/>
        <v>0</v>
      </c>
      <c r="X68" s="615"/>
    </row>
    <row r="69" spans="1:25" ht="13.5" thickBot="1" x14ac:dyDescent="0.25">
      <c r="A69" s="36"/>
      <c r="B69" s="38"/>
      <c r="C69" s="38"/>
      <c r="D69" s="41" t="s">
        <v>28</v>
      </c>
      <c r="E69" s="28"/>
      <c r="F69" s="266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00"/>
      <c r="R69" s="614"/>
      <c r="S69" s="614"/>
      <c r="T69" s="615"/>
      <c r="U69" s="616"/>
      <c r="V69" s="616">
        <f t="shared" si="11"/>
        <v>0</v>
      </c>
      <c r="W69" s="616">
        <f t="shared" si="12"/>
        <v>0</v>
      </c>
      <c r="X69" s="615"/>
    </row>
    <row r="70" spans="1:25" ht="13.5" thickBot="1" x14ac:dyDescent="0.25">
      <c r="A70" s="107" t="s">
        <v>29</v>
      </c>
      <c r="B70" s="107"/>
      <c r="C70" s="107"/>
      <c r="D70" s="107">
        <v>20</v>
      </c>
      <c r="E70" s="263"/>
      <c r="F70" s="344">
        <v>0</v>
      </c>
      <c r="G70" s="108">
        <v>0</v>
      </c>
      <c r="H70" s="108">
        <v>0</v>
      </c>
      <c r="I70" s="108">
        <v>0</v>
      </c>
      <c r="J70" s="108">
        <v>0</v>
      </c>
      <c r="K70" s="108">
        <v>0</v>
      </c>
      <c r="L70" s="108">
        <v>0</v>
      </c>
      <c r="M70" s="109">
        <v>0</v>
      </c>
      <c r="N70" s="108">
        <v>0</v>
      </c>
      <c r="O70" s="108">
        <v>0</v>
      </c>
      <c r="P70" s="108"/>
      <c r="Q70" s="3"/>
      <c r="R70" s="614"/>
      <c r="S70" s="614"/>
      <c r="T70" s="615"/>
      <c r="U70" s="616"/>
      <c r="V70" s="616">
        <f t="shared" ref="V70:V76" si="16">IF(U70&gt;0,(HLOOKUP(U70,$F$17:$O$19,3,FALSE)),(0))</f>
        <v>0</v>
      </c>
      <c r="W70" s="616">
        <f t="shared" ref="W70:W76" si="17">IF(S70&gt;0,(VLOOKUP(S70,$A$10:$B$16,2,FALSE)),(0))</f>
        <v>0</v>
      </c>
      <c r="X70" s="615"/>
      <c r="Y70" s="350"/>
    </row>
    <row r="71" spans="1:25" ht="13.5" thickBot="1" x14ac:dyDescent="0.25">
      <c r="A71" s="107" t="s">
        <v>30</v>
      </c>
      <c r="B71" s="107"/>
      <c r="C71" s="107"/>
      <c r="D71" s="107"/>
      <c r="E71" s="263"/>
      <c r="F71" s="344">
        <v>0</v>
      </c>
      <c r="G71" s="108">
        <v>0</v>
      </c>
      <c r="H71" s="108">
        <v>0</v>
      </c>
      <c r="I71" s="108">
        <v>0</v>
      </c>
      <c r="J71" s="108">
        <v>0</v>
      </c>
      <c r="K71" s="108">
        <v>0</v>
      </c>
      <c r="L71" s="108">
        <v>0</v>
      </c>
      <c r="M71" s="109">
        <v>0</v>
      </c>
      <c r="N71" s="108">
        <v>0</v>
      </c>
      <c r="O71" s="108">
        <v>0</v>
      </c>
      <c r="P71" s="108"/>
      <c r="Q71" s="3"/>
      <c r="R71" s="614"/>
      <c r="S71" s="614"/>
      <c r="T71" s="615"/>
      <c r="U71" s="616"/>
      <c r="V71" s="616">
        <f t="shared" si="16"/>
        <v>0</v>
      </c>
      <c r="W71" s="616">
        <f t="shared" si="17"/>
        <v>0</v>
      </c>
      <c r="X71" s="615"/>
      <c r="Y71" s="350"/>
    </row>
    <row r="72" spans="1:25" ht="13.5" thickBot="1" x14ac:dyDescent="0.25">
      <c r="A72" s="36"/>
      <c r="B72" s="38"/>
      <c r="C72" s="38"/>
      <c r="D72" s="29" t="s">
        <v>31</v>
      </c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3"/>
      <c r="R72" s="611"/>
      <c r="S72" s="611"/>
      <c r="T72" s="612"/>
      <c r="U72" s="613"/>
      <c r="V72" s="613">
        <f t="shared" si="16"/>
        <v>0</v>
      </c>
      <c r="W72" s="613">
        <f t="shared" si="17"/>
        <v>0</v>
      </c>
      <c r="X72" s="612"/>
      <c r="Y72" s="350"/>
    </row>
    <row r="73" spans="1:25" ht="13.5" thickBot="1" x14ac:dyDescent="0.25">
      <c r="A73" s="40" t="s">
        <v>32</v>
      </c>
      <c r="B73" s="38"/>
      <c r="C73" s="38"/>
      <c r="D73" s="35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3"/>
      <c r="R73" s="611"/>
      <c r="S73" s="611"/>
      <c r="T73" s="612"/>
      <c r="U73" s="613"/>
      <c r="V73" s="613">
        <f t="shared" si="16"/>
        <v>0</v>
      </c>
      <c r="W73" s="613">
        <f t="shared" si="17"/>
        <v>0</v>
      </c>
      <c r="X73" s="612"/>
      <c r="Y73" s="350"/>
    </row>
    <row r="74" spans="1:25" ht="13.5" thickBot="1" x14ac:dyDescent="0.25">
      <c r="A74" s="43" t="s">
        <v>71</v>
      </c>
      <c r="B74" s="38"/>
      <c r="C74" s="3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3"/>
      <c r="R74" s="611"/>
      <c r="S74" s="611"/>
      <c r="T74" s="612"/>
      <c r="U74" s="613"/>
      <c r="V74" s="613">
        <f t="shared" si="16"/>
        <v>0</v>
      </c>
      <c r="W74" s="613">
        <f t="shared" si="17"/>
        <v>0</v>
      </c>
      <c r="X74" s="612"/>
      <c r="Y74" s="350"/>
    </row>
    <row r="75" spans="1:25" ht="13.5" thickBot="1" x14ac:dyDescent="0.25">
      <c r="A75" s="43" t="s">
        <v>72</v>
      </c>
      <c r="B75" s="38"/>
      <c r="C75" s="3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3"/>
      <c r="R75" s="611"/>
      <c r="S75" s="611"/>
      <c r="T75" s="612"/>
      <c r="U75" s="613"/>
      <c r="V75" s="613">
        <f t="shared" si="16"/>
        <v>0</v>
      </c>
      <c r="W75" s="613">
        <f t="shared" si="17"/>
        <v>0</v>
      </c>
      <c r="X75" s="612"/>
      <c r="Y75" s="350"/>
    </row>
    <row r="76" spans="1:25" ht="13.5" thickBot="1" x14ac:dyDescent="0.25">
      <c r="A76" s="43" t="s">
        <v>73</v>
      </c>
      <c r="B76" s="38"/>
      <c r="C76" s="3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3"/>
      <c r="R76" s="611"/>
      <c r="S76" s="611"/>
      <c r="T76" s="612"/>
      <c r="U76" s="613"/>
      <c r="V76" s="613">
        <f t="shared" si="16"/>
        <v>0</v>
      </c>
      <c r="W76" s="613">
        <f t="shared" si="17"/>
        <v>0</v>
      </c>
      <c r="X76" s="612"/>
      <c r="Y76" s="350"/>
    </row>
    <row r="77" spans="1:25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84"/>
      <c r="S77" s="3"/>
      <c r="T77" s="19"/>
      <c r="U77" s="57"/>
      <c r="V77" s="185"/>
      <c r="W77" s="186"/>
      <c r="X77" s="57"/>
    </row>
    <row r="78" spans="1:25" x14ac:dyDescent="0.2">
      <c r="R78" s="84"/>
      <c r="S78" s="3"/>
      <c r="T78" s="19"/>
      <c r="U78" s="57"/>
      <c r="V78" s="187"/>
      <c r="W78" s="187"/>
      <c r="X78" s="187"/>
    </row>
    <row r="79" spans="1:25" x14ac:dyDescent="0.2">
      <c r="R79" s="84"/>
      <c r="S79" s="3"/>
      <c r="T79" s="19"/>
      <c r="U79" s="57"/>
      <c r="V79" s="185"/>
      <c r="W79" s="186"/>
      <c r="X79" s="57"/>
    </row>
    <row r="80" spans="1:25" x14ac:dyDescent="0.2">
      <c r="R80" s="84"/>
      <c r="S80" s="3"/>
      <c r="T80" s="19"/>
      <c r="U80" s="57"/>
      <c r="V80" s="185"/>
      <c r="W80" s="186"/>
      <c r="X80" s="57"/>
    </row>
    <row r="81" spans="18:24" x14ac:dyDescent="0.2">
      <c r="R81" s="84"/>
      <c r="S81" s="3"/>
      <c r="T81" s="19"/>
      <c r="U81" s="57"/>
      <c r="V81" s="185"/>
      <c r="W81" s="186"/>
      <c r="X81" s="57"/>
    </row>
    <row r="82" spans="18:24" x14ac:dyDescent="0.2">
      <c r="R82" s="84"/>
      <c r="S82" s="3"/>
      <c r="T82" s="19"/>
      <c r="U82" s="57"/>
      <c r="V82" s="185"/>
      <c r="W82" s="186"/>
      <c r="X82" s="57"/>
    </row>
    <row r="83" spans="18:24" x14ac:dyDescent="0.2">
      <c r="R83" s="84"/>
      <c r="S83" s="3"/>
      <c r="T83" s="19"/>
      <c r="U83" s="57"/>
      <c r="V83" s="185"/>
      <c r="W83" s="186"/>
      <c r="X83" s="57"/>
    </row>
    <row r="84" spans="18:24" x14ac:dyDescent="0.2">
      <c r="R84" s="84"/>
      <c r="S84" s="3"/>
      <c r="T84" s="19"/>
      <c r="U84" s="57"/>
      <c r="V84" s="185"/>
      <c r="W84" s="186"/>
      <c r="X84" s="57"/>
    </row>
    <row r="85" spans="18:24" x14ac:dyDescent="0.2">
      <c r="R85" s="84"/>
      <c r="S85" s="3"/>
      <c r="T85" s="19"/>
      <c r="U85" s="57"/>
      <c r="V85" s="185"/>
      <c r="W85" s="186"/>
      <c r="X85" s="57"/>
    </row>
    <row r="86" spans="18:24" x14ac:dyDescent="0.2">
      <c r="R86" s="84"/>
      <c r="S86" s="3"/>
      <c r="T86" s="19"/>
      <c r="U86" s="57"/>
      <c r="V86" s="185"/>
      <c r="W86" s="186"/>
      <c r="X86" s="57"/>
    </row>
    <row r="87" spans="18:24" x14ac:dyDescent="0.2">
      <c r="R87" s="84"/>
      <c r="S87" s="3"/>
      <c r="T87" s="19"/>
      <c r="U87" s="57"/>
      <c r="V87" s="185"/>
      <c r="W87" s="186"/>
      <c r="X87" s="57"/>
    </row>
    <row r="88" spans="18:24" x14ac:dyDescent="0.2">
      <c r="R88" s="84"/>
      <c r="S88" s="3"/>
      <c r="T88" s="19"/>
      <c r="U88" s="57"/>
      <c r="V88" s="185"/>
      <c r="W88" s="186"/>
      <c r="X88" s="57"/>
    </row>
    <row r="89" spans="18:24" x14ac:dyDescent="0.2">
      <c r="R89" s="84"/>
      <c r="S89" s="3"/>
      <c r="T89" s="19"/>
      <c r="U89" s="57"/>
      <c r="V89" s="185"/>
      <c r="W89" s="186"/>
      <c r="X89" s="57"/>
    </row>
    <row r="90" spans="18:24" x14ac:dyDescent="0.2">
      <c r="R90" s="84"/>
      <c r="S90" s="3"/>
      <c r="T90" s="19"/>
      <c r="U90" s="57"/>
      <c r="V90" s="185"/>
      <c r="W90" s="186"/>
      <c r="X90" s="57"/>
    </row>
    <row r="91" spans="18:24" x14ac:dyDescent="0.2">
      <c r="R91" s="84"/>
      <c r="S91" s="3"/>
      <c r="T91" s="19"/>
      <c r="U91" s="57"/>
      <c r="V91" s="185"/>
      <c r="W91" s="186"/>
      <c r="X91" s="57"/>
    </row>
    <row r="92" spans="18:24" x14ac:dyDescent="0.2">
      <c r="R92" s="84"/>
      <c r="S92" s="3"/>
      <c r="T92" s="19"/>
      <c r="U92" s="57"/>
      <c r="V92" s="185"/>
      <c r="W92" s="186"/>
      <c r="X92" s="57"/>
    </row>
    <row r="93" spans="18:24" x14ac:dyDescent="0.2">
      <c r="R93" s="84"/>
      <c r="S93" s="3"/>
      <c r="T93" s="19"/>
      <c r="U93" s="57"/>
      <c r="V93" s="185"/>
      <c r="W93" s="186"/>
      <c r="X93" s="57"/>
    </row>
    <row r="94" spans="18:24" x14ac:dyDescent="0.2">
      <c r="R94" s="84"/>
      <c r="S94" s="3"/>
      <c r="T94" s="19"/>
      <c r="U94" s="57"/>
      <c r="V94" s="185"/>
      <c r="W94" s="186"/>
      <c r="X94" s="57"/>
    </row>
    <row r="95" spans="18:24" x14ac:dyDescent="0.2">
      <c r="R95" s="84"/>
      <c r="S95" s="3"/>
      <c r="T95" s="19"/>
      <c r="U95" s="57"/>
      <c r="V95" s="185"/>
      <c r="W95" s="186"/>
      <c r="X95" s="57"/>
    </row>
    <row r="96" spans="18:24" x14ac:dyDescent="0.2">
      <c r="R96" s="84"/>
      <c r="S96" s="3"/>
      <c r="T96" s="19"/>
      <c r="U96" s="57"/>
      <c r="V96" s="185"/>
      <c r="W96" s="186"/>
      <c r="X96" s="57"/>
    </row>
    <row r="97" spans="18:24" x14ac:dyDescent="0.2">
      <c r="R97" s="84"/>
      <c r="S97" s="3"/>
      <c r="T97" s="19"/>
      <c r="U97" s="57"/>
      <c r="V97" s="185"/>
      <c r="W97" s="186"/>
      <c r="X97" s="57"/>
    </row>
    <row r="98" spans="18:24" x14ac:dyDescent="0.2">
      <c r="R98" s="84"/>
      <c r="S98" s="3"/>
      <c r="T98" s="19"/>
      <c r="U98" s="57"/>
      <c r="V98" s="185"/>
      <c r="W98" s="186"/>
      <c r="X98" s="57"/>
    </row>
    <row r="99" spans="18:24" x14ac:dyDescent="0.2">
      <c r="R99" s="84"/>
      <c r="S99" s="3"/>
      <c r="T99" s="19"/>
      <c r="U99" s="57"/>
      <c r="V99" s="185"/>
      <c r="W99" s="186"/>
      <c r="X99" s="57"/>
    </row>
    <row r="100" spans="18:24" x14ac:dyDescent="0.2">
      <c r="R100" s="84"/>
      <c r="S100" s="3"/>
      <c r="T100" s="19"/>
      <c r="U100" s="57"/>
      <c r="V100" s="185"/>
      <c r="W100" s="186"/>
      <c r="X100" s="57"/>
    </row>
    <row r="101" spans="18:24" x14ac:dyDescent="0.2">
      <c r="R101" s="84"/>
      <c r="S101" s="3"/>
      <c r="T101" s="19"/>
      <c r="U101" s="57"/>
      <c r="V101" s="185"/>
      <c r="W101" s="186"/>
      <c r="X101" s="57"/>
    </row>
    <row r="102" spans="18:24" x14ac:dyDescent="0.2">
      <c r="R102" s="84"/>
      <c r="S102" s="3"/>
      <c r="T102" s="19"/>
      <c r="U102" s="57"/>
      <c r="V102" s="185"/>
      <c r="W102" s="186"/>
      <c r="X102" s="57"/>
    </row>
    <row r="103" spans="18:24" x14ac:dyDescent="0.2">
      <c r="R103" s="84"/>
      <c r="S103" s="3"/>
      <c r="T103" s="19"/>
      <c r="U103" s="57"/>
      <c r="V103" s="185"/>
      <c r="W103" s="186"/>
      <c r="X103" s="57"/>
    </row>
    <row r="104" spans="18:24" x14ac:dyDescent="0.2">
      <c r="R104" s="84"/>
      <c r="S104" s="3"/>
      <c r="T104" s="19"/>
      <c r="U104" s="57"/>
      <c r="V104" s="185"/>
      <c r="W104" s="186"/>
      <c r="X104" s="57"/>
    </row>
    <row r="105" spans="18:24" x14ac:dyDescent="0.2">
      <c r="R105" s="84"/>
      <c r="S105" s="3"/>
      <c r="T105" s="19"/>
      <c r="U105" s="57"/>
      <c r="V105" s="185"/>
      <c r="W105" s="186"/>
      <c r="X105" s="57"/>
    </row>
    <row r="106" spans="18:24" x14ac:dyDescent="0.2">
      <c r="R106" s="84"/>
      <c r="S106" s="3"/>
      <c r="T106" s="19"/>
      <c r="U106" s="57"/>
      <c r="V106" s="185"/>
      <c r="W106" s="186"/>
      <c r="X106" s="57"/>
    </row>
    <row r="107" spans="18:24" x14ac:dyDescent="0.2">
      <c r="R107" s="84"/>
      <c r="S107" s="3"/>
      <c r="T107" s="19"/>
      <c r="U107" s="57"/>
      <c r="V107" s="185"/>
      <c r="W107" s="186"/>
      <c r="X107" s="57"/>
    </row>
    <row r="108" spans="18:24" x14ac:dyDescent="0.2">
      <c r="R108" s="84"/>
      <c r="S108" s="3"/>
      <c r="T108" s="19"/>
      <c r="U108" s="57"/>
      <c r="V108" s="185"/>
      <c r="W108" s="186"/>
      <c r="X108" s="57"/>
    </row>
    <row r="109" spans="18:24" x14ac:dyDescent="0.2">
      <c r="R109" s="84"/>
      <c r="S109" s="3"/>
      <c r="T109" s="19"/>
      <c r="U109" s="57"/>
      <c r="V109" s="185"/>
      <c r="W109" s="186"/>
      <c r="X109" s="57"/>
    </row>
    <row r="110" spans="18:24" x14ac:dyDescent="0.2">
      <c r="R110" s="3"/>
      <c r="S110" s="3"/>
      <c r="T110" s="3"/>
      <c r="U110" s="3"/>
      <c r="V110" s="3"/>
      <c r="W110" s="3"/>
      <c r="X110" s="3"/>
    </row>
    <row r="111" spans="18:24" x14ac:dyDescent="0.2">
      <c r="R111" s="3"/>
      <c r="S111" s="3"/>
      <c r="T111" s="3"/>
      <c r="U111" s="3"/>
      <c r="V111" s="3"/>
      <c r="W111" s="3"/>
      <c r="X111" s="3"/>
    </row>
    <row r="112" spans="18:24" x14ac:dyDescent="0.2">
      <c r="R112" s="3"/>
      <c r="S112" s="3"/>
      <c r="T112" s="3"/>
      <c r="U112" s="3"/>
      <c r="V112" s="3"/>
      <c r="W112" s="3"/>
      <c r="X112" s="3"/>
    </row>
    <row r="113" spans="18:24" x14ac:dyDescent="0.2">
      <c r="R113" s="3"/>
      <c r="S113" s="3"/>
      <c r="T113" s="3"/>
      <c r="U113" s="3"/>
      <c r="V113" s="3"/>
      <c r="W113" s="3"/>
      <c r="X113" s="3"/>
    </row>
    <row r="114" spans="18:24" x14ac:dyDescent="0.2">
      <c r="R114" s="3"/>
      <c r="S114" s="3"/>
      <c r="T114" s="3"/>
      <c r="U114" s="3"/>
      <c r="V114" s="3"/>
      <c r="W114" s="3"/>
      <c r="X114" s="3"/>
    </row>
    <row r="115" spans="18:24" x14ac:dyDescent="0.2">
      <c r="R115" s="3"/>
      <c r="S115" s="3"/>
      <c r="T115" s="3"/>
      <c r="U115" s="3"/>
      <c r="V115" s="3"/>
      <c r="W115" s="3"/>
      <c r="X115" s="3"/>
    </row>
    <row r="116" spans="18:24" x14ac:dyDescent="0.2">
      <c r="R116" s="3"/>
      <c r="S116" s="3"/>
      <c r="T116" s="3"/>
      <c r="U116" s="3"/>
      <c r="V116" s="3"/>
      <c r="W116" s="3"/>
      <c r="X116" s="3"/>
    </row>
    <row r="117" spans="18:24" x14ac:dyDescent="0.2">
      <c r="R117" s="3"/>
      <c r="S117" s="3"/>
      <c r="T117" s="3"/>
      <c r="U117" s="3"/>
      <c r="V117" s="3"/>
      <c r="W117" s="3"/>
      <c r="X117" s="3"/>
    </row>
    <row r="118" spans="18:24" x14ac:dyDescent="0.2">
      <c r="R118" s="3"/>
      <c r="S118" s="3"/>
      <c r="T118" s="3"/>
      <c r="U118" s="3"/>
      <c r="V118" s="3"/>
      <c r="W118" s="3"/>
      <c r="X118" s="3"/>
    </row>
    <row r="119" spans="18:24" x14ac:dyDescent="0.2">
      <c r="R119" s="3"/>
      <c r="S119" s="3"/>
      <c r="T119" s="3"/>
      <c r="U119" s="3"/>
      <c r="V119" s="3"/>
      <c r="W119" s="3"/>
      <c r="X119" s="3"/>
    </row>
  </sheetData>
  <mergeCells count="5">
    <mergeCell ref="J10:L10"/>
    <mergeCell ref="N10:P10"/>
    <mergeCell ref="J13:L13"/>
    <mergeCell ref="A1:B3"/>
    <mergeCell ref="O12:P12"/>
  </mergeCells>
  <dataValidations disablePrompts="1" count="2">
    <dataValidation type="list" allowBlank="1" showInputMessage="1" showErrorMessage="1" sqref="J14:J15 J11 N12">
      <formula1>"0,1"</formula1>
    </dataValidation>
    <dataValidation type="list" allowBlank="1" showInputMessage="1" showErrorMessage="1" sqref="S8:S9 S21:S109">
      <formula1>$A$10:$A$16</formula1>
    </dataValidation>
  </dataValidations>
  <pageMargins left="0.25" right="0.25" top="0.75" bottom="0.75" header="0.3" footer="0.3"/>
  <pageSetup paperSize="9" scale="4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R18"/>
  <sheetViews>
    <sheetView zoomScale="60" zoomScaleNormal="60" zoomScalePageLayoutView="85" workbookViewId="0">
      <pane xSplit="2" ySplit="3" topLeftCell="AN4" activePane="bottomRight" state="frozen"/>
      <selection pane="topRight" activeCell="C1" sqref="C1"/>
      <selection pane="bottomLeft" activeCell="A7" sqref="A7"/>
      <selection pane="bottomRight" activeCell="XEP11" sqref="XEP11"/>
    </sheetView>
  </sheetViews>
  <sheetFormatPr defaultColWidth="11.7109375" defaultRowHeight="12.75" x14ac:dyDescent="0.2"/>
  <cols>
    <col min="1" max="1" width="29.42578125" style="46" customWidth="1"/>
    <col min="2" max="2" width="11.28515625" style="46" customWidth="1"/>
    <col min="3" max="122" width="11.7109375" style="46"/>
    <col min="123" max="252" width="11.7109375" style="80"/>
    <col min="253" max="16384" width="11.7109375" style="46"/>
  </cols>
  <sheetData>
    <row r="1" spans="1:252" ht="12.75" customHeight="1" x14ac:dyDescent="0.2">
      <c r="A1" s="1426" t="s">
        <v>185</v>
      </c>
      <c r="B1" s="1426"/>
      <c r="C1" s="71"/>
      <c r="O1" s="71"/>
    </row>
    <row r="2" spans="1:252" s="50" customFormat="1" ht="32.25" customHeight="1" x14ac:dyDescent="0.3">
      <c r="A2" s="1426"/>
      <c r="B2" s="1426"/>
      <c r="C2" s="1434" t="s">
        <v>507</v>
      </c>
      <c r="D2" s="1434"/>
      <c r="E2" s="1434"/>
      <c r="F2" s="1434"/>
      <c r="G2" s="1434"/>
      <c r="H2" s="1434"/>
      <c r="I2" s="1434"/>
      <c r="J2" s="1434"/>
      <c r="K2" s="1434"/>
      <c r="L2" s="1434"/>
      <c r="M2" s="1434"/>
      <c r="N2" s="1434"/>
      <c r="O2" s="1418" t="s">
        <v>508</v>
      </c>
      <c r="P2" s="1415"/>
      <c r="Q2" s="1415"/>
      <c r="R2" s="1415"/>
      <c r="S2" s="1415"/>
      <c r="T2" s="1415"/>
      <c r="U2" s="1415"/>
      <c r="V2" s="1415"/>
      <c r="W2" s="1415"/>
      <c r="X2" s="1415"/>
      <c r="Y2" s="1415"/>
      <c r="Z2" s="1415"/>
      <c r="AA2" s="1418" t="s">
        <v>509</v>
      </c>
      <c r="AB2" s="1415"/>
      <c r="AC2" s="1415"/>
      <c r="AD2" s="1415"/>
      <c r="AE2" s="1415"/>
      <c r="AF2" s="1415"/>
      <c r="AG2" s="1415"/>
      <c r="AH2" s="1415"/>
      <c r="AI2" s="1415"/>
      <c r="AJ2" s="1415"/>
      <c r="AK2" s="1415"/>
      <c r="AL2" s="1415"/>
      <c r="AM2" s="1433" t="s">
        <v>510</v>
      </c>
      <c r="AN2" s="1433"/>
      <c r="AO2" s="1433"/>
      <c r="AP2" s="1433"/>
      <c r="AQ2" s="1433"/>
      <c r="AR2" s="1433"/>
      <c r="AS2" s="1433"/>
      <c r="AT2" s="1433"/>
      <c r="AU2" s="1433"/>
      <c r="AV2" s="1433"/>
      <c r="AW2" s="1433"/>
      <c r="AX2" s="1433"/>
      <c r="AY2" s="1433" t="s">
        <v>511</v>
      </c>
      <c r="AZ2" s="1433"/>
      <c r="BA2" s="1433"/>
      <c r="BB2" s="1433"/>
      <c r="BC2" s="1433"/>
      <c r="BD2" s="1433"/>
      <c r="BE2" s="1433"/>
      <c r="BF2" s="1433"/>
      <c r="BG2" s="1433"/>
      <c r="BH2" s="1433"/>
      <c r="BI2" s="1433"/>
      <c r="BJ2" s="1433"/>
      <c r="BK2" s="1433" t="s">
        <v>512</v>
      </c>
      <c r="BL2" s="1433"/>
      <c r="BM2" s="1433"/>
      <c r="BN2" s="1433"/>
      <c r="BO2" s="1433"/>
      <c r="BP2" s="1433"/>
      <c r="BQ2" s="1433"/>
      <c r="BR2" s="1433"/>
      <c r="BS2" s="1433"/>
      <c r="BT2" s="1433"/>
      <c r="BU2" s="1433"/>
      <c r="BV2" s="1433"/>
      <c r="BW2" s="1433" t="s">
        <v>513</v>
      </c>
      <c r="BX2" s="1433"/>
      <c r="BY2" s="1433"/>
      <c r="BZ2" s="1433"/>
      <c r="CA2" s="1433"/>
      <c r="CB2" s="1433"/>
      <c r="CC2" s="1433"/>
      <c r="CD2" s="1433"/>
      <c r="CE2" s="1433"/>
      <c r="CF2" s="1433"/>
      <c r="CG2" s="1433"/>
      <c r="CH2" s="1433"/>
      <c r="CI2" s="1433" t="s">
        <v>514</v>
      </c>
      <c r="CJ2" s="1433"/>
      <c r="CK2" s="1433"/>
      <c r="CL2" s="1433"/>
      <c r="CM2" s="1433"/>
      <c r="CN2" s="1433"/>
      <c r="CO2" s="1433"/>
      <c r="CP2" s="1433"/>
      <c r="CQ2" s="1433"/>
      <c r="CR2" s="1433"/>
      <c r="CS2" s="1433"/>
      <c r="CT2" s="1433"/>
      <c r="CU2" s="1433" t="s">
        <v>515</v>
      </c>
      <c r="CV2" s="1433"/>
      <c r="CW2" s="1433"/>
      <c r="CX2" s="1433"/>
      <c r="CY2" s="1433"/>
      <c r="CZ2" s="1433"/>
      <c r="DA2" s="1433"/>
      <c r="DB2" s="1433"/>
      <c r="DC2" s="1433"/>
      <c r="DD2" s="1433"/>
      <c r="DE2" s="1433"/>
      <c r="DF2" s="1433"/>
      <c r="DG2" s="1433" t="s">
        <v>516</v>
      </c>
      <c r="DH2" s="1433"/>
      <c r="DI2" s="1433"/>
      <c r="DJ2" s="1433"/>
      <c r="DK2" s="1433"/>
      <c r="DL2" s="1433"/>
      <c r="DM2" s="1433"/>
      <c r="DN2" s="1433"/>
      <c r="DO2" s="1433"/>
      <c r="DP2" s="1433"/>
      <c r="DQ2" s="1433"/>
      <c r="DR2" s="1433"/>
      <c r="DS2" s="193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</row>
    <row r="3" spans="1:252" ht="12.75" customHeight="1" x14ac:dyDescent="0.25">
      <c r="A3" s="1426"/>
      <c r="B3" s="1426"/>
      <c r="C3" s="484" t="s">
        <v>175</v>
      </c>
      <c r="D3" s="484" t="s">
        <v>176</v>
      </c>
      <c r="E3" s="484" t="s">
        <v>177</v>
      </c>
      <c r="F3" s="484" t="s">
        <v>178</v>
      </c>
      <c r="G3" s="484" t="s">
        <v>167</v>
      </c>
      <c r="H3" s="484" t="s">
        <v>168</v>
      </c>
      <c r="I3" s="484" t="s">
        <v>169</v>
      </c>
      <c r="J3" s="484" t="s">
        <v>170</v>
      </c>
      <c r="K3" s="484" t="s">
        <v>171</v>
      </c>
      <c r="L3" s="484" t="s">
        <v>172</v>
      </c>
      <c r="M3" s="484" t="s">
        <v>173</v>
      </c>
      <c r="N3" s="484" t="s">
        <v>174</v>
      </c>
      <c r="O3" s="541" t="s">
        <v>175</v>
      </c>
      <c r="P3" s="272" t="s">
        <v>176</v>
      </c>
      <c r="Q3" s="272" t="s">
        <v>177</v>
      </c>
      <c r="R3" s="272" t="s">
        <v>178</v>
      </c>
      <c r="S3" s="272" t="s">
        <v>167</v>
      </c>
      <c r="T3" s="272" t="s">
        <v>168</v>
      </c>
      <c r="U3" s="272" t="s">
        <v>169</v>
      </c>
      <c r="V3" s="272" t="s">
        <v>170</v>
      </c>
      <c r="W3" s="272" t="s">
        <v>171</v>
      </c>
      <c r="X3" s="272" t="s">
        <v>172</v>
      </c>
      <c r="Y3" s="272" t="s">
        <v>173</v>
      </c>
      <c r="Z3" s="272" t="s">
        <v>174</v>
      </c>
      <c r="AA3" s="272" t="s">
        <v>175</v>
      </c>
      <c r="AB3" s="272" t="s">
        <v>176</v>
      </c>
      <c r="AC3" s="272" t="s">
        <v>177</v>
      </c>
      <c r="AD3" s="272" t="s">
        <v>178</v>
      </c>
      <c r="AE3" s="272" t="s">
        <v>167</v>
      </c>
      <c r="AF3" s="272" t="s">
        <v>168</v>
      </c>
      <c r="AG3" s="272" t="s">
        <v>169</v>
      </c>
      <c r="AH3" s="272" t="s">
        <v>170</v>
      </c>
      <c r="AI3" s="272" t="s">
        <v>171</v>
      </c>
      <c r="AJ3" s="272" t="s">
        <v>172</v>
      </c>
      <c r="AK3" s="272" t="s">
        <v>173</v>
      </c>
      <c r="AL3" s="272" t="s">
        <v>174</v>
      </c>
      <c r="AM3" s="272" t="s">
        <v>175</v>
      </c>
      <c r="AN3" s="272" t="s">
        <v>176</v>
      </c>
      <c r="AO3" s="272" t="s">
        <v>177</v>
      </c>
      <c r="AP3" s="272" t="s">
        <v>178</v>
      </c>
      <c r="AQ3" s="272" t="s">
        <v>167</v>
      </c>
      <c r="AR3" s="272" t="s">
        <v>168</v>
      </c>
      <c r="AS3" s="272" t="s">
        <v>169</v>
      </c>
      <c r="AT3" s="272" t="s">
        <v>170</v>
      </c>
      <c r="AU3" s="272" t="s">
        <v>171</v>
      </c>
      <c r="AV3" s="272" t="s">
        <v>172</v>
      </c>
      <c r="AW3" s="272" t="s">
        <v>173</v>
      </c>
      <c r="AX3" s="272" t="s">
        <v>174</v>
      </c>
      <c r="AY3" s="272" t="s">
        <v>175</v>
      </c>
      <c r="AZ3" s="272" t="s">
        <v>176</v>
      </c>
      <c r="BA3" s="272" t="s">
        <v>177</v>
      </c>
      <c r="BB3" s="272" t="s">
        <v>178</v>
      </c>
      <c r="BC3" s="272" t="s">
        <v>167</v>
      </c>
      <c r="BD3" s="272" t="s">
        <v>168</v>
      </c>
      <c r="BE3" s="272" t="s">
        <v>169</v>
      </c>
      <c r="BF3" s="272" t="s">
        <v>170</v>
      </c>
      <c r="BG3" s="272" t="s">
        <v>171</v>
      </c>
      <c r="BH3" s="272" t="s">
        <v>172</v>
      </c>
      <c r="BI3" s="272" t="s">
        <v>173</v>
      </c>
      <c r="BJ3" s="272" t="s">
        <v>174</v>
      </c>
      <c r="BK3" s="272" t="s">
        <v>175</v>
      </c>
      <c r="BL3" s="272" t="s">
        <v>176</v>
      </c>
      <c r="BM3" s="272" t="s">
        <v>177</v>
      </c>
      <c r="BN3" s="272" t="s">
        <v>178</v>
      </c>
      <c r="BO3" s="272" t="s">
        <v>167</v>
      </c>
      <c r="BP3" s="272" t="s">
        <v>168</v>
      </c>
      <c r="BQ3" s="272" t="s">
        <v>169</v>
      </c>
      <c r="BR3" s="272" t="s">
        <v>170</v>
      </c>
      <c r="BS3" s="272" t="s">
        <v>171</v>
      </c>
      <c r="BT3" s="272" t="s">
        <v>172</v>
      </c>
      <c r="BU3" s="272" t="s">
        <v>173</v>
      </c>
      <c r="BV3" s="272" t="s">
        <v>174</v>
      </c>
      <c r="BW3" s="272" t="s">
        <v>175</v>
      </c>
      <c r="BX3" s="272" t="s">
        <v>176</v>
      </c>
      <c r="BY3" s="272" t="s">
        <v>177</v>
      </c>
      <c r="BZ3" s="272" t="s">
        <v>178</v>
      </c>
      <c r="CA3" s="272" t="s">
        <v>167</v>
      </c>
      <c r="CB3" s="272" t="s">
        <v>168</v>
      </c>
      <c r="CC3" s="272" t="s">
        <v>169</v>
      </c>
      <c r="CD3" s="272" t="s">
        <v>170</v>
      </c>
      <c r="CE3" s="272" t="s">
        <v>171</v>
      </c>
      <c r="CF3" s="272" t="s">
        <v>172</v>
      </c>
      <c r="CG3" s="272" t="s">
        <v>173</v>
      </c>
      <c r="CH3" s="272" t="s">
        <v>174</v>
      </c>
      <c r="CI3" s="272" t="s">
        <v>175</v>
      </c>
      <c r="CJ3" s="272" t="s">
        <v>176</v>
      </c>
      <c r="CK3" s="272" t="s">
        <v>177</v>
      </c>
      <c r="CL3" s="272" t="s">
        <v>178</v>
      </c>
      <c r="CM3" s="272" t="s">
        <v>167</v>
      </c>
      <c r="CN3" s="272" t="s">
        <v>168</v>
      </c>
      <c r="CO3" s="272" t="s">
        <v>169</v>
      </c>
      <c r="CP3" s="272" t="s">
        <v>170</v>
      </c>
      <c r="CQ3" s="272" t="s">
        <v>171</v>
      </c>
      <c r="CR3" s="272" t="s">
        <v>172</v>
      </c>
      <c r="CS3" s="272" t="s">
        <v>173</v>
      </c>
      <c r="CT3" s="272" t="s">
        <v>174</v>
      </c>
      <c r="CU3" s="272" t="s">
        <v>175</v>
      </c>
      <c r="CV3" s="272" t="s">
        <v>176</v>
      </c>
      <c r="CW3" s="272" t="s">
        <v>177</v>
      </c>
      <c r="CX3" s="272" t="s">
        <v>178</v>
      </c>
      <c r="CY3" s="272" t="s">
        <v>167</v>
      </c>
      <c r="CZ3" s="272" t="s">
        <v>168</v>
      </c>
      <c r="DA3" s="272" t="s">
        <v>169</v>
      </c>
      <c r="DB3" s="272" t="s">
        <v>170</v>
      </c>
      <c r="DC3" s="272" t="s">
        <v>171</v>
      </c>
      <c r="DD3" s="272" t="s">
        <v>172</v>
      </c>
      <c r="DE3" s="272" t="s">
        <v>173</v>
      </c>
      <c r="DF3" s="272" t="s">
        <v>174</v>
      </c>
      <c r="DG3" s="272" t="s">
        <v>175</v>
      </c>
      <c r="DH3" s="272" t="s">
        <v>176</v>
      </c>
      <c r="DI3" s="272" t="s">
        <v>177</v>
      </c>
      <c r="DJ3" s="272" t="s">
        <v>178</v>
      </c>
      <c r="DK3" s="272" t="s">
        <v>167</v>
      </c>
      <c r="DL3" s="272" t="s">
        <v>168</v>
      </c>
      <c r="DM3" s="272" t="s">
        <v>169</v>
      </c>
      <c r="DN3" s="272" t="s">
        <v>170</v>
      </c>
      <c r="DO3" s="272" t="s">
        <v>171</v>
      </c>
      <c r="DP3" s="272" t="s">
        <v>172</v>
      </c>
      <c r="DQ3" s="272" t="s">
        <v>173</v>
      </c>
      <c r="DR3" s="272" t="s">
        <v>174</v>
      </c>
      <c r="DS3" s="195"/>
    </row>
    <row r="4" spans="1:252" hidden="1" x14ac:dyDescent="0.2">
      <c r="A4" s="132" t="s">
        <v>93</v>
      </c>
      <c r="B4" s="133"/>
      <c r="C4" s="78">
        <f>Assumptions!$E8</f>
        <v>0.1</v>
      </c>
      <c r="D4" s="78">
        <f>Assumptions!$E8</f>
        <v>0.1</v>
      </c>
      <c r="E4" s="78">
        <f>Assumptions!$E8</f>
        <v>0.1</v>
      </c>
      <c r="F4" s="78">
        <f>Assumptions!$E8</f>
        <v>0.1</v>
      </c>
      <c r="G4" s="78">
        <f>Assumptions!$E8</f>
        <v>0.1</v>
      </c>
      <c r="H4" s="78">
        <f>Assumptions!$E8</f>
        <v>0.1</v>
      </c>
      <c r="I4" s="78">
        <f>Assumptions!$E8</f>
        <v>0.1</v>
      </c>
      <c r="J4" s="78">
        <f>Assumptions!$E8</f>
        <v>0.1</v>
      </c>
      <c r="K4" s="78">
        <f>Assumptions!$E8</f>
        <v>0.1</v>
      </c>
      <c r="L4" s="78">
        <f>Assumptions!$E8</f>
        <v>0.1</v>
      </c>
      <c r="M4" s="78">
        <f>Assumptions!$E8</f>
        <v>0.1</v>
      </c>
      <c r="N4" s="78">
        <f>Assumptions!$E8</f>
        <v>0.1</v>
      </c>
      <c r="O4" s="78">
        <f>Assumptions!$F8</f>
        <v>0.1</v>
      </c>
      <c r="P4" s="78">
        <f>Assumptions!$F8</f>
        <v>0.1</v>
      </c>
      <c r="Q4" s="78">
        <f>Assumptions!$F8</f>
        <v>0.1</v>
      </c>
      <c r="R4" s="78">
        <f>Assumptions!$F8</f>
        <v>0.1</v>
      </c>
      <c r="S4" s="78">
        <f>Assumptions!$F8</f>
        <v>0.1</v>
      </c>
      <c r="T4" s="78">
        <f>Assumptions!$F8</f>
        <v>0.1</v>
      </c>
      <c r="U4" s="78">
        <f>Assumptions!$F8</f>
        <v>0.1</v>
      </c>
      <c r="V4" s="78">
        <f>Assumptions!$F8</f>
        <v>0.1</v>
      </c>
      <c r="W4" s="78">
        <f>Assumptions!$F8</f>
        <v>0.1</v>
      </c>
      <c r="X4" s="78">
        <f>Assumptions!$F8</f>
        <v>0.1</v>
      </c>
      <c r="Y4" s="78">
        <f>Assumptions!$F8</f>
        <v>0.1</v>
      </c>
      <c r="Z4" s="78">
        <f>Assumptions!$F8</f>
        <v>0.1</v>
      </c>
      <c r="AA4" s="78">
        <f>Assumptions!$G8</f>
        <v>0.1</v>
      </c>
      <c r="AB4" s="78">
        <f>Assumptions!$G8</f>
        <v>0.1</v>
      </c>
      <c r="AC4" s="78">
        <f>Assumptions!$G8</f>
        <v>0.1</v>
      </c>
      <c r="AD4" s="78">
        <f>Assumptions!$G8</f>
        <v>0.1</v>
      </c>
      <c r="AE4" s="78">
        <f>Assumptions!$G8</f>
        <v>0.1</v>
      </c>
      <c r="AF4" s="78">
        <f>Assumptions!$G8</f>
        <v>0.1</v>
      </c>
      <c r="AG4" s="78">
        <f>Assumptions!$G8</f>
        <v>0.1</v>
      </c>
      <c r="AH4" s="78">
        <f>Assumptions!$G8</f>
        <v>0.1</v>
      </c>
      <c r="AI4" s="78">
        <f>Assumptions!$G8</f>
        <v>0.1</v>
      </c>
      <c r="AJ4" s="78">
        <f>Assumptions!$G8</f>
        <v>0.1</v>
      </c>
      <c r="AK4" s="78">
        <f>Assumptions!$G8</f>
        <v>0.1</v>
      </c>
      <c r="AL4" s="78">
        <f>Assumptions!$G8</f>
        <v>0.1</v>
      </c>
      <c r="AM4" s="78">
        <f>Assumptions!$H8</f>
        <v>0.1</v>
      </c>
      <c r="AN4" s="78">
        <f>Assumptions!$H8</f>
        <v>0.1</v>
      </c>
      <c r="AO4" s="78">
        <f>Assumptions!$H8</f>
        <v>0.1</v>
      </c>
      <c r="AP4" s="78">
        <f>Assumptions!$H8</f>
        <v>0.1</v>
      </c>
      <c r="AQ4" s="78">
        <f>Assumptions!$H8</f>
        <v>0.1</v>
      </c>
      <c r="AR4" s="78">
        <f>Assumptions!$H8</f>
        <v>0.1</v>
      </c>
      <c r="AS4" s="78">
        <f>Assumptions!$H8</f>
        <v>0.1</v>
      </c>
      <c r="AT4" s="78">
        <f>Assumptions!$H8</f>
        <v>0.1</v>
      </c>
      <c r="AU4" s="78">
        <f>Assumptions!$H8</f>
        <v>0.1</v>
      </c>
      <c r="AV4" s="78">
        <f>Assumptions!$H8</f>
        <v>0.1</v>
      </c>
      <c r="AW4" s="78">
        <f>Assumptions!$H8</f>
        <v>0.1</v>
      </c>
      <c r="AX4" s="78">
        <f>Assumptions!$H8</f>
        <v>0.1</v>
      </c>
      <c r="AY4" s="78">
        <f>Assumptions!$I8</f>
        <v>0.1</v>
      </c>
      <c r="AZ4" s="78">
        <f>Assumptions!$I8</f>
        <v>0.1</v>
      </c>
      <c r="BA4" s="78">
        <f>Assumptions!$I8</f>
        <v>0.1</v>
      </c>
      <c r="BB4" s="78">
        <f>Assumptions!$I8</f>
        <v>0.1</v>
      </c>
      <c r="BC4" s="78">
        <f>Assumptions!$I8</f>
        <v>0.1</v>
      </c>
      <c r="BD4" s="78">
        <f>Assumptions!$I8</f>
        <v>0.1</v>
      </c>
      <c r="BE4" s="78">
        <f>Assumptions!$I8</f>
        <v>0.1</v>
      </c>
      <c r="BF4" s="78">
        <f>Assumptions!$I8</f>
        <v>0.1</v>
      </c>
      <c r="BG4" s="78">
        <f>Assumptions!$I8</f>
        <v>0.1</v>
      </c>
      <c r="BH4" s="78">
        <f>Assumptions!$I8</f>
        <v>0.1</v>
      </c>
      <c r="BI4" s="78">
        <f>Assumptions!$I8</f>
        <v>0.1</v>
      </c>
      <c r="BJ4" s="78">
        <f>Assumptions!$I8</f>
        <v>0.1</v>
      </c>
      <c r="BK4" s="78">
        <f>Assumptions!$J8</f>
        <v>0.1</v>
      </c>
      <c r="BL4" s="78">
        <f>Assumptions!$J8</f>
        <v>0.1</v>
      </c>
      <c r="BM4" s="78">
        <f>Assumptions!$J8</f>
        <v>0.1</v>
      </c>
      <c r="BN4" s="78">
        <f>Assumptions!$J8</f>
        <v>0.1</v>
      </c>
      <c r="BO4" s="78">
        <f>Assumptions!$J8</f>
        <v>0.1</v>
      </c>
      <c r="BP4" s="78">
        <f>Assumptions!$J8</f>
        <v>0.1</v>
      </c>
      <c r="BQ4" s="78">
        <f>Assumptions!$J8</f>
        <v>0.1</v>
      </c>
      <c r="BR4" s="78">
        <f>Assumptions!$J8</f>
        <v>0.1</v>
      </c>
      <c r="BS4" s="78">
        <f>Assumptions!$J8</f>
        <v>0.1</v>
      </c>
      <c r="BT4" s="78">
        <f>Assumptions!$J8</f>
        <v>0.1</v>
      </c>
      <c r="BU4" s="78">
        <f>Assumptions!$J8</f>
        <v>0.1</v>
      </c>
      <c r="BV4" s="78">
        <f>Assumptions!$J8</f>
        <v>0.1</v>
      </c>
      <c r="BW4" s="78">
        <f>Assumptions!$K8</f>
        <v>0.1</v>
      </c>
      <c r="BX4" s="78">
        <f>Assumptions!$K8</f>
        <v>0.1</v>
      </c>
      <c r="BY4" s="78">
        <f>Assumptions!$K8</f>
        <v>0.1</v>
      </c>
      <c r="BZ4" s="78">
        <f>Assumptions!$K8</f>
        <v>0.1</v>
      </c>
      <c r="CA4" s="78">
        <f>Assumptions!$K8</f>
        <v>0.1</v>
      </c>
      <c r="CB4" s="78">
        <f>Assumptions!$K8</f>
        <v>0.1</v>
      </c>
      <c r="CC4" s="78">
        <f>Assumptions!$K8</f>
        <v>0.1</v>
      </c>
      <c r="CD4" s="78">
        <f>Assumptions!$K8</f>
        <v>0.1</v>
      </c>
      <c r="CE4" s="78">
        <f>Assumptions!$K8</f>
        <v>0.1</v>
      </c>
      <c r="CF4" s="78">
        <f>Assumptions!$K8</f>
        <v>0.1</v>
      </c>
      <c r="CG4" s="78">
        <f>Assumptions!$K8</f>
        <v>0.1</v>
      </c>
      <c r="CH4" s="78">
        <f>Assumptions!$K8</f>
        <v>0.1</v>
      </c>
      <c r="CI4" s="78">
        <f>Assumptions!$L8</f>
        <v>0.1</v>
      </c>
      <c r="CJ4" s="78">
        <f>Assumptions!$L8</f>
        <v>0.1</v>
      </c>
      <c r="CK4" s="78">
        <f>Assumptions!$L8</f>
        <v>0.1</v>
      </c>
      <c r="CL4" s="78">
        <f>Assumptions!$L8</f>
        <v>0.1</v>
      </c>
      <c r="CM4" s="78">
        <f>Assumptions!$L8</f>
        <v>0.1</v>
      </c>
      <c r="CN4" s="78">
        <f>Assumptions!$L8</f>
        <v>0.1</v>
      </c>
      <c r="CO4" s="78">
        <f>Assumptions!$L8</f>
        <v>0.1</v>
      </c>
      <c r="CP4" s="78">
        <f>Assumptions!$L8</f>
        <v>0.1</v>
      </c>
      <c r="CQ4" s="78">
        <f>Assumptions!$L8</f>
        <v>0.1</v>
      </c>
      <c r="CR4" s="78">
        <f>Assumptions!$L8</f>
        <v>0.1</v>
      </c>
      <c r="CS4" s="78">
        <f>Assumptions!$L8</f>
        <v>0.1</v>
      </c>
      <c r="CT4" s="78">
        <f>Assumptions!$L8</f>
        <v>0.1</v>
      </c>
      <c r="CU4" s="78">
        <f>Assumptions!$M8</f>
        <v>0.1</v>
      </c>
      <c r="CV4" s="78">
        <f>Assumptions!$M8</f>
        <v>0.1</v>
      </c>
      <c r="CW4" s="78">
        <f>Assumptions!$M8</f>
        <v>0.1</v>
      </c>
      <c r="CX4" s="78">
        <f>Assumptions!$M8</f>
        <v>0.1</v>
      </c>
      <c r="CY4" s="78">
        <f>Assumptions!$M8</f>
        <v>0.1</v>
      </c>
      <c r="CZ4" s="78">
        <f>Assumptions!$M8</f>
        <v>0.1</v>
      </c>
      <c r="DA4" s="78">
        <f>Assumptions!$M8</f>
        <v>0.1</v>
      </c>
      <c r="DB4" s="78">
        <f>Assumptions!$M8</f>
        <v>0.1</v>
      </c>
      <c r="DC4" s="78">
        <f>Assumptions!$M8</f>
        <v>0.1</v>
      </c>
      <c r="DD4" s="78">
        <f>Assumptions!$M8</f>
        <v>0.1</v>
      </c>
      <c r="DE4" s="78">
        <f>Assumptions!$M8</f>
        <v>0.1</v>
      </c>
      <c r="DF4" s="78">
        <f>Assumptions!$M8</f>
        <v>0.1</v>
      </c>
      <c r="DG4" s="78">
        <f>Assumptions!$N8</f>
        <v>0.1</v>
      </c>
      <c r="DH4" s="78">
        <f>Assumptions!$N8</f>
        <v>0.1</v>
      </c>
      <c r="DI4" s="78">
        <f>Assumptions!$N8</f>
        <v>0.1</v>
      </c>
      <c r="DJ4" s="78">
        <f>Assumptions!$N8</f>
        <v>0.1</v>
      </c>
      <c r="DK4" s="78">
        <f>Assumptions!$N8</f>
        <v>0.1</v>
      </c>
      <c r="DL4" s="78">
        <f>Assumptions!$N8</f>
        <v>0.1</v>
      </c>
      <c r="DM4" s="78">
        <f>Assumptions!$N8</f>
        <v>0.1</v>
      </c>
      <c r="DN4" s="78">
        <f>Assumptions!$N8</f>
        <v>0.1</v>
      </c>
      <c r="DO4" s="78">
        <f>Assumptions!$N8</f>
        <v>0.1</v>
      </c>
      <c r="DP4" s="78">
        <f>Assumptions!$N8</f>
        <v>0.1</v>
      </c>
      <c r="DQ4" s="78">
        <f>Assumptions!$N8</f>
        <v>0.1</v>
      </c>
      <c r="DR4" s="78">
        <f>Assumptions!$N8</f>
        <v>0.1</v>
      </c>
    </row>
    <row r="5" spans="1:252" x14ac:dyDescent="0.2">
      <c r="A5" s="80"/>
      <c r="B5" s="80"/>
    </row>
    <row r="6" spans="1:252" ht="26.25" customHeight="1" x14ac:dyDescent="0.3">
      <c r="A6" s="134" t="s">
        <v>142</v>
      </c>
      <c r="B6" s="80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</row>
    <row r="7" spans="1:252" s="51" customFormat="1" ht="13.5" thickBot="1" x14ac:dyDescent="0.25">
      <c r="A7" s="136" t="s">
        <v>138</v>
      </c>
      <c r="B7" s="137"/>
      <c r="C7" s="587">
        <v>0</v>
      </c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86"/>
      <c r="O7" s="109">
        <v>0</v>
      </c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10"/>
      <c r="AA7" s="109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10"/>
      <c r="AM7" s="109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10"/>
      <c r="AY7" s="109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10"/>
      <c r="BK7" s="109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10"/>
      <c r="BW7" s="109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10"/>
      <c r="CI7" s="109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10"/>
      <c r="CU7" s="109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10"/>
      <c r="DG7" s="109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1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</row>
    <row r="8" spans="1:252" x14ac:dyDescent="0.2">
      <c r="A8" s="136" t="s">
        <v>139</v>
      </c>
      <c r="B8" s="137"/>
      <c r="C8" s="587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86"/>
      <c r="O8" s="109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10"/>
      <c r="AA8" s="109">
        <v>0</v>
      </c>
      <c r="AB8" s="108">
        <v>0</v>
      </c>
      <c r="AC8" s="108">
        <v>0</v>
      </c>
      <c r="AD8" s="108">
        <v>0</v>
      </c>
      <c r="AE8" s="108">
        <v>0</v>
      </c>
      <c r="AF8" s="108">
        <v>0</v>
      </c>
      <c r="AG8" s="108">
        <v>0</v>
      </c>
      <c r="AH8" s="108">
        <v>0</v>
      </c>
      <c r="AI8" s="108">
        <v>0</v>
      </c>
      <c r="AJ8" s="108">
        <v>0</v>
      </c>
      <c r="AK8" s="108">
        <v>0</v>
      </c>
      <c r="AL8" s="110">
        <v>0</v>
      </c>
      <c r="AM8" s="109">
        <v>0</v>
      </c>
      <c r="AN8" s="108">
        <v>0</v>
      </c>
      <c r="AO8" s="108">
        <v>0</v>
      </c>
      <c r="AP8" s="108">
        <v>0</v>
      </c>
      <c r="AQ8" s="108">
        <v>0</v>
      </c>
      <c r="AR8" s="108">
        <v>0</v>
      </c>
      <c r="AS8" s="108">
        <v>0</v>
      </c>
      <c r="AT8" s="108">
        <v>0</v>
      </c>
      <c r="AU8" s="108">
        <v>0</v>
      </c>
      <c r="AV8" s="108">
        <v>0</v>
      </c>
      <c r="AW8" s="108">
        <v>0</v>
      </c>
      <c r="AX8" s="110">
        <v>0</v>
      </c>
      <c r="AY8" s="109">
        <v>0</v>
      </c>
      <c r="AZ8" s="108">
        <v>0</v>
      </c>
      <c r="BA8" s="108">
        <v>0</v>
      </c>
      <c r="BB8" s="108">
        <v>0</v>
      </c>
      <c r="BC8" s="108">
        <v>0</v>
      </c>
      <c r="BD8" s="108">
        <v>0</v>
      </c>
      <c r="BE8" s="108">
        <v>0</v>
      </c>
      <c r="BF8" s="108">
        <v>0</v>
      </c>
      <c r="BG8" s="108">
        <v>0</v>
      </c>
      <c r="BH8" s="108">
        <v>0</v>
      </c>
      <c r="BI8" s="108">
        <v>0</v>
      </c>
      <c r="BJ8" s="110">
        <v>0</v>
      </c>
      <c r="BK8" s="109">
        <v>0</v>
      </c>
      <c r="BL8" s="108">
        <v>0</v>
      </c>
      <c r="BM8" s="108">
        <v>0</v>
      </c>
      <c r="BN8" s="108">
        <v>0</v>
      </c>
      <c r="BO8" s="108">
        <v>0</v>
      </c>
      <c r="BP8" s="108">
        <v>0</v>
      </c>
      <c r="BQ8" s="108">
        <v>0</v>
      </c>
      <c r="BR8" s="108">
        <v>0</v>
      </c>
      <c r="BS8" s="108">
        <v>0</v>
      </c>
      <c r="BT8" s="108">
        <v>0</v>
      </c>
      <c r="BU8" s="108">
        <v>0</v>
      </c>
      <c r="BV8" s="110">
        <v>0</v>
      </c>
      <c r="BW8" s="109">
        <v>0</v>
      </c>
      <c r="BX8" s="108">
        <v>0</v>
      </c>
      <c r="BY8" s="108">
        <v>0</v>
      </c>
      <c r="BZ8" s="108">
        <v>0</v>
      </c>
      <c r="CA8" s="108">
        <v>0</v>
      </c>
      <c r="CB8" s="108">
        <v>0</v>
      </c>
      <c r="CC8" s="108">
        <v>0</v>
      </c>
      <c r="CD8" s="108">
        <v>0</v>
      </c>
      <c r="CE8" s="108">
        <v>0</v>
      </c>
      <c r="CF8" s="108">
        <v>0</v>
      </c>
      <c r="CG8" s="108">
        <v>0</v>
      </c>
      <c r="CH8" s="110">
        <v>0</v>
      </c>
      <c r="CI8" s="109">
        <v>0</v>
      </c>
      <c r="CJ8" s="108">
        <v>0</v>
      </c>
      <c r="CK8" s="108">
        <v>0</v>
      </c>
      <c r="CL8" s="108">
        <v>0</v>
      </c>
      <c r="CM8" s="108">
        <v>0</v>
      </c>
      <c r="CN8" s="108">
        <v>0</v>
      </c>
      <c r="CO8" s="108">
        <v>0</v>
      </c>
      <c r="CP8" s="108">
        <v>0</v>
      </c>
      <c r="CQ8" s="108">
        <v>0</v>
      </c>
      <c r="CR8" s="108">
        <v>0</v>
      </c>
      <c r="CS8" s="108">
        <v>0</v>
      </c>
      <c r="CT8" s="110">
        <v>0</v>
      </c>
      <c r="CU8" s="109">
        <v>0</v>
      </c>
      <c r="CV8" s="108">
        <v>0</v>
      </c>
      <c r="CW8" s="108">
        <v>0</v>
      </c>
      <c r="CX8" s="108">
        <v>0</v>
      </c>
      <c r="CY8" s="108">
        <v>0</v>
      </c>
      <c r="CZ8" s="108">
        <v>0</v>
      </c>
      <c r="DA8" s="108">
        <v>0</v>
      </c>
      <c r="DB8" s="108">
        <v>0</v>
      </c>
      <c r="DC8" s="108">
        <v>0</v>
      </c>
      <c r="DD8" s="108">
        <v>0</v>
      </c>
      <c r="DE8" s="108">
        <v>0</v>
      </c>
      <c r="DF8" s="110">
        <v>0</v>
      </c>
      <c r="DG8" s="109">
        <v>0</v>
      </c>
      <c r="DH8" s="108">
        <v>0</v>
      </c>
      <c r="DI8" s="108">
        <v>0</v>
      </c>
      <c r="DJ8" s="108">
        <v>0</v>
      </c>
      <c r="DK8" s="108">
        <v>0</v>
      </c>
      <c r="DL8" s="108">
        <v>0</v>
      </c>
      <c r="DM8" s="108">
        <v>0</v>
      </c>
      <c r="DN8" s="108">
        <v>0</v>
      </c>
      <c r="DO8" s="108">
        <v>0</v>
      </c>
      <c r="DP8" s="108">
        <v>0</v>
      </c>
      <c r="DQ8" s="108">
        <v>0</v>
      </c>
      <c r="DR8" s="110">
        <v>0</v>
      </c>
    </row>
    <row r="9" spans="1:252" x14ac:dyDescent="0.2">
      <c r="A9" s="136" t="s">
        <v>87</v>
      </c>
      <c r="B9" s="137"/>
      <c r="C9" s="587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86"/>
      <c r="O9" s="109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10"/>
      <c r="AA9" s="254">
        <v>0</v>
      </c>
      <c r="AB9" s="108">
        <f t="shared" ref="AB9:AU9" si="0">AA12+AB8</f>
        <v>0</v>
      </c>
      <c r="AC9" s="108">
        <f t="shared" si="0"/>
        <v>0</v>
      </c>
      <c r="AD9" s="108">
        <f t="shared" si="0"/>
        <v>0</v>
      </c>
      <c r="AE9" s="108">
        <f t="shared" si="0"/>
        <v>0</v>
      </c>
      <c r="AF9" s="108">
        <f t="shared" si="0"/>
        <v>0</v>
      </c>
      <c r="AG9" s="108">
        <f t="shared" si="0"/>
        <v>0</v>
      </c>
      <c r="AH9" s="108">
        <f t="shared" si="0"/>
        <v>0</v>
      </c>
      <c r="AI9" s="108">
        <f t="shared" si="0"/>
        <v>0</v>
      </c>
      <c r="AJ9" s="108">
        <f t="shared" si="0"/>
        <v>0</v>
      </c>
      <c r="AK9" s="108">
        <f t="shared" si="0"/>
        <v>0</v>
      </c>
      <c r="AL9" s="110">
        <f t="shared" si="0"/>
        <v>0</v>
      </c>
      <c r="AM9" s="109">
        <f t="shared" si="0"/>
        <v>0</v>
      </c>
      <c r="AN9" s="108">
        <f t="shared" si="0"/>
        <v>0</v>
      </c>
      <c r="AO9" s="108">
        <f t="shared" si="0"/>
        <v>0</v>
      </c>
      <c r="AP9" s="108">
        <f t="shared" si="0"/>
        <v>0</v>
      </c>
      <c r="AQ9" s="108">
        <f t="shared" si="0"/>
        <v>0</v>
      </c>
      <c r="AR9" s="108">
        <f t="shared" si="0"/>
        <v>0</v>
      </c>
      <c r="AS9" s="108">
        <f t="shared" si="0"/>
        <v>0</v>
      </c>
      <c r="AT9" s="108">
        <f t="shared" si="0"/>
        <v>0</v>
      </c>
      <c r="AU9" s="108">
        <f t="shared" si="0"/>
        <v>0</v>
      </c>
      <c r="AV9" s="108">
        <f t="shared" ref="AV9:CA9" si="1">AU12+AV8</f>
        <v>0</v>
      </c>
      <c r="AW9" s="108">
        <f t="shared" si="1"/>
        <v>0</v>
      </c>
      <c r="AX9" s="110">
        <f t="shared" si="1"/>
        <v>0</v>
      </c>
      <c r="AY9" s="109">
        <f t="shared" si="1"/>
        <v>0</v>
      </c>
      <c r="AZ9" s="108">
        <f t="shared" si="1"/>
        <v>0</v>
      </c>
      <c r="BA9" s="108">
        <f t="shared" si="1"/>
        <v>0</v>
      </c>
      <c r="BB9" s="108">
        <f t="shared" si="1"/>
        <v>0</v>
      </c>
      <c r="BC9" s="108">
        <f t="shared" si="1"/>
        <v>0</v>
      </c>
      <c r="BD9" s="108">
        <f t="shared" si="1"/>
        <v>0</v>
      </c>
      <c r="BE9" s="108">
        <f t="shared" si="1"/>
        <v>0</v>
      </c>
      <c r="BF9" s="108">
        <f t="shared" si="1"/>
        <v>0</v>
      </c>
      <c r="BG9" s="108">
        <f t="shared" si="1"/>
        <v>0</v>
      </c>
      <c r="BH9" s="108">
        <f t="shared" si="1"/>
        <v>0</v>
      </c>
      <c r="BI9" s="108">
        <f t="shared" si="1"/>
        <v>0</v>
      </c>
      <c r="BJ9" s="110">
        <f t="shared" si="1"/>
        <v>0</v>
      </c>
      <c r="BK9" s="109">
        <f t="shared" si="1"/>
        <v>0</v>
      </c>
      <c r="BL9" s="108">
        <f t="shared" si="1"/>
        <v>0</v>
      </c>
      <c r="BM9" s="108">
        <f t="shared" si="1"/>
        <v>0</v>
      </c>
      <c r="BN9" s="108">
        <f t="shared" si="1"/>
        <v>0</v>
      </c>
      <c r="BO9" s="108">
        <f t="shared" si="1"/>
        <v>0</v>
      </c>
      <c r="BP9" s="108">
        <f t="shared" si="1"/>
        <v>0</v>
      </c>
      <c r="BQ9" s="108">
        <f t="shared" si="1"/>
        <v>0</v>
      </c>
      <c r="BR9" s="108">
        <f t="shared" si="1"/>
        <v>0</v>
      </c>
      <c r="BS9" s="108">
        <f t="shared" si="1"/>
        <v>0</v>
      </c>
      <c r="BT9" s="108">
        <f t="shared" si="1"/>
        <v>0</v>
      </c>
      <c r="BU9" s="108">
        <f t="shared" si="1"/>
        <v>0</v>
      </c>
      <c r="BV9" s="110">
        <f t="shared" si="1"/>
        <v>0</v>
      </c>
      <c r="BW9" s="109">
        <f t="shared" si="1"/>
        <v>0</v>
      </c>
      <c r="BX9" s="108">
        <f t="shared" si="1"/>
        <v>0</v>
      </c>
      <c r="BY9" s="108">
        <f t="shared" si="1"/>
        <v>0</v>
      </c>
      <c r="BZ9" s="108">
        <f t="shared" si="1"/>
        <v>0</v>
      </c>
      <c r="CA9" s="108">
        <f t="shared" si="1"/>
        <v>0</v>
      </c>
      <c r="CB9" s="108">
        <f t="shared" ref="CB9:DG9" si="2">CA12+CB8</f>
        <v>0</v>
      </c>
      <c r="CC9" s="108">
        <f t="shared" si="2"/>
        <v>0</v>
      </c>
      <c r="CD9" s="108">
        <f t="shared" si="2"/>
        <v>0</v>
      </c>
      <c r="CE9" s="108">
        <f t="shared" si="2"/>
        <v>0</v>
      </c>
      <c r="CF9" s="108">
        <f t="shared" si="2"/>
        <v>0</v>
      </c>
      <c r="CG9" s="108">
        <f t="shared" si="2"/>
        <v>0</v>
      </c>
      <c r="CH9" s="110">
        <f t="shared" si="2"/>
        <v>0</v>
      </c>
      <c r="CI9" s="109">
        <f t="shared" si="2"/>
        <v>0</v>
      </c>
      <c r="CJ9" s="108">
        <f t="shared" si="2"/>
        <v>0</v>
      </c>
      <c r="CK9" s="108">
        <f t="shared" si="2"/>
        <v>0</v>
      </c>
      <c r="CL9" s="108">
        <f t="shared" si="2"/>
        <v>0</v>
      </c>
      <c r="CM9" s="108">
        <f t="shared" si="2"/>
        <v>0</v>
      </c>
      <c r="CN9" s="108">
        <f t="shared" si="2"/>
        <v>0</v>
      </c>
      <c r="CO9" s="108">
        <f t="shared" si="2"/>
        <v>0</v>
      </c>
      <c r="CP9" s="108">
        <f t="shared" si="2"/>
        <v>0</v>
      </c>
      <c r="CQ9" s="108">
        <f t="shared" si="2"/>
        <v>0</v>
      </c>
      <c r="CR9" s="108">
        <f t="shared" si="2"/>
        <v>0</v>
      </c>
      <c r="CS9" s="108">
        <f t="shared" si="2"/>
        <v>0</v>
      </c>
      <c r="CT9" s="110">
        <f t="shared" si="2"/>
        <v>0</v>
      </c>
      <c r="CU9" s="109">
        <f t="shared" si="2"/>
        <v>0</v>
      </c>
      <c r="CV9" s="108">
        <f t="shared" si="2"/>
        <v>0</v>
      </c>
      <c r="CW9" s="108">
        <f t="shared" si="2"/>
        <v>0</v>
      </c>
      <c r="CX9" s="108">
        <f t="shared" si="2"/>
        <v>0</v>
      </c>
      <c r="CY9" s="108">
        <f t="shared" si="2"/>
        <v>0</v>
      </c>
      <c r="CZ9" s="108">
        <f t="shared" si="2"/>
        <v>0</v>
      </c>
      <c r="DA9" s="108">
        <f t="shared" si="2"/>
        <v>0</v>
      </c>
      <c r="DB9" s="108">
        <f t="shared" si="2"/>
        <v>0</v>
      </c>
      <c r="DC9" s="108">
        <f t="shared" si="2"/>
        <v>0</v>
      </c>
      <c r="DD9" s="108">
        <f t="shared" si="2"/>
        <v>0</v>
      </c>
      <c r="DE9" s="108">
        <f t="shared" si="2"/>
        <v>0</v>
      </c>
      <c r="DF9" s="110">
        <f t="shared" si="2"/>
        <v>0</v>
      </c>
      <c r="DG9" s="109">
        <f t="shared" si="2"/>
        <v>0</v>
      </c>
      <c r="DH9" s="108">
        <f t="shared" ref="DH9:DR9" si="3">DG12+DH8</f>
        <v>0</v>
      </c>
      <c r="DI9" s="108">
        <f t="shared" si="3"/>
        <v>0</v>
      </c>
      <c r="DJ9" s="108">
        <f t="shared" si="3"/>
        <v>0</v>
      </c>
      <c r="DK9" s="108">
        <f t="shared" si="3"/>
        <v>0</v>
      </c>
      <c r="DL9" s="108">
        <f t="shared" si="3"/>
        <v>0</v>
      </c>
      <c r="DM9" s="108">
        <f t="shared" si="3"/>
        <v>0</v>
      </c>
      <c r="DN9" s="108">
        <f t="shared" si="3"/>
        <v>0</v>
      </c>
      <c r="DO9" s="108">
        <f t="shared" si="3"/>
        <v>0</v>
      </c>
      <c r="DP9" s="108">
        <f t="shared" si="3"/>
        <v>0</v>
      </c>
      <c r="DQ9" s="108">
        <f t="shared" si="3"/>
        <v>0</v>
      </c>
      <c r="DR9" s="110">
        <f t="shared" si="3"/>
        <v>0</v>
      </c>
    </row>
    <row r="10" spans="1:252" x14ac:dyDescent="0.2">
      <c r="A10" s="136" t="s">
        <v>140</v>
      </c>
      <c r="B10" s="137"/>
      <c r="C10" s="588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86">
        <v>0</v>
      </c>
      <c r="O10" s="387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10"/>
      <c r="AA10" s="109">
        <f t="shared" ref="AA10:CA10" si="4">AA9*AA4/12</f>
        <v>0</v>
      </c>
      <c r="AB10" s="108">
        <f t="shared" si="4"/>
        <v>0</v>
      </c>
      <c r="AC10" s="108">
        <f t="shared" si="4"/>
        <v>0</v>
      </c>
      <c r="AD10" s="108">
        <f t="shared" si="4"/>
        <v>0</v>
      </c>
      <c r="AE10" s="108">
        <f t="shared" si="4"/>
        <v>0</v>
      </c>
      <c r="AF10" s="108">
        <f t="shared" si="4"/>
        <v>0</v>
      </c>
      <c r="AG10" s="108">
        <f t="shared" si="4"/>
        <v>0</v>
      </c>
      <c r="AH10" s="108">
        <f t="shared" si="4"/>
        <v>0</v>
      </c>
      <c r="AI10" s="108">
        <f t="shared" si="4"/>
        <v>0</v>
      </c>
      <c r="AJ10" s="108">
        <f t="shared" si="4"/>
        <v>0</v>
      </c>
      <c r="AK10" s="108">
        <f t="shared" si="4"/>
        <v>0</v>
      </c>
      <c r="AL10" s="110">
        <f t="shared" si="4"/>
        <v>0</v>
      </c>
      <c r="AM10" s="109">
        <f t="shared" si="4"/>
        <v>0</v>
      </c>
      <c r="AN10" s="108">
        <f t="shared" si="4"/>
        <v>0</v>
      </c>
      <c r="AO10" s="108">
        <f t="shared" si="4"/>
        <v>0</v>
      </c>
      <c r="AP10" s="108">
        <f t="shared" si="4"/>
        <v>0</v>
      </c>
      <c r="AQ10" s="108">
        <f t="shared" si="4"/>
        <v>0</v>
      </c>
      <c r="AR10" s="108">
        <f t="shared" si="4"/>
        <v>0</v>
      </c>
      <c r="AS10" s="108">
        <f t="shared" si="4"/>
        <v>0</v>
      </c>
      <c r="AT10" s="108">
        <f t="shared" si="4"/>
        <v>0</v>
      </c>
      <c r="AU10" s="108">
        <f t="shared" si="4"/>
        <v>0</v>
      </c>
      <c r="AV10" s="108">
        <f t="shared" si="4"/>
        <v>0</v>
      </c>
      <c r="AW10" s="108">
        <f t="shared" si="4"/>
        <v>0</v>
      </c>
      <c r="AX10" s="110">
        <f t="shared" si="4"/>
        <v>0</v>
      </c>
      <c r="AY10" s="109">
        <f t="shared" si="4"/>
        <v>0</v>
      </c>
      <c r="AZ10" s="108">
        <f t="shared" si="4"/>
        <v>0</v>
      </c>
      <c r="BA10" s="108">
        <f t="shared" si="4"/>
        <v>0</v>
      </c>
      <c r="BB10" s="108">
        <f t="shared" si="4"/>
        <v>0</v>
      </c>
      <c r="BC10" s="108">
        <f t="shared" si="4"/>
        <v>0</v>
      </c>
      <c r="BD10" s="108">
        <f t="shared" si="4"/>
        <v>0</v>
      </c>
      <c r="BE10" s="108">
        <f t="shared" si="4"/>
        <v>0</v>
      </c>
      <c r="BF10" s="108">
        <f t="shared" si="4"/>
        <v>0</v>
      </c>
      <c r="BG10" s="108">
        <f t="shared" si="4"/>
        <v>0</v>
      </c>
      <c r="BH10" s="108">
        <f t="shared" si="4"/>
        <v>0</v>
      </c>
      <c r="BI10" s="108">
        <f t="shared" si="4"/>
        <v>0</v>
      </c>
      <c r="BJ10" s="110">
        <f t="shared" si="4"/>
        <v>0</v>
      </c>
      <c r="BK10" s="109">
        <f t="shared" si="4"/>
        <v>0</v>
      </c>
      <c r="BL10" s="108">
        <f t="shared" si="4"/>
        <v>0</v>
      </c>
      <c r="BM10" s="108">
        <f t="shared" si="4"/>
        <v>0</v>
      </c>
      <c r="BN10" s="108">
        <f t="shared" si="4"/>
        <v>0</v>
      </c>
      <c r="BO10" s="108">
        <f t="shared" si="4"/>
        <v>0</v>
      </c>
      <c r="BP10" s="108">
        <f t="shared" si="4"/>
        <v>0</v>
      </c>
      <c r="BQ10" s="108">
        <f t="shared" si="4"/>
        <v>0</v>
      </c>
      <c r="BR10" s="108">
        <f t="shared" si="4"/>
        <v>0</v>
      </c>
      <c r="BS10" s="108">
        <f t="shared" si="4"/>
        <v>0</v>
      </c>
      <c r="BT10" s="108">
        <f t="shared" si="4"/>
        <v>0</v>
      </c>
      <c r="BU10" s="108">
        <f t="shared" si="4"/>
        <v>0</v>
      </c>
      <c r="BV10" s="110">
        <f t="shared" si="4"/>
        <v>0</v>
      </c>
      <c r="BW10" s="109">
        <f t="shared" si="4"/>
        <v>0</v>
      </c>
      <c r="BX10" s="108">
        <f t="shared" si="4"/>
        <v>0</v>
      </c>
      <c r="BY10" s="108">
        <f t="shared" si="4"/>
        <v>0</v>
      </c>
      <c r="BZ10" s="108">
        <f t="shared" si="4"/>
        <v>0</v>
      </c>
      <c r="CA10" s="108">
        <f t="shared" si="4"/>
        <v>0</v>
      </c>
      <c r="CB10" s="108">
        <f t="shared" ref="CB10:DR10" si="5">CB9*CB4/12</f>
        <v>0</v>
      </c>
      <c r="CC10" s="108">
        <f t="shared" si="5"/>
        <v>0</v>
      </c>
      <c r="CD10" s="108">
        <f t="shared" si="5"/>
        <v>0</v>
      </c>
      <c r="CE10" s="108">
        <f t="shared" si="5"/>
        <v>0</v>
      </c>
      <c r="CF10" s="108">
        <f t="shared" si="5"/>
        <v>0</v>
      </c>
      <c r="CG10" s="108">
        <f t="shared" si="5"/>
        <v>0</v>
      </c>
      <c r="CH10" s="110">
        <f t="shared" si="5"/>
        <v>0</v>
      </c>
      <c r="CI10" s="109">
        <f t="shared" si="5"/>
        <v>0</v>
      </c>
      <c r="CJ10" s="108">
        <f t="shared" si="5"/>
        <v>0</v>
      </c>
      <c r="CK10" s="108">
        <f t="shared" si="5"/>
        <v>0</v>
      </c>
      <c r="CL10" s="108">
        <f t="shared" si="5"/>
        <v>0</v>
      </c>
      <c r="CM10" s="108">
        <f t="shared" si="5"/>
        <v>0</v>
      </c>
      <c r="CN10" s="108">
        <f t="shared" si="5"/>
        <v>0</v>
      </c>
      <c r="CO10" s="108">
        <f t="shared" si="5"/>
        <v>0</v>
      </c>
      <c r="CP10" s="108">
        <f t="shared" si="5"/>
        <v>0</v>
      </c>
      <c r="CQ10" s="108">
        <f t="shared" si="5"/>
        <v>0</v>
      </c>
      <c r="CR10" s="108">
        <f t="shared" si="5"/>
        <v>0</v>
      </c>
      <c r="CS10" s="108">
        <f t="shared" si="5"/>
        <v>0</v>
      </c>
      <c r="CT10" s="110">
        <f t="shared" si="5"/>
        <v>0</v>
      </c>
      <c r="CU10" s="109">
        <f t="shared" si="5"/>
        <v>0</v>
      </c>
      <c r="CV10" s="108">
        <f t="shared" si="5"/>
        <v>0</v>
      </c>
      <c r="CW10" s="108">
        <f t="shared" si="5"/>
        <v>0</v>
      </c>
      <c r="CX10" s="108">
        <f t="shared" si="5"/>
        <v>0</v>
      </c>
      <c r="CY10" s="108">
        <f t="shared" si="5"/>
        <v>0</v>
      </c>
      <c r="CZ10" s="108">
        <f t="shared" si="5"/>
        <v>0</v>
      </c>
      <c r="DA10" s="108">
        <f t="shared" si="5"/>
        <v>0</v>
      </c>
      <c r="DB10" s="108">
        <f t="shared" si="5"/>
        <v>0</v>
      </c>
      <c r="DC10" s="108">
        <f t="shared" si="5"/>
        <v>0</v>
      </c>
      <c r="DD10" s="108">
        <f t="shared" si="5"/>
        <v>0</v>
      </c>
      <c r="DE10" s="108">
        <f t="shared" si="5"/>
        <v>0</v>
      </c>
      <c r="DF10" s="110">
        <f t="shared" si="5"/>
        <v>0</v>
      </c>
      <c r="DG10" s="109">
        <f t="shared" si="5"/>
        <v>0</v>
      </c>
      <c r="DH10" s="108">
        <f t="shared" si="5"/>
        <v>0</v>
      </c>
      <c r="DI10" s="108">
        <f t="shared" si="5"/>
        <v>0</v>
      </c>
      <c r="DJ10" s="108">
        <f t="shared" si="5"/>
        <v>0</v>
      </c>
      <c r="DK10" s="108">
        <f t="shared" si="5"/>
        <v>0</v>
      </c>
      <c r="DL10" s="108">
        <f t="shared" si="5"/>
        <v>0</v>
      </c>
      <c r="DM10" s="108">
        <f t="shared" si="5"/>
        <v>0</v>
      </c>
      <c r="DN10" s="108">
        <f t="shared" si="5"/>
        <v>0</v>
      </c>
      <c r="DO10" s="108">
        <f t="shared" si="5"/>
        <v>0</v>
      </c>
      <c r="DP10" s="108">
        <f t="shared" si="5"/>
        <v>0</v>
      </c>
      <c r="DQ10" s="108">
        <f t="shared" si="5"/>
        <v>0</v>
      </c>
      <c r="DR10" s="110">
        <f t="shared" si="5"/>
        <v>0</v>
      </c>
    </row>
    <row r="11" spans="1:252" x14ac:dyDescent="0.2">
      <c r="A11" s="136" t="s">
        <v>141</v>
      </c>
      <c r="B11" s="137"/>
      <c r="C11" s="589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86"/>
      <c r="O11" s="410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10"/>
      <c r="AA11" s="109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10"/>
      <c r="AM11" s="109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10"/>
      <c r="AY11" s="109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10"/>
      <c r="BK11" s="109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10"/>
      <c r="BW11" s="109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10"/>
      <c r="CI11" s="109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10"/>
      <c r="CU11" s="109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10"/>
      <c r="DG11" s="109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10"/>
    </row>
    <row r="12" spans="1:252" s="51" customFormat="1" ht="13.5" thickBot="1" x14ac:dyDescent="0.25">
      <c r="A12" s="136" t="s">
        <v>54</v>
      </c>
      <c r="B12" s="137"/>
      <c r="C12" s="587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86"/>
      <c r="O12" s="109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10"/>
      <c r="AA12" s="109">
        <f t="shared" ref="AA12:CA12" si="6">AA9+AA10-AA11</f>
        <v>0</v>
      </c>
      <c r="AB12" s="108">
        <f t="shared" si="6"/>
        <v>0</v>
      </c>
      <c r="AC12" s="108">
        <f t="shared" si="6"/>
        <v>0</v>
      </c>
      <c r="AD12" s="108">
        <f t="shared" si="6"/>
        <v>0</v>
      </c>
      <c r="AE12" s="108">
        <f t="shared" si="6"/>
        <v>0</v>
      </c>
      <c r="AF12" s="108">
        <f t="shared" si="6"/>
        <v>0</v>
      </c>
      <c r="AG12" s="108">
        <f t="shared" si="6"/>
        <v>0</v>
      </c>
      <c r="AH12" s="108">
        <f t="shared" si="6"/>
        <v>0</v>
      </c>
      <c r="AI12" s="108">
        <f t="shared" si="6"/>
        <v>0</v>
      </c>
      <c r="AJ12" s="108">
        <f t="shared" si="6"/>
        <v>0</v>
      </c>
      <c r="AK12" s="108">
        <f t="shared" si="6"/>
        <v>0</v>
      </c>
      <c r="AL12" s="110">
        <f t="shared" si="6"/>
        <v>0</v>
      </c>
      <c r="AM12" s="109">
        <f t="shared" si="6"/>
        <v>0</v>
      </c>
      <c r="AN12" s="108">
        <f t="shared" si="6"/>
        <v>0</v>
      </c>
      <c r="AO12" s="108">
        <f t="shared" si="6"/>
        <v>0</v>
      </c>
      <c r="AP12" s="108">
        <f t="shared" si="6"/>
        <v>0</v>
      </c>
      <c r="AQ12" s="108">
        <f t="shared" si="6"/>
        <v>0</v>
      </c>
      <c r="AR12" s="108">
        <f t="shared" si="6"/>
        <v>0</v>
      </c>
      <c r="AS12" s="108">
        <f t="shared" si="6"/>
        <v>0</v>
      </c>
      <c r="AT12" s="108">
        <f t="shared" si="6"/>
        <v>0</v>
      </c>
      <c r="AU12" s="108">
        <f t="shared" si="6"/>
        <v>0</v>
      </c>
      <c r="AV12" s="108">
        <f t="shared" si="6"/>
        <v>0</v>
      </c>
      <c r="AW12" s="108">
        <f t="shared" si="6"/>
        <v>0</v>
      </c>
      <c r="AX12" s="110">
        <f t="shared" si="6"/>
        <v>0</v>
      </c>
      <c r="AY12" s="109">
        <f t="shared" si="6"/>
        <v>0</v>
      </c>
      <c r="AZ12" s="108">
        <f t="shared" si="6"/>
        <v>0</v>
      </c>
      <c r="BA12" s="108">
        <f t="shared" si="6"/>
        <v>0</v>
      </c>
      <c r="BB12" s="108">
        <f t="shared" si="6"/>
        <v>0</v>
      </c>
      <c r="BC12" s="108">
        <f t="shared" si="6"/>
        <v>0</v>
      </c>
      <c r="BD12" s="108">
        <f t="shared" si="6"/>
        <v>0</v>
      </c>
      <c r="BE12" s="108">
        <f t="shared" si="6"/>
        <v>0</v>
      </c>
      <c r="BF12" s="108">
        <f t="shared" si="6"/>
        <v>0</v>
      </c>
      <c r="BG12" s="108">
        <f t="shared" si="6"/>
        <v>0</v>
      </c>
      <c r="BH12" s="108">
        <f t="shared" si="6"/>
        <v>0</v>
      </c>
      <c r="BI12" s="108">
        <f t="shared" si="6"/>
        <v>0</v>
      </c>
      <c r="BJ12" s="110">
        <f t="shared" si="6"/>
        <v>0</v>
      </c>
      <c r="BK12" s="109">
        <f t="shared" si="6"/>
        <v>0</v>
      </c>
      <c r="BL12" s="108">
        <f t="shared" si="6"/>
        <v>0</v>
      </c>
      <c r="BM12" s="108">
        <f t="shared" si="6"/>
        <v>0</v>
      </c>
      <c r="BN12" s="108">
        <f t="shared" si="6"/>
        <v>0</v>
      </c>
      <c r="BO12" s="108">
        <f t="shared" si="6"/>
        <v>0</v>
      </c>
      <c r="BP12" s="108">
        <f t="shared" si="6"/>
        <v>0</v>
      </c>
      <c r="BQ12" s="108">
        <f t="shared" si="6"/>
        <v>0</v>
      </c>
      <c r="BR12" s="108">
        <f t="shared" si="6"/>
        <v>0</v>
      </c>
      <c r="BS12" s="108">
        <f t="shared" si="6"/>
        <v>0</v>
      </c>
      <c r="BT12" s="108">
        <f t="shared" si="6"/>
        <v>0</v>
      </c>
      <c r="BU12" s="108">
        <f t="shared" si="6"/>
        <v>0</v>
      </c>
      <c r="BV12" s="110">
        <f t="shared" si="6"/>
        <v>0</v>
      </c>
      <c r="BW12" s="109">
        <f t="shared" si="6"/>
        <v>0</v>
      </c>
      <c r="BX12" s="108">
        <f t="shared" si="6"/>
        <v>0</v>
      </c>
      <c r="BY12" s="108">
        <f t="shared" si="6"/>
        <v>0</v>
      </c>
      <c r="BZ12" s="108">
        <f t="shared" si="6"/>
        <v>0</v>
      </c>
      <c r="CA12" s="108">
        <f t="shared" si="6"/>
        <v>0</v>
      </c>
      <c r="CB12" s="108">
        <f t="shared" ref="CB12:DR12" si="7">CB9+CB10-CB11</f>
        <v>0</v>
      </c>
      <c r="CC12" s="108">
        <f t="shared" si="7"/>
        <v>0</v>
      </c>
      <c r="CD12" s="108">
        <f t="shared" si="7"/>
        <v>0</v>
      </c>
      <c r="CE12" s="108">
        <f t="shared" si="7"/>
        <v>0</v>
      </c>
      <c r="CF12" s="108">
        <f t="shared" si="7"/>
        <v>0</v>
      </c>
      <c r="CG12" s="108">
        <f t="shared" si="7"/>
        <v>0</v>
      </c>
      <c r="CH12" s="110">
        <f t="shared" si="7"/>
        <v>0</v>
      </c>
      <c r="CI12" s="109">
        <f t="shared" si="7"/>
        <v>0</v>
      </c>
      <c r="CJ12" s="108">
        <f t="shared" si="7"/>
        <v>0</v>
      </c>
      <c r="CK12" s="108">
        <f t="shared" si="7"/>
        <v>0</v>
      </c>
      <c r="CL12" s="108">
        <f t="shared" si="7"/>
        <v>0</v>
      </c>
      <c r="CM12" s="108">
        <f t="shared" si="7"/>
        <v>0</v>
      </c>
      <c r="CN12" s="108">
        <f t="shared" si="7"/>
        <v>0</v>
      </c>
      <c r="CO12" s="108">
        <f t="shared" si="7"/>
        <v>0</v>
      </c>
      <c r="CP12" s="108">
        <f t="shared" si="7"/>
        <v>0</v>
      </c>
      <c r="CQ12" s="108">
        <f t="shared" si="7"/>
        <v>0</v>
      </c>
      <c r="CR12" s="108">
        <f t="shared" si="7"/>
        <v>0</v>
      </c>
      <c r="CS12" s="108">
        <f t="shared" si="7"/>
        <v>0</v>
      </c>
      <c r="CT12" s="110">
        <f t="shared" si="7"/>
        <v>0</v>
      </c>
      <c r="CU12" s="109">
        <f t="shared" si="7"/>
        <v>0</v>
      </c>
      <c r="CV12" s="108">
        <f t="shared" si="7"/>
        <v>0</v>
      </c>
      <c r="CW12" s="108">
        <f t="shared" si="7"/>
        <v>0</v>
      </c>
      <c r="CX12" s="108">
        <f t="shared" si="7"/>
        <v>0</v>
      </c>
      <c r="CY12" s="108">
        <f t="shared" si="7"/>
        <v>0</v>
      </c>
      <c r="CZ12" s="108">
        <f t="shared" si="7"/>
        <v>0</v>
      </c>
      <c r="DA12" s="108">
        <f t="shared" si="7"/>
        <v>0</v>
      </c>
      <c r="DB12" s="108">
        <f t="shared" si="7"/>
        <v>0</v>
      </c>
      <c r="DC12" s="108">
        <f t="shared" si="7"/>
        <v>0</v>
      </c>
      <c r="DD12" s="108">
        <f t="shared" si="7"/>
        <v>0</v>
      </c>
      <c r="DE12" s="108">
        <f t="shared" si="7"/>
        <v>0</v>
      </c>
      <c r="DF12" s="110">
        <f t="shared" si="7"/>
        <v>0</v>
      </c>
      <c r="DG12" s="109">
        <f t="shared" si="7"/>
        <v>0</v>
      </c>
      <c r="DH12" s="108">
        <f t="shared" si="7"/>
        <v>0</v>
      </c>
      <c r="DI12" s="108">
        <f t="shared" si="7"/>
        <v>0</v>
      </c>
      <c r="DJ12" s="108">
        <f t="shared" si="7"/>
        <v>0</v>
      </c>
      <c r="DK12" s="108">
        <f t="shared" si="7"/>
        <v>0</v>
      </c>
      <c r="DL12" s="108">
        <f t="shared" si="7"/>
        <v>0</v>
      </c>
      <c r="DM12" s="108">
        <f t="shared" si="7"/>
        <v>0</v>
      </c>
      <c r="DN12" s="108">
        <f t="shared" si="7"/>
        <v>0</v>
      </c>
      <c r="DO12" s="108">
        <f t="shared" si="7"/>
        <v>0</v>
      </c>
      <c r="DP12" s="108">
        <f t="shared" si="7"/>
        <v>0</v>
      </c>
      <c r="DQ12" s="108">
        <f t="shared" si="7"/>
        <v>0</v>
      </c>
      <c r="DR12" s="110">
        <f t="shared" si="7"/>
        <v>0</v>
      </c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  <c r="FR12" s="80"/>
      <c r="FS12" s="80"/>
      <c r="FT12" s="80"/>
      <c r="FU12" s="80"/>
      <c r="FV12" s="80"/>
      <c r="FW12" s="80"/>
      <c r="FX12" s="80"/>
      <c r="FY12" s="80"/>
      <c r="FZ12" s="80"/>
      <c r="GA12" s="80"/>
      <c r="GB12" s="80"/>
      <c r="GC12" s="80"/>
      <c r="GD12" s="80"/>
      <c r="GE12" s="80"/>
      <c r="GF12" s="80"/>
      <c r="GG12" s="80"/>
      <c r="GH12" s="80"/>
      <c r="GI12" s="80"/>
      <c r="GJ12" s="80"/>
      <c r="GK12" s="80"/>
      <c r="GL12" s="80"/>
      <c r="GM12" s="80"/>
      <c r="GN12" s="80"/>
      <c r="GO12" s="80"/>
      <c r="GP12" s="80"/>
      <c r="GQ12" s="80"/>
      <c r="GR12" s="80"/>
      <c r="GS12" s="80"/>
      <c r="GT12" s="80"/>
      <c r="GU12" s="80"/>
      <c r="GV12" s="80"/>
      <c r="GW12" s="80"/>
      <c r="GX12" s="80"/>
      <c r="GY12" s="80"/>
      <c r="GZ12" s="80"/>
      <c r="HA12" s="80"/>
      <c r="HB12" s="80"/>
      <c r="HC12" s="80"/>
      <c r="HD12" s="80"/>
      <c r="HE12" s="80"/>
      <c r="HF12" s="80"/>
      <c r="HG12" s="80"/>
      <c r="HH12" s="80"/>
      <c r="HI12" s="80"/>
      <c r="HJ12" s="80"/>
      <c r="HK12" s="80"/>
      <c r="HL12" s="80"/>
      <c r="HM12" s="80"/>
      <c r="HN12" s="80"/>
      <c r="HO12" s="80"/>
      <c r="HP12" s="80"/>
      <c r="HQ12" s="80"/>
      <c r="HR12" s="80"/>
      <c r="HS12" s="80"/>
      <c r="HT12" s="80"/>
      <c r="HU12" s="80"/>
      <c r="HV12" s="80"/>
      <c r="HW12" s="80"/>
      <c r="HX12" s="80"/>
      <c r="HY12" s="80"/>
      <c r="HZ12" s="80"/>
      <c r="IA12" s="80"/>
      <c r="IB12" s="80"/>
      <c r="IC12" s="80"/>
      <c r="ID12" s="80"/>
      <c r="IE12" s="80"/>
      <c r="IF12" s="80"/>
      <c r="IG12" s="80"/>
      <c r="IH12" s="80"/>
      <c r="II12" s="80"/>
      <c r="IJ12" s="80"/>
      <c r="IK12" s="80"/>
      <c r="IL12" s="80"/>
      <c r="IM12" s="80"/>
      <c r="IN12" s="80"/>
      <c r="IO12" s="80"/>
      <c r="IP12" s="80"/>
      <c r="IQ12" s="80"/>
      <c r="IR12" s="80"/>
    </row>
    <row r="13" spans="1:252" x14ac:dyDescent="0.2">
      <c r="A13" s="135"/>
      <c r="B13" s="10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52" x14ac:dyDescent="0.2">
      <c r="A14" s="136" t="s">
        <v>143</v>
      </c>
      <c r="B14" s="196" t="s">
        <v>144</v>
      </c>
      <c r="D14" s="79"/>
      <c r="F14" s="86"/>
      <c r="H14" s="48"/>
      <c r="P14" s="79"/>
      <c r="R14" s="86"/>
      <c r="T14" s="48"/>
    </row>
    <row r="15" spans="1:252" x14ac:dyDescent="0.2">
      <c r="A15" s="136"/>
      <c r="B15" s="138"/>
    </row>
    <row r="16" spans="1:252" x14ac:dyDescent="0.2">
      <c r="A16" s="136"/>
      <c r="B16" s="138"/>
    </row>
    <row r="17" spans="1:122" ht="26.25" customHeight="1" x14ac:dyDescent="0.3">
      <c r="A17" s="134"/>
      <c r="B17" s="80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</row>
    <row r="18" spans="1:122" x14ac:dyDescent="0.2">
      <c r="C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Q18" s="267"/>
      <c r="R18" s="267"/>
      <c r="S18" s="267"/>
      <c r="T18" s="267"/>
      <c r="U18" s="267"/>
      <c r="V18" s="267"/>
      <c r="W18" s="267"/>
      <c r="X18" s="267"/>
      <c r="Y18" s="267"/>
      <c r="Z18" s="267"/>
      <c r="AA18" s="267"/>
      <c r="AB18" s="267"/>
      <c r="AC18" s="267"/>
      <c r="AD18" s="267"/>
      <c r="AE18" s="267"/>
      <c r="AF18" s="267"/>
      <c r="AG18" s="267"/>
      <c r="AH18" s="267"/>
      <c r="AI18" s="267"/>
      <c r="AJ18" s="267"/>
      <c r="AK18" s="267"/>
      <c r="AL18" s="267"/>
      <c r="AM18" s="267"/>
      <c r="AN18" s="267"/>
      <c r="AO18" s="267"/>
      <c r="AP18" s="267"/>
      <c r="AQ18" s="267"/>
      <c r="AR18" s="267"/>
      <c r="AS18" s="267"/>
      <c r="AT18" s="267"/>
      <c r="AU18" s="267"/>
      <c r="AV18" s="267"/>
      <c r="AW18" s="267"/>
      <c r="AX18" s="267"/>
      <c r="AY18" s="267"/>
      <c r="AZ18" s="267"/>
      <c r="BA18" s="267"/>
      <c r="BB18" s="267"/>
      <c r="BC18" s="267"/>
      <c r="BD18" s="267"/>
      <c r="BE18" s="267"/>
      <c r="BF18" s="267"/>
      <c r="BG18" s="267"/>
      <c r="BH18" s="267"/>
      <c r="BI18" s="267"/>
      <c r="BJ18" s="267"/>
      <c r="BK18" s="267"/>
      <c r="BL18" s="267"/>
      <c r="BM18" s="267"/>
      <c r="BN18" s="267"/>
      <c r="BO18" s="267"/>
      <c r="BP18" s="267"/>
      <c r="BQ18" s="267"/>
      <c r="BR18" s="267"/>
      <c r="BS18" s="267"/>
      <c r="BT18" s="267"/>
      <c r="BU18" s="267"/>
      <c r="BV18" s="267"/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  <c r="CG18" s="267"/>
      <c r="CH18" s="267"/>
      <c r="CI18" s="267"/>
      <c r="CJ18" s="267"/>
      <c r="CK18" s="267"/>
      <c r="CL18" s="267"/>
      <c r="CM18" s="267"/>
      <c r="CN18" s="267"/>
      <c r="CO18" s="267"/>
      <c r="CP18" s="267"/>
      <c r="CQ18" s="267"/>
      <c r="CR18" s="267"/>
      <c r="CS18" s="267"/>
      <c r="CT18" s="267"/>
      <c r="CU18" s="267"/>
      <c r="CV18" s="267"/>
      <c r="CW18" s="267"/>
      <c r="CX18" s="267"/>
      <c r="CY18" s="267"/>
      <c r="CZ18" s="267"/>
      <c r="DA18" s="267"/>
      <c r="DB18" s="267"/>
      <c r="DC18" s="267"/>
      <c r="DD18" s="267"/>
      <c r="DE18" s="267"/>
      <c r="DF18" s="267"/>
      <c r="DG18" s="267"/>
      <c r="DH18" s="267"/>
      <c r="DI18" s="267"/>
      <c r="DJ18" s="267"/>
      <c r="DK18" s="267"/>
      <c r="DL18" s="267"/>
      <c r="DM18" s="267"/>
      <c r="DN18" s="267"/>
      <c r="DO18" s="267"/>
      <c r="DP18" s="267"/>
      <c r="DQ18" s="267"/>
      <c r="DR18" s="267"/>
    </row>
  </sheetData>
  <mergeCells count="11">
    <mergeCell ref="A1:B3"/>
    <mergeCell ref="O2:Z2"/>
    <mergeCell ref="AA2:AL2"/>
    <mergeCell ref="AM2:AX2"/>
    <mergeCell ref="AY2:BJ2"/>
    <mergeCell ref="C2:N2"/>
    <mergeCell ref="BW2:CH2"/>
    <mergeCell ref="CI2:CT2"/>
    <mergeCell ref="CU2:DF2"/>
    <mergeCell ref="DG2:DR2"/>
    <mergeCell ref="BK2:BV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K57"/>
  <sheetViews>
    <sheetView zoomScale="55" zoomScaleNormal="55" zoomScalePageLayoutView="85" workbookViewId="0">
      <pane xSplit="2" ySplit="3" topLeftCell="C11" activePane="bottomRight" state="frozen"/>
      <selection pane="topRight" activeCell="C1" sqref="C1"/>
      <selection pane="bottomLeft" activeCell="A7" sqref="A7"/>
      <selection pane="bottomRight" activeCell="DY37" sqref="DY37"/>
    </sheetView>
  </sheetViews>
  <sheetFormatPr defaultColWidth="11.7109375" defaultRowHeight="12.75" x14ac:dyDescent="0.2"/>
  <cols>
    <col min="1" max="1" width="29.42578125" style="46" customWidth="1"/>
    <col min="2" max="2" width="13" style="46" customWidth="1"/>
    <col min="3" max="14" width="11.7109375" style="46"/>
    <col min="15" max="122" width="11.7109375" style="268"/>
    <col min="123" max="167" width="11.7109375" style="80"/>
    <col min="168" max="16384" width="11.7109375" style="46"/>
  </cols>
  <sheetData>
    <row r="1" spans="1:167" ht="12.75" customHeight="1" x14ac:dyDescent="0.2">
      <c r="A1" s="1426" t="s">
        <v>184</v>
      </c>
      <c r="B1" s="1426"/>
      <c r="C1" s="1222"/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6"/>
      <c r="O1" s="71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1231"/>
      <c r="AA1" s="200"/>
      <c r="AB1" s="200"/>
      <c r="AC1" s="200"/>
      <c r="AD1" s="200"/>
      <c r="AE1" s="200"/>
      <c r="AF1" s="200"/>
      <c r="AG1" s="200"/>
      <c r="AH1" s="200"/>
      <c r="AI1" s="200"/>
      <c r="AJ1" s="200"/>
      <c r="AK1" s="200"/>
      <c r="AL1" s="1231"/>
      <c r="AM1" s="200"/>
      <c r="AN1" s="200"/>
      <c r="AO1" s="200"/>
      <c r="AP1" s="200"/>
      <c r="AQ1" s="200"/>
      <c r="AR1" s="200"/>
      <c r="AS1" s="200"/>
      <c r="AT1" s="200"/>
      <c r="AU1" s="200"/>
      <c r="AV1" s="200"/>
      <c r="AW1" s="200"/>
      <c r="AX1" s="1231"/>
      <c r="AY1" s="200"/>
      <c r="AZ1" s="200"/>
      <c r="BA1" s="200"/>
      <c r="BB1" s="200"/>
      <c r="BC1" s="200"/>
      <c r="BD1" s="200"/>
      <c r="BE1" s="200"/>
      <c r="BF1" s="200"/>
      <c r="BG1" s="200"/>
      <c r="BH1" s="200"/>
      <c r="BI1" s="200"/>
      <c r="BJ1" s="1231"/>
      <c r="BK1" s="200"/>
      <c r="BL1" s="200"/>
      <c r="BM1" s="200"/>
      <c r="BN1" s="200"/>
      <c r="BO1" s="200"/>
      <c r="BP1" s="200"/>
      <c r="BQ1" s="200"/>
      <c r="BR1" s="200"/>
      <c r="BS1" s="200"/>
      <c r="BT1" s="200"/>
      <c r="BU1" s="200"/>
      <c r="BV1" s="1231"/>
      <c r="BW1" s="200"/>
      <c r="BX1" s="200"/>
      <c r="BY1" s="200"/>
      <c r="BZ1" s="200"/>
      <c r="CA1" s="200"/>
      <c r="CB1" s="200"/>
      <c r="CC1" s="200"/>
      <c r="CD1" s="200"/>
      <c r="CE1" s="200"/>
      <c r="CF1" s="200"/>
      <c r="CG1" s="200"/>
      <c r="CH1" s="1231"/>
      <c r="CI1" s="200"/>
      <c r="CJ1" s="200"/>
      <c r="CK1" s="200"/>
      <c r="CL1" s="200"/>
      <c r="CM1" s="200"/>
      <c r="CN1" s="200"/>
      <c r="CO1" s="200"/>
      <c r="CP1" s="200"/>
      <c r="CQ1" s="200"/>
      <c r="CR1" s="200"/>
      <c r="CS1" s="200"/>
      <c r="CT1" s="1231"/>
      <c r="CU1" s="200"/>
      <c r="CV1" s="200"/>
      <c r="CW1" s="200"/>
      <c r="CX1" s="200"/>
      <c r="CY1" s="200"/>
      <c r="CZ1" s="200"/>
      <c r="DA1" s="200"/>
      <c r="DB1" s="200"/>
      <c r="DC1" s="200"/>
      <c r="DD1" s="200"/>
      <c r="DE1" s="200"/>
      <c r="DF1" s="1231"/>
      <c r="DG1" s="200"/>
      <c r="DH1" s="200"/>
      <c r="DI1" s="200"/>
      <c r="DJ1" s="200"/>
      <c r="DK1" s="200"/>
      <c r="DL1" s="200"/>
      <c r="DM1" s="200"/>
      <c r="DN1" s="200"/>
      <c r="DO1" s="200"/>
      <c r="DP1" s="200"/>
      <c r="DQ1" s="200"/>
      <c r="DR1" s="1231"/>
    </row>
    <row r="2" spans="1:167" s="50" customFormat="1" ht="32.25" customHeight="1" x14ac:dyDescent="0.3">
      <c r="A2" s="1426"/>
      <c r="B2" s="1426"/>
      <c r="C2" s="1420" t="s">
        <v>507</v>
      </c>
      <c r="D2" s="1420"/>
      <c r="E2" s="1420"/>
      <c r="F2" s="1420"/>
      <c r="G2" s="1420"/>
      <c r="H2" s="1420"/>
      <c r="I2" s="1420"/>
      <c r="J2" s="1420"/>
      <c r="K2" s="1420"/>
      <c r="L2" s="1420"/>
      <c r="M2" s="1420"/>
      <c r="N2" s="1421"/>
      <c r="O2" s="1415" t="s">
        <v>508</v>
      </c>
      <c r="P2" s="1415"/>
      <c r="Q2" s="1415"/>
      <c r="R2" s="1415"/>
      <c r="S2" s="1415"/>
      <c r="T2" s="1415"/>
      <c r="U2" s="1415"/>
      <c r="V2" s="1415"/>
      <c r="W2" s="1415"/>
      <c r="X2" s="1415"/>
      <c r="Y2" s="1415"/>
      <c r="Z2" s="1416"/>
      <c r="AA2" s="1415" t="s">
        <v>509</v>
      </c>
      <c r="AB2" s="1415"/>
      <c r="AC2" s="1415"/>
      <c r="AD2" s="1415"/>
      <c r="AE2" s="1415"/>
      <c r="AF2" s="1415"/>
      <c r="AG2" s="1415"/>
      <c r="AH2" s="1415"/>
      <c r="AI2" s="1415"/>
      <c r="AJ2" s="1415"/>
      <c r="AK2" s="1415"/>
      <c r="AL2" s="1416"/>
      <c r="AM2" s="1415" t="s">
        <v>510</v>
      </c>
      <c r="AN2" s="1415"/>
      <c r="AO2" s="1415"/>
      <c r="AP2" s="1415"/>
      <c r="AQ2" s="1415"/>
      <c r="AR2" s="1415"/>
      <c r="AS2" s="1415"/>
      <c r="AT2" s="1415"/>
      <c r="AU2" s="1415"/>
      <c r="AV2" s="1415"/>
      <c r="AW2" s="1415"/>
      <c r="AX2" s="1416"/>
      <c r="AY2" s="1415" t="s">
        <v>511</v>
      </c>
      <c r="AZ2" s="1415"/>
      <c r="BA2" s="1415"/>
      <c r="BB2" s="1415"/>
      <c r="BC2" s="1415"/>
      <c r="BD2" s="1415"/>
      <c r="BE2" s="1415"/>
      <c r="BF2" s="1415"/>
      <c r="BG2" s="1415"/>
      <c r="BH2" s="1415"/>
      <c r="BI2" s="1415"/>
      <c r="BJ2" s="1416"/>
      <c r="BK2" s="1415" t="s">
        <v>512</v>
      </c>
      <c r="BL2" s="1415"/>
      <c r="BM2" s="1415"/>
      <c r="BN2" s="1415"/>
      <c r="BO2" s="1415"/>
      <c r="BP2" s="1415"/>
      <c r="BQ2" s="1415"/>
      <c r="BR2" s="1415"/>
      <c r="BS2" s="1415"/>
      <c r="BT2" s="1415"/>
      <c r="BU2" s="1415"/>
      <c r="BV2" s="1416"/>
      <c r="BW2" s="1415" t="s">
        <v>513</v>
      </c>
      <c r="BX2" s="1415"/>
      <c r="BY2" s="1415"/>
      <c r="BZ2" s="1415"/>
      <c r="CA2" s="1415"/>
      <c r="CB2" s="1415"/>
      <c r="CC2" s="1415"/>
      <c r="CD2" s="1415"/>
      <c r="CE2" s="1415"/>
      <c r="CF2" s="1415"/>
      <c r="CG2" s="1415"/>
      <c r="CH2" s="1416"/>
      <c r="CI2" s="1415" t="s">
        <v>514</v>
      </c>
      <c r="CJ2" s="1415"/>
      <c r="CK2" s="1415"/>
      <c r="CL2" s="1415"/>
      <c r="CM2" s="1415"/>
      <c r="CN2" s="1415"/>
      <c r="CO2" s="1415"/>
      <c r="CP2" s="1415"/>
      <c r="CQ2" s="1415"/>
      <c r="CR2" s="1415"/>
      <c r="CS2" s="1415"/>
      <c r="CT2" s="1416"/>
      <c r="CU2" s="1415" t="s">
        <v>515</v>
      </c>
      <c r="CV2" s="1415"/>
      <c r="CW2" s="1415"/>
      <c r="CX2" s="1415"/>
      <c r="CY2" s="1415"/>
      <c r="CZ2" s="1415"/>
      <c r="DA2" s="1415"/>
      <c r="DB2" s="1415"/>
      <c r="DC2" s="1415"/>
      <c r="DD2" s="1415"/>
      <c r="DE2" s="1415"/>
      <c r="DF2" s="1416"/>
      <c r="DG2" s="1415" t="s">
        <v>516</v>
      </c>
      <c r="DH2" s="1415"/>
      <c r="DI2" s="1415"/>
      <c r="DJ2" s="1415"/>
      <c r="DK2" s="1415"/>
      <c r="DL2" s="1415"/>
      <c r="DM2" s="1415"/>
      <c r="DN2" s="1415"/>
      <c r="DO2" s="1415"/>
      <c r="DP2" s="1415"/>
      <c r="DQ2" s="1415"/>
      <c r="DR2" s="1416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</row>
    <row r="3" spans="1:167" ht="12.75" customHeight="1" x14ac:dyDescent="0.25">
      <c r="A3" s="1426"/>
      <c r="B3" s="1426"/>
      <c r="C3" s="484" t="s">
        <v>175</v>
      </c>
      <c r="D3" s="484" t="s">
        <v>176</v>
      </c>
      <c r="E3" s="484" t="s">
        <v>177</v>
      </c>
      <c r="F3" s="484" t="s">
        <v>178</v>
      </c>
      <c r="G3" s="484" t="s">
        <v>167</v>
      </c>
      <c r="H3" s="484" t="s">
        <v>168</v>
      </c>
      <c r="I3" s="484" t="s">
        <v>169</v>
      </c>
      <c r="J3" s="484" t="s">
        <v>170</v>
      </c>
      <c r="K3" s="484" t="s">
        <v>171</v>
      </c>
      <c r="L3" s="484" t="s">
        <v>172</v>
      </c>
      <c r="M3" s="484" t="s">
        <v>173</v>
      </c>
      <c r="N3" s="694" t="s">
        <v>174</v>
      </c>
      <c r="O3" s="272" t="s">
        <v>175</v>
      </c>
      <c r="P3" s="272" t="s">
        <v>176</v>
      </c>
      <c r="Q3" s="272" t="s">
        <v>177</v>
      </c>
      <c r="R3" s="272" t="s">
        <v>178</v>
      </c>
      <c r="S3" s="272" t="s">
        <v>167</v>
      </c>
      <c r="T3" s="272" t="s">
        <v>168</v>
      </c>
      <c r="U3" s="272" t="s">
        <v>169</v>
      </c>
      <c r="V3" s="272" t="s">
        <v>170</v>
      </c>
      <c r="W3" s="272" t="s">
        <v>171</v>
      </c>
      <c r="X3" s="272" t="s">
        <v>172</v>
      </c>
      <c r="Y3" s="272" t="s">
        <v>173</v>
      </c>
      <c r="Z3" s="603" t="s">
        <v>174</v>
      </c>
      <c r="AA3" s="272" t="s">
        <v>175</v>
      </c>
      <c r="AB3" s="272" t="s">
        <v>176</v>
      </c>
      <c r="AC3" s="272" t="s">
        <v>177</v>
      </c>
      <c r="AD3" s="272" t="s">
        <v>178</v>
      </c>
      <c r="AE3" s="272" t="s">
        <v>167</v>
      </c>
      <c r="AF3" s="272" t="s">
        <v>168</v>
      </c>
      <c r="AG3" s="272" t="s">
        <v>169</v>
      </c>
      <c r="AH3" s="272" t="s">
        <v>170</v>
      </c>
      <c r="AI3" s="272" t="s">
        <v>171</v>
      </c>
      <c r="AJ3" s="272" t="s">
        <v>172</v>
      </c>
      <c r="AK3" s="272" t="s">
        <v>173</v>
      </c>
      <c r="AL3" s="603" t="s">
        <v>174</v>
      </c>
      <c r="AM3" s="272" t="s">
        <v>175</v>
      </c>
      <c r="AN3" s="272" t="s">
        <v>176</v>
      </c>
      <c r="AO3" s="272" t="s">
        <v>177</v>
      </c>
      <c r="AP3" s="272" t="s">
        <v>178</v>
      </c>
      <c r="AQ3" s="272" t="s">
        <v>167</v>
      </c>
      <c r="AR3" s="272" t="s">
        <v>168</v>
      </c>
      <c r="AS3" s="272" t="s">
        <v>169</v>
      </c>
      <c r="AT3" s="272" t="s">
        <v>170</v>
      </c>
      <c r="AU3" s="272" t="s">
        <v>171</v>
      </c>
      <c r="AV3" s="272" t="s">
        <v>172</v>
      </c>
      <c r="AW3" s="272" t="s">
        <v>173</v>
      </c>
      <c r="AX3" s="603" t="s">
        <v>174</v>
      </c>
      <c r="AY3" s="272" t="s">
        <v>175</v>
      </c>
      <c r="AZ3" s="272" t="s">
        <v>176</v>
      </c>
      <c r="BA3" s="272" t="s">
        <v>177</v>
      </c>
      <c r="BB3" s="272" t="s">
        <v>178</v>
      </c>
      <c r="BC3" s="272" t="s">
        <v>167</v>
      </c>
      <c r="BD3" s="272" t="s">
        <v>168</v>
      </c>
      <c r="BE3" s="272" t="s">
        <v>169</v>
      </c>
      <c r="BF3" s="272" t="s">
        <v>170</v>
      </c>
      <c r="BG3" s="272" t="s">
        <v>171</v>
      </c>
      <c r="BH3" s="272" t="s">
        <v>172</v>
      </c>
      <c r="BI3" s="272" t="s">
        <v>173</v>
      </c>
      <c r="BJ3" s="603" t="s">
        <v>174</v>
      </c>
      <c r="BK3" s="272" t="s">
        <v>175</v>
      </c>
      <c r="BL3" s="272" t="s">
        <v>176</v>
      </c>
      <c r="BM3" s="272" t="s">
        <v>177</v>
      </c>
      <c r="BN3" s="272" t="s">
        <v>178</v>
      </c>
      <c r="BO3" s="272" t="s">
        <v>167</v>
      </c>
      <c r="BP3" s="272" t="s">
        <v>168</v>
      </c>
      <c r="BQ3" s="272" t="s">
        <v>169</v>
      </c>
      <c r="BR3" s="272" t="s">
        <v>170</v>
      </c>
      <c r="BS3" s="272" t="s">
        <v>171</v>
      </c>
      <c r="BT3" s="272" t="s">
        <v>172</v>
      </c>
      <c r="BU3" s="272" t="s">
        <v>173</v>
      </c>
      <c r="BV3" s="603" t="s">
        <v>174</v>
      </c>
      <c r="BW3" s="272" t="s">
        <v>175</v>
      </c>
      <c r="BX3" s="272" t="s">
        <v>176</v>
      </c>
      <c r="BY3" s="272" t="s">
        <v>177</v>
      </c>
      <c r="BZ3" s="272" t="s">
        <v>178</v>
      </c>
      <c r="CA3" s="272" t="s">
        <v>167</v>
      </c>
      <c r="CB3" s="272" t="s">
        <v>168</v>
      </c>
      <c r="CC3" s="272" t="s">
        <v>169</v>
      </c>
      <c r="CD3" s="272" t="s">
        <v>170</v>
      </c>
      <c r="CE3" s="272" t="s">
        <v>171</v>
      </c>
      <c r="CF3" s="272" t="s">
        <v>172</v>
      </c>
      <c r="CG3" s="272" t="s">
        <v>173</v>
      </c>
      <c r="CH3" s="603" t="s">
        <v>174</v>
      </c>
      <c r="CI3" s="272" t="s">
        <v>175</v>
      </c>
      <c r="CJ3" s="272" t="s">
        <v>176</v>
      </c>
      <c r="CK3" s="272" t="s">
        <v>177</v>
      </c>
      <c r="CL3" s="272" t="s">
        <v>178</v>
      </c>
      <c r="CM3" s="272" t="s">
        <v>167</v>
      </c>
      <c r="CN3" s="272" t="s">
        <v>168</v>
      </c>
      <c r="CO3" s="272" t="s">
        <v>169</v>
      </c>
      <c r="CP3" s="272" t="s">
        <v>170</v>
      </c>
      <c r="CQ3" s="272" t="s">
        <v>171</v>
      </c>
      <c r="CR3" s="272" t="s">
        <v>172</v>
      </c>
      <c r="CS3" s="272" t="s">
        <v>173</v>
      </c>
      <c r="CT3" s="603" t="s">
        <v>174</v>
      </c>
      <c r="CU3" s="272" t="s">
        <v>175</v>
      </c>
      <c r="CV3" s="272" t="s">
        <v>176</v>
      </c>
      <c r="CW3" s="272" t="s">
        <v>177</v>
      </c>
      <c r="CX3" s="272" t="s">
        <v>178</v>
      </c>
      <c r="CY3" s="272" t="s">
        <v>167</v>
      </c>
      <c r="CZ3" s="272" t="s">
        <v>168</v>
      </c>
      <c r="DA3" s="272" t="s">
        <v>169</v>
      </c>
      <c r="DB3" s="272" t="s">
        <v>170</v>
      </c>
      <c r="DC3" s="272" t="s">
        <v>171</v>
      </c>
      <c r="DD3" s="272" t="s">
        <v>172</v>
      </c>
      <c r="DE3" s="272" t="s">
        <v>173</v>
      </c>
      <c r="DF3" s="603" t="s">
        <v>174</v>
      </c>
      <c r="DG3" s="272" t="s">
        <v>175</v>
      </c>
      <c r="DH3" s="272" t="s">
        <v>176</v>
      </c>
      <c r="DI3" s="272" t="s">
        <v>177</v>
      </c>
      <c r="DJ3" s="272" t="s">
        <v>178</v>
      </c>
      <c r="DK3" s="272" t="s">
        <v>167</v>
      </c>
      <c r="DL3" s="272" t="s">
        <v>168</v>
      </c>
      <c r="DM3" s="272" t="s">
        <v>169</v>
      </c>
      <c r="DN3" s="272" t="s">
        <v>170</v>
      </c>
      <c r="DO3" s="272" t="s">
        <v>171</v>
      </c>
      <c r="DP3" s="272" t="s">
        <v>172</v>
      </c>
      <c r="DQ3" s="272" t="s">
        <v>173</v>
      </c>
      <c r="DR3" s="603" t="s">
        <v>174</v>
      </c>
    </row>
    <row r="4" spans="1:167" hidden="1" x14ac:dyDescent="0.2">
      <c r="A4" s="132" t="s">
        <v>93</v>
      </c>
      <c r="B4" s="133"/>
      <c r="C4" s="1227">
        <f>Assumptions!$E8</f>
        <v>0.1</v>
      </c>
      <c r="D4" s="1227">
        <f>Assumptions!$E8</f>
        <v>0.1</v>
      </c>
      <c r="E4" s="1227">
        <f>Assumptions!$E8</f>
        <v>0.1</v>
      </c>
      <c r="F4" s="1227">
        <f>Assumptions!$E8</f>
        <v>0.1</v>
      </c>
      <c r="G4" s="1227">
        <f>Assumptions!$E8</f>
        <v>0.1</v>
      </c>
      <c r="H4" s="1227">
        <f>Assumptions!$E8</f>
        <v>0.1</v>
      </c>
      <c r="I4" s="1227">
        <f>Assumptions!$E8</f>
        <v>0.1</v>
      </c>
      <c r="J4" s="1227">
        <f>Assumptions!$E8</f>
        <v>0.1</v>
      </c>
      <c r="K4" s="1227">
        <f>Assumptions!$E8</f>
        <v>0.1</v>
      </c>
      <c r="L4" s="1227">
        <f>Assumptions!$E8</f>
        <v>0.1</v>
      </c>
      <c r="M4" s="1227">
        <f>Assumptions!$E8</f>
        <v>0.1</v>
      </c>
      <c r="N4" s="1228">
        <f>Assumptions!$E8</f>
        <v>0.1</v>
      </c>
      <c r="O4" s="1227">
        <f>Assumptions!$F8</f>
        <v>0.1</v>
      </c>
      <c r="P4" s="1227">
        <f>Assumptions!$F8</f>
        <v>0.1</v>
      </c>
      <c r="Q4" s="1227">
        <f>Assumptions!$F8</f>
        <v>0.1</v>
      </c>
      <c r="R4" s="1227">
        <f>Assumptions!$F8</f>
        <v>0.1</v>
      </c>
      <c r="S4" s="1227">
        <f>Assumptions!$F8</f>
        <v>0.1</v>
      </c>
      <c r="T4" s="1227">
        <f>Assumptions!$F8</f>
        <v>0.1</v>
      </c>
      <c r="U4" s="1227">
        <f>Assumptions!$F8</f>
        <v>0.1</v>
      </c>
      <c r="V4" s="1227">
        <f>Assumptions!$F8</f>
        <v>0.1</v>
      </c>
      <c r="W4" s="1227">
        <f>Assumptions!$F8</f>
        <v>0.1</v>
      </c>
      <c r="X4" s="1227">
        <f>Assumptions!$F8</f>
        <v>0.1</v>
      </c>
      <c r="Y4" s="1227">
        <f>Assumptions!$F8</f>
        <v>0.1</v>
      </c>
      <c r="Z4" s="1228">
        <f>Assumptions!$F8</f>
        <v>0.1</v>
      </c>
      <c r="AA4" s="1227">
        <f>Assumptions!$G8</f>
        <v>0.1</v>
      </c>
      <c r="AB4" s="1227">
        <f>Assumptions!$G8</f>
        <v>0.1</v>
      </c>
      <c r="AC4" s="1227">
        <f>Assumptions!$G8</f>
        <v>0.1</v>
      </c>
      <c r="AD4" s="1227">
        <f>Assumptions!$G8</f>
        <v>0.1</v>
      </c>
      <c r="AE4" s="1227">
        <f>Assumptions!$G8</f>
        <v>0.1</v>
      </c>
      <c r="AF4" s="1227">
        <f>Assumptions!$G8</f>
        <v>0.1</v>
      </c>
      <c r="AG4" s="1227">
        <f>Assumptions!$G8</f>
        <v>0.1</v>
      </c>
      <c r="AH4" s="1227">
        <f>Assumptions!$G8</f>
        <v>0.1</v>
      </c>
      <c r="AI4" s="1227">
        <f>Assumptions!$G8</f>
        <v>0.1</v>
      </c>
      <c r="AJ4" s="1227">
        <f>Assumptions!$G8</f>
        <v>0.1</v>
      </c>
      <c r="AK4" s="1227">
        <f>Assumptions!$G8</f>
        <v>0.1</v>
      </c>
      <c r="AL4" s="1228">
        <f>Assumptions!$G8</f>
        <v>0.1</v>
      </c>
      <c r="AM4" s="1227">
        <f>Assumptions!$H8</f>
        <v>0.1</v>
      </c>
      <c r="AN4" s="1227">
        <f>Assumptions!$H8</f>
        <v>0.1</v>
      </c>
      <c r="AO4" s="1227">
        <f>Assumptions!$H8</f>
        <v>0.1</v>
      </c>
      <c r="AP4" s="1227">
        <f>Assumptions!$H8</f>
        <v>0.1</v>
      </c>
      <c r="AQ4" s="1227">
        <f>Assumptions!$H8</f>
        <v>0.1</v>
      </c>
      <c r="AR4" s="1227">
        <f>Assumptions!$H8</f>
        <v>0.1</v>
      </c>
      <c r="AS4" s="1227">
        <f>Assumptions!$H8</f>
        <v>0.1</v>
      </c>
      <c r="AT4" s="1227">
        <f>Assumptions!$H8</f>
        <v>0.1</v>
      </c>
      <c r="AU4" s="1227">
        <f>Assumptions!$H8</f>
        <v>0.1</v>
      </c>
      <c r="AV4" s="1227">
        <f>Assumptions!$H8</f>
        <v>0.1</v>
      </c>
      <c r="AW4" s="1227">
        <f>Assumptions!$H8</f>
        <v>0.1</v>
      </c>
      <c r="AX4" s="1228">
        <f>Assumptions!$H8</f>
        <v>0.1</v>
      </c>
      <c r="AY4" s="1227">
        <f>Assumptions!$I8</f>
        <v>0.1</v>
      </c>
      <c r="AZ4" s="1227">
        <f>Assumptions!$I8</f>
        <v>0.1</v>
      </c>
      <c r="BA4" s="1227">
        <f>Assumptions!$I8</f>
        <v>0.1</v>
      </c>
      <c r="BB4" s="1227">
        <f>Assumptions!$I8</f>
        <v>0.1</v>
      </c>
      <c r="BC4" s="1227">
        <f>Assumptions!$I8</f>
        <v>0.1</v>
      </c>
      <c r="BD4" s="1227">
        <f>Assumptions!$I8</f>
        <v>0.1</v>
      </c>
      <c r="BE4" s="1227">
        <f>Assumptions!$I8</f>
        <v>0.1</v>
      </c>
      <c r="BF4" s="1227">
        <f>Assumptions!$I8</f>
        <v>0.1</v>
      </c>
      <c r="BG4" s="1227">
        <f>Assumptions!$I8</f>
        <v>0.1</v>
      </c>
      <c r="BH4" s="1227">
        <f>Assumptions!$I8</f>
        <v>0.1</v>
      </c>
      <c r="BI4" s="1227">
        <f>Assumptions!$I8</f>
        <v>0.1</v>
      </c>
      <c r="BJ4" s="1228">
        <f>Assumptions!$I8</f>
        <v>0.1</v>
      </c>
      <c r="BK4" s="1227">
        <f>Assumptions!$J8</f>
        <v>0.1</v>
      </c>
      <c r="BL4" s="1227">
        <f>Assumptions!$J8</f>
        <v>0.1</v>
      </c>
      <c r="BM4" s="1227">
        <f>Assumptions!$J8</f>
        <v>0.1</v>
      </c>
      <c r="BN4" s="1227">
        <f>Assumptions!$J8</f>
        <v>0.1</v>
      </c>
      <c r="BO4" s="1227">
        <f>Assumptions!$J8</f>
        <v>0.1</v>
      </c>
      <c r="BP4" s="1227">
        <f>Assumptions!$J8</f>
        <v>0.1</v>
      </c>
      <c r="BQ4" s="1227">
        <f>Assumptions!$J8</f>
        <v>0.1</v>
      </c>
      <c r="BR4" s="1227">
        <f>Assumptions!$J8</f>
        <v>0.1</v>
      </c>
      <c r="BS4" s="1227">
        <f>Assumptions!$J8</f>
        <v>0.1</v>
      </c>
      <c r="BT4" s="1227">
        <f>Assumptions!$J8</f>
        <v>0.1</v>
      </c>
      <c r="BU4" s="1227">
        <f>Assumptions!$J8</f>
        <v>0.1</v>
      </c>
      <c r="BV4" s="1228">
        <f>Assumptions!$J8</f>
        <v>0.1</v>
      </c>
      <c r="BW4" s="1227">
        <f>Assumptions!$K8</f>
        <v>0.1</v>
      </c>
      <c r="BX4" s="1227">
        <f>Assumptions!$K8</f>
        <v>0.1</v>
      </c>
      <c r="BY4" s="1227">
        <f>Assumptions!$K8</f>
        <v>0.1</v>
      </c>
      <c r="BZ4" s="1227">
        <f>Assumptions!$K8</f>
        <v>0.1</v>
      </c>
      <c r="CA4" s="1227">
        <f>Assumptions!$K8</f>
        <v>0.1</v>
      </c>
      <c r="CB4" s="1227">
        <f>Assumptions!$K8</f>
        <v>0.1</v>
      </c>
      <c r="CC4" s="1227">
        <f>Assumptions!$K8</f>
        <v>0.1</v>
      </c>
      <c r="CD4" s="1227">
        <f>Assumptions!$K8</f>
        <v>0.1</v>
      </c>
      <c r="CE4" s="1227">
        <f>Assumptions!$K8</f>
        <v>0.1</v>
      </c>
      <c r="CF4" s="1227">
        <f>Assumptions!$K8</f>
        <v>0.1</v>
      </c>
      <c r="CG4" s="1227">
        <f>Assumptions!$K8</f>
        <v>0.1</v>
      </c>
      <c r="CH4" s="1228">
        <f>Assumptions!$K8</f>
        <v>0.1</v>
      </c>
      <c r="CI4" s="1227">
        <f>Assumptions!$L8</f>
        <v>0.1</v>
      </c>
      <c r="CJ4" s="1227">
        <f>Assumptions!$L8</f>
        <v>0.1</v>
      </c>
      <c r="CK4" s="1227">
        <f>Assumptions!$L8</f>
        <v>0.1</v>
      </c>
      <c r="CL4" s="1227">
        <f>Assumptions!$L8</f>
        <v>0.1</v>
      </c>
      <c r="CM4" s="1227">
        <f>Assumptions!$L8</f>
        <v>0.1</v>
      </c>
      <c r="CN4" s="1227">
        <f>Assumptions!$L8</f>
        <v>0.1</v>
      </c>
      <c r="CO4" s="1227">
        <f>Assumptions!$L8</f>
        <v>0.1</v>
      </c>
      <c r="CP4" s="1227">
        <f>Assumptions!$L8</f>
        <v>0.1</v>
      </c>
      <c r="CQ4" s="1227">
        <f>Assumptions!$L8</f>
        <v>0.1</v>
      </c>
      <c r="CR4" s="1227">
        <f>Assumptions!$L8</f>
        <v>0.1</v>
      </c>
      <c r="CS4" s="1227">
        <f>Assumptions!$L8</f>
        <v>0.1</v>
      </c>
      <c r="CT4" s="1228">
        <f>Assumptions!$L8</f>
        <v>0.1</v>
      </c>
      <c r="CU4" s="1227">
        <f>Assumptions!$M8</f>
        <v>0.1</v>
      </c>
      <c r="CV4" s="1227">
        <f>Assumptions!$M8</f>
        <v>0.1</v>
      </c>
      <c r="CW4" s="1227">
        <f>Assumptions!$M8</f>
        <v>0.1</v>
      </c>
      <c r="CX4" s="1227">
        <f>Assumptions!$M8</f>
        <v>0.1</v>
      </c>
      <c r="CY4" s="1227">
        <f>Assumptions!$M8</f>
        <v>0.1</v>
      </c>
      <c r="CZ4" s="1227">
        <f>Assumptions!$M8</f>
        <v>0.1</v>
      </c>
      <c r="DA4" s="1227">
        <f>Assumptions!$M8</f>
        <v>0.1</v>
      </c>
      <c r="DB4" s="1227">
        <f>Assumptions!$M8</f>
        <v>0.1</v>
      </c>
      <c r="DC4" s="1227">
        <f>Assumptions!$M8</f>
        <v>0.1</v>
      </c>
      <c r="DD4" s="1227">
        <f>Assumptions!$M8</f>
        <v>0.1</v>
      </c>
      <c r="DE4" s="1227">
        <f>Assumptions!$M8</f>
        <v>0.1</v>
      </c>
      <c r="DF4" s="1228">
        <f>Assumptions!$M8</f>
        <v>0.1</v>
      </c>
      <c r="DG4" s="1227">
        <f>Assumptions!$N8</f>
        <v>0.1</v>
      </c>
      <c r="DH4" s="1227">
        <f>Assumptions!$N8</f>
        <v>0.1</v>
      </c>
      <c r="DI4" s="1227">
        <f>Assumptions!$N8</f>
        <v>0.1</v>
      </c>
      <c r="DJ4" s="1227">
        <f>Assumptions!$N8</f>
        <v>0.1</v>
      </c>
      <c r="DK4" s="1227">
        <f>Assumptions!$N8</f>
        <v>0.1</v>
      </c>
      <c r="DL4" s="1227">
        <f>Assumptions!$N8</f>
        <v>0.1</v>
      </c>
      <c r="DM4" s="1227">
        <f>Assumptions!$N8</f>
        <v>0.1</v>
      </c>
      <c r="DN4" s="1227">
        <f>Assumptions!$N8</f>
        <v>0.1</v>
      </c>
      <c r="DO4" s="1227">
        <f>Assumptions!$N8</f>
        <v>0.1</v>
      </c>
      <c r="DP4" s="1227">
        <f>Assumptions!$N8</f>
        <v>0.1</v>
      </c>
      <c r="DQ4" s="1227">
        <f>Assumptions!$N8</f>
        <v>0.1</v>
      </c>
      <c r="DR4" s="1228">
        <f>Assumptions!$N8</f>
        <v>0.1</v>
      </c>
    </row>
    <row r="5" spans="1:167" x14ac:dyDescent="0.2">
      <c r="A5" s="132"/>
      <c r="B5" s="133"/>
      <c r="C5" s="1227"/>
      <c r="D5" s="1227"/>
      <c r="E5" s="1227"/>
      <c r="F5" s="1227"/>
      <c r="G5" s="1227"/>
      <c r="H5" s="1227"/>
      <c r="I5" s="1227"/>
      <c r="J5" s="1227"/>
      <c r="K5" s="1227"/>
      <c r="L5" s="1227"/>
      <c r="M5" s="1227"/>
      <c r="N5" s="1228"/>
      <c r="O5" s="1227"/>
      <c r="P5" s="1227"/>
      <c r="Q5" s="1227"/>
      <c r="R5" s="1227"/>
      <c r="S5" s="1227"/>
      <c r="T5" s="1227"/>
      <c r="U5" s="1227"/>
      <c r="V5" s="1227"/>
      <c r="W5" s="1227"/>
      <c r="X5" s="1227"/>
      <c r="Y5" s="1227"/>
      <c r="Z5" s="1228"/>
      <c r="AA5" s="1227"/>
      <c r="AB5" s="1227"/>
      <c r="AC5" s="1227"/>
      <c r="AD5" s="1227"/>
      <c r="AE5" s="1227"/>
      <c r="AF5" s="1227"/>
      <c r="AG5" s="1227"/>
      <c r="AH5" s="1227"/>
      <c r="AI5" s="1227"/>
      <c r="AJ5" s="1227"/>
      <c r="AK5" s="1227"/>
      <c r="AL5" s="1228"/>
      <c r="AM5" s="1227"/>
      <c r="AN5" s="1227"/>
      <c r="AO5" s="1227"/>
      <c r="AP5" s="1227"/>
      <c r="AQ5" s="1227"/>
      <c r="AR5" s="1227"/>
      <c r="AS5" s="1227"/>
      <c r="AT5" s="1227"/>
      <c r="AU5" s="1227"/>
      <c r="AV5" s="1227"/>
      <c r="AW5" s="1227"/>
      <c r="AX5" s="1228"/>
      <c r="AY5" s="1227"/>
      <c r="AZ5" s="1227"/>
      <c r="BA5" s="1227"/>
      <c r="BB5" s="1227"/>
      <c r="BC5" s="1227"/>
      <c r="BD5" s="1227"/>
      <c r="BE5" s="1227"/>
      <c r="BF5" s="1227"/>
      <c r="BG5" s="1227"/>
      <c r="BH5" s="1227"/>
      <c r="BI5" s="1227"/>
      <c r="BJ5" s="1228"/>
      <c r="BK5" s="1227"/>
      <c r="BL5" s="1227"/>
      <c r="BM5" s="1227"/>
      <c r="BN5" s="1227"/>
      <c r="BO5" s="1227"/>
      <c r="BP5" s="1227"/>
      <c r="BQ5" s="1227"/>
      <c r="BR5" s="1227"/>
      <c r="BS5" s="1227"/>
      <c r="BT5" s="1227"/>
      <c r="BU5" s="1227"/>
      <c r="BV5" s="1228"/>
      <c r="BW5" s="1227"/>
      <c r="BX5" s="1227"/>
      <c r="BY5" s="1227"/>
      <c r="BZ5" s="1227"/>
      <c r="CA5" s="1227"/>
      <c r="CB5" s="1227"/>
      <c r="CC5" s="1227"/>
      <c r="CD5" s="1227"/>
      <c r="CE5" s="1227"/>
      <c r="CF5" s="1227"/>
      <c r="CG5" s="1227"/>
      <c r="CH5" s="1228"/>
      <c r="CI5" s="1227"/>
      <c r="CJ5" s="1227"/>
      <c r="CK5" s="1227"/>
      <c r="CL5" s="1227"/>
      <c r="CM5" s="1227"/>
      <c r="CN5" s="1227"/>
      <c r="CO5" s="1227"/>
      <c r="CP5" s="1227"/>
      <c r="CQ5" s="1227"/>
      <c r="CR5" s="1227"/>
      <c r="CS5" s="1227"/>
      <c r="CT5" s="1228"/>
      <c r="CU5" s="1227"/>
      <c r="CV5" s="1227"/>
      <c r="CW5" s="1227"/>
      <c r="CX5" s="1227"/>
      <c r="CY5" s="1227"/>
      <c r="CZ5" s="1227"/>
      <c r="DA5" s="1227"/>
      <c r="DB5" s="1227"/>
      <c r="DC5" s="1227"/>
      <c r="DD5" s="1227"/>
      <c r="DE5" s="1227"/>
      <c r="DF5" s="1228"/>
      <c r="DG5" s="1227"/>
      <c r="DH5" s="1227"/>
      <c r="DI5" s="1227"/>
      <c r="DJ5" s="1227"/>
      <c r="DK5" s="1227"/>
      <c r="DL5" s="1227"/>
      <c r="DM5" s="1227"/>
      <c r="DN5" s="1227"/>
      <c r="DO5" s="1227"/>
      <c r="DP5" s="1227"/>
      <c r="DQ5" s="1227"/>
      <c r="DR5" s="1228"/>
    </row>
    <row r="6" spans="1:167" ht="18.75" x14ac:dyDescent="0.3">
      <c r="A6" s="1435" t="s">
        <v>524</v>
      </c>
      <c r="B6" s="1436"/>
      <c r="C6" s="109">
        <f>C12+C27</f>
        <v>0</v>
      </c>
      <c r="D6" s="109">
        <f t="shared" ref="D6:BO6" si="0">D12+D27</f>
        <v>0</v>
      </c>
      <c r="E6" s="109">
        <f t="shared" si="0"/>
        <v>0</v>
      </c>
      <c r="F6" s="109">
        <f t="shared" si="0"/>
        <v>0</v>
      </c>
      <c r="G6" s="109">
        <f t="shared" si="0"/>
        <v>0</v>
      </c>
      <c r="H6" s="109">
        <f t="shared" si="0"/>
        <v>0</v>
      </c>
      <c r="I6" s="109">
        <f t="shared" si="0"/>
        <v>0</v>
      </c>
      <c r="J6" s="109">
        <f t="shared" si="0"/>
        <v>0</v>
      </c>
      <c r="K6" s="109">
        <f t="shared" si="0"/>
        <v>0</v>
      </c>
      <c r="L6" s="109">
        <f t="shared" si="0"/>
        <v>0</v>
      </c>
      <c r="M6" s="109">
        <f t="shared" si="0"/>
        <v>0</v>
      </c>
      <c r="N6" s="695">
        <f t="shared" si="0"/>
        <v>0</v>
      </c>
      <c r="O6" s="109">
        <f t="shared" si="0"/>
        <v>0</v>
      </c>
      <c r="P6" s="108">
        <f t="shared" si="0"/>
        <v>0</v>
      </c>
      <c r="Q6" s="108">
        <f t="shared" si="0"/>
        <v>0</v>
      </c>
      <c r="R6" s="108">
        <f t="shared" si="0"/>
        <v>0</v>
      </c>
      <c r="S6" s="108">
        <f t="shared" si="0"/>
        <v>0</v>
      </c>
      <c r="T6" s="108">
        <f t="shared" si="0"/>
        <v>0</v>
      </c>
      <c r="U6" s="108">
        <f t="shared" si="0"/>
        <v>0</v>
      </c>
      <c r="V6" s="108">
        <f t="shared" si="0"/>
        <v>0</v>
      </c>
      <c r="W6" s="108">
        <f t="shared" si="0"/>
        <v>0</v>
      </c>
      <c r="X6" s="108">
        <f t="shared" si="0"/>
        <v>0</v>
      </c>
      <c r="Y6" s="108">
        <f t="shared" si="0"/>
        <v>0</v>
      </c>
      <c r="Z6" s="110">
        <f t="shared" si="0"/>
        <v>0</v>
      </c>
      <c r="AA6" s="109">
        <f t="shared" si="0"/>
        <v>0</v>
      </c>
      <c r="AB6" s="108">
        <f t="shared" si="0"/>
        <v>0</v>
      </c>
      <c r="AC6" s="108">
        <f t="shared" si="0"/>
        <v>0</v>
      </c>
      <c r="AD6" s="108">
        <f t="shared" si="0"/>
        <v>0</v>
      </c>
      <c r="AE6" s="108">
        <f t="shared" si="0"/>
        <v>0</v>
      </c>
      <c r="AF6" s="108">
        <f t="shared" si="0"/>
        <v>0</v>
      </c>
      <c r="AG6" s="108">
        <f t="shared" si="0"/>
        <v>0</v>
      </c>
      <c r="AH6" s="108">
        <f t="shared" si="0"/>
        <v>0</v>
      </c>
      <c r="AI6" s="108">
        <f t="shared" si="0"/>
        <v>0</v>
      </c>
      <c r="AJ6" s="108">
        <f t="shared" si="0"/>
        <v>0</v>
      </c>
      <c r="AK6" s="108">
        <f t="shared" si="0"/>
        <v>0</v>
      </c>
      <c r="AL6" s="110">
        <f t="shared" si="0"/>
        <v>0</v>
      </c>
      <c r="AM6" s="109">
        <f t="shared" si="0"/>
        <v>0</v>
      </c>
      <c r="AN6" s="108">
        <f t="shared" si="0"/>
        <v>0</v>
      </c>
      <c r="AO6" s="108">
        <f t="shared" si="0"/>
        <v>0</v>
      </c>
      <c r="AP6" s="108">
        <f t="shared" si="0"/>
        <v>0</v>
      </c>
      <c r="AQ6" s="108">
        <f t="shared" si="0"/>
        <v>0</v>
      </c>
      <c r="AR6" s="108">
        <f t="shared" si="0"/>
        <v>0</v>
      </c>
      <c r="AS6" s="108">
        <f t="shared" si="0"/>
        <v>0</v>
      </c>
      <c r="AT6" s="108">
        <f t="shared" si="0"/>
        <v>0</v>
      </c>
      <c r="AU6" s="108">
        <f t="shared" si="0"/>
        <v>0</v>
      </c>
      <c r="AV6" s="108">
        <f t="shared" si="0"/>
        <v>0</v>
      </c>
      <c r="AW6" s="108">
        <f t="shared" si="0"/>
        <v>0</v>
      </c>
      <c r="AX6" s="110">
        <f t="shared" si="0"/>
        <v>0</v>
      </c>
      <c r="AY6" s="109">
        <f t="shared" si="0"/>
        <v>0</v>
      </c>
      <c r="AZ6" s="108">
        <f t="shared" si="0"/>
        <v>0</v>
      </c>
      <c r="BA6" s="108">
        <f t="shared" si="0"/>
        <v>0</v>
      </c>
      <c r="BB6" s="108">
        <f t="shared" si="0"/>
        <v>0</v>
      </c>
      <c r="BC6" s="108">
        <f t="shared" si="0"/>
        <v>0</v>
      </c>
      <c r="BD6" s="108">
        <f t="shared" si="0"/>
        <v>0</v>
      </c>
      <c r="BE6" s="108">
        <f t="shared" si="0"/>
        <v>0</v>
      </c>
      <c r="BF6" s="108">
        <f t="shared" si="0"/>
        <v>0</v>
      </c>
      <c r="BG6" s="108">
        <f t="shared" si="0"/>
        <v>0</v>
      </c>
      <c r="BH6" s="108">
        <f t="shared" si="0"/>
        <v>0</v>
      </c>
      <c r="BI6" s="108">
        <f t="shared" si="0"/>
        <v>0</v>
      </c>
      <c r="BJ6" s="110">
        <f t="shared" si="0"/>
        <v>0</v>
      </c>
      <c r="BK6" s="109">
        <f t="shared" si="0"/>
        <v>0</v>
      </c>
      <c r="BL6" s="108">
        <f t="shared" si="0"/>
        <v>0</v>
      </c>
      <c r="BM6" s="108">
        <f t="shared" si="0"/>
        <v>0</v>
      </c>
      <c r="BN6" s="108">
        <f t="shared" si="0"/>
        <v>0</v>
      </c>
      <c r="BO6" s="108">
        <f t="shared" si="0"/>
        <v>0</v>
      </c>
      <c r="BP6" s="108">
        <f t="shared" ref="BP6:DR6" si="1">BP12+BP27</f>
        <v>0</v>
      </c>
      <c r="BQ6" s="108">
        <f t="shared" si="1"/>
        <v>0</v>
      </c>
      <c r="BR6" s="108">
        <f t="shared" si="1"/>
        <v>0</v>
      </c>
      <c r="BS6" s="108">
        <f t="shared" si="1"/>
        <v>0</v>
      </c>
      <c r="BT6" s="108">
        <f t="shared" si="1"/>
        <v>0</v>
      </c>
      <c r="BU6" s="108">
        <f t="shared" si="1"/>
        <v>0</v>
      </c>
      <c r="BV6" s="110">
        <f t="shared" si="1"/>
        <v>0</v>
      </c>
      <c r="BW6" s="109">
        <f t="shared" si="1"/>
        <v>0</v>
      </c>
      <c r="BX6" s="108">
        <f t="shared" si="1"/>
        <v>0</v>
      </c>
      <c r="BY6" s="108">
        <f t="shared" si="1"/>
        <v>0</v>
      </c>
      <c r="BZ6" s="108">
        <f t="shared" si="1"/>
        <v>0</v>
      </c>
      <c r="CA6" s="108">
        <f t="shared" si="1"/>
        <v>0</v>
      </c>
      <c r="CB6" s="108">
        <f t="shared" si="1"/>
        <v>0</v>
      </c>
      <c r="CC6" s="108">
        <f t="shared" si="1"/>
        <v>0</v>
      </c>
      <c r="CD6" s="108">
        <f t="shared" si="1"/>
        <v>0</v>
      </c>
      <c r="CE6" s="108">
        <f t="shared" si="1"/>
        <v>0</v>
      </c>
      <c r="CF6" s="108">
        <f t="shared" si="1"/>
        <v>0</v>
      </c>
      <c r="CG6" s="108">
        <f t="shared" si="1"/>
        <v>0</v>
      </c>
      <c r="CH6" s="110">
        <f t="shared" si="1"/>
        <v>0</v>
      </c>
      <c r="CI6" s="109">
        <f t="shared" si="1"/>
        <v>0</v>
      </c>
      <c r="CJ6" s="108">
        <f t="shared" si="1"/>
        <v>0</v>
      </c>
      <c r="CK6" s="108">
        <f t="shared" si="1"/>
        <v>0</v>
      </c>
      <c r="CL6" s="108">
        <f t="shared" si="1"/>
        <v>0</v>
      </c>
      <c r="CM6" s="108">
        <f t="shared" si="1"/>
        <v>0</v>
      </c>
      <c r="CN6" s="108">
        <f t="shared" si="1"/>
        <v>0</v>
      </c>
      <c r="CO6" s="108">
        <f t="shared" si="1"/>
        <v>0</v>
      </c>
      <c r="CP6" s="108">
        <f t="shared" si="1"/>
        <v>0</v>
      </c>
      <c r="CQ6" s="108">
        <f t="shared" si="1"/>
        <v>0</v>
      </c>
      <c r="CR6" s="108">
        <f t="shared" si="1"/>
        <v>0</v>
      </c>
      <c r="CS6" s="108">
        <f t="shared" si="1"/>
        <v>0</v>
      </c>
      <c r="CT6" s="110">
        <f t="shared" si="1"/>
        <v>0</v>
      </c>
      <c r="CU6" s="109">
        <f t="shared" si="1"/>
        <v>0</v>
      </c>
      <c r="CV6" s="108">
        <f t="shared" si="1"/>
        <v>0</v>
      </c>
      <c r="CW6" s="108">
        <f t="shared" si="1"/>
        <v>0</v>
      </c>
      <c r="CX6" s="108">
        <f t="shared" si="1"/>
        <v>0</v>
      </c>
      <c r="CY6" s="108">
        <f t="shared" si="1"/>
        <v>0</v>
      </c>
      <c r="CZ6" s="108">
        <f t="shared" si="1"/>
        <v>0</v>
      </c>
      <c r="DA6" s="108">
        <f t="shared" si="1"/>
        <v>0</v>
      </c>
      <c r="DB6" s="108">
        <f t="shared" si="1"/>
        <v>0</v>
      </c>
      <c r="DC6" s="108">
        <f t="shared" si="1"/>
        <v>0</v>
      </c>
      <c r="DD6" s="108">
        <f t="shared" si="1"/>
        <v>0</v>
      </c>
      <c r="DE6" s="108">
        <f t="shared" si="1"/>
        <v>0</v>
      </c>
      <c r="DF6" s="110">
        <f t="shared" si="1"/>
        <v>0</v>
      </c>
      <c r="DG6" s="109">
        <f t="shared" si="1"/>
        <v>0</v>
      </c>
      <c r="DH6" s="108">
        <f t="shared" si="1"/>
        <v>0</v>
      </c>
      <c r="DI6" s="108">
        <f t="shared" si="1"/>
        <v>0</v>
      </c>
      <c r="DJ6" s="108">
        <f t="shared" si="1"/>
        <v>0</v>
      </c>
      <c r="DK6" s="108">
        <f t="shared" si="1"/>
        <v>0</v>
      </c>
      <c r="DL6" s="108">
        <f t="shared" si="1"/>
        <v>0</v>
      </c>
      <c r="DM6" s="108">
        <f t="shared" si="1"/>
        <v>0</v>
      </c>
      <c r="DN6" s="108">
        <f t="shared" si="1"/>
        <v>0</v>
      </c>
      <c r="DO6" s="108">
        <f t="shared" si="1"/>
        <v>0</v>
      </c>
      <c r="DP6" s="108">
        <f t="shared" si="1"/>
        <v>0</v>
      </c>
      <c r="DQ6" s="108">
        <f t="shared" si="1"/>
        <v>0</v>
      </c>
      <c r="DR6" s="110">
        <f t="shared" si="1"/>
        <v>0</v>
      </c>
    </row>
    <row r="7" spans="1:167" ht="18.75" x14ac:dyDescent="0.3">
      <c r="A7" s="1435" t="s">
        <v>361</v>
      </c>
      <c r="B7" s="1436"/>
      <c r="C7" s="109">
        <f>C16+C31</f>
        <v>0</v>
      </c>
      <c r="D7" s="109">
        <f t="shared" ref="D7:BO7" si="2">D16+D31</f>
        <v>0</v>
      </c>
      <c r="E7" s="109">
        <f t="shared" si="2"/>
        <v>0</v>
      </c>
      <c r="F7" s="109">
        <f t="shared" si="2"/>
        <v>0</v>
      </c>
      <c r="G7" s="109">
        <f t="shared" si="2"/>
        <v>0</v>
      </c>
      <c r="H7" s="109">
        <f t="shared" si="2"/>
        <v>0</v>
      </c>
      <c r="I7" s="109">
        <f t="shared" si="2"/>
        <v>0</v>
      </c>
      <c r="J7" s="109">
        <f t="shared" si="2"/>
        <v>0</v>
      </c>
      <c r="K7" s="109">
        <f t="shared" si="2"/>
        <v>0</v>
      </c>
      <c r="L7" s="109">
        <f t="shared" si="2"/>
        <v>0</v>
      </c>
      <c r="M7" s="109">
        <f t="shared" si="2"/>
        <v>0</v>
      </c>
      <c r="N7" s="695">
        <f t="shared" si="2"/>
        <v>0</v>
      </c>
      <c r="O7" s="109">
        <f t="shared" si="2"/>
        <v>0</v>
      </c>
      <c r="P7" s="108">
        <f t="shared" si="2"/>
        <v>0</v>
      </c>
      <c r="Q7" s="108">
        <f t="shared" si="2"/>
        <v>0</v>
      </c>
      <c r="R7" s="108">
        <f t="shared" si="2"/>
        <v>0</v>
      </c>
      <c r="S7" s="108">
        <f t="shared" si="2"/>
        <v>0</v>
      </c>
      <c r="T7" s="108">
        <f t="shared" si="2"/>
        <v>0</v>
      </c>
      <c r="U7" s="108">
        <f t="shared" si="2"/>
        <v>0</v>
      </c>
      <c r="V7" s="108">
        <f t="shared" si="2"/>
        <v>0</v>
      </c>
      <c r="W7" s="108">
        <f t="shared" si="2"/>
        <v>0</v>
      </c>
      <c r="X7" s="108">
        <f t="shared" si="2"/>
        <v>0</v>
      </c>
      <c r="Y7" s="108">
        <f t="shared" si="2"/>
        <v>0</v>
      </c>
      <c r="Z7" s="110">
        <f t="shared" si="2"/>
        <v>0</v>
      </c>
      <c r="AA7" s="109">
        <f t="shared" si="2"/>
        <v>0</v>
      </c>
      <c r="AB7" s="108">
        <f t="shared" si="2"/>
        <v>0</v>
      </c>
      <c r="AC7" s="108">
        <f t="shared" si="2"/>
        <v>0</v>
      </c>
      <c r="AD7" s="108">
        <f t="shared" si="2"/>
        <v>0</v>
      </c>
      <c r="AE7" s="108">
        <f t="shared" si="2"/>
        <v>0</v>
      </c>
      <c r="AF7" s="108">
        <f t="shared" si="2"/>
        <v>0</v>
      </c>
      <c r="AG7" s="108">
        <f t="shared" si="2"/>
        <v>0</v>
      </c>
      <c r="AH7" s="108">
        <f t="shared" si="2"/>
        <v>0</v>
      </c>
      <c r="AI7" s="108">
        <f t="shared" si="2"/>
        <v>0</v>
      </c>
      <c r="AJ7" s="108">
        <f t="shared" si="2"/>
        <v>0</v>
      </c>
      <c r="AK7" s="108">
        <f t="shared" si="2"/>
        <v>0</v>
      </c>
      <c r="AL7" s="110">
        <f t="shared" si="2"/>
        <v>0</v>
      </c>
      <c r="AM7" s="109">
        <f t="shared" si="2"/>
        <v>0</v>
      </c>
      <c r="AN7" s="108">
        <f t="shared" si="2"/>
        <v>0</v>
      </c>
      <c r="AO7" s="108">
        <f t="shared" si="2"/>
        <v>0</v>
      </c>
      <c r="AP7" s="108">
        <f t="shared" si="2"/>
        <v>0</v>
      </c>
      <c r="AQ7" s="108">
        <f t="shared" si="2"/>
        <v>0</v>
      </c>
      <c r="AR7" s="108">
        <f t="shared" si="2"/>
        <v>0</v>
      </c>
      <c r="AS7" s="108">
        <f t="shared" si="2"/>
        <v>0</v>
      </c>
      <c r="AT7" s="108">
        <f t="shared" si="2"/>
        <v>0</v>
      </c>
      <c r="AU7" s="108">
        <f t="shared" si="2"/>
        <v>0</v>
      </c>
      <c r="AV7" s="108">
        <f t="shared" si="2"/>
        <v>0</v>
      </c>
      <c r="AW7" s="108">
        <f t="shared" si="2"/>
        <v>0</v>
      </c>
      <c r="AX7" s="110">
        <f t="shared" si="2"/>
        <v>0</v>
      </c>
      <c r="AY7" s="109">
        <f t="shared" si="2"/>
        <v>0</v>
      </c>
      <c r="AZ7" s="108">
        <f t="shared" si="2"/>
        <v>0</v>
      </c>
      <c r="BA7" s="108">
        <f t="shared" si="2"/>
        <v>0</v>
      </c>
      <c r="BB7" s="108">
        <f t="shared" si="2"/>
        <v>0</v>
      </c>
      <c r="BC7" s="108">
        <f t="shared" si="2"/>
        <v>0</v>
      </c>
      <c r="BD7" s="108">
        <f t="shared" si="2"/>
        <v>0</v>
      </c>
      <c r="BE7" s="108">
        <f t="shared" si="2"/>
        <v>0</v>
      </c>
      <c r="BF7" s="108">
        <f t="shared" si="2"/>
        <v>0</v>
      </c>
      <c r="BG7" s="108">
        <f t="shared" si="2"/>
        <v>0</v>
      </c>
      <c r="BH7" s="108">
        <f t="shared" si="2"/>
        <v>0</v>
      </c>
      <c r="BI7" s="108">
        <f t="shared" si="2"/>
        <v>0</v>
      </c>
      <c r="BJ7" s="110">
        <f t="shared" si="2"/>
        <v>0</v>
      </c>
      <c r="BK7" s="109">
        <f t="shared" si="2"/>
        <v>0</v>
      </c>
      <c r="BL7" s="108">
        <f t="shared" si="2"/>
        <v>0</v>
      </c>
      <c r="BM7" s="108">
        <f t="shared" si="2"/>
        <v>0</v>
      </c>
      <c r="BN7" s="108">
        <f t="shared" si="2"/>
        <v>0</v>
      </c>
      <c r="BO7" s="108">
        <f t="shared" si="2"/>
        <v>0</v>
      </c>
      <c r="BP7" s="108">
        <f t="shared" ref="BP7:DR7" si="3">BP16+BP31</f>
        <v>0</v>
      </c>
      <c r="BQ7" s="108">
        <f t="shared" si="3"/>
        <v>0</v>
      </c>
      <c r="BR7" s="108">
        <f t="shared" si="3"/>
        <v>0</v>
      </c>
      <c r="BS7" s="108">
        <f t="shared" si="3"/>
        <v>0</v>
      </c>
      <c r="BT7" s="108">
        <f t="shared" si="3"/>
        <v>0</v>
      </c>
      <c r="BU7" s="108">
        <f t="shared" si="3"/>
        <v>0</v>
      </c>
      <c r="BV7" s="110">
        <f t="shared" si="3"/>
        <v>0</v>
      </c>
      <c r="BW7" s="109">
        <f t="shared" si="3"/>
        <v>0</v>
      </c>
      <c r="BX7" s="108">
        <f t="shared" si="3"/>
        <v>0</v>
      </c>
      <c r="BY7" s="108">
        <f t="shared" si="3"/>
        <v>0</v>
      </c>
      <c r="BZ7" s="108">
        <f t="shared" si="3"/>
        <v>0</v>
      </c>
      <c r="CA7" s="108">
        <f t="shared" si="3"/>
        <v>0</v>
      </c>
      <c r="CB7" s="108">
        <f t="shared" si="3"/>
        <v>0</v>
      </c>
      <c r="CC7" s="108">
        <f t="shared" si="3"/>
        <v>0</v>
      </c>
      <c r="CD7" s="108">
        <f t="shared" si="3"/>
        <v>0</v>
      </c>
      <c r="CE7" s="108">
        <f t="shared" si="3"/>
        <v>0</v>
      </c>
      <c r="CF7" s="108">
        <f t="shared" si="3"/>
        <v>0</v>
      </c>
      <c r="CG7" s="108">
        <f t="shared" si="3"/>
        <v>0</v>
      </c>
      <c r="CH7" s="110">
        <f t="shared" si="3"/>
        <v>0</v>
      </c>
      <c r="CI7" s="109">
        <f t="shared" si="3"/>
        <v>0</v>
      </c>
      <c r="CJ7" s="108">
        <f t="shared" si="3"/>
        <v>0</v>
      </c>
      <c r="CK7" s="108">
        <f t="shared" si="3"/>
        <v>0</v>
      </c>
      <c r="CL7" s="108">
        <f t="shared" si="3"/>
        <v>0</v>
      </c>
      <c r="CM7" s="108">
        <f t="shared" si="3"/>
        <v>0</v>
      </c>
      <c r="CN7" s="108">
        <f t="shared" si="3"/>
        <v>0</v>
      </c>
      <c r="CO7" s="108">
        <f t="shared" si="3"/>
        <v>0</v>
      </c>
      <c r="CP7" s="108">
        <f t="shared" si="3"/>
        <v>0</v>
      </c>
      <c r="CQ7" s="108">
        <f t="shared" si="3"/>
        <v>0</v>
      </c>
      <c r="CR7" s="108">
        <f t="shared" si="3"/>
        <v>0</v>
      </c>
      <c r="CS7" s="108">
        <f t="shared" si="3"/>
        <v>0</v>
      </c>
      <c r="CT7" s="110">
        <f t="shared" si="3"/>
        <v>0</v>
      </c>
      <c r="CU7" s="109">
        <f t="shared" si="3"/>
        <v>0</v>
      </c>
      <c r="CV7" s="108">
        <f t="shared" si="3"/>
        <v>0</v>
      </c>
      <c r="CW7" s="108">
        <f t="shared" si="3"/>
        <v>0</v>
      </c>
      <c r="CX7" s="108">
        <f t="shared" si="3"/>
        <v>0</v>
      </c>
      <c r="CY7" s="108">
        <f t="shared" si="3"/>
        <v>0</v>
      </c>
      <c r="CZ7" s="108">
        <f t="shared" si="3"/>
        <v>0</v>
      </c>
      <c r="DA7" s="108">
        <f t="shared" si="3"/>
        <v>0</v>
      </c>
      <c r="DB7" s="108">
        <f t="shared" si="3"/>
        <v>0</v>
      </c>
      <c r="DC7" s="108">
        <f t="shared" si="3"/>
        <v>0</v>
      </c>
      <c r="DD7" s="108">
        <f t="shared" si="3"/>
        <v>0</v>
      </c>
      <c r="DE7" s="108">
        <f t="shared" si="3"/>
        <v>0</v>
      </c>
      <c r="DF7" s="110">
        <f t="shared" si="3"/>
        <v>0</v>
      </c>
      <c r="DG7" s="109">
        <f t="shared" si="3"/>
        <v>0</v>
      </c>
      <c r="DH7" s="108">
        <f t="shared" si="3"/>
        <v>0</v>
      </c>
      <c r="DI7" s="108">
        <f t="shared" si="3"/>
        <v>0</v>
      </c>
      <c r="DJ7" s="108">
        <f t="shared" si="3"/>
        <v>0</v>
      </c>
      <c r="DK7" s="108">
        <f t="shared" si="3"/>
        <v>0</v>
      </c>
      <c r="DL7" s="108">
        <f t="shared" si="3"/>
        <v>0</v>
      </c>
      <c r="DM7" s="108">
        <f t="shared" si="3"/>
        <v>0</v>
      </c>
      <c r="DN7" s="108">
        <f t="shared" si="3"/>
        <v>0</v>
      </c>
      <c r="DO7" s="108">
        <f t="shared" si="3"/>
        <v>0</v>
      </c>
      <c r="DP7" s="108">
        <f t="shared" si="3"/>
        <v>0</v>
      </c>
      <c r="DQ7" s="108">
        <f t="shared" si="3"/>
        <v>0</v>
      </c>
      <c r="DR7" s="110">
        <f t="shared" si="3"/>
        <v>0</v>
      </c>
    </row>
    <row r="8" spans="1:167" ht="18.75" x14ac:dyDescent="0.3">
      <c r="A8" s="1435" t="s">
        <v>362</v>
      </c>
      <c r="B8" s="1436"/>
      <c r="C8" s="109">
        <f>C17+C32</f>
        <v>0</v>
      </c>
      <c r="D8" s="109">
        <f t="shared" ref="D8:BO8" si="4">D17+D32</f>
        <v>0</v>
      </c>
      <c r="E8" s="109">
        <f t="shared" si="4"/>
        <v>0</v>
      </c>
      <c r="F8" s="109">
        <f t="shared" si="4"/>
        <v>0</v>
      </c>
      <c r="G8" s="109">
        <f t="shared" si="4"/>
        <v>0</v>
      </c>
      <c r="H8" s="109">
        <f t="shared" si="4"/>
        <v>0</v>
      </c>
      <c r="I8" s="109">
        <f t="shared" si="4"/>
        <v>0</v>
      </c>
      <c r="J8" s="109">
        <f t="shared" si="4"/>
        <v>0</v>
      </c>
      <c r="K8" s="109">
        <f t="shared" si="4"/>
        <v>0</v>
      </c>
      <c r="L8" s="109">
        <f t="shared" si="4"/>
        <v>0</v>
      </c>
      <c r="M8" s="109">
        <f t="shared" si="4"/>
        <v>0</v>
      </c>
      <c r="N8" s="695">
        <f t="shared" si="4"/>
        <v>0</v>
      </c>
      <c r="O8" s="109">
        <f t="shared" si="4"/>
        <v>0</v>
      </c>
      <c r="P8" s="108">
        <f t="shared" si="4"/>
        <v>0</v>
      </c>
      <c r="Q8" s="108">
        <f t="shared" si="4"/>
        <v>0</v>
      </c>
      <c r="R8" s="108">
        <f t="shared" si="4"/>
        <v>0</v>
      </c>
      <c r="S8" s="108">
        <f t="shared" si="4"/>
        <v>0</v>
      </c>
      <c r="T8" s="108">
        <f t="shared" si="4"/>
        <v>0</v>
      </c>
      <c r="U8" s="108">
        <f t="shared" si="4"/>
        <v>0</v>
      </c>
      <c r="V8" s="108">
        <f t="shared" si="4"/>
        <v>0</v>
      </c>
      <c r="W8" s="108">
        <f t="shared" si="4"/>
        <v>0</v>
      </c>
      <c r="X8" s="108">
        <f t="shared" si="4"/>
        <v>0</v>
      </c>
      <c r="Y8" s="108">
        <f t="shared" si="4"/>
        <v>0</v>
      </c>
      <c r="Z8" s="110">
        <f t="shared" si="4"/>
        <v>0</v>
      </c>
      <c r="AA8" s="109">
        <f t="shared" si="4"/>
        <v>0</v>
      </c>
      <c r="AB8" s="108">
        <f t="shared" si="4"/>
        <v>0</v>
      </c>
      <c r="AC8" s="108">
        <f t="shared" si="4"/>
        <v>0</v>
      </c>
      <c r="AD8" s="108">
        <f t="shared" si="4"/>
        <v>0</v>
      </c>
      <c r="AE8" s="108">
        <f t="shared" si="4"/>
        <v>0</v>
      </c>
      <c r="AF8" s="108">
        <f t="shared" si="4"/>
        <v>0</v>
      </c>
      <c r="AG8" s="108">
        <f t="shared" si="4"/>
        <v>0</v>
      </c>
      <c r="AH8" s="108">
        <f t="shared" si="4"/>
        <v>0</v>
      </c>
      <c r="AI8" s="108">
        <f t="shared" si="4"/>
        <v>0</v>
      </c>
      <c r="AJ8" s="108">
        <f t="shared" si="4"/>
        <v>0</v>
      </c>
      <c r="AK8" s="108">
        <f t="shared" si="4"/>
        <v>0</v>
      </c>
      <c r="AL8" s="110">
        <f t="shared" si="4"/>
        <v>0</v>
      </c>
      <c r="AM8" s="109">
        <f t="shared" si="4"/>
        <v>0</v>
      </c>
      <c r="AN8" s="108">
        <f t="shared" si="4"/>
        <v>0</v>
      </c>
      <c r="AO8" s="108">
        <f t="shared" si="4"/>
        <v>0</v>
      </c>
      <c r="AP8" s="108">
        <f t="shared" si="4"/>
        <v>0</v>
      </c>
      <c r="AQ8" s="108">
        <f t="shared" si="4"/>
        <v>0</v>
      </c>
      <c r="AR8" s="108">
        <f t="shared" si="4"/>
        <v>0</v>
      </c>
      <c r="AS8" s="108">
        <f t="shared" si="4"/>
        <v>0</v>
      </c>
      <c r="AT8" s="108">
        <f t="shared" si="4"/>
        <v>0</v>
      </c>
      <c r="AU8" s="108">
        <f t="shared" si="4"/>
        <v>0</v>
      </c>
      <c r="AV8" s="108">
        <f t="shared" si="4"/>
        <v>0</v>
      </c>
      <c r="AW8" s="108">
        <f t="shared" si="4"/>
        <v>0</v>
      </c>
      <c r="AX8" s="110">
        <f t="shared" si="4"/>
        <v>0</v>
      </c>
      <c r="AY8" s="109">
        <f t="shared" si="4"/>
        <v>0</v>
      </c>
      <c r="AZ8" s="108">
        <f t="shared" si="4"/>
        <v>0</v>
      </c>
      <c r="BA8" s="108">
        <f t="shared" si="4"/>
        <v>0</v>
      </c>
      <c r="BB8" s="108">
        <f t="shared" si="4"/>
        <v>0</v>
      </c>
      <c r="BC8" s="108">
        <f t="shared" si="4"/>
        <v>0</v>
      </c>
      <c r="BD8" s="108">
        <f t="shared" si="4"/>
        <v>0</v>
      </c>
      <c r="BE8" s="108">
        <f t="shared" si="4"/>
        <v>0</v>
      </c>
      <c r="BF8" s="108">
        <f t="shared" si="4"/>
        <v>0</v>
      </c>
      <c r="BG8" s="108">
        <f t="shared" si="4"/>
        <v>0</v>
      </c>
      <c r="BH8" s="108">
        <f t="shared" si="4"/>
        <v>0</v>
      </c>
      <c r="BI8" s="108">
        <f t="shared" si="4"/>
        <v>0</v>
      </c>
      <c r="BJ8" s="110">
        <f t="shared" si="4"/>
        <v>0</v>
      </c>
      <c r="BK8" s="109">
        <f t="shared" si="4"/>
        <v>0</v>
      </c>
      <c r="BL8" s="108">
        <f t="shared" si="4"/>
        <v>0</v>
      </c>
      <c r="BM8" s="108">
        <f t="shared" si="4"/>
        <v>0</v>
      </c>
      <c r="BN8" s="108">
        <f t="shared" si="4"/>
        <v>0</v>
      </c>
      <c r="BO8" s="108">
        <f t="shared" si="4"/>
        <v>0</v>
      </c>
      <c r="BP8" s="108">
        <f t="shared" ref="BP8:DR8" si="5">BP17+BP32</f>
        <v>0</v>
      </c>
      <c r="BQ8" s="108">
        <f t="shared" si="5"/>
        <v>0</v>
      </c>
      <c r="BR8" s="108">
        <f t="shared" si="5"/>
        <v>0</v>
      </c>
      <c r="BS8" s="108">
        <f t="shared" si="5"/>
        <v>0</v>
      </c>
      <c r="BT8" s="108">
        <f t="shared" si="5"/>
        <v>0</v>
      </c>
      <c r="BU8" s="108">
        <f t="shared" si="5"/>
        <v>0</v>
      </c>
      <c r="BV8" s="110">
        <f t="shared" si="5"/>
        <v>0</v>
      </c>
      <c r="BW8" s="109">
        <f t="shared" si="5"/>
        <v>0</v>
      </c>
      <c r="BX8" s="108">
        <f t="shared" si="5"/>
        <v>0</v>
      </c>
      <c r="BY8" s="108">
        <f t="shared" si="5"/>
        <v>0</v>
      </c>
      <c r="BZ8" s="108">
        <f t="shared" si="5"/>
        <v>0</v>
      </c>
      <c r="CA8" s="108">
        <f t="shared" si="5"/>
        <v>0</v>
      </c>
      <c r="CB8" s="108">
        <f t="shared" si="5"/>
        <v>0</v>
      </c>
      <c r="CC8" s="108">
        <f t="shared" si="5"/>
        <v>0</v>
      </c>
      <c r="CD8" s="108">
        <f t="shared" si="5"/>
        <v>0</v>
      </c>
      <c r="CE8" s="108">
        <f t="shared" si="5"/>
        <v>0</v>
      </c>
      <c r="CF8" s="108">
        <f t="shared" si="5"/>
        <v>0</v>
      </c>
      <c r="CG8" s="108">
        <f t="shared" si="5"/>
        <v>0</v>
      </c>
      <c r="CH8" s="110">
        <f t="shared" si="5"/>
        <v>0</v>
      </c>
      <c r="CI8" s="109">
        <f t="shared" si="5"/>
        <v>0</v>
      </c>
      <c r="CJ8" s="108">
        <f t="shared" si="5"/>
        <v>0</v>
      </c>
      <c r="CK8" s="108">
        <f t="shared" si="5"/>
        <v>0</v>
      </c>
      <c r="CL8" s="108">
        <f t="shared" si="5"/>
        <v>0</v>
      </c>
      <c r="CM8" s="108">
        <f t="shared" si="5"/>
        <v>0</v>
      </c>
      <c r="CN8" s="108">
        <f t="shared" si="5"/>
        <v>0</v>
      </c>
      <c r="CO8" s="108">
        <f t="shared" si="5"/>
        <v>0</v>
      </c>
      <c r="CP8" s="108">
        <f t="shared" si="5"/>
        <v>0</v>
      </c>
      <c r="CQ8" s="108">
        <f t="shared" si="5"/>
        <v>0</v>
      </c>
      <c r="CR8" s="108">
        <f t="shared" si="5"/>
        <v>0</v>
      </c>
      <c r="CS8" s="108">
        <f t="shared" si="5"/>
        <v>0</v>
      </c>
      <c r="CT8" s="110">
        <f t="shared" si="5"/>
        <v>0</v>
      </c>
      <c r="CU8" s="109">
        <f t="shared" si="5"/>
        <v>0</v>
      </c>
      <c r="CV8" s="108">
        <f t="shared" si="5"/>
        <v>0</v>
      </c>
      <c r="CW8" s="108">
        <f t="shared" si="5"/>
        <v>0</v>
      </c>
      <c r="CX8" s="108">
        <f t="shared" si="5"/>
        <v>0</v>
      </c>
      <c r="CY8" s="108">
        <f t="shared" si="5"/>
        <v>0</v>
      </c>
      <c r="CZ8" s="108">
        <f t="shared" si="5"/>
        <v>0</v>
      </c>
      <c r="DA8" s="108">
        <f t="shared" si="5"/>
        <v>0</v>
      </c>
      <c r="DB8" s="108">
        <f t="shared" si="5"/>
        <v>0</v>
      </c>
      <c r="DC8" s="108">
        <f t="shared" si="5"/>
        <v>0</v>
      </c>
      <c r="DD8" s="108">
        <f t="shared" si="5"/>
        <v>0</v>
      </c>
      <c r="DE8" s="108">
        <f t="shared" si="5"/>
        <v>0</v>
      </c>
      <c r="DF8" s="110">
        <f t="shared" si="5"/>
        <v>0</v>
      </c>
      <c r="DG8" s="109">
        <f t="shared" si="5"/>
        <v>0</v>
      </c>
      <c r="DH8" s="108">
        <f t="shared" si="5"/>
        <v>0</v>
      </c>
      <c r="DI8" s="108">
        <f t="shared" si="5"/>
        <v>0</v>
      </c>
      <c r="DJ8" s="108">
        <f t="shared" si="5"/>
        <v>0</v>
      </c>
      <c r="DK8" s="108">
        <f t="shared" si="5"/>
        <v>0</v>
      </c>
      <c r="DL8" s="108">
        <f t="shared" si="5"/>
        <v>0</v>
      </c>
      <c r="DM8" s="108">
        <f t="shared" si="5"/>
        <v>0</v>
      </c>
      <c r="DN8" s="108">
        <f t="shared" si="5"/>
        <v>0</v>
      </c>
      <c r="DO8" s="108">
        <f t="shared" si="5"/>
        <v>0</v>
      </c>
      <c r="DP8" s="108">
        <f t="shared" si="5"/>
        <v>0</v>
      </c>
      <c r="DQ8" s="108">
        <f t="shared" si="5"/>
        <v>0</v>
      </c>
      <c r="DR8" s="110">
        <f t="shared" si="5"/>
        <v>0</v>
      </c>
    </row>
    <row r="9" spans="1:167" ht="30.75" customHeight="1" x14ac:dyDescent="0.2">
      <c r="A9" s="132"/>
      <c r="B9" s="133"/>
      <c r="C9" s="1229"/>
      <c r="D9" s="1229"/>
      <c r="E9" s="1229"/>
      <c r="F9" s="1229"/>
      <c r="G9" s="1229"/>
      <c r="H9" s="1229"/>
      <c r="I9" s="1229"/>
      <c r="J9" s="1229"/>
      <c r="K9" s="1229"/>
      <c r="L9" s="1229"/>
      <c r="M9" s="1229"/>
      <c r="N9" s="1230"/>
      <c r="O9" s="1229"/>
      <c r="P9" s="1227"/>
      <c r="Q9" s="1227"/>
      <c r="R9" s="1227"/>
      <c r="S9" s="1227"/>
      <c r="T9" s="1227"/>
      <c r="U9" s="1227"/>
      <c r="V9" s="1227"/>
      <c r="W9" s="1227"/>
      <c r="X9" s="1227"/>
      <c r="Y9" s="1227"/>
      <c r="Z9" s="1228"/>
      <c r="AA9" s="1227"/>
      <c r="AB9" s="1227"/>
      <c r="AC9" s="1227"/>
      <c r="AD9" s="1227"/>
      <c r="AE9" s="1227"/>
      <c r="AF9" s="1227"/>
      <c r="AG9" s="1227"/>
      <c r="AH9" s="1227"/>
      <c r="AI9" s="1227"/>
      <c r="AJ9" s="1227"/>
      <c r="AK9" s="1227"/>
      <c r="AL9" s="1228"/>
      <c r="AM9" s="1227"/>
      <c r="AN9" s="1227"/>
      <c r="AO9" s="1227"/>
      <c r="AP9" s="1227"/>
      <c r="AQ9" s="1227"/>
      <c r="AR9" s="1227"/>
      <c r="AS9" s="1227"/>
      <c r="AT9" s="1227"/>
      <c r="AU9" s="1227"/>
      <c r="AV9" s="1227"/>
      <c r="AW9" s="1227"/>
      <c r="AX9" s="1228"/>
      <c r="AY9" s="1227"/>
      <c r="AZ9" s="1227"/>
      <c r="BA9" s="1227"/>
      <c r="BB9" s="1227"/>
      <c r="BC9" s="1227"/>
      <c r="BD9" s="1227"/>
      <c r="BE9" s="1227"/>
      <c r="BF9" s="1227"/>
      <c r="BG9" s="1227"/>
      <c r="BH9" s="1227"/>
      <c r="BI9" s="1227"/>
      <c r="BJ9" s="1228"/>
      <c r="BK9" s="1227"/>
      <c r="BL9" s="1227"/>
      <c r="BM9" s="1227"/>
      <c r="BN9" s="1227"/>
      <c r="BO9" s="1227"/>
      <c r="BP9" s="1227"/>
      <c r="BQ9" s="1227"/>
      <c r="BR9" s="1227"/>
      <c r="BS9" s="1227"/>
      <c r="BT9" s="1227"/>
      <c r="BU9" s="1227"/>
      <c r="BV9" s="1228"/>
      <c r="BW9" s="1227"/>
      <c r="BX9" s="1227"/>
      <c r="BY9" s="1227"/>
      <c r="BZ9" s="1227"/>
      <c r="CA9" s="1227"/>
      <c r="CB9" s="1227"/>
      <c r="CC9" s="1227"/>
      <c r="CD9" s="1227"/>
      <c r="CE9" s="1227"/>
      <c r="CF9" s="1227"/>
      <c r="CG9" s="1227"/>
      <c r="CH9" s="1228"/>
      <c r="CI9" s="1227"/>
      <c r="CJ9" s="1227"/>
      <c r="CK9" s="1227"/>
      <c r="CL9" s="1227"/>
      <c r="CM9" s="1227"/>
      <c r="CN9" s="1227"/>
      <c r="CO9" s="1227"/>
      <c r="CP9" s="1227"/>
      <c r="CQ9" s="1227"/>
      <c r="CR9" s="1227"/>
      <c r="CS9" s="1227"/>
      <c r="CT9" s="1228"/>
      <c r="CU9" s="1227"/>
      <c r="CV9" s="1227"/>
      <c r="CW9" s="1227"/>
      <c r="CX9" s="1227"/>
      <c r="CY9" s="1227"/>
      <c r="CZ9" s="1227"/>
      <c r="DA9" s="1227"/>
      <c r="DB9" s="1227"/>
      <c r="DC9" s="1227"/>
      <c r="DD9" s="1227"/>
      <c r="DE9" s="1227"/>
      <c r="DF9" s="1228"/>
      <c r="DG9" s="1227"/>
      <c r="DH9" s="1227"/>
      <c r="DI9" s="1227"/>
      <c r="DJ9" s="1227"/>
      <c r="DK9" s="1227"/>
      <c r="DL9" s="1227"/>
      <c r="DM9" s="1227"/>
      <c r="DN9" s="1227"/>
      <c r="DO9" s="1227"/>
      <c r="DP9" s="1227"/>
      <c r="DQ9" s="1227"/>
      <c r="DR9" s="1228"/>
    </row>
    <row r="10" spans="1:167" ht="26.25" customHeight="1" x14ac:dyDescent="0.3">
      <c r="A10" s="134" t="s">
        <v>517</v>
      </c>
      <c r="B10" s="8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1231"/>
      <c r="O10" s="1239"/>
      <c r="P10" s="1239"/>
      <c r="Q10" s="1239"/>
      <c r="R10" s="1239"/>
      <c r="S10" s="1239"/>
      <c r="T10" s="1239"/>
      <c r="U10" s="1239"/>
      <c r="V10" s="1239"/>
      <c r="W10" s="1239"/>
      <c r="X10" s="1239"/>
      <c r="Y10" s="1239"/>
      <c r="Z10" s="1240"/>
      <c r="AA10" s="1239"/>
      <c r="AB10" s="1239"/>
      <c r="AC10" s="1239"/>
      <c r="AD10" s="1239"/>
      <c r="AE10" s="1239"/>
      <c r="AF10" s="1239"/>
      <c r="AG10" s="1239"/>
      <c r="AH10" s="1239"/>
      <c r="AI10" s="1239"/>
      <c r="AJ10" s="1239"/>
      <c r="AK10" s="1239"/>
      <c r="AL10" s="1240"/>
      <c r="AM10" s="1239"/>
      <c r="AN10" s="1239"/>
      <c r="AO10" s="1239"/>
      <c r="AP10" s="1239"/>
      <c r="AQ10" s="1239"/>
      <c r="AR10" s="1239"/>
      <c r="AS10" s="1239"/>
      <c r="AT10" s="1239"/>
      <c r="AU10" s="1239"/>
      <c r="AV10" s="1239"/>
      <c r="AW10" s="1239"/>
      <c r="AX10" s="1240"/>
      <c r="AY10" s="1239"/>
      <c r="AZ10" s="1239"/>
      <c r="BA10" s="1239"/>
      <c r="BB10" s="1239"/>
      <c r="BC10" s="1239"/>
      <c r="BD10" s="1239"/>
      <c r="BE10" s="1239"/>
      <c r="BF10" s="1239"/>
      <c r="BG10" s="1239"/>
      <c r="BH10" s="1239"/>
      <c r="BI10" s="1239"/>
      <c r="BJ10" s="1240"/>
      <c r="BK10" s="1239"/>
      <c r="BL10" s="1239"/>
      <c r="BM10" s="1239"/>
      <c r="BN10" s="1239"/>
      <c r="BO10" s="1239"/>
      <c r="BP10" s="1239"/>
      <c r="BQ10" s="1239"/>
      <c r="BR10" s="1239"/>
      <c r="BS10" s="1239"/>
      <c r="BT10" s="1239"/>
      <c r="BU10" s="1239"/>
      <c r="BV10" s="1240"/>
      <c r="BW10" s="1239"/>
      <c r="BX10" s="1239"/>
      <c r="BY10" s="200"/>
      <c r="BZ10" s="200"/>
      <c r="CA10" s="200"/>
      <c r="CB10" s="200"/>
      <c r="CC10" s="200"/>
      <c r="CD10" s="200"/>
      <c r="CE10" s="200"/>
      <c r="CF10" s="200"/>
      <c r="CG10" s="200"/>
      <c r="CH10" s="1231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1231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1231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1231"/>
    </row>
    <row r="11" spans="1:167" s="51" customFormat="1" ht="13.5" thickBot="1" x14ac:dyDescent="0.25">
      <c r="A11" s="136" t="s">
        <v>86</v>
      </c>
      <c r="B11" s="137">
        <v>0</v>
      </c>
      <c r="C11" s="109">
        <f>B15</f>
        <v>0</v>
      </c>
      <c r="D11" s="109">
        <f t="shared" ref="D11:N11" si="6">C18</f>
        <v>0</v>
      </c>
      <c r="E11" s="109">
        <f t="shared" si="6"/>
        <v>0</v>
      </c>
      <c r="F11" s="109">
        <f t="shared" si="6"/>
        <v>0</v>
      </c>
      <c r="G11" s="109">
        <f t="shared" si="6"/>
        <v>0</v>
      </c>
      <c r="H11" s="109">
        <f t="shared" si="6"/>
        <v>0</v>
      </c>
      <c r="I11" s="109">
        <f t="shared" si="6"/>
        <v>0</v>
      </c>
      <c r="J11" s="109">
        <f t="shared" si="6"/>
        <v>0</v>
      </c>
      <c r="K11" s="109">
        <f t="shared" si="6"/>
        <v>0</v>
      </c>
      <c r="L11" s="109">
        <f t="shared" si="6"/>
        <v>0</v>
      </c>
      <c r="M11" s="109">
        <f t="shared" si="6"/>
        <v>0</v>
      </c>
      <c r="N11" s="695">
        <f t="shared" si="6"/>
        <v>0</v>
      </c>
      <c r="O11" s="109">
        <v>0</v>
      </c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10"/>
      <c r="AA11" s="109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10"/>
      <c r="AM11" s="109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10"/>
      <c r="AY11" s="109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10"/>
      <c r="BK11" s="109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10"/>
      <c r="BW11" s="109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10"/>
      <c r="CI11" s="109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10"/>
      <c r="CU11" s="109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10"/>
      <c r="DG11" s="109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1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</row>
    <row r="12" spans="1:167" x14ac:dyDescent="0.2">
      <c r="A12" s="136" t="s">
        <v>52</v>
      </c>
      <c r="B12" s="137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695"/>
      <c r="O12" s="109">
        <v>0</v>
      </c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10"/>
      <c r="AA12" s="109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10"/>
      <c r="AM12" s="109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10"/>
      <c r="AY12" s="109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10"/>
      <c r="BK12" s="109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10"/>
      <c r="BW12" s="109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10"/>
      <c r="CI12" s="109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10"/>
      <c r="CU12" s="109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10"/>
      <c r="DG12" s="109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10"/>
    </row>
    <row r="13" spans="1:167" s="51" customFormat="1" ht="13.5" thickBot="1" x14ac:dyDescent="0.25">
      <c r="A13" s="136" t="s">
        <v>147</v>
      </c>
      <c r="B13" s="236"/>
      <c r="C13" s="281"/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1232"/>
      <c r="O13" s="109">
        <v>1</v>
      </c>
      <c r="P13" s="108">
        <v>1</v>
      </c>
      <c r="Q13" s="108">
        <f t="shared" ref="Q13:BV13" si="7">P13+1</f>
        <v>2</v>
      </c>
      <c r="R13" s="108">
        <f t="shared" si="7"/>
        <v>3</v>
      </c>
      <c r="S13" s="108">
        <f t="shared" si="7"/>
        <v>4</v>
      </c>
      <c r="T13" s="108">
        <f t="shared" si="7"/>
        <v>5</v>
      </c>
      <c r="U13" s="108">
        <f t="shared" si="7"/>
        <v>6</v>
      </c>
      <c r="V13" s="108">
        <f t="shared" si="7"/>
        <v>7</v>
      </c>
      <c r="W13" s="108">
        <f t="shared" si="7"/>
        <v>8</v>
      </c>
      <c r="X13" s="108">
        <f t="shared" si="7"/>
        <v>9</v>
      </c>
      <c r="Y13" s="108">
        <f t="shared" si="7"/>
        <v>10</v>
      </c>
      <c r="Z13" s="110">
        <f t="shared" si="7"/>
        <v>11</v>
      </c>
      <c r="AA13" s="109">
        <f t="shared" si="7"/>
        <v>12</v>
      </c>
      <c r="AB13" s="108">
        <f t="shared" si="7"/>
        <v>13</v>
      </c>
      <c r="AC13" s="108">
        <f t="shared" si="7"/>
        <v>14</v>
      </c>
      <c r="AD13" s="108">
        <f t="shared" si="7"/>
        <v>15</v>
      </c>
      <c r="AE13" s="108">
        <f t="shared" si="7"/>
        <v>16</v>
      </c>
      <c r="AF13" s="108">
        <f t="shared" si="7"/>
        <v>17</v>
      </c>
      <c r="AG13" s="108">
        <f t="shared" si="7"/>
        <v>18</v>
      </c>
      <c r="AH13" s="108">
        <f t="shared" si="7"/>
        <v>19</v>
      </c>
      <c r="AI13" s="108">
        <f t="shared" si="7"/>
        <v>20</v>
      </c>
      <c r="AJ13" s="108">
        <f t="shared" si="7"/>
        <v>21</v>
      </c>
      <c r="AK13" s="108">
        <f t="shared" si="7"/>
        <v>22</v>
      </c>
      <c r="AL13" s="110">
        <f t="shared" si="7"/>
        <v>23</v>
      </c>
      <c r="AM13" s="109">
        <f t="shared" si="7"/>
        <v>24</v>
      </c>
      <c r="AN13" s="108">
        <f t="shared" si="7"/>
        <v>25</v>
      </c>
      <c r="AO13" s="108">
        <f t="shared" si="7"/>
        <v>26</v>
      </c>
      <c r="AP13" s="108">
        <f t="shared" si="7"/>
        <v>27</v>
      </c>
      <c r="AQ13" s="108">
        <f t="shared" si="7"/>
        <v>28</v>
      </c>
      <c r="AR13" s="108">
        <f t="shared" si="7"/>
        <v>29</v>
      </c>
      <c r="AS13" s="108">
        <f t="shared" si="7"/>
        <v>30</v>
      </c>
      <c r="AT13" s="108">
        <f t="shared" si="7"/>
        <v>31</v>
      </c>
      <c r="AU13" s="108">
        <f t="shared" si="7"/>
        <v>32</v>
      </c>
      <c r="AV13" s="108">
        <f t="shared" si="7"/>
        <v>33</v>
      </c>
      <c r="AW13" s="108">
        <f t="shared" si="7"/>
        <v>34</v>
      </c>
      <c r="AX13" s="110">
        <f t="shared" si="7"/>
        <v>35</v>
      </c>
      <c r="AY13" s="109">
        <f t="shared" si="7"/>
        <v>36</v>
      </c>
      <c r="AZ13" s="108">
        <f t="shared" si="7"/>
        <v>37</v>
      </c>
      <c r="BA13" s="108">
        <f t="shared" si="7"/>
        <v>38</v>
      </c>
      <c r="BB13" s="108">
        <f t="shared" si="7"/>
        <v>39</v>
      </c>
      <c r="BC13" s="108">
        <f t="shared" si="7"/>
        <v>40</v>
      </c>
      <c r="BD13" s="108">
        <f t="shared" si="7"/>
        <v>41</v>
      </c>
      <c r="BE13" s="108">
        <f t="shared" si="7"/>
        <v>42</v>
      </c>
      <c r="BF13" s="108">
        <f t="shared" si="7"/>
        <v>43</v>
      </c>
      <c r="BG13" s="108">
        <f t="shared" si="7"/>
        <v>44</v>
      </c>
      <c r="BH13" s="108">
        <f t="shared" si="7"/>
        <v>45</v>
      </c>
      <c r="BI13" s="108">
        <f t="shared" si="7"/>
        <v>46</v>
      </c>
      <c r="BJ13" s="110">
        <f t="shared" si="7"/>
        <v>47</v>
      </c>
      <c r="BK13" s="109">
        <f t="shared" si="7"/>
        <v>48</v>
      </c>
      <c r="BL13" s="108">
        <f t="shared" si="7"/>
        <v>49</v>
      </c>
      <c r="BM13" s="108">
        <f t="shared" si="7"/>
        <v>50</v>
      </c>
      <c r="BN13" s="108">
        <f t="shared" si="7"/>
        <v>51</v>
      </c>
      <c r="BO13" s="108">
        <f t="shared" si="7"/>
        <v>52</v>
      </c>
      <c r="BP13" s="108">
        <f t="shared" si="7"/>
        <v>53</v>
      </c>
      <c r="BQ13" s="108">
        <f t="shared" si="7"/>
        <v>54</v>
      </c>
      <c r="BR13" s="108">
        <f t="shared" si="7"/>
        <v>55</v>
      </c>
      <c r="BS13" s="108">
        <f t="shared" si="7"/>
        <v>56</v>
      </c>
      <c r="BT13" s="108">
        <f t="shared" si="7"/>
        <v>57</v>
      </c>
      <c r="BU13" s="108">
        <f t="shared" si="7"/>
        <v>58</v>
      </c>
      <c r="BV13" s="110">
        <f t="shared" si="7"/>
        <v>59</v>
      </c>
      <c r="BW13" s="109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10"/>
      <c r="CI13" s="109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10"/>
      <c r="CU13" s="109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10"/>
      <c r="DG13" s="109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1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</row>
    <row r="14" spans="1:167" s="80" customFormat="1" x14ac:dyDescent="0.2">
      <c r="A14" s="136" t="s">
        <v>151</v>
      </c>
      <c r="B14" s="236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1232"/>
      <c r="O14" s="109">
        <f>PMT($B21/12,$B20,$O15,0,0)</f>
        <v>0</v>
      </c>
      <c r="P14" s="108">
        <f t="shared" ref="P14:BV14" si="8">PMT($B21/12,$B20,$O15,0,0)</f>
        <v>0</v>
      </c>
      <c r="Q14" s="108">
        <f t="shared" si="8"/>
        <v>0</v>
      </c>
      <c r="R14" s="108">
        <f t="shared" si="8"/>
        <v>0</v>
      </c>
      <c r="S14" s="108">
        <f t="shared" si="8"/>
        <v>0</v>
      </c>
      <c r="T14" s="108">
        <f t="shared" si="8"/>
        <v>0</v>
      </c>
      <c r="U14" s="108">
        <f t="shared" si="8"/>
        <v>0</v>
      </c>
      <c r="V14" s="108">
        <f t="shared" si="8"/>
        <v>0</v>
      </c>
      <c r="W14" s="108">
        <f t="shared" si="8"/>
        <v>0</v>
      </c>
      <c r="X14" s="108">
        <f t="shared" si="8"/>
        <v>0</v>
      </c>
      <c r="Y14" s="108">
        <f t="shared" si="8"/>
        <v>0</v>
      </c>
      <c r="Z14" s="110">
        <f t="shared" si="8"/>
        <v>0</v>
      </c>
      <c r="AA14" s="109">
        <f t="shared" si="8"/>
        <v>0</v>
      </c>
      <c r="AB14" s="108">
        <f t="shared" si="8"/>
        <v>0</v>
      </c>
      <c r="AC14" s="109">
        <f t="shared" si="8"/>
        <v>0</v>
      </c>
      <c r="AD14" s="109">
        <f t="shared" si="8"/>
        <v>0</v>
      </c>
      <c r="AE14" s="109">
        <f t="shared" si="8"/>
        <v>0</v>
      </c>
      <c r="AF14" s="109">
        <f t="shared" si="8"/>
        <v>0</v>
      </c>
      <c r="AG14" s="109">
        <f t="shared" si="8"/>
        <v>0</v>
      </c>
      <c r="AH14" s="109">
        <f t="shared" si="8"/>
        <v>0</v>
      </c>
      <c r="AI14" s="109">
        <f t="shared" si="8"/>
        <v>0</v>
      </c>
      <c r="AJ14" s="109">
        <f t="shared" si="8"/>
        <v>0</v>
      </c>
      <c r="AK14" s="109">
        <f t="shared" si="8"/>
        <v>0</v>
      </c>
      <c r="AL14" s="695">
        <f t="shared" si="8"/>
        <v>0</v>
      </c>
      <c r="AM14" s="109">
        <f t="shared" si="8"/>
        <v>0</v>
      </c>
      <c r="AN14" s="109">
        <f t="shared" si="8"/>
        <v>0</v>
      </c>
      <c r="AO14" s="109">
        <f t="shared" si="8"/>
        <v>0</v>
      </c>
      <c r="AP14" s="109">
        <f t="shared" si="8"/>
        <v>0</v>
      </c>
      <c r="AQ14" s="109">
        <f t="shared" si="8"/>
        <v>0</v>
      </c>
      <c r="AR14" s="109">
        <f t="shared" si="8"/>
        <v>0</v>
      </c>
      <c r="AS14" s="109">
        <f t="shared" si="8"/>
        <v>0</v>
      </c>
      <c r="AT14" s="109">
        <f t="shared" si="8"/>
        <v>0</v>
      </c>
      <c r="AU14" s="109">
        <f t="shared" si="8"/>
        <v>0</v>
      </c>
      <c r="AV14" s="109">
        <f t="shared" si="8"/>
        <v>0</v>
      </c>
      <c r="AW14" s="109">
        <f t="shared" si="8"/>
        <v>0</v>
      </c>
      <c r="AX14" s="695">
        <f t="shared" si="8"/>
        <v>0</v>
      </c>
      <c r="AY14" s="109">
        <f t="shared" si="8"/>
        <v>0</v>
      </c>
      <c r="AZ14" s="109">
        <f t="shared" si="8"/>
        <v>0</v>
      </c>
      <c r="BA14" s="109">
        <f t="shared" si="8"/>
        <v>0</v>
      </c>
      <c r="BB14" s="109">
        <f t="shared" si="8"/>
        <v>0</v>
      </c>
      <c r="BC14" s="109">
        <f t="shared" si="8"/>
        <v>0</v>
      </c>
      <c r="BD14" s="109">
        <f t="shared" si="8"/>
        <v>0</v>
      </c>
      <c r="BE14" s="109">
        <f t="shared" si="8"/>
        <v>0</v>
      </c>
      <c r="BF14" s="109">
        <f t="shared" si="8"/>
        <v>0</v>
      </c>
      <c r="BG14" s="109">
        <f t="shared" si="8"/>
        <v>0</v>
      </c>
      <c r="BH14" s="109">
        <f t="shared" si="8"/>
        <v>0</v>
      </c>
      <c r="BI14" s="109">
        <f t="shared" si="8"/>
        <v>0</v>
      </c>
      <c r="BJ14" s="695">
        <f t="shared" si="8"/>
        <v>0</v>
      </c>
      <c r="BK14" s="109">
        <f t="shared" si="8"/>
        <v>0</v>
      </c>
      <c r="BL14" s="109">
        <f t="shared" si="8"/>
        <v>0</v>
      </c>
      <c r="BM14" s="109">
        <f t="shared" si="8"/>
        <v>0</v>
      </c>
      <c r="BN14" s="109">
        <f t="shared" si="8"/>
        <v>0</v>
      </c>
      <c r="BO14" s="109">
        <f t="shared" si="8"/>
        <v>0</v>
      </c>
      <c r="BP14" s="109">
        <f t="shared" si="8"/>
        <v>0</v>
      </c>
      <c r="BQ14" s="109">
        <f t="shared" si="8"/>
        <v>0</v>
      </c>
      <c r="BR14" s="109">
        <f t="shared" si="8"/>
        <v>0</v>
      </c>
      <c r="BS14" s="109">
        <f t="shared" si="8"/>
        <v>0</v>
      </c>
      <c r="BT14" s="109">
        <f t="shared" si="8"/>
        <v>0</v>
      </c>
      <c r="BU14" s="109">
        <f t="shared" si="8"/>
        <v>0</v>
      </c>
      <c r="BV14" s="110">
        <f t="shared" si="8"/>
        <v>0</v>
      </c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695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695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695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695"/>
    </row>
    <row r="15" spans="1:167" x14ac:dyDescent="0.2">
      <c r="A15" s="136" t="s">
        <v>359</v>
      </c>
      <c r="B15" s="137">
        <f>-B11</f>
        <v>0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695"/>
      <c r="O15" s="109">
        <v>0</v>
      </c>
      <c r="P15" s="108">
        <f>B15</f>
        <v>0</v>
      </c>
      <c r="Q15" s="108">
        <f t="shared" ref="Q15:BV15" si="9">P18</f>
        <v>0</v>
      </c>
      <c r="R15" s="108">
        <f t="shared" si="9"/>
        <v>0</v>
      </c>
      <c r="S15" s="108">
        <f t="shared" si="9"/>
        <v>0</v>
      </c>
      <c r="T15" s="108">
        <f t="shared" si="9"/>
        <v>0</v>
      </c>
      <c r="U15" s="108">
        <f t="shared" si="9"/>
        <v>0</v>
      </c>
      <c r="V15" s="108">
        <f t="shared" si="9"/>
        <v>0</v>
      </c>
      <c r="W15" s="108">
        <f t="shared" si="9"/>
        <v>0</v>
      </c>
      <c r="X15" s="108">
        <f t="shared" si="9"/>
        <v>0</v>
      </c>
      <c r="Y15" s="108">
        <f t="shared" si="9"/>
        <v>0</v>
      </c>
      <c r="Z15" s="110">
        <f t="shared" si="9"/>
        <v>0</v>
      </c>
      <c r="AA15" s="109">
        <f t="shared" si="9"/>
        <v>0</v>
      </c>
      <c r="AB15" s="108">
        <f t="shared" si="9"/>
        <v>0</v>
      </c>
      <c r="AC15" s="108">
        <f t="shared" si="9"/>
        <v>0</v>
      </c>
      <c r="AD15" s="108">
        <f t="shared" si="9"/>
        <v>0</v>
      </c>
      <c r="AE15" s="108">
        <f t="shared" si="9"/>
        <v>0</v>
      </c>
      <c r="AF15" s="108">
        <f t="shared" si="9"/>
        <v>0</v>
      </c>
      <c r="AG15" s="108">
        <f t="shared" si="9"/>
        <v>0</v>
      </c>
      <c r="AH15" s="108">
        <f t="shared" si="9"/>
        <v>0</v>
      </c>
      <c r="AI15" s="108">
        <f t="shared" si="9"/>
        <v>0</v>
      </c>
      <c r="AJ15" s="108">
        <f t="shared" si="9"/>
        <v>0</v>
      </c>
      <c r="AK15" s="108">
        <f t="shared" si="9"/>
        <v>0</v>
      </c>
      <c r="AL15" s="110">
        <f t="shared" si="9"/>
        <v>0</v>
      </c>
      <c r="AM15" s="109">
        <f t="shared" si="9"/>
        <v>0</v>
      </c>
      <c r="AN15" s="108">
        <f t="shared" si="9"/>
        <v>0</v>
      </c>
      <c r="AO15" s="108">
        <f t="shared" si="9"/>
        <v>0</v>
      </c>
      <c r="AP15" s="108">
        <f t="shared" si="9"/>
        <v>0</v>
      </c>
      <c r="AQ15" s="108">
        <f t="shared" si="9"/>
        <v>0</v>
      </c>
      <c r="AR15" s="108">
        <f t="shared" si="9"/>
        <v>0</v>
      </c>
      <c r="AS15" s="108">
        <f t="shared" si="9"/>
        <v>0</v>
      </c>
      <c r="AT15" s="108">
        <f t="shared" si="9"/>
        <v>0</v>
      </c>
      <c r="AU15" s="108">
        <f t="shared" si="9"/>
        <v>0</v>
      </c>
      <c r="AV15" s="108">
        <f t="shared" si="9"/>
        <v>0</v>
      </c>
      <c r="AW15" s="108">
        <f t="shared" si="9"/>
        <v>0</v>
      </c>
      <c r="AX15" s="110">
        <f t="shared" si="9"/>
        <v>0</v>
      </c>
      <c r="AY15" s="109">
        <f t="shared" si="9"/>
        <v>0</v>
      </c>
      <c r="AZ15" s="108">
        <f t="shared" si="9"/>
        <v>0</v>
      </c>
      <c r="BA15" s="108">
        <f t="shared" si="9"/>
        <v>0</v>
      </c>
      <c r="BB15" s="108">
        <f t="shared" si="9"/>
        <v>0</v>
      </c>
      <c r="BC15" s="108">
        <f t="shared" si="9"/>
        <v>0</v>
      </c>
      <c r="BD15" s="108">
        <f t="shared" si="9"/>
        <v>0</v>
      </c>
      <c r="BE15" s="108">
        <f t="shared" si="9"/>
        <v>0</v>
      </c>
      <c r="BF15" s="108">
        <f t="shared" si="9"/>
        <v>0</v>
      </c>
      <c r="BG15" s="108">
        <f t="shared" si="9"/>
        <v>0</v>
      </c>
      <c r="BH15" s="108">
        <f t="shared" si="9"/>
        <v>0</v>
      </c>
      <c r="BI15" s="108">
        <f t="shared" si="9"/>
        <v>0</v>
      </c>
      <c r="BJ15" s="110">
        <f t="shared" si="9"/>
        <v>0</v>
      </c>
      <c r="BK15" s="109">
        <f t="shared" si="9"/>
        <v>0</v>
      </c>
      <c r="BL15" s="108">
        <f t="shared" si="9"/>
        <v>0</v>
      </c>
      <c r="BM15" s="108">
        <f t="shared" si="9"/>
        <v>0</v>
      </c>
      <c r="BN15" s="108">
        <f t="shared" si="9"/>
        <v>0</v>
      </c>
      <c r="BO15" s="108">
        <f t="shared" si="9"/>
        <v>0</v>
      </c>
      <c r="BP15" s="108">
        <f t="shared" si="9"/>
        <v>0</v>
      </c>
      <c r="BQ15" s="108">
        <f t="shared" si="9"/>
        <v>0</v>
      </c>
      <c r="BR15" s="108">
        <f t="shared" si="9"/>
        <v>0</v>
      </c>
      <c r="BS15" s="108">
        <f t="shared" si="9"/>
        <v>0</v>
      </c>
      <c r="BT15" s="108">
        <f t="shared" si="9"/>
        <v>0</v>
      </c>
      <c r="BU15" s="108">
        <f t="shared" si="9"/>
        <v>0</v>
      </c>
      <c r="BV15" s="110">
        <f t="shared" si="9"/>
        <v>0</v>
      </c>
      <c r="BW15" s="109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10"/>
      <c r="CI15" s="109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10"/>
      <c r="CU15" s="109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10"/>
      <c r="DG15" s="109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10"/>
    </row>
    <row r="16" spans="1:167" x14ac:dyDescent="0.2">
      <c r="A16" s="136" t="s">
        <v>53</v>
      </c>
      <c r="B16" s="137"/>
      <c r="C16" s="109">
        <f t="shared" ref="C16:K16" si="10">C11*($B21/12)</f>
        <v>0</v>
      </c>
      <c r="D16" s="109">
        <f t="shared" si="10"/>
        <v>0</v>
      </c>
      <c r="E16" s="109">
        <f t="shared" si="10"/>
        <v>0</v>
      </c>
      <c r="F16" s="109">
        <f t="shared" si="10"/>
        <v>0</v>
      </c>
      <c r="G16" s="109">
        <f t="shared" si="10"/>
        <v>0</v>
      </c>
      <c r="H16" s="109">
        <f t="shared" si="10"/>
        <v>0</v>
      </c>
      <c r="I16" s="109">
        <f t="shared" si="10"/>
        <v>0</v>
      </c>
      <c r="J16" s="109">
        <f t="shared" si="10"/>
        <v>0</v>
      </c>
      <c r="K16" s="109">
        <f t="shared" si="10"/>
        <v>0</v>
      </c>
      <c r="L16" s="109">
        <f>L11*($B21/12)</f>
        <v>0</v>
      </c>
      <c r="M16" s="109">
        <f>M11*($B21/12)</f>
        <v>0</v>
      </c>
      <c r="N16" s="695">
        <f>N11*($B21/12)</f>
        <v>0</v>
      </c>
      <c r="O16" s="410">
        <f>O15*$B21/12</f>
        <v>0</v>
      </c>
      <c r="P16" s="108">
        <f t="shared" ref="P16:BV16" si="11">P15*$B21/12</f>
        <v>0</v>
      </c>
      <c r="Q16" s="108">
        <f t="shared" si="11"/>
        <v>0</v>
      </c>
      <c r="R16" s="108">
        <f t="shared" si="11"/>
        <v>0</v>
      </c>
      <c r="S16" s="108">
        <f t="shared" si="11"/>
        <v>0</v>
      </c>
      <c r="T16" s="108">
        <f t="shared" si="11"/>
        <v>0</v>
      </c>
      <c r="U16" s="108">
        <f t="shared" si="11"/>
        <v>0</v>
      </c>
      <c r="V16" s="108">
        <f t="shared" si="11"/>
        <v>0</v>
      </c>
      <c r="W16" s="108">
        <f t="shared" si="11"/>
        <v>0</v>
      </c>
      <c r="X16" s="108">
        <f t="shared" si="11"/>
        <v>0</v>
      </c>
      <c r="Y16" s="108">
        <f t="shared" si="11"/>
        <v>0</v>
      </c>
      <c r="Z16" s="110">
        <f t="shared" si="11"/>
        <v>0</v>
      </c>
      <c r="AA16" s="109">
        <f t="shared" si="11"/>
        <v>0</v>
      </c>
      <c r="AB16" s="108">
        <f t="shared" si="11"/>
        <v>0</v>
      </c>
      <c r="AC16" s="108">
        <f t="shared" si="11"/>
        <v>0</v>
      </c>
      <c r="AD16" s="108">
        <f t="shared" si="11"/>
        <v>0</v>
      </c>
      <c r="AE16" s="108">
        <f t="shared" si="11"/>
        <v>0</v>
      </c>
      <c r="AF16" s="108">
        <f t="shared" si="11"/>
        <v>0</v>
      </c>
      <c r="AG16" s="108">
        <f t="shared" si="11"/>
        <v>0</v>
      </c>
      <c r="AH16" s="108">
        <f t="shared" si="11"/>
        <v>0</v>
      </c>
      <c r="AI16" s="108">
        <f t="shared" si="11"/>
        <v>0</v>
      </c>
      <c r="AJ16" s="108">
        <f t="shared" si="11"/>
        <v>0</v>
      </c>
      <c r="AK16" s="108">
        <f t="shared" si="11"/>
        <v>0</v>
      </c>
      <c r="AL16" s="110">
        <f t="shared" si="11"/>
        <v>0</v>
      </c>
      <c r="AM16" s="109">
        <f t="shared" si="11"/>
        <v>0</v>
      </c>
      <c r="AN16" s="108">
        <f t="shared" si="11"/>
        <v>0</v>
      </c>
      <c r="AO16" s="108">
        <f t="shared" si="11"/>
        <v>0</v>
      </c>
      <c r="AP16" s="108">
        <f t="shared" si="11"/>
        <v>0</v>
      </c>
      <c r="AQ16" s="108">
        <f t="shared" si="11"/>
        <v>0</v>
      </c>
      <c r="AR16" s="108">
        <f t="shared" si="11"/>
        <v>0</v>
      </c>
      <c r="AS16" s="108">
        <f t="shared" si="11"/>
        <v>0</v>
      </c>
      <c r="AT16" s="108">
        <f t="shared" si="11"/>
        <v>0</v>
      </c>
      <c r="AU16" s="108">
        <f t="shared" si="11"/>
        <v>0</v>
      </c>
      <c r="AV16" s="108">
        <f t="shared" si="11"/>
        <v>0</v>
      </c>
      <c r="AW16" s="108">
        <f t="shared" si="11"/>
        <v>0</v>
      </c>
      <c r="AX16" s="110">
        <f t="shared" si="11"/>
        <v>0</v>
      </c>
      <c r="AY16" s="109">
        <f t="shared" si="11"/>
        <v>0</v>
      </c>
      <c r="AZ16" s="108">
        <f t="shared" si="11"/>
        <v>0</v>
      </c>
      <c r="BA16" s="108">
        <f t="shared" si="11"/>
        <v>0</v>
      </c>
      <c r="BB16" s="108">
        <f t="shared" si="11"/>
        <v>0</v>
      </c>
      <c r="BC16" s="108">
        <f t="shared" si="11"/>
        <v>0</v>
      </c>
      <c r="BD16" s="108">
        <f t="shared" si="11"/>
        <v>0</v>
      </c>
      <c r="BE16" s="108">
        <f t="shared" si="11"/>
        <v>0</v>
      </c>
      <c r="BF16" s="108">
        <f t="shared" si="11"/>
        <v>0</v>
      </c>
      <c r="BG16" s="108">
        <f t="shared" si="11"/>
        <v>0</v>
      </c>
      <c r="BH16" s="108">
        <f t="shared" si="11"/>
        <v>0</v>
      </c>
      <c r="BI16" s="108">
        <f t="shared" si="11"/>
        <v>0</v>
      </c>
      <c r="BJ16" s="110">
        <f t="shared" si="11"/>
        <v>0</v>
      </c>
      <c r="BK16" s="109">
        <f t="shared" si="11"/>
        <v>0</v>
      </c>
      <c r="BL16" s="108">
        <f t="shared" si="11"/>
        <v>0</v>
      </c>
      <c r="BM16" s="108">
        <f t="shared" si="11"/>
        <v>0</v>
      </c>
      <c r="BN16" s="108">
        <f t="shared" si="11"/>
        <v>0</v>
      </c>
      <c r="BO16" s="108">
        <f t="shared" si="11"/>
        <v>0</v>
      </c>
      <c r="BP16" s="108">
        <f t="shared" si="11"/>
        <v>0</v>
      </c>
      <c r="BQ16" s="108">
        <f t="shared" si="11"/>
        <v>0</v>
      </c>
      <c r="BR16" s="108">
        <f t="shared" si="11"/>
        <v>0</v>
      </c>
      <c r="BS16" s="108">
        <f t="shared" si="11"/>
        <v>0</v>
      </c>
      <c r="BT16" s="108">
        <f t="shared" si="11"/>
        <v>0</v>
      </c>
      <c r="BU16" s="108">
        <f t="shared" si="11"/>
        <v>0</v>
      </c>
      <c r="BV16" s="110">
        <f t="shared" si="11"/>
        <v>0</v>
      </c>
      <c r="BW16" s="109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10"/>
      <c r="CI16" s="109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10"/>
      <c r="CU16" s="109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10"/>
      <c r="DG16" s="109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10"/>
    </row>
    <row r="17" spans="1:167" x14ac:dyDescent="0.2">
      <c r="A17" s="136" t="s">
        <v>155</v>
      </c>
      <c r="B17" s="137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607"/>
      <c r="O17" s="1225">
        <f t="shared" ref="O17:AT17" si="12">-(O16+O14)</f>
        <v>0</v>
      </c>
      <c r="P17" s="108">
        <f>B15</f>
        <v>0</v>
      </c>
      <c r="Q17" s="108">
        <f t="shared" si="12"/>
        <v>0</v>
      </c>
      <c r="R17" s="108">
        <f t="shared" si="12"/>
        <v>0</v>
      </c>
      <c r="S17" s="108">
        <f t="shared" si="12"/>
        <v>0</v>
      </c>
      <c r="T17" s="108">
        <f t="shared" si="12"/>
        <v>0</v>
      </c>
      <c r="U17" s="108">
        <f t="shared" si="12"/>
        <v>0</v>
      </c>
      <c r="V17" s="108">
        <f t="shared" si="12"/>
        <v>0</v>
      </c>
      <c r="W17" s="108">
        <f t="shared" si="12"/>
        <v>0</v>
      </c>
      <c r="X17" s="108">
        <f t="shared" si="12"/>
        <v>0</v>
      </c>
      <c r="Y17" s="108">
        <f t="shared" si="12"/>
        <v>0</v>
      </c>
      <c r="Z17" s="110">
        <f t="shared" si="12"/>
        <v>0</v>
      </c>
      <c r="AA17" s="109">
        <f t="shared" si="12"/>
        <v>0</v>
      </c>
      <c r="AB17" s="108">
        <f t="shared" si="12"/>
        <v>0</v>
      </c>
      <c r="AC17" s="108">
        <f t="shared" si="12"/>
        <v>0</v>
      </c>
      <c r="AD17" s="108">
        <f t="shared" si="12"/>
        <v>0</v>
      </c>
      <c r="AE17" s="108">
        <f t="shared" si="12"/>
        <v>0</v>
      </c>
      <c r="AF17" s="108">
        <f t="shared" si="12"/>
        <v>0</v>
      </c>
      <c r="AG17" s="108">
        <f t="shared" si="12"/>
        <v>0</v>
      </c>
      <c r="AH17" s="108">
        <f t="shared" si="12"/>
        <v>0</v>
      </c>
      <c r="AI17" s="108">
        <f t="shared" si="12"/>
        <v>0</v>
      </c>
      <c r="AJ17" s="108">
        <f t="shared" si="12"/>
        <v>0</v>
      </c>
      <c r="AK17" s="108">
        <f t="shared" si="12"/>
        <v>0</v>
      </c>
      <c r="AL17" s="110">
        <f t="shared" si="12"/>
        <v>0</v>
      </c>
      <c r="AM17" s="109">
        <f t="shared" si="12"/>
        <v>0</v>
      </c>
      <c r="AN17" s="108">
        <f t="shared" si="12"/>
        <v>0</v>
      </c>
      <c r="AO17" s="108">
        <f t="shared" si="12"/>
        <v>0</v>
      </c>
      <c r="AP17" s="108">
        <f t="shared" si="12"/>
        <v>0</v>
      </c>
      <c r="AQ17" s="108">
        <f t="shared" si="12"/>
        <v>0</v>
      </c>
      <c r="AR17" s="108">
        <f t="shared" si="12"/>
        <v>0</v>
      </c>
      <c r="AS17" s="108">
        <f t="shared" si="12"/>
        <v>0</v>
      </c>
      <c r="AT17" s="108">
        <f t="shared" si="12"/>
        <v>0</v>
      </c>
      <c r="AU17" s="108">
        <f t="shared" ref="AU17:BV17" si="13">-(AU16+AU14)</f>
        <v>0</v>
      </c>
      <c r="AV17" s="108">
        <f t="shared" si="13"/>
        <v>0</v>
      </c>
      <c r="AW17" s="108">
        <f t="shared" si="13"/>
        <v>0</v>
      </c>
      <c r="AX17" s="110">
        <f t="shared" si="13"/>
        <v>0</v>
      </c>
      <c r="AY17" s="109">
        <f t="shared" si="13"/>
        <v>0</v>
      </c>
      <c r="AZ17" s="108">
        <f t="shared" si="13"/>
        <v>0</v>
      </c>
      <c r="BA17" s="108">
        <f t="shared" si="13"/>
        <v>0</v>
      </c>
      <c r="BB17" s="108">
        <f t="shared" si="13"/>
        <v>0</v>
      </c>
      <c r="BC17" s="108">
        <f t="shared" si="13"/>
        <v>0</v>
      </c>
      <c r="BD17" s="108">
        <f t="shared" si="13"/>
        <v>0</v>
      </c>
      <c r="BE17" s="108">
        <f t="shared" si="13"/>
        <v>0</v>
      </c>
      <c r="BF17" s="108">
        <f t="shared" si="13"/>
        <v>0</v>
      </c>
      <c r="BG17" s="108">
        <f t="shared" si="13"/>
        <v>0</v>
      </c>
      <c r="BH17" s="108">
        <f t="shared" si="13"/>
        <v>0</v>
      </c>
      <c r="BI17" s="108">
        <f t="shared" si="13"/>
        <v>0</v>
      </c>
      <c r="BJ17" s="110">
        <f t="shared" si="13"/>
        <v>0</v>
      </c>
      <c r="BK17" s="109">
        <f t="shared" si="13"/>
        <v>0</v>
      </c>
      <c r="BL17" s="108">
        <f t="shared" si="13"/>
        <v>0</v>
      </c>
      <c r="BM17" s="108">
        <f t="shared" si="13"/>
        <v>0</v>
      </c>
      <c r="BN17" s="108">
        <f t="shared" si="13"/>
        <v>0</v>
      </c>
      <c r="BO17" s="108">
        <f t="shared" si="13"/>
        <v>0</v>
      </c>
      <c r="BP17" s="108">
        <f t="shared" si="13"/>
        <v>0</v>
      </c>
      <c r="BQ17" s="108">
        <f t="shared" si="13"/>
        <v>0</v>
      </c>
      <c r="BR17" s="108">
        <f t="shared" si="13"/>
        <v>0</v>
      </c>
      <c r="BS17" s="108">
        <f t="shared" si="13"/>
        <v>0</v>
      </c>
      <c r="BT17" s="108">
        <f t="shared" si="13"/>
        <v>0</v>
      </c>
      <c r="BU17" s="108">
        <f t="shared" si="13"/>
        <v>0</v>
      </c>
      <c r="BV17" s="110">
        <f t="shared" si="13"/>
        <v>0</v>
      </c>
      <c r="BW17" s="109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10"/>
      <c r="CI17" s="109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10"/>
      <c r="CU17" s="109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10"/>
      <c r="DG17" s="109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10"/>
    </row>
    <row r="18" spans="1:167" s="51" customFormat="1" ht="13.5" thickBot="1" x14ac:dyDescent="0.25">
      <c r="A18" s="136" t="s">
        <v>54</v>
      </c>
      <c r="B18" s="137"/>
      <c r="C18" s="109">
        <f>C11+C16</f>
        <v>0</v>
      </c>
      <c r="D18" s="109">
        <f t="shared" ref="D18:I18" si="14">D11+D16</f>
        <v>0</v>
      </c>
      <c r="E18" s="109">
        <f t="shared" si="14"/>
        <v>0</v>
      </c>
      <c r="F18" s="109">
        <f t="shared" si="14"/>
        <v>0</v>
      </c>
      <c r="G18" s="109">
        <f t="shared" si="14"/>
        <v>0</v>
      </c>
      <c r="H18" s="109">
        <f t="shared" si="14"/>
        <v>0</v>
      </c>
      <c r="I18" s="109">
        <f t="shared" si="14"/>
        <v>0</v>
      </c>
      <c r="J18" s="109">
        <f>J11+J16</f>
        <v>0</v>
      </c>
      <c r="K18" s="109">
        <f>K11+K16</f>
        <v>0</v>
      </c>
      <c r="L18" s="109">
        <f>L11+L16</f>
        <v>0</v>
      </c>
      <c r="M18" s="109">
        <f>M11+M16</f>
        <v>0</v>
      </c>
      <c r="N18" s="695">
        <f>N11+N16</f>
        <v>0</v>
      </c>
      <c r="O18" s="109">
        <f>O15-O17</f>
        <v>0</v>
      </c>
      <c r="P18" s="108">
        <f>P15-P17</f>
        <v>0</v>
      </c>
      <c r="Q18" s="108">
        <f t="shared" ref="Q18:BV18" si="15">Q15-Q17</f>
        <v>0</v>
      </c>
      <c r="R18" s="108">
        <f t="shared" si="15"/>
        <v>0</v>
      </c>
      <c r="S18" s="108">
        <f t="shared" si="15"/>
        <v>0</v>
      </c>
      <c r="T18" s="108">
        <f t="shared" si="15"/>
        <v>0</v>
      </c>
      <c r="U18" s="108">
        <f t="shared" si="15"/>
        <v>0</v>
      </c>
      <c r="V18" s="108">
        <f t="shared" si="15"/>
        <v>0</v>
      </c>
      <c r="W18" s="108">
        <f t="shared" si="15"/>
        <v>0</v>
      </c>
      <c r="X18" s="108">
        <f t="shared" si="15"/>
        <v>0</v>
      </c>
      <c r="Y18" s="108">
        <f t="shared" si="15"/>
        <v>0</v>
      </c>
      <c r="Z18" s="110">
        <f t="shared" si="15"/>
        <v>0</v>
      </c>
      <c r="AA18" s="109">
        <f t="shared" si="15"/>
        <v>0</v>
      </c>
      <c r="AB18" s="108">
        <f t="shared" si="15"/>
        <v>0</v>
      </c>
      <c r="AC18" s="108">
        <f t="shared" si="15"/>
        <v>0</v>
      </c>
      <c r="AD18" s="108">
        <f t="shared" si="15"/>
        <v>0</v>
      </c>
      <c r="AE18" s="108">
        <f t="shared" si="15"/>
        <v>0</v>
      </c>
      <c r="AF18" s="108">
        <f t="shared" si="15"/>
        <v>0</v>
      </c>
      <c r="AG18" s="108">
        <f t="shared" si="15"/>
        <v>0</v>
      </c>
      <c r="AH18" s="108">
        <f t="shared" si="15"/>
        <v>0</v>
      </c>
      <c r="AI18" s="108">
        <f t="shared" si="15"/>
        <v>0</v>
      </c>
      <c r="AJ18" s="108">
        <f t="shared" si="15"/>
        <v>0</v>
      </c>
      <c r="AK18" s="108">
        <f t="shared" si="15"/>
        <v>0</v>
      </c>
      <c r="AL18" s="110">
        <f t="shared" si="15"/>
        <v>0</v>
      </c>
      <c r="AM18" s="109">
        <f t="shared" si="15"/>
        <v>0</v>
      </c>
      <c r="AN18" s="108">
        <f t="shared" si="15"/>
        <v>0</v>
      </c>
      <c r="AO18" s="108">
        <f t="shared" si="15"/>
        <v>0</v>
      </c>
      <c r="AP18" s="108">
        <f t="shared" si="15"/>
        <v>0</v>
      </c>
      <c r="AQ18" s="108">
        <f t="shared" si="15"/>
        <v>0</v>
      </c>
      <c r="AR18" s="108">
        <f t="shared" si="15"/>
        <v>0</v>
      </c>
      <c r="AS18" s="108">
        <f t="shared" si="15"/>
        <v>0</v>
      </c>
      <c r="AT18" s="108">
        <f t="shared" si="15"/>
        <v>0</v>
      </c>
      <c r="AU18" s="108">
        <f t="shared" si="15"/>
        <v>0</v>
      </c>
      <c r="AV18" s="108">
        <f t="shared" si="15"/>
        <v>0</v>
      </c>
      <c r="AW18" s="108">
        <f t="shared" si="15"/>
        <v>0</v>
      </c>
      <c r="AX18" s="110">
        <f t="shared" si="15"/>
        <v>0</v>
      </c>
      <c r="AY18" s="109">
        <f t="shared" si="15"/>
        <v>0</v>
      </c>
      <c r="AZ18" s="108">
        <f t="shared" si="15"/>
        <v>0</v>
      </c>
      <c r="BA18" s="108">
        <f t="shared" si="15"/>
        <v>0</v>
      </c>
      <c r="BB18" s="108">
        <f t="shared" si="15"/>
        <v>0</v>
      </c>
      <c r="BC18" s="108">
        <f t="shared" si="15"/>
        <v>0</v>
      </c>
      <c r="BD18" s="108">
        <f t="shared" si="15"/>
        <v>0</v>
      </c>
      <c r="BE18" s="108">
        <f t="shared" si="15"/>
        <v>0</v>
      </c>
      <c r="BF18" s="108">
        <f t="shared" si="15"/>
        <v>0</v>
      </c>
      <c r="BG18" s="108">
        <f t="shared" si="15"/>
        <v>0</v>
      </c>
      <c r="BH18" s="108">
        <f t="shared" si="15"/>
        <v>0</v>
      </c>
      <c r="BI18" s="108">
        <f t="shared" si="15"/>
        <v>0</v>
      </c>
      <c r="BJ18" s="110">
        <f t="shared" si="15"/>
        <v>0</v>
      </c>
      <c r="BK18" s="109">
        <f t="shared" si="15"/>
        <v>0</v>
      </c>
      <c r="BL18" s="108">
        <f t="shared" si="15"/>
        <v>0</v>
      </c>
      <c r="BM18" s="108">
        <f t="shared" si="15"/>
        <v>0</v>
      </c>
      <c r="BN18" s="108">
        <f t="shared" si="15"/>
        <v>0</v>
      </c>
      <c r="BO18" s="108">
        <f t="shared" si="15"/>
        <v>0</v>
      </c>
      <c r="BP18" s="108">
        <f t="shared" si="15"/>
        <v>0</v>
      </c>
      <c r="BQ18" s="108">
        <f t="shared" si="15"/>
        <v>0</v>
      </c>
      <c r="BR18" s="108">
        <f t="shared" si="15"/>
        <v>0</v>
      </c>
      <c r="BS18" s="108">
        <f t="shared" si="15"/>
        <v>0</v>
      </c>
      <c r="BT18" s="108">
        <f t="shared" si="15"/>
        <v>0</v>
      </c>
      <c r="BU18" s="108">
        <f t="shared" si="15"/>
        <v>0</v>
      </c>
      <c r="BV18" s="110">
        <f t="shared" si="15"/>
        <v>0</v>
      </c>
      <c r="BW18" s="109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10"/>
      <c r="CI18" s="109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10"/>
      <c r="CU18" s="109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10"/>
      <c r="DG18" s="109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1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</row>
    <row r="19" spans="1:167" x14ac:dyDescent="0.2">
      <c r="A19" s="135"/>
      <c r="B19" s="109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607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41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1231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1231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1231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1231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1231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1231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1231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1231"/>
    </row>
    <row r="20" spans="1:167" x14ac:dyDescent="0.2">
      <c r="A20" s="136" t="s">
        <v>360</v>
      </c>
      <c r="B20" s="281">
        <v>1</v>
      </c>
      <c r="C20" s="1233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1234"/>
      <c r="O20" s="1233"/>
      <c r="P20" s="1233"/>
      <c r="Q20" s="1233"/>
      <c r="R20" s="1233"/>
      <c r="S20" s="1233"/>
      <c r="T20" s="1233"/>
      <c r="U20" s="1233"/>
      <c r="V20" s="1233"/>
      <c r="W20" s="1233"/>
      <c r="X20" s="1233"/>
      <c r="Y20" s="1233"/>
      <c r="Z20" s="1241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1231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1231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1231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1231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1231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1231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1231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1231"/>
    </row>
    <row r="21" spans="1:167" x14ac:dyDescent="0.2">
      <c r="A21" s="136" t="s">
        <v>143</v>
      </c>
      <c r="B21" s="138">
        <v>0</v>
      </c>
      <c r="C21" s="1235"/>
      <c r="D21" s="466"/>
      <c r="E21" s="466"/>
      <c r="F21" s="466"/>
      <c r="G21" s="466"/>
      <c r="H21" s="466"/>
      <c r="I21" s="466"/>
      <c r="J21" s="466"/>
      <c r="K21" s="471"/>
      <c r="L21" s="464"/>
      <c r="M21" s="464"/>
      <c r="N21" s="1234"/>
      <c r="O21" s="200"/>
      <c r="P21" s="1242"/>
      <c r="Q21" s="200"/>
      <c r="R21" s="1243"/>
      <c r="S21" s="200"/>
      <c r="T21" s="1244"/>
      <c r="U21" s="200"/>
      <c r="V21" s="200"/>
      <c r="W21" s="200"/>
      <c r="X21" s="200"/>
      <c r="Y21" s="200"/>
      <c r="Z21" s="1231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1231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1231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1231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1231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1231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1231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1231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1231"/>
    </row>
    <row r="22" spans="1:167" x14ac:dyDescent="0.2">
      <c r="A22" s="136"/>
      <c r="B22" s="139"/>
      <c r="C22" s="200"/>
      <c r="D22" s="465"/>
      <c r="E22" s="465"/>
      <c r="F22" s="465"/>
      <c r="G22" s="465"/>
      <c r="H22" s="465"/>
      <c r="I22" s="465"/>
      <c r="J22" s="465"/>
      <c r="K22" s="465"/>
      <c r="L22" s="465"/>
      <c r="M22" s="465"/>
      <c r="N22" s="1236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1231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1231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1231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1231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1231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1231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1231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1231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1231"/>
    </row>
    <row r="23" spans="1:167" x14ac:dyDescent="0.2">
      <c r="A23" s="136"/>
      <c r="B23" s="138"/>
      <c r="C23" s="466"/>
      <c r="D23" s="466"/>
      <c r="E23" s="466"/>
      <c r="F23" s="466"/>
      <c r="G23" s="466"/>
      <c r="H23" s="466"/>
      <c r="I23" s="466"/>
      <c r="J23" s="466"/>
      <c r="K23" s="466"/>
      <c r="L23" s="466"/>
      <c r="M23" s="466"/>
      <c r="N23" s="1237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1231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1231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1231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1231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1231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1231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1231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1231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1231"/>
    </row>
    <row r="24" spans="1:167" x14ac:dyDescent="0.2">
      <c r="A24" s="132"/>
      <c r="B24" s="133"/>
      <c r="C24" s="1229"/>
      <c r="D24" s="1229"/>
      <c r="E24" s="1229"/>
      <c r="F24" s="1229"/>
      <c r="G24" s="1229"/>
      <c r="H24" s="1229"/>
      <c r="I24" s="1229"/>
      <c r="J24" s="1229"/>
      <c r="K24" s="1229"/>
      <c r="L24" s="1229"/>
      <c r="M24" s="1229"/>
      <c r="N24" s="1230"/>
      <c r="O24" s="1229"/>
      <c r="P24" s="1227"/>
      <c r="Q24" s="1227"/>
      <c r="R24" s="1227"/>
      <c r="S24" s="1227"/>
      <c r="T24" s="1227"/>
      <c r="U24" s="1227"/>
      <c r="V24" s="1227"/>
      <c r="W24" s="1227"/>
      <c r="X24" s="1227"/>
      <c r="Y24" s="1227"/>
      <c r="Z24" s="1228"/>
      <c r="AA24" s="1227"/>
      <c r="AB24" s="1227"/>
      <c r="AC24" s="1227"/>
      <c r="AD24" s="1227"/>
      <c r="AE24" s="1227"/>
      <c r="AF24" s="1227"/>
      <c r="AG24" s="1227"/>
      <c r="AH24" s="1227"/>
      <c r="AI24" s="1227"/>
      <c r="AJ24" s="1227"/>
      <c r="AK24" s="1227"/>
      <c r="AL24" s="1228"/>
      <c r="AM24" s="1227"/>
      <c r="AN24" s="1227"/>
      <c r="AO24" s="1227"/>
      <c r="AP24" s="1227"/>
      <c r="AQ24" s="1227"/>
      <c r="AR24" s="1227"/>
      <c r="AS24" s="1227"/>
      <c r="AT24" s="1227"/>
      <c r="AU24" s="1227"/>
      <c r="AV24" s="1227"/>
      <c r="AW24" s="1227"/>
      <c r="AX24" s="1228"/>
      <c r="AY24" s="1227"/>
      <c r="AZ24" s="1227"/>
      <c r="BA24" s="1227"/>
      <c r="BB24" s="1227"/>
      <c r="BC24" s="1227"/>
      <c r="BD24" s="1227"/>
      <c r="BE24" s="1227"/>
      <c r="BF24" s="1227"/>
      <c r="BG24" s="1227"/>
      <c r="BH24" s="1227"/>
      <c r="BI24" s="1227"/>
      <c r="BJ24" s="1228"/>
      <c r="BK24" s="1227"/>
      <c r="BL24" s="1227"/>
      <c r="BM24" s="1227"/>
      <c r="BN24" s="1227"/>
      <c r="BO24" s="1227"/>
      <c r="BP24" s="1227"/>
      <c r="BQ24" s="1227"/>
      <c r="BR24" s="1227"/>
      <c r="BS24" s="1227"/>
      <c r="BT24" s="1227"/>
      <c r="BU24" s="1227"/>
      <c r="BV24" s="1228"/>
      <c r="BW24" s="1227"/>
      <c r="BX24" s="1227"/>
      <c r="BY24" s="1227"/>
      <c r="BZ24" s="1227"/>
      <c r="CA24" s="1227"/>
      <c r="CB24" s="1227"/>
      <c r="CC24" s="1227"/>
      <c r="CD24" s="1227"/>
      <c r="CE24" s="1227"/>
      <c r="CF24" s="1227"/>
      <c r="CG24" s="1227"/>
      <c r="CH24" s="1228"/>
      <c r="CI24" s="1227"/>
      <c r="CJ24" s="1227"/>
      <c r="CK24" s="1227"/>
      <c r="CL24" s="1227"/>
      <c r="CM24" s="1227"/>
      <c r="CN24" s="1227"/>
      <c r="CO24" s="1227"/>
      <c r="CP24" s="1227"/>
      <c r="CQ24" s="1227"/>
      <c r="CR24" s="1227"/>
      <c r="CS24" s="1227"/>
      <c r="CT24" s="1228"/>
      <c r="CU24" s="1227"/>
      <c r="CV24" s="1227"/>
      <c r="CW24" s="1227"/>
      <c r="CX24" s="1227"/>
      <c r="CY24" s="1227"/>
      <c r="CZ24" s="1227"/>
      <c r="DA24" s="1227"/>
      <c r="DB24" s="1227"/>
      <c r="DC24" s="1227"/>
      <c r="DD24" s="1227"/>
      <c r="DE24" s="1227"/>
      <c r="DF24" s="1228"/>
      <c r="DG24" s="1227"/>
      <c r="DH24" s="1227"/>
      <c r="DI24" s="1227"/>
      <c r="DJ24" s="1227"/>
      <c r="DK24" s="1227"/>
      <c r="DL24" s="1227"/>
      <c r="DM24" s="1227"/>
      <c r="DN24" s="1227"/>
      <c r="DO24" s="1227"/>
      <c r="DP24" s="1227"/>
      <c r="DQ24" s="1227"/>
      <c r="DR24" s="1228"/>
    </row>
    <row r="25" spans="1:167" ht="26.25" customHeight="1" x14ac:dyDescent="0.3">
      <c r="A25" s="134" t="s">
        <v>518</v>
      </c>
      <c r="B25" s="80"/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200"/>
      <c r="N25" s="1231"/>
      <c r="O25" s="1239"/>
      <c r="P25" s="1239"/>
      <c r="Q25" s="1239"/>
      <c r="R25" s="1239"/>
      <c r="S25" s="1239"/>
      <c r="T25" s="1239"/>
      <c r="U25" s="1239"/>
      <c r="V25" s="1239"/>
      <c r="W25" s="1239"/>
      <c r="X25" s="1239"/>
      <c r="Y25" s="1239"/>
      <c r="Z25" s="1240"/>
      <c r="AA25" s="1239"/>
      <c r="AB25" s="1239"/>
      <c r="AC25" s="1239"/>
      <c r="AD25" s="1239"/>
      <c r="AE25" s="1239"/>
      <c r="AF25" s="1239"/>
      <c r="AG25" s="1239"/>
      <c r="AH25" s="1239"/>
      <c r="AI25" s="1239"/>
      <c r="AJ25" s="1239"/>
      <c r="AK25" s="1239"/>
      <c r="AL25" s="1240"/>
      <c r="AM25" s="1239"/>
      <c r="AN25" s="1239"/>
      <c r="AO25" s="1239"/>
      <c r="AP25" s="1239"/>
      <c r="AQ25" s="1239"/>
      <c r="AR25" s="1239"/>
      <c r="AS25" s="1239"/>
      <c r="AT25" s="1239"/>
      <c r="AU25" s="1239"/>
      <c r="AV25" s="1239"/>
      <c r="AW25" s="1239"/>
      <c r="AX25" s="1240"/>
      <c r="AY25" s="1239"/>
      <c r="AZ25" s="1239"/>
      <c r="BA25" s="1239"/>
      <c r="BB25" s="1239"/>
      <c r="BC25" s="1239"/>
      <c r="BD25" s="1239"/>
      <c r="BE25" s="1239"/>
      <c r="BF25" s="1239"/>
      <c r="BG25" s="1239"/>
      <c r="BH25" s="1239"/>
      <c r="BI25" s="1239"/>
      <c r="BJ25" s="1240"/>
      <c r="BK25" s="1239"/>
      <c r="BL25" s="1239"/>
      <c r="BM25" s="1239"/>
      <c r="BN25" s="1239"/>
      <c r="BO25" s="1239"/>
      <c r="BP25" s="1239"/>
      <c r="BQ25" s="1239"/>
      <c r="BR25" s="1239"/>
      <c r="BS25" s="1239"/>
      <c r="BT25" s="1239"/>
      <c r="BU25" s="1239"/>
      <c r="BV25" s="1240"/>
      <c r="BW25" s="1239"/>
      <c r="BX25" s="1239"/>
      <c r="BY25" s="200"/>
      <c r="BZ25" s="200"/>
      <c r="CA25" s="200"/>
      <c r="CB25" s="200"/>
      <c r="CC25" s="200"/>
      <c r="CD25" s="200"/>
      <c r="CE25" s="200"/>
      <c r="CF25" s="200"/>
      <c r="CG25" s="200"/>
      <c r="CH25" s="1231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1231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1231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1231"/>
    </row>
    <row r="26" spans="1:167" s="51" customFormat="1" ht="13.5" thickBot="1" x14ac:dyDescent="0.25">
      <c r="A26" s="136" t="s">
        <v>86</v>
      </c>
      <c r="B26" s="137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695"/>
      <c r="O26" s="109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10"/>
      <c r="AA26" s="109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10"/>
      <c r="AM26" s="109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10"/>
      <c r="AY26" s="109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10"/>
      <c r="BK26" s="109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10"/>
      <c r="BW26" s="109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10"/>
      <c r="CI26" s="109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10"/>
      <c r="CU26" s="109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10"/>
      <c r="DG26" s="109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1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</row>
    <row r="27" spans="1:167" x14ac:dyDescent="0.2">
      <c r="A27" s="136" t="s">
        <v>52</v>
      </c>
      <c r="B27" s="137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695"/>
      <c r="O27" s="109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10"/>
      <c r="AA27" s="109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10"/>
      <c r="AM27" s="109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10"/>
      <c r="AY27" s="109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10"/>
      <c r="BK27" s="109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10"/>
      <c r="BW27" s="109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10"/>
      <c r="CI27" s="109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10"/>
      <c r="CU27" s="109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10"/>
      <c r="DG27" s="109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10"/>
    </row>
    <row r="28" spans="1:167" s="51" customFormat="1" ht="13.5" thickBot="1" x14ac:dyDescent="0.25">
      <c r="A28" s="136" t="s">
        <v>147</v>
      </c>
      <c r="B28" s="236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1232"/>
      <c r="O28" s="109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10"/>
      <c r="AA28" s="109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10"/>
      <c r="AM28" s="109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10"/>
      <c r="AY28" s="109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10"/>
      <c r="BK28" s="109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10"/>
      <c r="BW28" s="109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10"/>
      <c r="CI28" s="109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10"/>
      <c r="CU28" s="109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10"/>
      <c r="DG28" s="109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1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</row>
    <row r="29" spans="1:167" s="80" customFormat="1" x14ac:dyDescent="0.2">
      <c r="A29" s="136" t="s">
        <v>151</v>
      </c>
      <c r="B29" s="236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1232"/>
      <c r="O29" s="109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10"/>
      <c r="AA29" s="109"/>
      <c r="AB29" s="108"/>
      <c r="AC29" s="109"/>
      <c r="AD29" s="109"/>
      <c r="AE29" s="109"/>
      <c r="AF29" s="109"/>
      <c r="AG29" s="109"/>
      <c r="AH29" s="109"/>
      <c r="AI29" s="109"/>
      <c r="AJ29" s="109"/>
      <c r="AK29" s="109"/>
      <c r="AL29" s="695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695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695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10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695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695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695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695"/>
    </row>
    <row r="30" spans="1:167" x14ac:dyDescent="0.2">
      <c r="A30" s="136" t="s">
        <v>164</v>
      </c>
      <c r="B30" s="137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695"/>
      <c r="O30" s="109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10"/>
      <c r="AA30" s="109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10"/>
      <c r="AM30" s="109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10"/>
      <c r="AY30" s="109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10"/>
      <c r="BK30" s="109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10"/>
      <c r="BW30" s="109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10"/>
      <c r="CI30" s="109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10"/>
      <c r="CU30" s="109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10"/>
      <c r="DG30" s="109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10"/>
    </row>
    <row r="31" spans="1:167" x14ac:dyDescent="0.2">
      <c r="A31" s="136" t="s">
        <v>53</v>
      </c>
      <c r="B31" s="137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695"/>
      <c r="O31" s="280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10"/>
      <c r="AA31" s="109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10"/>
      <c r="AM31" s="109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10"/>
      <c r="AY31" s="109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10"/>
      <c r="BK31" s="109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10"/>
      <c r="BW31" s="109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10"/>
      <c r="CI31" s="109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10"/>
      <c r="CU31" s="109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10"/>
      <c r="DG31" s="109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10"/>
    </row>
    <row r="32" spans="1:167" x14ac:dyDescent="0.2">
      <c r="A32" s="136" t="s">
        <v>155</v>
      </c>
      <c r="B32" s="137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607"/>
      <c r="O32" s="1225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10"/>
      <c r="AA32" s="109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10"/>
      <c r="AM32" s="109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10"/>
      <c r="AY32" s="109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10"/>
      <c r="BK32" s="109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10"/>
      <c r="BW32" s="109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10"/>
      <c r="CI32" s="109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10"/>
      <c r="CU32" s="109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10"/>
      <c r="DG32" s="109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10"/>
    </row>
    <row r="33" spans="1:167" s="51" customFormat="1" ht="13.5" thickBot="1" x14ac:dyDescent="0.25">
      <c r="A33" s="136" t="s">
        <v>54</v>
      </c>
      <c r="B33" s="137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695"/>
      <c r="O33" s="109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10"/>
      <c r="AA33" s="109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10"/>
      <c r="AM33" s="109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10"/>
      <c r="AY33" s="109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10"/>
      <c r="BK33" s="109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10"/>
      <c r="BW33" s="109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10"/>
      <c r="CI33" s="109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10"/>
      <c r="CU33" s="109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10"/>
      <c r="DG33" s="109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1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</row>
    <row r="34" spans="1:167" x14ac:dyDescent="0.2">
      <c r="A34" s="135"/>
      <c r="B34" s="109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607"/>
      <c r="O34" s="1233"/>
      <c r="P34" s="1233"/>
      <c r="Q34" s="1233"/>
      <c r="R34" s="1233"/>
      <c r="S34" s="1233"/>
      <c r="T34" s="1233"/>
      <c r="U34" s="1233"/>
      <c r="V34" s="1233"/>
      <c r="W34" s="1233"/>
      <c r="X34" s="1233"/>
      <c r="Y34" s="1233"/>
      <c r="Z34" s="1241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1231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1231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1231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1231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1231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1231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231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1231"/>
    </row>
    <row r="35" spans="1:167" x14ac:dyDescent="0.2">
      <c r="A35" s="136" t="s">
        <v>165</v>
      </c>
      <c r="B35" s="281">
        <v>0</v>
      </c>
      <c r="C35" s="1233"/>
      <c r="D35" s="464"/>
      <c r="E35" s="464"/>
      <c r="F35" s="464"/>
      <c r="G35" s="464"/>
      <c r="H35" s="464"/>
      <c r="I35" s="464"/>
      <c r="J35" s="464"/>
      <c r="K35" s="464"/>
      <c r="L35" s="464"/>
      <c r="M35" s="464"/>
      <c r="N35" s="1234"/>
      <c r="O35" s="1233"/>
      <c r="P35" s="1233"/>
      <c r="Q35" s="1233"/>
      <c r="R35" s="1233"/>
      <c r="S35" s="1233"/>
      <c r="T35" s="1233"/>
      <c r="U35" s="1233"/>
      <c r="V35" s="1233"/>
      <c r="W35" s="1233"/>
      <c r="X35" s="1233"/>
      <c r="Y35" s="1233"/>
      <c r="Z35" s="1241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1231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1231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1231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1231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1231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1231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231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1231"/>
    </row>
    <row r="36" spans="1:167" x14ac:dyDescent="0.2">
      <c r="A36" s="136" t="s">
        <v>143</v>
      </c>
      <c r="B36" s="236">
        <v>0</v>
      </c>
      <c r="C36" s="200"/>
      <c r="D36" s="464"/>
      <c r="E36" s="464"/>
      <c r="F36" s="464"/>
      <c r="G36" s="464"/>
      <c r="H36" s="464"/>
      <c r="I36" s="464"/>
      <c r="J36" s="464"/>
      <c r="K36" s="464"/>
      <c r="L36" s="464"/>
      <c r="M36" s="464"/>
      <c r="N36" s="1234"/>
      <c r="O36" s="200"/>
      <c r="P36" s="1242"/>
      <c r="Q36" s="200"/>
      <c r="R36" s="1243"/>
      <c r="S36" s="200"/>
      <c r="T36" s="1244"/>
      <c r="U36" s="200"/>
      <c r="V36" s="200"/>
      <c r="W36" s="200"/>
      <c r="X36" s="200"/>
      <c r="Y36" s="200"/>
      <c r="Z36" s="1231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1231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1231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1231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1231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1231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1231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231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1231"/>
    </row>
    <row r="37" spans="1:167" x14ac:dyDescent="0.2">
      <c r="A37" s="136" t="s">
        <v>156</v>
      </c>
      <c r="B37" s="139">
        <v>0</v>
      </c>
      <c r="C37" s="200"/>
      <c r="D37" s="465"/>
      <c r="E37" s="465"/>
      <c r="F37" s="465"/>
      <c r="G37" s="465"/>
      <c r="H37" s="465"/>
      <c r="I37" s="465"/>
      <c r="J37" s="465"/>
      <c r="K37" s="465"/>
      <c r="L37" s="465"/>
      <c r="M37" s="465"/>
      <c r="N37" s="1236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1231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1231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1231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1231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1231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1231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1231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231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1231"/>
    </row>
    <row r="38" spans="1:167" x14ac:dyDescent="0.2">
      <c r="A38" s="136"/>
      <c r="B38" s="138"/>
      <c r="C38" s="466"/>
      <c r="D38" s="466"/>
      <c r="E38" s="466"/>
      <c r="F38" s="466"/>
      <c r="G38" s="466"/>
      <c r="H38" s="466"/>
      <c r="I38" s="466"/>
      <c r="J38" s="466"/>
      <c r="K38" s="466"/>
      <c r="L38" s="466"/>
      <c r="M38" s="466"/>
      <c r="N38" s="1237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1231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1231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1231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1231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1231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1231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1231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231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1231"/>
    </row>
    <row r="39" spans="1:167" x14ac:dyDescent="0.2">
      <c r="A39" s="132"/>
      <c r="B39" s="133"/>
      <c r="C39" s="1229"/>
      <c r="D39" s="1229"/>
      <c r="E39" s="1229"/>
      <c r="F39" s="1229"/>
      <c r="G39" s="1229"/>
      <c r="H39" s="1229"/>
      <c r="I39" s="1229"/>
      <c r="J39" s="1229"/>
      <c r="K39" s="1229"/>
      <c r="L39" s="1229"/>
      <c r="M39" s="1229"/>
      <c r="N39" s="1230"/>
      <c r="O39" s="1229"/>
      <c r="P39" s="1227"/>
      <c r="Q39" s="1227"/>
      <c r="R39" s="1227"/>
      <c r="S39" s="1227"/>
      <c r="T39" s="1227"/>
      <c r="U39" s="1227"/>
      <c r="V39" s="1227"/>
      <c r="W39" s="1227"/>
      <c r="X39" s="1227"/>
      <c r="Y39" s="1227"/>
      <c r="Z39" s="1228"/>
      <c r="AA39" s="1227"/>
      <c r="AB39" s="1227"/>
      <c r="AC39" s="1227"/>
      <c r="AD39" s="1227"/>
      <c r="AE39" s="1227"/>
      <c r="AF39" s="1227"/>
      <c r="AG39" s="1227"/>
      <c r="AH39" s="1227"/>
      <c r="AI39" s="1227"/>
      <c r="AJ39" s="1227"/>
      <c r="AK39" s="1227"/>
      <c r="AL39" s="1228"/>
      <c r="AM39" s="1227"/>
      <c r="AN39" s="1227"/>
      <c r="AO39" s="1227"/>
      <c r="AP39" s="1227"/>
      <c r="AQ39" s="1227"/>
      <c r="AR39" s="1227"/>
      <c r="AS39" s="1227"/>
      <c r="AT39" s="1227"/>
      <c r="AU39" s="1227"/>
      <c r="AV39" s="1227"/>
      <c r="AW39" s="1227"/>
      <c r="AX39" s="1228"/>
      <c r="AY39" s="1227"/>
      <c r="AZ39" s="1227"/>
      <c r="BA39" s="1227"/>
      <c r="BB39" s="1227"/>
      <c r="BC39" s="1227"/>
      <c r="BD39" s="1227"/>
      <c r="BE39" s="1227"/>
      <c r="BF39" s="1227"/>
      <c r="BG39" s="1227"/>
      <c r="BH39" s="1227"/>
      <c r="BI39" s="1227"/>
      <c r="BJ39" s="1228"/>
      <c r="BK39" s="1227"/>
      <c r="BL39" s="1227"/>
      <c r="BM39" s="1227"/>
      <c r="BN39" s="1227"/>
      <c r="BO39" s="1227"/>
      <c r="BP39" s="1227"/>
      <c r="BQ39" s="1227"/>
      <c r="BR39" s="1227"/>
      <c r="BS39" s="1227"/>
      <c r="BT39" s="1227"/>
      <c r="BU39" s="1227"/>
      <c r="BV39" s="1228"/>
      <c r="BW39" s="1227"/>
      <c r="BX39" s="1227"/>
      <c r="BY39" s="1227"/>
      <c r="BZ39" s="1227"/>
      <c r="CA39" s="1227"/>
      <c r="CB39" s="1227"/>
      <c r="CC39" s="1227"/>
      <c r="CD39" s="1227"/>
      <c r="CE39" s="1227"/>
      <c r="CF39" s="1227"/>
      <c r="CG39" s="1227"/>
      <c r="CH39" s="1228"/>
      <c r="CI39" s="1227"/>
      <c r="CJ39" s="1227"/>
      <c r="CK39" s="1227"/>
      <c r="CL39" s="1227"/>
      <c r="CM39" s="1227"/>
      <c r="CN39" s="1227"/>
      <c r="CO39" s="1227"/>
      <c r="CP39" s="1227"/>
      <c r="CQ39" s="1227"/>
      <c r="CR39" s="1227"/>
      <c r="CS39" s="1227"/>
      <c r="CT39" s="1228"/>
      <c r="CU39" s="1227"/>
      <c r="CV39" s="1227"/>
      <c r="CW39" s="1227"/>
      <c r="CX39" s="1227"/>
      <c r="CY39" s="1227"/>
      <c r="CZ39" s="1227"/>
      <c r="DA39" s="1227"/>
      <c r="DB39" s="1227"/>
      <c r="DC39" s="1227"/>
      <c r="DD39" s="1227"/>
      <c r="DE39" s="1227"/>
      <c r="DF39" s="1228"/>
      <c r="DG39" s="1227"/>
      <c r="DH39" s="1227"/>
      <c r="DI39" s="1227"/>
      <c r="DJ39" s="1227"/>
      <c r="DK39" s="1227"/>
      <c r="DL39" s="1227"/>
      <c r="DM39" s="1227"/>
      <c r="DN39" s="1227"/>
      <c r="DO39" s="1227"/>
      <c r="DP39" s="1227"/>
      <c r="DQ39" s="1227"/>
      <c r="DR39" s="1228"/>
    </row>
    <row r="40" spans="1:167" ht="13.5" thickBot="1" x14ac:dyDescent="0.25">
      <c r="A40" s="1224"/>
      <c r="B40" s="1224"/>
      <c r="C40" s="723"/>
      <c r="D40" s="723"/>
      <c r="E40" s="723"/>
      <c r="F40" s="723"/>
      <c r="G40" s="723"/>
      <c r="H40" s="723"/>
      <c r="I40" s="723"/>
      <c r="J40" s="723"/>
      <c r="K40" s="723"/>
      <c r="L40" s="723"/>
      <c r="M40" s="723"/>
      <c r="N40" s="1238"/>
      <c r="O40" s="723"/>
      <c r="P40" s="723"/>
      <c r="Q40" s="723"/>
      <c r="R40" s="723"/>
      <c r="S40" s="723"/>
      <c r="T40" s="723"/>
      <c r="U40" s="723"/>
      <c r="V40" s="723"/>
      <c r="W40" s="723"/>
      <c r="X40" s="723"/>
      <c r="Y40" s="723"/>
      <c r="Z40" s="1238"/>
      <c r="AA40" s="723"/>
      <c r="AB40" s="723"/>
      <c r="AC40" s="723"/>
      <c r="AD40" s="723"/>
      <c r="AE40" s="723"/>
      <c r="AF40" s="723"/>
      <c r="AG40" s="723"/>
      <c r="AH40" s="723"/>
      <c r="AI40" s="723"/>
      <c r="AJ40" s="723"/>
      <c r="AK40" s="723"/>
      <c r="AL40" s="1238"/>
      <c r="AM40" s="723"/>
      <c r="AN40" s="723"/>
      <c r="AO40" s="723"/>
      <c r="AP40" s="723"/>
      <c r="AQ40" s="723"/>
      <c r="AR40" s="723"/>
      <c r="AS40" s="723"/>
      <c r="AT40" s="723"/>
      <c r="AU40" s="723"/>
      <c r="AV40" s="723"/>
      <c r="AW40" s="723"/>
      <c r="AX40" s="1238"/>
      <c r="AY40" s="723"/>
      <c r="AZ40" s="723"/>
      <c r="BA40" s="723"/>
      <c r="BB40" s="723"/>
      <c r="BC40" s="723"/>
      <c r="BD40" s="723"/>
      <c r="BE40" s="723"/>
      <c r="BF40" s="723"/>
      <c r="BG40" s="723"/>
      <c r="BH40" s="723"/>
      <c r="BI40" s="723"/>
      <c r="BJ40" s="1238"/>
      <c r="BK40" s="723"/>
      <c r="BL40" s="723"/>
      <c r="BM40" s="723"/>
      <c r="BN40" s="723"/>
      <c r="BO40" s="723"/>
      <c r="BP40" s="723"/>
      <c r="BQ40" s="723"/>
      <c r="BR40" s="723"/>
      <c r="BS40" s="723"/>
      <c r="BT40" s="723"/>
      <c r="BU40" s="723"/>
      <c r="BV40" s="1238"/>
      <c r="BW40" s="723"/>
      <c r="BX40" s="723"/>
      <c r="BY40" s="723"/>
      <c r="BZ40" s="723"/>
      <c r="CA40" s="723"/>
      <c r="CB40" s="723"/>
      <c r="CC40" s="723"/>
      <c r="CD40" s="723"/>
      <c r="CE40" s="723"/>
      <c r="CF40" s="723"/>
      <c r="CG40" s="723"/>
      <c r="CH40" s="1238"/>
      <c r="CI40" s="723"/>
      <c r="CJ40" s="723"/>
      <c r="CK40" s="723"/>
      <c r="CL40" s="723"/>
      <c r="CM40" s="723"/>
      <c r="CN40" s="723"/>
      <c r="CO40" s="723"/>
      <c r="CP40" s="723"/>
      <c r="CQ40" s="723"/>
      <c r="CR40" s="723"/>
      <c r="CS40" s="723"/>
      <c r="CT40" s="1238"/>
      <c r="CU40" s="723"/>
      <c r="CV40" s="723"/>
      <c r="CW40" s="723"/>
      <c r="CX40" s="723"/>
      <c r="CY40" s="723"/>
      <c r="CZ40" s="723"/>
      <c r="DA40" s="723"/>
      <c r="DB40" s="723"/>
      <c r="DC40" s="723"/>
      <c r="DD40" s="723"/>
      <c r="DE40" s="723"/>
      <c r="DF40" s="1238"/>
      <c r="DG40" s="723"/>
      <c r="DH40" s="723"/>
      <c r="DI40" s="723"/>
      <c r="DJ40" s="723"/>
      <c r="DK40" s="723"/>
      <c r="DL40" s="723"/>
      <c r="DM40" s="723"/>
      <c r="DN40" s="723"/>
      <c r="DO40" s="723"/>
      <c r="DP40" s="723"/>
      <c r="DQ40" s="723"/>
      <c r="DR40" s="1238"/>
    </row>
    <row r="41" spans="1:167" x14ac:dyDescent="0.2"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</row>
    <row r="42" spans="1:167" x14ac:dyDescent="0.2"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</row>
    <row r="43" spans="1:167" x14ac:dyDescent="0.2"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</row>
    <row r="44" spans="1:167" x14ac:dyDescent="0.2"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</row>
    <row r="45" spans="1:167" x14ac:dyDescent="0.2"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</row>
    <row r="46" spans="1:167" x14ac:dyDescent="0.2"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</row>
    <row r="47" spans="1:167" x14ac:dyDescent="0.2"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</row>
    <row r="48" spans="1:167" x14ac:dyDescent="0.2"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</row>
    <row r="49" spans="3:14" x14ac:dyDescent="0.2"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</row>
    <row r="50" spans="3:14" x14ac:dyDescent="0.2">
      <c r="C50" s="268"/>
      <c r="D50" s="268"/>
      <c r="E50" s="268"/>
      <c r="F50" s="268"/>
      <c r="G50" s="268"/>
      <c r="H50" s="268"/>
      <c r="I50" s="268"/>
      <c r="J50" s="268"/>
      <c r="K50" s="268"/>
      <c r="L50" s="268"/>
      <c r="M50" s="268"/>
      <c r="N50" s="268"/>
    </row>
    <row r="51" spans="3:14" x14ac:dyDescent="0.2"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  <c r="N51" s="268"/>
    </row>
    <row r="52" spans="3:14" x14ac:dyDescent="0.2"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</row>
    <row r="53" spans="3:14" x14ac:dyDescent="0.2"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</row>
    <row r="54" spans="3:14" x14ac:dyDescent="0.2"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/>
    </row>
    <row r="55" spans="3:14" x14ac:dyDescent="0.2">
      <c r="C55" s="268"/>
      <c r="D55" s="268"/>
      <c r="E55" s="268"/>
      <c r="F55" s="268"/>
      <c r="G55" s="268"/>
      <c r="H55" s="268"/>
      <c r="I55" s="268"/>
      <c r="J55" s="268"/>
      <c r="K55" s="268"/>
      <c r="L55" s="268"/>
      <c r="M55" s="268"/>
      <c r="N55" s="268"/>
    </row>
    <row r="56" spans="3:14" x14ac:dyDescent="0.2">
      <c r="C56" s="268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268"/>
    </row>
    <row r="57" spans="3:14" x14ac:dyDescent="0.2">
      <c r="C57" s="268"/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268"/>
    </row>
  </sheetData>
  <mergeCells count="14">
    <mergeCell ref="CU2:DF2"/>
    <mergeCell ref="DG2:DR2"/>
    <mergeCell ref="C2:N2"/>
    <mergeCell ref="A7:B7"/>
    <mergeCell ref="A8:B8"/>
    <mergeCell ref="O2:Z2"/>
    <mergeCell ref="AA2:AL2"/>
    <mergeCell ref="AM2:AX2"/>
    <mergeCell ref="BK2:BV2"/>
    <mergeCell ref="BW2:CH2"/>
    <mergeCell ref="AY2:BJ2"/>
    <mergeCell ref="A1:B3"/>
    <mergeCell ref="CI2:CT2"/>
    <mergeCell ref="A6:B6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M42"/>
  <sheetViews>
    <sheetView topLeftCell="A10" zoomScale="110" zoomScaleNormal="110" zoomScalePageLayoutView="85" workbookViewId="0">
      <selection activeCell="G45" sqref="G45"/>
    </sheetView>
  </sheetViews>
  <sheetFormatPr defaultColWidth="8.85546875" defaultRowHeight="12.75" x14ac:dyDescent="0.2"/>
  <cols>
    <col min="1" max="1" width="32.42578125" style="2" bestFit="1" customWidth="1"/>
    <col min="2" max="3" width="9.85546875" style="2" customWidth="1"/>
    <col min="4" max="11" width="9.28515625" style="2" bestFit="1" customWidth="1"/>
    <col min="12" max="12" width="9.42578125" style="2" bestFit="1" customWidth="1"/>
    <col min="13" max="16384" width="8.85546875" style="2"/>
  </cols>
  <sheetData>
    <row r="1" spans="1:13" ht="12.75" customHeight="1" x14ac:dyDescent="0.2">
      <c r="A1" s="1426" t="s">
        <v>183</v>
      </c>
      <c r="B1" s="1426"/>
      <c r="C1" s="512"/>
      <c r="D1" s="25"/>
      <c r="E1" s="25"/>
      <c r="F1" s="25"/>
      <c r="G1" s="25"/>
      <c r="H1" s="25"/>
      <c r="I1" s="25"/>
      <c r="J1" s="25"/>
      <c r="K1" s="25"/>
      <c r="L1" s="25"/>
    </row>
    <row r="2" spans="1:13" ht="12.75" customHeight="1" x14ac:dyDescent="0.2">
      <c r="A2" s="1426"/>
      <c r="B2" s="1426"/>
      <c r="C2" s="512"/>
      <c r="D2" s="25"/>
      <c r="E2" s="25"/>
      <c r="F2" s="25"/>
      <c r="G2" s="25"/>
      <c r="H2" s="25"/>
      <c r="I2" s="25"/>
      <c r="J2" s="25"/>
      <c r="K2" s="25"/>
      <c r="L2" s="25"/>
    </row>
    <row r="3" spans="1:13" ht="33.75" customHeight="1" x14ac:dyDescent="0.2">
      <c r="A3" s="1426"/>
      <c r="B3" s="1426"/>
      <c r="C3" s="512"/>
      <c r="D3" s="31"/>
      <c r="E3" s="31"/>
      <c r="F3" s="31"/>
      <c r="G3" s="31"/>
      <c r="H3" s="31"/>
      <c r="I3" s="31"/>
      <c r="J3" s="31"/>
      <c r="K3" s="31"/>
      <c r="L3" s="31"/>
      <c r="M3" s="3"/>
    </row>
    <row r="4" spans="1:13" ht="12.75" customHeight="1" x14ac:dyDescent="0.2">
      <c r="A4" s="156"/>
      <c r="B4" s="156"/>
      <c r="C4" s="141"/>
      <c r="D4" s="31"/>
      <c r="E4" s="31"/>
      <c r="F4" s="31"/>
      <c r="G4" s="31"/>
      <c r="H4" s="31"/>
      <c r="I4" s="31"/>
      <c r="J4" s="31"/>
      <c r="K4" s="31"/>
      <c r="L4" s="31"/>
    </row>
    <row r="5" spans="1:13" ht="15.75" x14ac:dyDescent="0.25">
      <c r="A5" s="157" t="s">
        <v>20</v>
      </c>
      <c r="B5" s="159" t="s">
        <v>51</v>
      </c>
      <c r="C5" s="590" t="s">
        <v>507</v>
      </c>
      <c r="D5" s="590" t="s">
        <v>508</v>
      </c>
      <c r="E5" s="590" t="s">
        <v>509</v>
      </c>
      <c r="F5" s="590" t="s">
        <v>510</v>
      </c>
      <c r="G5" s="590" t="s">
        <v>511</v>
      </c>
      <c r="H5" s="590" t="s">
        <v>512</v>
      </c>
      <c r="I5" s="590" t="s">
        <v>513</v>
      </c>
      <c r="J5" s="590" t="s">
        <v>514</v>
      </c>
      <c r="K5" s="590" t="s">
        <v>515</v>
      </c>
      <c r="L5" s="590" t="s">
        <v>516</v>
      </c>
    </row>
    <row r="6" spans="1:13" ht="15" x14ac:dyDescent="0.25">
      <c r="A6" s="97"/>
      <c r="B6" s="160">
        <v>0</v>
      </c>
      <c r="C6" s="160"/>
      <c r="D6" s="115"/>
      <c r="E6" s="115"/>
      <c r="F6" s="115"/>
      <c r="G6" s="115"/>
      <c r="H6" s="115"/>
      <c r="I6" s="115"/>
      <c r="J6" s="115"/>
      <c r="K6" s="115"/>
      <c r="L6" s="115"/>
    </row>
    <row r="7" spans="1:13" ht="16.5" thickBot="1" x14ac:dyDescent="0.3">
      <c r="A7" s="157" t="s">
        <v>66</v>
      </c>
      <c r="B7" s="147"/>
      <c r="C7" s="158">
        <f>'Fin Statements'!D6</f>
        <v>0</v>
      </c>
      <c r="D7" s="158">
        <f>'Fin Statements'!E6</f>
        <v>0</v>
      </c>
      <c r="E7" s="158">
        <f>'Fin Statements'!F6</f>
        <v>0</v>
      </c>
      <c r="F7" s="158">
        <f>'Fin Statements'!G6</f>
        <v>137724.66700901993</v>
      </c>
      <c r="G7" s="158">
        <f>'Fin Statements'!H6</f>
        <v>183089.05348076025</v>
      </c>
      <c r="H7" s="158">
        <f>'Fin Statements'!I6</f>
        <v>192371.33583419293</v>
      </c>
      <c r="I7" s="158">
        <f>'Fin Statements'!J6</f>
        <v>206734.11851770728</v>
      </c>
      <c r="J7" s="158">
        <f>'Fin Statements'!K6</f>
        <v>214767.50368542128</v>
      </c>
      <c r="K7" s="158">
        <f>'Fin Statements'!L6</f>
        <v>232250.36643624931</v>
      </c>
      <c r="L7" s="158">
        <f>'Fin Statements'!M6</f>
        <v>245625.48137576121</v>
      </c>
    </row>
    <row r="8" spans="1:13" ht="15" x14ac:dyDescent="0.25">
      <c r="A8" s="97"/>
      <c r="D8" s="115"/>
      <c r="E8" s="115"/>
      <c r="F8" s="115"/>
      <c r="G8" s="115"/>
      <c r="H8" s="115"/>
      <c r="I8" s="115"/>
      <c r="J8" s="115"/>
      <c r="K8" s="115"/>
      <c r="L8" s="115"/>
    </row>
    <row r="9" spans="1:13" ht="16.5" thickBot="1" x14ac:dyDescent="0.3">
      <c r="A9" s="157" t="s">
        <v>33</v>
      </c>
      <c r="B9" s="147"/>
      <c r="C9" s="158">
        <f>'Fin Statements'!D16</f>
        <v>-4603.840698675418</v>
      </c>
      <c r="D9" s="158">
        <f>'Fin Statements'!E16</f>
        <v>-19698.914065442372</v>
      </c>
      <c r="E9" s="158">
        <f>'Fin Statements'!F16</f>
        <v>-60677.409967625732</v>
      </c>
      <c r="F9" s="158">
        <f>'Fin Statements'!G16</f>
        <v>659.55072304590067</v>
      </c>
      <c r="G9" s="158">
        <f>'Fin Statements'!H16</f>
        <v>34675.66410234393</v>
      </c>
      <c r="H9" s="158">
        <f>'Fin Statements'!I16</f>
        <v>37676.349473840033</v>
      </c>
      <c r="I9" s="158">
        <f>'Fin Statements'!J16</f>
        <v>38408.558222047803</v>
      </c>
      <c r="J9" s="158">
        <f>'Fin Statements'!K16</f>
        <v>39990.148493706714</v>
      </c>
      <c r="K9" s="158">
        <f>'Fin Statements'!L16</f>
        <v>46385.716199770963</v>
      </c>
      <c r="L9" s="158">
        <f>'Fin Statements'!M16</f>
        <v>47606.160586036298</v>
      </c>
    </row>
    <row r="10" spans="1:13" ht="15" x14ac:dyDescent="0.25">
      <c r="A10" s="97"/>
      <c r="B10" s="147"/>
      <c r="C10" s="147"/>
      <c r="D10" s="115"/>
      <c r="E10" s="115"/>
      <c r="F10" s="115"/>
      <c r="G10" s="115"/>
      <c r="H10" s="115"/>
      <c r="I10" s="115"/>
      <c r="J10" s="115"/>
      <c r="K10" s="115"/>
      <c r="L10" s="115"/>
    </row>
    <row r="11" spans="1:13" ht="15" x14ac:dyDescent="0.25">
      <c r="A11" s="97"/>
      <c r="B11" s="147"/>
      <c r="C11" s="147"/>
      <c r="D11" s="115"/>
      <c r="E11" s="115"/>
      <c r="F11" s="115"/>
      <c r="G11" s="115"/>
      <c r="H11" s="115"/>
      <c r="I11" s="115"/>
      <c r="J11" s="115"/>
      <c r="K11" s="115"/>
      <c r="L11" s="115"/>
    </row>
    <row r="12" spans="1:13" ht="15" x14ac:dyDescent="0.25">
      <c r="A12" s="97" t="s">
        <v>34</v>
      </c>
      <c r="B12" s="147"/>
      <c r="C12" s="147"/>
      <c r="D12" s="115">
        <f>D9</f>
        <v>-19698.914065442372</v>
      </c>
      <c r="E12" s="115">
        <f t="shared" ref="E12:L12" si="0">E9</f>
        <v>-60677.409967625732</v>
      </c>
      <c r="F12" s="115">
        <f t="shared" si="0"/>
        <v>659.55072304590067</v>
      </c>
      <c r="G12" s="115">
        <f t="shared" si="0"/>
        <v>34675.66410234393</v>
      </c>
      <c r="H12" s="115">
        <f t="shared" si="0"/>
        <v>37676.349473840033</v>
      </c>
      <c r="I12" s="115">
        <f t="shared" si="0"/>
        <v>38408.558222047803</v>
      </c>
      <c r="J12" s="115">
        <f t="shared" si="0"/>
        <v>39990.148493706714</v>
      </c>
      <c r="K12" s="115">
        <f t="shared" si="0"/>
        <v>46385.716199770963</v>
      </c>
      <c r="L12" s="115">
        <f t="shared" si="0"/>
        <v>47606.160586036298</v>
      </c>
    </row>
    <row r="13" spans="1:13" ht="15" x14ac:dyDescent="0.25">
      <c r="A13" s="97" t="s">
        <v>35</v>
      </c>
      <c r="B13" s="147"/>
      <c r="C13" s="147"/>
      <c r="D13" s="115"/>
      <c r="E13" s="115"/>
      <c r="F13" s="115"/>
      <c r="G13" s="115"/>
      <c r="H13" s="115"/>
      <c r="I13" s="115"/>
      <c r="J13" s="115"/>
      <c r="K13" s="115"/>
      <c r="L13" s="115"/>
    </row>
    <row r="14" spans="1:13" ht="15.75" thickBot="1" x14ac:dyDescent="0.3">
      <c r="A14" s="97" t="s">
        <v>36</v>
      </c>
      <c r="B14" s="147"/>
      <c r="C14" s="467"/>
      <c r="D14" s="117">
        <f t="shared" ref="D14:L14" si="1">MIN(MAX(0,D12),D23)</f>
        <v>0</v>
      </c>
      <c r="E14" s="117">
        <f t="shared" si="1"/>
        <v>-19698.914065442372</v>
      </c>
      <c r="F14" s="117">
        <f t="shared" si="1"/>
        <v>-80376.3240330681</v>
      </c>
      <c r="G14" s="117">
        <f t="shared" si="1"/>
        <v>-79716.773310022196</v>
      </c>
      <c r="H14" s="117">
        <f t="shared" si="1"/>
        <v>-45041.109207678266</v>
      </c>
      <c r="I14" s="117">
        <f t="shared" si="1"/>
        <v>-7364.7597338382329</v>
      </c>
      <c r="J14" s="117">
        <f t="shared" si="1"/>
        <v>0</v>
      </c>
      <c r="K14" s="117">
        <f t="shared" si="1"/>
        <v>0</v>
      </c>
      <c r="L14" s="117">
        <f t="shared" si="1"/>
        <v>0</v>
      </c>
    </row>
    <row r="15" spans="1:13" ht="15" x14ac:dyDescent="0.25">
      <c r="A15" s="97"/>
      <c r="B15" s="147"/>
      <c r="C15" s="147"/>
      <c r="D15" s="115"/>
      <c r="E15" s="115"/>
      <c r="F15" s="115"/>
      <c r="G15" s="115"/>
      <c r="H15" s="115"/>
      <c r="I15" s="115"/>
      <c r="J15" s="115"/>
      <c r="K15" s="115"/>
      <c r="L15" s="115"/>
    </row>
    <row r="16" spans="1:13" ht="15" x14ac:dyDescent="0.25">
      <c r="A16" s="97" t="s">
        <v>37</v>
      </c>
      <c r="B16" s="147"/>
      <c r="C16" s="147"/>
      <c r="D16" s="115">
        <f t="shared" ref="D16:L16" si="2">IF(D26&lt;0,0,D12+D14)</f>
        <v>0</v>
      </c>
      <c r="E16" s="115">
        <f t="shared" si="2"/>
        <v>0</v>
      </c>
      <c r="F16" s="115">
        <f t="shared" si="2"/>
        <v>0</v>
      </c>
      <c r="G16" s="115">
        <f t="shared" si="2"/>
        <v>0</v>
      </c>
      <c r="H16" s="115">
        <f t="shared" si="2"/>
        <v>0</v>
      </c>
      <c r="I16" s="115">
        <f t="shared" si="2"/>
        <v>31043.79848820957</v>
      </c>
      <c r="J16" s="115">
        <f t="shared" si="2"/>
        <v>39990.148493706714</v>
      </c>
      <c r="K16" s="115">
        <f t="shared" si="2"/>
        <v>46385.716199770963</v>
      </c>
      <c r="L16" s="115">
        <f t="shared" si="2"/>
        <v>47606.160586036298</v>
      </c>
    </row>
    <row r="17" spans="1:12" ht="16.5" thickBot="1" x14ac:dyDescent="0.3">
      <c r="A17" s="157" t="s">
        <v>38</v>
      </c>
      <c r="B17" s="147"/>
      <c r="C17" s="467"/>
      <c r="D17" s="158">
        <f>-MAX(MAX(0,D16)*Assumptions!$C$9,D7*Assumptions!$C$10)</f>
        <v>0</v>
      </c>
      <c r="E17" s="158">
        <f>-MAX(MAX(0,E16)*Assumptions!$C$9,E7*Assumptions!$C$10)</f>
        <v>0</v>
      </c>
      <c r="F17" s="158">
        <f>-MAX(MAX(0,F16)*Assumptions!$C$9,F7*Assumptions!$C$10)</f>
        <v>0</v>
      </c>
      <c r="G17" s="158">
        <f>-MAX(MAX(0,G16)*Assumptions!$C$9,G7*Assumptions!$C$10)</f>
        <v>0</v>
      </c>
      <c r="H17" s="158">
        <f>-MAX(MAX(0,H16)*Assumptions!$C$9,H7*Assumptions!$C$10)</f>
        <v>0</v>
      </c>
      <c r="I17" s="158">
        <f>-MAX(MAX(0,I16)*Assumptions!$C$9,I7*Assumptions!$C$10)</f>
        <v>-8692.2635766986805</v>
      </c>
      <c r="J17" s="158">
        <f>-MAX(MAX(0,J16)*Assumptions!$C$9,J7*Assumptions!$C$10)</f>
        <v>-11197.241578237881</v>
      </c>
      <c r="K17" s="158">
        <f>-MAX(MAX(0,K16)*Assumptions!$C$9,K7*Assumptions!$C$10)</f>
        <v>-12988.000535935871</v>
      </c>
      <c r="L17" s="158">
        <f>-MAX(MAX(0,L16)*Assumptions!$C$9,L7*Assumptions!$C$10)</f>
        <v>-13329.724964090165</v>
      </c>
    </row>
    <row r="18" spans="1:12" ht="15" x14ac:dyDescent="0.25">
      <c r="A18" s="97"/>
      <c r="B18" s="147"/>
      <c r="C18" s="147"/>
      <c r="D18" s="115"/>
      <c r="E18" s="115"/>
      <c r="F18" s="115"/>
      <c r="G18" s="115"/>
      <c r="H18" s="115"/>
      <c r="I18" s="115"/>
      <c r="J18" s="115"/>
      <c r="K18" s="115"/>
      <c r="L18" s="115"/>
    </row>
    <row r="19" spans="1:12" ht="15" x14ac:dyDescent="0.25">
      <c r="A19" s="97" t="s">
        <v>39</v>
      </c>
      <c r="B19" s="147"/>
      <c r="C19" s="147"/>
      <c r="D19" s="115">
        <f>D17</f>
        <v>0</v>
      </c>
      <c r="E19" s="115">
        <f t="shared" ref="E19:L19" si="3">E17</f>
        <v>0</v>
      </c>
      <c r="F19" s="115">
        <f t="shared" si="3"/>
        <v>0</v>
      </c>
      <c r="G19" s="115">
        <f t="shared" si="3"/>
        <v>0</v>
      </c>
      <c r="H19" s="115">
        <f t="shared" si="3"/>
        <v>0</v>
      </c>
      <c r="I19" s="115">
        <f t="shared" si="3"/>
        <v>-8692.2635766986805</v>
      </c>
      <c r="J19" s="115">
        <f t="shared" si="3"/>
        <v>-11197.241578237881</v>
      </c>
      <c r="K19" s="115">
        <f t="shared" si="3"/>
        <v>-12988.000535935871</v>
      </c>
      <c r="L19" s="115">
        <f t="shared" si="3"/>
        <v>-13329.724964090165</v>
      </c>
    </row>
    <row r="20" spans="1:12" ht="15.75" thickBot="1" x14ac:dyDescent="0.3">
      <c r="A20" s="97" t="s">
        <v>84</v>
      </c>
      <c r="B20" s="147"/>
      <c r="C20" s="467"/>
      <c r="D20" s="117">
        <f t="shared" ref="D20:L20" si="4">D19-D17</f>
        <v>0</v>
      </c>
      <c r="E20" s="117">
        <f t="shared" si="4"/>
        <v>0</v>
      </c>
      <c r="F20" s="117">
        <f t="shared" si="4"/>
        <v>0</v>
      </c>
      <c r="G20" s="117">
        <f t="shared" si="4"/>
        <v>0</v>
      </c>
      <c r="H20" s="117">
        <f t="shared" si="4"/>
        <v>0</v>
      </c>
      <c r="I20" s="117">
        <f t="shared" si="4"/>
        <v>0</v>
      </c>
      <c r="J20" s="117">
        <f t="shared" si="4"/>
        <v>0</v>
      </c>
      <c r="K20" s="117">
        <f t="shared" si="4"/>
        <v>0</v>
      </c>
      <c r="L20" s="117">
        <f t="shared" si="4"/>
        <v>0</v>
      </c>
    </row>
    <row r="21" spans="1:12" ht="15" x14ac:dyDescent="0.25">
      <c r="A21" s="97"/>
      <c r="B21" s="147"/>
      <c r="C21" s="147"/>
      <c r="D21" s="115"/>
      <c r="E21" s="115"/>
      <c r="F21" s="115"/>
      <c r="G21" s="115"/>
      <c r="H21" s="115"/>
      <c r="I21" s="115"/>
      <c r="J21" s="115"/>
      <c r="K21" s="115"/>
      <c r="L21" s="115"/>
    </row>
    <row r="22" spans="1:12" ht="15" x14ac:dyDescent="0.25">
      <c r="A22" s="97"/>
      <c r="B22" s="147"/>
      <c r="C22" s="147"/>
      <c r="D22" s="115"/>
      <c r="E22" s="115"/>
      <c r="F22" s="115"/>
      <c r="G22" s="115"/>
      <c r="H22" s="115"/>
      <c r="I22" s="115"/>
      <c r="J22" s="115"/>
      <c r="K22" s="115"/>
      <c r="L22" s="115"/>
    </row>
    <row r="23" spans="1:12" ht="15" x14ac:dyDescent="0.25">
      <c r="A23" s="97" t="s">
        <v>85</v>
      </c>
      <c r="B23" s="147"/>
      <c r="C23" s="147"/>
      <c r="D23" s="115">
        <v>0</v>
      </c>
      <c r="E23" s="115">
        <f>IF(D26&lt;0,D26,0)</f>
        <v>-19698.914065442372</v>
      </c>
      <c r="F23" s="115">
        <f t="shared" ref="F23:L23" si="5">IF(E26&lt;0,E26,0)</f>
        <v>-80376.3240330681</v>
      </c>
      <c r="G23" s="115">
        <f t="shared" si="5"/>
        <v>-79716.773310022196</v>
      </c>
      <c r="H23" s="115">
        <f t="shared" si="5"/>
        <v>-45041.109207678266</v>
      </c>
      <c r="I23" s="115">
        <f t="shared" si="5"/>
        <v>-7364.7597338382329</v>
      </c>
      <c r="J23" s="115">
        <f t="shared" si="5"/>
        <v>0</v>
      </c>
      <c r="K23" s="115">
        <f t="shared" si="5"/>
        <v>0</v>
      </c>
      <c r="L23" s="115">
        <f t="shared" si="5"/>
        <v>0</v>
      </c>
    </row>
    <row r="24" spans="1:12" ht="15" x14ac:dyDescent="0.25">
      <c r="A24" s="97" t="s">
        <v>40</v>
      </c>
      <c r="B24" s="147"/>
      <c r="C24" s="147"/>
      <c r="D24" s="115">
        <f t="shared" ref="D24:L24" si="6">IF(D12&lt;0,D12,0)</f>
        <v>-19698.914065442372</v>
      </c>
      <c r="E24" s="115">
        <f t="shared" si="6"/>
        <v>-60677.409967625732</v>
      </c>
      <c r="F24" s="115">
        <f t="shared" si="6"/>
        <v>0</v>
      </c>
      <c r="G24" s="115">
        <f t="shared" si="6"/>
        <v>0</v>
      </c>
      <c r="H24" s="115">
        <f t="shared" si="6"/>
        <v>0</v>
      </c>
      <c r="I24" s="115">
        <f t="shared" si="6"/>
        <v>0</v>
      </c>
      <c r="J24" s="115">
        <f t="shared" si="6"/>
        <v>0</v>
      </c>
      <c r="K24" s="115">
        <f t="shared" si="6"/>
        <v>0</v>
      </c>
      <c r="L24" s="115">
        <f t="shared" si="6"/>
        <v>0</v>
      </c>
    </row>
    <row r="25" spans="1:12" ht="15" x14ac:dyDescent="0.25">
      <c r="A25" s="97" t="s">
        <v>41</v>
      </c>
      <c r="B25" s="147"/>
      <c r="C25" s="147"/>
      <c r="D25" s="591">
        <f>B6</f>
        <v>0</v>
      </c>
      <c r="E25" s="115">
        <f t="shared" ref="E25:L25" si="7">IF(E12&gt;0,E12,0)</f>
        <v>0</v>
      </c>
      <c r="F25" s="115">
        <f t="shared" si="7"/>
        <v>659.55072304590067</v>
      </c>
      <c r="G25" s="115">
        <f t="shared" si="7"/>
        <v>34675.66410234393</v>
      </c>
      <c r="H25" s="115">
        <f t="shared" si="7"/>
        <v>37676.349473840033</v>
      </c>
      <c r="I25" s="115">
        <f t="shared" si="7"/>
        <v>38408.558222047803</v>
      </c>
      <c r="J25" s="115">
        <f t="shared" si="7"/>
        <v>39990.148493706714</v>
      </c>
      <c r="K25" s="115">
        <f t="shared" si="7"/>
        <v>46385.716199770963</v>
      </c>
      <c r="L25" s="115">
        <f t="shared" si="7"/>
        <v>47606.160586036298</v>
      </c>
    </row>
    <row r="26" spans="1:12" ht="15.75" thickBot="1" x14ac:dyDescent="0.3">
      <c r="A26" s="97" t="s">
        <v>42</v>
      </c>
      <c r="B26" s="147"/>
      <c r="C26" s="467"/>
      <c r="D26" s="117">
        <f>D23+D24+D25</f>
        <v>-19698.914065442372</v>
      </c>
      <c r="E26" s="117">
        <f t="shared" ref="E26:L26" si="8">E23+E24+E25</f>
        <v>-80376.3240330681</v>
      </c>
      <c r="F26" s="117">
        <f t="shared" si="8"/>
        <v>-79716.773310022196</v>
      </c>
      <c r="G26" s="117">
        <f t="shared" si="8"/>
        <v>-45041.109207678266</v>
      </c>
      <c r="H26" s="117">
        <f t="shared" si="8"/>
        <v>-7364.7597338382329</v>
      </c>
      <c r="I26" s="117">
        <f t="shared" si="8"/>
        <v>31043.79848820957</v>
      </c>
      <c r="J26" s="117">
        <f t="shared" si="8"/>
        <v>39990.148493706714</v>
      </c>
      <c r="K26" s="117">
        <f t="shared" si="8"/>
        <v>46385.716199770963</v>
      </c>
      <c r="L26" s="117">
        <f t="shared" si="8"/>
        <v>47606.160586036298</v>
      </c>
    </row>
    <row r="27" spans="1:12" ht="15" x14ac:dyDescent="0.25">
      <c r="A27" s="97"/>
      <c r="B27" s="147"/>
      <c r="C27" s="147"/>
      <c r="D27" s="115"/>
      <c r="E27" s="115"/>
      <c r="F27" s="115"/>
      <c r="G27" s="115"/>
      <c r="H27" s="115"/>
      <c r="I27" s="115"/>
      <c r="J27" s="115"/>
      <c r="K27" s="115"/>
      <c r="L27" s="115"/>
    </row>
    <row r="28" spans="1:12" ht="15" x14ac:dyDescent="0.25">
      <c r="A28" s="97"/>
      <c r="B28" s="147"/>
      <c r="C28" s="147"/>
      <c r="D28" s="115"/>
      <c r="E28" s="115"/>
      <c r="F28" s="115"/>
      <c r="G28" s="115"/>
      <c r="H28" s="115"/>
      <c r="I28" s="115"/>
      <c r="J28" s="115"/>
      <c r="K28" s="115"/>
      <c r="L28" s="115"/>
    </row>
    <row r="29" spans="1:12" ht="15.75" thickBot="1" x14ac:dyDescent="0.3">
      <c r="A29" s="97" t="s">
        <v>43</v>
      </c>
      <c r="B29" s="147"/>
      <c r="C29" s="467"/>
      <c r="D29" s="117"/>
      <c r="E29" s="117"/>
      <c r="F29" s="117"/>
      <c r="G29" s="117"/>
      <c r="H29" s="117"/>
      <c r="I29" s="117"/>
      <c r="J29" s="117"/>
      <c r="K29" s="117"/>
      <c r="L29" s="117"/>
    </row>
    <row r="30" spans="1:12" ht="15" x14ac:dyDescent="0.25">
      <c r="A30" s="97"/>
      <c r="B30" s="147"/>
      <c r="C30" s="147"/>
      <c r="D30" s="115"/>
      <c r="E30" s="115"/>
      <c r="F30" s="115"/>
      <c r="G30" s="115"/>
      <c r="H30" s="115"/>
      <c r="I30" s="115"/>
      <c r="J30" s="115"/>
      <c r="K30" s="115"/>
      <c r="L30" s="115"/>
    </row>
    <row r="31" spans="1:12" ht="15.75" thickBot="1" x14ac:dyDescent="0.3">
      <c r="A31" s="97" t="s">
        <v>44</v>
      </c>
      <c r="B31" s="147"/>
      <c r="C31" s="467"/>
      <c r="D31" s="117"/>
      <c r="E31" s="117"/>
      <c r="F31" s="117"/>
      <c r="G31" s="117"/>
      <c r="H31" s="117"/>
      <c r="I31" s="117"/>
      <c r="J31" s="117"/>
      <c r="K31" s="117"/>
      <c r="L31" s="117"/>
    </row>
    <row r="32" spans="1:12" ht="15" x14ac:dyDescent="0.25">
      <c r="A32" s="97"/>
      <c r="B32" s="147"/>
      <c r="C32" s="147"/>
      <c r="D32" s="115"/>
      <c r="E32" s="115"/>
      <c r="F32" s="115"/>
      <c r="G32" s="115"/>
      <c r="H32" s="115"/>
      <c r="I32" s="115"/>
      <c r="J32" s="115"/>
      <c r="K32" s="115"/>
      <c r="L32" s="115"/>
    </row>
    <row r="33" spans="1:12" ht="15" x14ac:dyDescent="0.25">
      <c r="A33" s="97" t="s">
        <v>45</v>
      </c>
      <c r="B33" s="147"/>
      <c r="C33" s="147"/>
      <c r="D33" s="115">
        <f t="shared" ref="D33:L33" si="9">SUM(D41:D42)</f>
        <v>0</v>
      </c>
      <c r="E33" s="115">
        <f t="shared" si="9"/>
        <v>0</v>
      </c>
      <c r="F33" s="115">
        <f t="shared" si="9"/>
        <v>0</v>
      </c>
      <c r="G33" s="115">
        <f t="shared" si="9"/>
        <v>0</v>
      </c>
      <c r="H33" s="115">
        <f t="shared" si="9"/>
        <v>0</v>
      </c>
      <c r="I33" s="115">
        <f t="shared" si="9"/>
        <v>0</v>
      </c>
      <c r="J33" s="115">
        <f t="shared" si="9"/>
        <v>0</v>
      </c>
      <c r="K33" s="115">
        <f t="shared" si="9"/>
        <v>0</v>
      </c>
      <c r="L33" s="115">
        <f t="shared" si="9"/>
        <v>0</v>
      </c>
    </row>
    <row r="34" spans="1:12" ht="15.75" thickBot="1" x14ac:dyDescent="0.3">
      <c r="A34" s="97" t="s">
        <v>46</v>
      </c>
      <c r="B34" s="147"/>
      <c r="C34" s="467"/>
      <c r="D34" s="117"/>
      <c r="E34" s="117"/>
      <c r="F34" s="117"/>
      <c r="G34" s="117"/>
      <c r="H34" s="117"/>
      <c r="I34" s="117"/>
      <c r="J34" s="117"/>
      <c r="K34" s="117"/>
      <c r="L34" s="117"/>
    </row>
    <row r="35" spans="1:12" ht="15" x14ac:dyDescent="0.25">
      <c r="A35" s="97"/>
      <c r="B35" s="147"/>
      <c r="C35" s="147"/>
      <c r="D35" s="115"/>
      <c r="E35" s="115"/>
      <c r="F35" s="115"/>
      <c r="G35" s="115"/>
      <c r="H35" s="115"/>
      <c r="I35" s="115"/>
      <c r="J35" s="115"/>
      <c r="K35" s="115"/>
      <c r="L35" s="115"/>
    </row>
    <row r="36" spans="1:12" ht="15" x14ac:dyDescent="0.25">
      <c r="A36" s="97" t="s">
        <v>47</v>
      </c>
      <c r="B36" s="147"/>
      <c r="C36" s="147"/>
      <c r="D36" s="115">
        <f t="shared" ref="D36:L36" si="10">D31-D33</f>
        <v>0</v>
      </c>
      <c r="E36" s="115">
        <f t="shared" si="10"/>
        <v>0</v>
      </c>
      <c r="F36" s="115">
        <f t="shared" si="10"/>
        <v>0</v>
      </c>
      <c r="G36" s="115">
        <f t="shared" si="10"/>
        <v>0</v>
      </c>
      <c r="H36" s="115">
        <f t="shared" si="10"/>
        <v>0</v>
      </c>
      <c r="I36" s="115">
        <f t="shared" si="10"/>
        <v>0</v>
      </c>
      <c r="J36" s="115">
        <f t="shared" si="10"/>
        <v>0</v>
      </c>
      <c r="K36" s="115">
        <f t="shared" si="10"/>
        <v>0</v>
      </c>
      <c r="L36" s="115">
        <f t="shared" si="10"/>
        <v>0</v>
      </c>
    </row>
    <row r="37" spans="1:12" ht="15.75" thickBot="1" x14ac:dyDescent="0.3">
      <c r="A37" s="97" t="s">
        <v>48</v>
      </c>
      <c r="B37" s="147"/>
      <c r="C37" s="467"/>
      <c r="D37" s="117">
        <f t="shared" ref="D37:L37" si="11">D31-D34</f>
        <v>0</v>
      </c>
      <c r="E37" s="117">
        <f t="shared" si="11"/>
        <v>0</v>
      </c>
      <c r="F37" s="117">
        <f t="shared" si="11"/>
        <v>0</v>
      </c>
      <c r="G37" s="117">
        <f t="shared" si="11"/>
        <v>0</v>
      </c>
      <c r="H37" s="117">
        <f t="shared" si="11"/>
        <v>0</v>
      </c>
      <c r="I37" s="117">
        <f t="shared" si="11"/>
        <v>0</v>
      </c>
      <c r="J37" s="117">
        <f t="shared" si="11"/>
        <v>0</v>
      </c>
      <c r="K37" s="117">
        <f t="shared" si="11"/>
        <v>0</v>
      </c>
      <c r="L37" s="117">
        <f t="shared" si="11"/>
        <v>0</v>
      </c>
    </row>
    <row r="38" spans="1:12" ht="15" x14ac:dyDescent="0.25">
      <c r="A38" s="97"/>
      <c r="B38" s="147"/>
      <c r="C38" s="147"/>
      <c r="D38" s="115"/>
      <c r="E38" s="115"/>
      <c r="F38" s="115"/>
      <c r="G38" s="115"/>
      <c r="H38" s="115"/>
      <c r="I38" s="115"/>
      <c r="J38" s="115"/>
      <c r="K38" s="115"/>
      <c r="L38" s="115"/>
    </row>
    <row r="39" spans="1:12" ht="15" x14ac:dyDescent="0.25">
      <c r="A39" s="97"/>
      <c r="B39" s="147"/>
      <c r="C39" s="147"/>
      <c r="D39" s="115"/>
      <c r="E39" s="115"/>
      <c r="F39" s="115"/>
      <c r="G39" s="115"/>
      <c r="H39" s="115"/>
      <c r="I39" s="115"/>
      <c r="J39" s="115"/>
      <c r="K39" s="115"/>
      <c r="L39" s="115"/>
    </row>
    <row r="40" spans="1:12" ht="15" x14ac:dyDescent="0.25">
      <c r="A40" s="97" t="s">
        <v>49</v>
      </c>
      <c r="B40" s="147"/>
      <c r="C40" s="147"/>
      <c r="D40" s="115"/>
      <c r="E40" s="115"/>
      <c r="F40" s="115"/>
      <c r="G40" s="115"/>
      <c r="H40" s="115"/>
      <c r="I40" s="115"/>
      <c r="J40" s="115"/>
      <c r="K40" s="115"/>
      <c r="L40" s="115"/>
    </row>
    <row r="41" spans="1:12" ht="15" x14ac:dyDescent="0.25">
      <c r="A41" s="97" t="s">
        <v>69</v>
      </c>
      <c r="B41" s="147"/>
      <c r="C41" s="147"/>
      <c r="D41" s="115"/>
      <c r="E41" s="115"/>
      <c r="F41" s="115"/>
      <c r="G41" s="115"/>
      <c r="H41" s="115"/>
      <c r="I41" s="115"/>
      <c r="J41" s="115"/>
      <c r="K41" s="115"/>
      <c r="L41" s="115"/>
    </row>
    <row r="42" spans="1:12" ht="15.75" thickBot="1" x14ac:dyDescent="0.3">
      <c r="A42" s="97" t="s">
        <v>70</v>
      </c>
      <c r="B42" s="147"/>
      <c r="C42" s="467"/>
      <c r="D42" s="117"/>
      <c r="E42" s="117"/>
      <c r="F42" s="117"/>
      <c r="G42" s="117"/>
      <c r="H42" s="117"/>
      <c r="I42" s="117"/>
      <c r="J42" s="117"/>
      <c r="K42" s="117"/>
      <c r="L42" s="117"/>
    </row>
  </sheetData>
  <mergeCells count="1">
    <mergeCell ref="A1:B3"/>
  </mergeCells>
  <pageMargins left="0.25" right="0.25" top="0.75" bottom="0.75" header="0.3" footer="0.3"/>
  <pageSetup paperSize="9" scale="9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EB112"/>
  <sheetViews>
    <sheetView zoomScale="75" zoomScaleNormal="75" zoomScalePageLayoutView="85" workbookViewId="0">
      <pane xSplit="3" ySplit="6" topLeftCell="DH19" activePane="bottomRight" state="frozen"/>
      <selection pane="topRight" activeCell="E1" sqref="E1"/>
      <selection pane="bottomLeft" activeCell="A7" sqref="A7"/>
      <selection pane="bottomRight" activeCell="DM18" sqref="DM18"/>
    </sheetView>
  </sheetViews>
  <sheetFormatPr defaultColWidth="11.7109375" defaultRowHeight="12.75" x14ac:dyDescent="0.2"/>
  <cols>
    <col min="1" max="1" width="26.140625" style="2" customWidth="1"/>
    <col min="2" max="2" width="21.85546875" style="2" customWidth="1"/>
    <col min="3" max="3" width="17.28515625" style="2" customWidth="1"/>
    <col min="4" max="4" width="1.28515625" style="2" customWidth="1"/>
    <col min="5" max="16384" width="11.7109375" style="2"/>
  </cols>
  <sheetData>
    <row r="1" spans="1:132" ht="12.75" customHeight="1" x14ac:dyDescent="0.2">
      <c r="A1" s="58"/>
      <c r="B1" s="30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500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500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500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500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0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500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00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500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500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500"/>
    </row>
    <row r="2" spans="1:132" s="60" customFormat="1" ht="39" customHeight="1" x14ac:dyDescent="0.2">
      <c r="A2" s="1426" t="s">
        <v>182</v>
      </c>
      <c r="B2" s="1426"/>
      <c r="C2" s="59"/>
      <c r="D2" s="59"/>
      <c r="E2" s="1415" t="s">
        <v>507</v>
      </c>
      <c r="F2" s="1415"/>
      <c r="G2" s="1415"/>
      <c r="H2" s="1415"/>
      <c r="I2" s="1415"/>
      <c r="J2" s="1415"/>
      <c r="K2" s="1415"/>
      <c r="L2" s="1415"/>
      <c r="M2" s="1415"/>
      <c r="N2" s="1415"/>
      <c r="O2" s="1415"/>
      <c r="P2" s="1416"/>
      <c r="Q2" s="1415" t="s">
        <v>508</v>
      </c>
      <c r="R2" s="1415"/>
      <c r="S2" s="1415"/>
      <c r="T2" s="1415"/>
      <c r="U2" s="1415"/>
      <c r="V2" s="1415"/>
      <c r="W2" s="1415"/>
      <c r="X2" s="1415"/>
      <c r="Y2" s="1415"/>
      <c r="Z2" s="1415"/>
      <c r="AA2" s="1415"/>
      <c r="AB2" s="1416"/>
      <c r="AC2" s="1415" t="s">
        <v>509</v>
      </c>
      <c r="AD2" s="1415"/>
      <c r="AE2" s="1415"/>
      <c r="AF2" s="1415"/>
      <c r="AG2" s="1415"/>
      <c r="AH2" s="1415"/>
      <c r="AI2" s="1415"/>
      <c r="AJ2" s="1415"/>
      <c r="AK2" s="1415"/>
      <c r="AL2" s="1415"/>
      <c r="AM2" s="1415"/>
      <c r="AN2" s="1416"/>
      <c r="AO2" s="1415" t="s">
        <v>510</v>
      </c>
      <c r="AP2" s="1415"/>
      <c r="AQ2" s="1415"/>
      <c r="AR2" s="1415"/>
      <c r="AS2" s="1415"/>
      <c r="AT2" s="1415"/>
      <c r="AU2" s="1415"/>
      <c r="AV2" s="1415"/>
      <c r="AW2" s="1415"/>
      <c r="AX2" s="1415"/>
      <c r="AY2" s="1415"/>
      <c r="AZ2" s="1416"/>
      <c r="BA2" s="1415" t="s">
        <v>511</v>
      </c>
      <c r="BB2" s="1415"/>
      <c r="BC2" s="1415"/>
      <c r="BD2" s="1415"/>
      <c r="BE2" s="1415"/>
      <c r="BF2" s="1415"/>
      <c r="BG2" s="1415"/>
      <c r="BH2" s="1415"/>
      <c r="BI2" s="1415"/>
      <c r="BJ2" s="1415"/>
      <c r="BK2" s="1415"/>
      <c r="BL2" s="1416"/>
      <c r="BM2" s="1415" t="s">
        <v>512</v>
      </c>
      <c r="BN2" s="1415"/>
      <c r="BO2" s="1415"/>
      <c r="BP2" s="1415"/>
      <c r="BQ2" s="1415"/>
      <c r="BR2" s="1415"/>
      <c r="BS2" s="1415"/>
      <c r="BT2" s="1415"/>
      <c r="BU2" s="1415"/>
      <c r="BV2" s="1415"/>
      <c r="BW2" s="1415"/>
      <c r="BX2" s="1416"/>
      <c r="BY2" s="1415" t="s">
        <v>513</v>
      </c>
      <c r="BZ2" s="1415"/>
      <c r="CA2" s="1415"/>
      <c r="CB2" s="1415"/>
      <c r="CC2" s="1415"/>
      <c r="CD2" s="1415"/>
      <c r="CE2" s="1415"/>
      <c r="CF2" s="1415"/>
      <c r="CG2" s="1415"/>
      <c r="CH2" s="1415"/>
      <c r="CI2" s="1415"/>
      <c r="CJ2" s="1416"/>
      <c r="CK2" s="1415" t="s">
        <v>514</v>
      </c>
      <c r="CL2" s="1415"/>
      <c r="CM2" s="1415"/>
      <c r="CN2" s="1415"/>
      <c r="CO2" s="1415"/>
      <c r="CP2" s="1415"/>
      <c r="CQ2" s="1415"/>
      <c r="CR2" s="1415"/>
      <c r="CS2" s="1415"/>
      <c r="CT2" s="1415"/>
      <c r="CU2" s="1415"/>
      <c r="CV2" s="1416"/>
      <c r="CW2" s="1415" t="s">
        <v>515</v>
      </c>
      <c r="CX2" s="1415"/>
      <c r="CY2" s="1415"/>
      <c r="CZ2" s="1415"/>
      <c r="DA2" s="1415"/>
      <c r="DB2" s="1415"/>
      <c r="DC2" s="1415"/>
      <c r="DD2" s="1415"/>
      <c r="DE2" s="1415"/>
      <c r="DF2" s="1415"/>
      <c r="DG2" s="1415"/>
      <c r="DH2" s="1416"/>
      <c r="DI2" s="1415" t="s">
        <v>516</v>
      </c>
      <c r="DJ2" s="1415"/>
      <c r="DK2" s="1415"/>
      <c r="DL2" s="1415"/>
      <c r="DM2" s="1415"/>
      <c r="DN2" s="1415"/>
      <c r="DO2" s="1415"/>
      <c r="DP2" s="1415"/>
      <c r="DQ2" s="1415"/>
      <c r="DR2" s="1415"/>
      <c r="DS2" s="1415"/>
      <c r="DT2" s="1416"/>
      <c r="DU2" s="70"/>
      <c r="DV2" s="70"/>
      <c r="DW2" s="70"/>
      <c r="DX2" s="70"/>
      <c r="DY2" s="70"/>
      <c r="DZ2" s="70"/>
      <c r="EA2" s="70"/>
      <c r="EB2" s="70"/>
    </row>
    <row r="3" spans="1:132" ht="21" x14ac:dyDescent="0.25">
      <c r="A3" s="58"/>
      <c r="B3" s="30"/>
      <c r="C3" s="7"/>
      <c r="D3" s="7"/>
      <c r="E3" s="272" t="s">
        <v>175</v>
      </c>
      <c r="F3" s="272" t="s">
        <v>176</v>
      </c>
      <c r="G3" s="272" t="s">
        <v>177</v>
      </c>
      <c r="H3" s="272" t="s">
        <v>178</v>
      </c>
      <c r="I3" s="272" t="s">
        <v>167</v>
      </c>
      <c r="J3" s="272" t="s">
        <v>168</v>
      </c>
      <c r="K3" s="272" t="s">
        <v>169</v>
      </c>
      <c r="L3" s="272" t="s">
        <v>170</v>
      </c>
      <c r="M3" s="272" t="s">
        <v>171</v>
      </c>
      <c r="N3" s="272" t="s">
        <v>172</v>
      </c>
      <c r="O3" s="272" t="s">
        <v>173</v>
      </c>
      <c r="P3" s="603" t="s">
        <v>174</v>
      </c>
      <c r="Q3" s="272" t="s">
        <v>175</v>
      </c>
      <c r="R3" s="272" t="s">
        <v>176</v>
      </c>
      <c r="S3" s="272" t="s">
        <v>177</v>
      </c>
      <c r="T3" s="272" t="s">
        <v>178</v>
      </c>
      <c r="U3" s="272" t="s">
        <v>167</v>
      </c>
      <c r="V3" s="272" t="s">
        <v>168</v>
      </c>
      <c r="W3" s="272" t="s">
        <v>169</v>
      </c>
      <c r="X3" s="272" t="s">
        <v>170</v>
      </c>
      <c r="Y3" s="272" t="s">
        <v>171</v>
      </c>
      <c r="Z3" s="272" t="s">
        <v>172</v>
      </c>
      <c r="AA3" s="272" t="s">
        <v>173</v>
      </c>
      <c r="AB3" s="603" t="s">
        <v>174</v>
      </c>
      <c r="AC3" s="272" t="s">
        <v>175</v>
      </c>
      <c r="AD3" s="272" t="s">
        <v>176</v>
      </c>
      <c r="AE3" s="272" t="s">
        <v>177</v>
      </c>
      <c r="AF3" s="272" t="s">
        <v>178</v>
      </c>
      <c r="AG3" s="272" t="s">
        <v>167</v>
      </c>
      <c r="AH3" s="272" t="s">
        <v>168</v>
      </c>
      <c r="AI3" s="272" t="s">
        <v>169</v>
      </c>
      <c r="AJ3" s="272" t="s">
        <v>170</v>
      </c>
      <c r="AK3" s="272" t="s">
        <v>171</v>
      </c>
      <c r="AL3" s="272" t="s">
        <v>172</v>
      </c>
      <c r="AM3" s="272" t="s">
        <v>173</v>
      </c>
      <c r="AN3" s="603" t="s">
        <v>174</v>
      </c>
      <c r="AO3" s="272" t="s">
        <v>175</v>
      </c>
      <c r="AP3" s="272" t="s">
        <v>176</v>
      </c>
      <c r="AQ3" s="272" t="s">
        <v>177</v>
      </c>
      <c r="AR3" s="272" t="s">
        <v>178</v>
      </c>
      <c r="AS3" s="272" t="s">
        <v>167</v>
      </c>
      <c r="AT3" s="272" t="s">
        <v>168</v>
      </c>
      <c r="AU3" s="272" t="s">
        <v>169</v>
      </c>
      <c r="AV3" s="272" t="s">
        <v>170</v>
      </c>
      <c r="AW3" s="272" t="s">
        <v>171</v>
      </c>
      <c r="AX3" s="272" t="s">
        <v>172</v>
      </c>
      <c r="AY3" s="272" t="s">
        <v>173</v>
      </c>
      <c r="AZ3" s="603" t="s">
        <v>174</v>
      </c>
      <c r="BA3" s="272" t="s">
        <v>175</v>
      </c>
      <c r="BB3" s="272" t="s">
        <v>176</v>
      </c>
      <c r="BC3" s="272" t="s">
        <v>177</v>
      </c>
      <c r="BD3" s="272" t="s">
        <v>178</v>
      </c>
      <c r="BE3" s="272" t="s">
        <v>167</v>
      </c>
      <c r="BF3" s="272" t="s">
        <v>168</v>
      </c>
      <c r="BG3" s="272" t="s">
        <v>169</v>
      </c>
      <c r="BH3" s="272" t="s">
        <v>170</v>
      </c>
      <c r="BI3" s="272" t="s">
        <v>171</v>
      </c>
      <c r="BJ3" s="272" t="s">
        <v>172</v>
      </c>
      <c r="BK3" s="272" t="s">
        <v>173</v>
      </c>
      <c r="BL3" s="603" t="s">
        <v>174</v>
      </c>
      <c r="BM3" s="272" t="s">
        <v>175</v>
      </c>
      <c r="BN3" s="272" t="s">
        <v>176</v>
      </c>
      <c r="BO3" s="272" t="s">
        <v>177</v>
      </c>
      <c r="BP3" s="272" t="s">
        <v>178</v>
      </c>
      <c r="BQ3" s="272" t="s">
        <v>167</v>
      </c>
      <c r="BR3" s="272" t="s">
        <v>168</v>
      </c>
      <c r="BS3" s="272" t="s">
        <v>169</v>
      </c>
      <c r="BT3" s="272" t="s">
        <v>170</v>
      </c>
      <c r="BU3" s="272" t="s">
        <v>171</v>
      </c>
      <c r="BV3" s="272" t="s">
        <v>172</v>
      </c>
      <c r="BW3" s="272" t="s">
        <v>173</v>
      </c>
      <c r="BX3" s="603" t="s">
        <v>174</v>
      </c>
      <c r="BY3" s="272" t="s">
        <v>175</v>
      </c>
      <c r="BZ3" s="272" t="s">
        <v>176</v>
      </c>
      <c r="CA3" s="272" t="s">
        <v>177</v>
      </c>
      <c r="CB3" s="272" t="s">
        <v>178</v>
      </c>
      <c r="CC3" s="272" t="s">
        <v>167</v>
      </c>
      <c r="CD3" s="272" t="s">
        <v>168</v>
      </c>
      <c r="CE3" s="272" t="s">
        <v>169</v>
      </c>
      <c r="CF3" s="272" t="s">
        <v>170</v>
      </c>
      <c r="CG3" s="272" t="s">
        <v>171</v>
      </c>
      <c r="CH3" s="272" t="s">
        <v>172</v>
      </c>
      <c r="CI3" s="272" t="s">
        <v>173</v>
      </c>
      <c r="CJ3" s="603" t="s">
        <v>174</v>
      </c>
      <c r="CK3" s="272" t="s">
        <v>175</v>
      </c>
      <c r="CL3" s="272" t="s">
        <v>176</v>
      </c>
      <c r="CM3" s="272" t="s">
        <v>177</v>
      </c>
      <c r="CN3" s="272" t="s">
        <v>178</v>
      </c>
      <c r="CO3" s="272" t="s">
        <v>167</v>
      </c>
      <c r="CP3" s="272" t="s">
        <v>168</v>
      </c>
      <c r="CQ3" s="272" t="s">
        <v>169</v>
      </c>
      <c r="CR3" s="272" t="s">
        <v>170</v>
      </c>
      <c r="CS3" s="272" t="s">
        <v>171</v>
      </c>
      <c r="CT3" s="272" t="s">
        <v>172</v>
      </c>
      <c r="CU3" s="272" t="s">
        <v>173</v>
      </c>
      <c r="CV3" s="603" t="s">
        <v>174</v>
      </c>
      <c r="CW3" s="272" t="s">
        <v>175</v>
      </c>
      <c r="CX3" s="272" t="s">
        <v>176</v>
      </c>
      <c r="CY3" s="272" t="s">
        <v>177</v>
      </c>
      <c r="CZ3" s="272" t="s">
        <v>178</v>
      </c>
      <c r="DA3" s="272" t="s">
        <v>167</v>
      </c>
      <c r="DB3" s="272" t="s">
        <v>168</v>
      </c>
      <c r="DC3" s="272" t="s">
        <v>169</v>
      </c>
      <c r="DD3" s="272" t="s">
        <v>170</v>
      </c>
      <c r="DE3" s="272" t="s">
        <v>171</v>
      </c>
      <c r="DF3" s="272" t="s">
        <v>172</v>
      </c>
      <c r="DG3" s="272" t="s">
        <v>173</v>
      </c>
      <c r="DH3" s="603" t="s">
        <v>174</v>
      </c>
      <c r="DI3" s="272" t="s">
        <v>175</v>
      </c>
      <c r="DJ3" s="272" t="s">
        <v>176</v>
      </c>
      <c r="DK3" s="272" t="s">
        <v>177</v>
      </c>
      <c r="DL3" s="272" t="s">
        <v>178</v>
      </c>
      <c r="DM3" s="272" t="s">
        <v>167</v>
      </c>
      <c r="DN3" s="272" t="s">
        <v>168</v>
      </c>
      <c r="DO3" s="272" t="s">
        <v>169</v>
      </c>
      <c r="DP3" s="272" t="s">
        <v>170</v>
      </c>
      <c r="DQ3" s="272" t="s">
        <v>171</v>
      </c>
      <c r="DR3" s="272" t="s">
        <v>172</v>
      </c>
      <c r="DS3" s="272" t="s">
        <v>173</v>
      </c>
      <c r="DT3" s="603" t="s">
        <v>174</v>
      </c>
    </row>
    <row r="4" spans="1:132" hidden="1" x14ac:dyDescent="0.2">
      <c r="B4" s="21" t="s">
        <v>88</v>
      </c>
      <c r="C4" s="20"/>
      <c r="D4" s="20"/>
      <c r="E4" s="22">
        <f>Assumptions!$E5</f>
        <v>14</v>
      </c>
      <c r="F4" s="22">
        <f>Assumptions!$E5</f>
        <v>14</v>
      </c>
      <c r="G4" s="22">
        <f>Assumptions!$E5</f>
        <v>14</v>
      </c>
      <c r="H4" s="22">
        <f>Assumptions!$E5</f>
        <v>14</v>
      </c>
      <c r="I4" s="22">
        <f>Assumptions!$E5</f>
        <v>14</v>
      </c>
      <c r="J4" s="22">
        <f>Assumptions!$E5</f>
        <v>14</v>
      </c>
      <c r="K4" s="22">
        <f>Assumptions!$E5</f>
        <v>14</v>
      </c>
      <c r="L4" s="22">
        <f>Assumptions!$E5</f>
        <v>14</v>
      </c>
      <c r="M4" s="22">
        <f>Assumptions!$E5</f>
        <v>14</v>
      </c>
      <c r="N4" s="22">
        <f>Assumptions!$E5</f>
        <v>14</v>
      </c>
      <c r="O4" s="22">
        <f>Assumptions!$E5</f>
        <v>14</v>
      </c>
      <c r="P4" s="604">
        <f>Assumptions!$E5</f>
        <v>14</v>
      </c>
      <c r="Q4" s="686">
        <f>Assumptions!$F5</f>
        <v>14.84</v>
      </c>
      <c r="R4" s="22">
        <f>Assumptions!$F5</f>
        <v>14.84</v>
      </c>
      <c r="S4" s="22">
        <f>Assumptions!$F5</f>
        <v>14.84</v>
      </c>
      <c r="T4" s="22">
        <f>Assumptions!$F5</f>
        <v>14.84</v>
      </c>
      <c r="U4" s="22">
        <f>Assumptions!$F5</f>
        <v>14.84</v>
      </c>
      <c r="V4" s="22">
        <f>Assumptions!$F5</f>
        <v>14.84</v>
      </c>
      <c r="W4" s="22">
        <f>Assumptions!$F5</f>
        <v>14.84</v>
      </c>
      <c r="X4" s="22">
        <f>Assumptions!$F5</f>
        <v>14.84</v>
      </c>
      <c r="Y4" s="22">
        <f>Assumptions!$F5</f>
        <v>14.84</v>
      </c>
      <c r="Z4" s="22">
        <f>Assumptions!$F5</f>
        <v>14.84</v>
      </c>
      <c r="AA4" s="22">
        <f>Assumptions!$F5</f>
        <v>14.84</v>
      </c>
      <c r="AB4" s="604">
        <f>Assumptions!$F5</f>
        <v>14.84</v>
      </c>
      <c r="AC4" s="686">
        <f>Assumptions!$G5</f>
        <v>15.730400000000001</v>
      </c>
      <c r="AD4" s="22">
        <f>Assumptions!$G5</f>
        <v>15.730400000000001</v>
      </c>
      <c r="AE4" s="22">
        <f>Assumptions!$G5</f>
        <v>15.730400000000001</v>
      </c>
      <c r="AF4" s="22">
        <f>Assumptions!$G5</f>
        <v>15.730400000000001</v>
      </c>
      <c r="AG4" s="22">
        <f>Assumptions!$G5</f>
        <v>15.730400000000001</v>
      </c>
      <c r="AH4" s="22">
        <f>Assumptions!$G5</f>
        <v>15.730400000000001</v>
      </c>
      <c r="AI4" s="22">
        <f>Assumptions!$G5</f>
        <v>15.730400000000001</v>
      </c>
      <c r="AJ4" s="22">
        <f>Assumptions!$G5</f>
        <v>15.730400000000001</v>
      </c>
      <c r="AK4" s="22">
        <f>Assumptions!$G5</f>
        <v>15.730400000000001</v>
      </c>
      <c r="AL4" s="22">
        <f>Assumptions!$G5</f>
        <v>15.730400000000001</v>
      </c>
      <c r="AM4" s="22">
        <f>Assumptions!$G5</f>
        <v>15.730400000000001</v>
      </c>
      <c r="AN4" s="604">
        <f>Assumptions!$G5</f>
        <v>15.730400000000001</v>
      </c>
      <c r="AO4" s="686">
        <f>Assumptions!$H5</f>
        <v>16.674224000000002</v>
      </c>
      <c r="AP4" s="22">
        <f>Assumptions!$H5</f>
        <v>16.674224000000002</v>
      </c>
      <c r="AQ4" s="22">
        <f>Assumptions!$H5</f>
        <v>16.674224000000002</v>
      </c>
      <c r="AR4" s="22">
        <f>Assumptions!$H5</f>
        <v>16.674224000000002</v>
      </c>
      <c r="AS4" s="22">
        <f>Assumptions!$H5</f>
        <v>16.674224000000002</v>
      </c>
      <c r="AT4" s="22">
        <f>Assumptions!$H5</f>
        <v>16.674224000000002</v>
      </c>
      <c r="AU4" s="22">
        <f>Assumptions!$H5</f>
        <v>16.674224000000002</v>
      </c>
      <c r="AV4" s="22">
        <f>Assumptions!$H5</f>
        <v>16.674224000000002</v>
      </c>
      <c r="AW4" s="22">
        <f>Assumptions!$H5</f>
        <v>16.674224000000002</v>
      </c>
      <c r="AX4" s="22">
        <f>Assumptions!$H5</f>
        <v>16.674224000000002</v>
      </c>
      <c r="AY4" s="22">
        <f>Assumptions!$H5</f>
        <v>16.674224000000002</v>
      </c>
      <c r="AZ4" s="604">
        <f>Assumptions!$H5</f>
        <v>16.674224000000002</v>
      </c>
      <c r="BA4" s="686">
        <f>Assumptions!$I5</f>
        <v>17.674677440000004</v>
      </c>
      <c r="BB4" s="22">
        <f>Assumptions!$I5</f>
        <v>17.674677440000004</v>
      </c>
      <c r="BC4" s="22">
        <f>Assumptions!$I5</f>
        <v>17.674677440000004</v>
      </c>
      <c r="BD4" s="22">
        <f>Assumptions!$I5</f>
        <v>17.674677440000004</v>
      </c>
      <c r="BE4" s="22">
        <f>Assumptions!$I5</f>
        <v>17.674677440000004</v>
      </c>
      <c r="BF4" s="22">
        <f>Assumptions!$I5</f>
        <v>17.674677440000004</v>
      </c>
      <c r="BG4" s="22">
        <f>Assumptions!$I5</f>
        <v>17.674677440000004</v>
      </c>
      <c r="BH4" s="22">
        <f>Assumptions!$I5</f>
        <v>17.674677440000004</v>
      </c>
      <c r="BI4" s="22">
        <f>Assumptions!$I5</f>
        <v>17.674677440000004</v>
      </c>
      <c r="BJ4" s="22">
        <f>Assumptions!$I5</f>
        <v>17.674677440000004</v>
      </c>
      <c r="BK4" s="22">
        <f>Assumptions!$I5</f>
        <v>17.674677440000004</v>
      </c>
      <c r="BL4" s="604">
        <f>Assumptions!$I5</f>
        <v>17.674677440000004</v>
      </c>
      <c r="BM4" s="686">
        <f>Assumptions!$J5</f>
        <v>18.735158086400006</v>
      </c>
      <c r="BN4" s="22">
        <f>Assumptions!$J5</f>
        <v>18.735158086400006</v>
      </c>
      <c r="BO4" s="22">
        <f>Assumptions!$J5</f>
        <v>18.735158086400006</v>
      </c>
      <c r="BP4" s="22">
        <f>Assumptions!$J5</f>
        <v>18.735158086400006</v>
      </c>
      <c r="BQ4" s="22">
        <f>Assumptions!$J5</f>
        <v>18.735158086400006</v>
      </c>
      <c r="BR4" s="22">
        <f>Assumptions!$J5</f>
        <v>18.735158086400006</v>
      </c>
      <c r="BS4" s="22">
        <f>Assumptions!$J5</f>
        <v>18.735158086400006</v>
      </c>
      <c r="BT4" s="22">
        <f>Assumptions!$J5</f>
        <v>18.735158086400006</v>
      </c>
      <c r="BU4" s="22">
        <f>Assumptions!$J5</f>
        <v>18.735158086400006</v>
      </c>
      <c r="BV4" s="22">
        <f>Assumptions!$J5</f>
        <v>18.735158086400006</v>
      </c>
      <c r="BW4" s="22">
        <f>Assumptions!$J5</f>
        <v>18.735158086400006</v>
      </c>
      <c r="BX4" s="604">
        <f>Assumptions!$J5</f>
        <v>18.735158086400006</v>
      </c>
      <c r="BY4" s="686">
        <f>Assumptions!$K5</f>
        <v>19.859267571584006</v>
      </c>
      <c r="BZ4" s="22">
        <f>Assumptions!$K5</f>
        <v>19.859267571584006</v>
      </c>
      <c r="CA4" s="22">
        <f>Assumptions!$K5</f>
        <v>19.859267571584006</v>
      </c>
      <c r="CB4" s="22">
        <f>Assumptions!$K5</f>
        <v>19.859267571584006</v>
      </c>
      <c r="CC4" s="22">
        <f>Assumptions!$K5</f>
        <v>19.859267571584006</v>
      </c>
      <c r="CD4" s="22">
        <f>Assumptions!$K5</f>
        <v>19.859267571584006</v>
      </c>
      <c r="CE4" s="22">
        <f>Assumptions!$K5</f>
        <v>19.859267571584006</v>
      </c>
      <c r="CF4" s="22">
        <f>Assumptions!$K5</f>
        <v>19.859267571584006</v>
      </c>
      <c r="CG4" s="22">
        <f>Assumptions!$K5</f>
        <v>19.859267571584006</v>
      </c>
      <c r="CH4" s="22">
        <f>Assumptions!$K5</f>
        <v>19.859267571584006</v>
      </c>
      <c r="CI4" s="22">
        <f>Assumptions!$K5</f>
        <v>19.859267571584006</v>
      </c>
      <c r="CJ4" s="604">
        <f>Assumptions!$K5</f>
        <v>19.859267571584006</v>
      </c>
      <c r="CK4" s="686">
        <f>Assumptions!$L5</f>
        <v>21.050823625879048</v>
      </c>
      <c r="CL4" s="22">
        <f>Assumptions!$L5</f>
        <v>21.050823625879048</v>
      </c>
      <c r="CM4" s="22">
        <f>Assumptions!$L5</f>
        <v>21.050823625879048</v>
      </c>
      <c r="CN4" s="22">
        <f>Assumptions!$L5</f>
        <v>21.050823625879048</v>
      </c>
      <c r="CO4" s="22">
        <f>Assumptions!$L5</f>
        <v>21.050823625879048</v>
      </c>
      <c r="CP4" s="22">
        <f>Assumptions!$L5</f>
        <v>21.050823625879048</v>
      </c>
      <c r="CQ4" s="22">
        <f>Assumptions!$L5</f>
        <v>21.050823625879048</v>
      </c>
      <c r="CR4" s="22">
        <f>Assumptions!$L5</f>
        <v>21.050823625879048</v>
      </c>
      <c r="CS4" s="22">
        <f>Assumptions!$L5</f>
        <v>21.050823625879048</v>
      </c>
      <c r="CT4" s="22">
        <f>Assumptions!$L5</f>
        <v>21.050823625879048</v>
      </c>
      <c r="CU4" s="22">
        <f>Assumptions!$L5</f>
        <v>21.050823625879048</v>
      </c>
      <c r="CV4" s="604">
        <f>Assumptions!$L5</f>
        <v>21.050823625879048</v>
      </c>
      <c r="CW4" s="686">
        <f>Assumptions!$M5</f>
        <v>22.313873043431791</v>
      </c>
      <c r="CX4" s="22">
        <f>Assumptions!$M5</f>
        <v>22.313873043431791</v>
      </c>
      <c r="CY4" s="22">
        <f>Assumptions!$M5</f>
        <v>22.313873043431791</v>
      </c>
      <c r="CZ4" s="22">
        <f>Assumptions!$M5</f>
        <v>22.313873043431791</v>
      </c>
      <c r="DA4" s="22">
        <f>Assumptions!$M5</f>
        <v>22.313873043431791</v>
      </c>
      <c r="DB4" s="22">
        <f>Assumptions!$M5</f>
        <v>22.313873043431791</v>
      </c>
      <c r="DC4" s="22">
        <f>Assumptions!$M5</f>
        <v>22.313873043431791</v>
      </c>
      <c r="DD4" s="22">
        <f>Assumptions!$M5</f>
        <v>22.313873043431791</v>
      </c>
      <c r="DE4" s="22">
        <f>Assumptions!$M5</f>
        <v>22.313873043431791</v>
      </c>
      <c r="DF4" s="22">
        <f>Assumptions!$M5</f>
        <v>22.313873043431791</v>
      </c>
      <c r="DG4" s="22">
        <f>Assumptions!$M5</f>
        <v>22.313873043431791</v>
      </c>
      <c r="DH4" s="604">
        <f>Assumptions!$M5</f>
        <v>22.313873043431791</v>
      </c>
      <c r="DI4" s="686">
        <f>Assumptions!$N5</f>
        <v>23.652705426037699</v>
      </c>
      <c r="DJ4" s="22">
        <f>Assumptions!$N5</f>
        <v>23.652705426037699</v>
      </c>
      <c r="DK4" s="22">
        <f>Assumptions!$N5</f>
        <v>23.652705426037699</v>
      </c>
      <c r="DL4" s="22">
        <f>Assumptions!$N5</f>
        <v>23.652705426037699</v>
      </c>
      <c r="DM4" s="22">
        <f>Assumptions!$N5</f>
        <v>23.652705426037699</v>
      </c>
      <c r="DN4" s="22">
        <f>Assumptions!$N5</f>
        <v>23.652705426037699</v>
      </c>
      <c r="DO4" s="22">
        <f>Assumptions!$N5</f>
        <v>23.652705426037699</v>
      </c>
      <c r="DP4" s="22">
        <f>Assumptions!$N5</f>
        <v>23.652705426037699</v>
      </c>
      <c r="DQ4" s="22">
        <f>Assumptions!$N5</f>
        <v>23.652705426037699</v>
      </c>
      <c r="DR4" s="22">
        <f>Assumptions!$N5</f>
        <v>23.652705426037699</v>
      </c>
      <c r="DS4" s="22">
        <f>Assumptions!$N5</f>
        <v>23.652705426037699</v>
      </c>
      <c r="DT4" s="604">
        <f>Assumptions!$N5</f>
        <v>23.652705426037699</v>
      </c>
    </row>
    <row r="5" spans="1:132" hidden="1" x14ac:dyDescent="0.2">
      <c r="B5" s="21" t="s">
        <v>89</v>
      </c>
      <c r="C5" s="20"/>
      <c r="D5" s="20"/>
      <c r="E5" s="22">
        <f>Assumptions!$E6</f>
        <v>16</v>
      </c>
      <c r="F5" s="22">
        <f>Assumptions!$E6</f>
        <v>16</v>
      </c>
      <c r="G5" s="22">
        <f>Assumptions!$E6</f>
        <v>16</v>
      </c>
      <c r="H5" s="22">
        <f>Assumptions!$E6</f>
        <v>16</v>
      </c>
      <c r="I5" s="22">
        <f>Assumptions!$E6</f>
        <v>16</v>
      </c>
      <c r="J5" s="22">
        <f>Assumptions!$E6</f>
        <v>16</v>
      </c>
      <c r="K5" s="22">
        <f>Assumptions!$E6</f>
        <v>16</v>
      </c>
      <c r="L5" s="22">
        <f>Assumptions!$E6</f>
        <v>16</v>
      </c>
      <c r="M5" s="22">
        <f>Assumptions!$E6</f>
        <v>16</v>
      </c>
      <c r="N5" s="22">
        <f>Assumptions!$E6</f>
        <v>16</v>
      </c>
      <c r="O5" s="22">
        <f>Assumptions!$E6</f>
        <v>16</v>
      </c>
      <c r="P5" s="604">
        <f>Assumptions!$E6</f>
        <v>16</v>
      </c>
      <c r="Q5" s="686">
        <f>Assumptions!$F6</f>
        <v>16.96</v>
      </c>
      <c r="R5" s="22">
        <f>Assumptions!$F6</f>
        <v>16.96</v>
      </c>
      <c r="S5" s="22">
        <f>Assumptions!$F6</f>
        <v>16.96</v>
      </c>
      <c r="T5" s="22">
        <f>Assumptions!$F6</f>
        <v>16.96</v>
      </c>
      <c r="U5" s="22">
        <f>Assumptions!$F6</f>
        <v>16.96</v>
      </c>
      <c r="V5" s="22">
        <f>Assumptions!$F6</f>
        <v>16.96</v>
      </c>
      <c r="W5" s="22">
        <f>Assumptions!$F6</f>
        <v>16.96</v>
      </c>
      <c r="X5" s="22">
        <f>Assumptions!$F6</f>
        <v>16.96</v>
      </c>
      <c r="Y5" s="22">
        <f>Assumptions!$F6</f>
        <v>16.96</v>
      </c>
      <c r="Z5" s="22">
        <f>Assumptions!$F6</f>
        <v>16.96</v>
      </c>
      <c r="AA5" s="22">
        <f>Assumptions!$F6</f>
        <v>16.96</v>
      </c>
      <c r="AB5" s="604">
        <f>Assumptions!$F6</f>
        <v>16.96</v>
      </c>
      <c r="AC5" s="686">
        <f>Assumptions!$G6</f>
        <v>17.977600000000002</v>
      </c>
      <c r="AD5" s="22">
        <f>Assumptions!$G6</f>
        <v>17.977600000000002</v>
      </c>
      <c r="AE5" s="22">
        <f>Assumptions!$G6</f>
        <v>17.977600000000002</v>
      </c>
      <c r="AF5" s="22">
        <f>Assumptions!$G6</f>
        <v>17.977600000000002</v>
      </c>
      <c r="AG5" s="22">
        <f>Assumptions!$G6</f>
        <v>17.977600000000002</v>
      </c>
      <c r="AH5" s="22">
        <f>Assumptions!$G6</f>
        <v>17.977600000000002</v>
      </c>
      <c r="AI5" s="22">
        <f>Assumptions!$G6</f>
        <v>17.977600000000002</v>
      </c>
      <c r="AJ5" s="22">
        <f>Assumptions!$G6</f>
        <v>17.977600000000002</v>
      </c>
      <c r="AK5" s="22">
        <f>Assumptions!$G6</f>
        <v>17.977600000000002</v>
      </c>
      <c r="AL5" s="22">
        <f>Assumptions!$G6</f>
        <v>17.977600000000002</v>
      </c>
      <c r="AM5" s="22">
        <f>Assumptions!$G6</f>
        <v>17.977600000000002</v>
      </c>
      <c r="AN5" s="604">
        <f>Assumptions!$G6</f>
        <v>17.977600000000002</v>
      </c>
      <c r="AO5" s="686">
        <f>Assumptions!$H6</f>
        <v>19.056256000000005</v>
      </c>
      <c r="AP5" s="22">
        <f>Assumptions!$H6</f>
        <v>19.056256000000005</v>
      </c>
      <c r="AQ5" s="22">
        <f>Assumptions!$H6</f>
        <v>19.056256000000005</v>
      </c>
      <c r="AR5" s="22">
        <f>Assumptions!$H6</f>
        <v>19.056256000000005</v>
      </c>
      <c r="AS5" s="22">
        <f>Assumptions!$H6</f>
        <v>19.056256000000005</v>
      </c>
      <c r="AT5" s="22">
        <f>Assumptions!$H6</f>
        <v>19.056256000000005</v>
      </c>
      <c r="AU5" s="22">
        <f>Assumptions!$H6</f>
        <v>19.056256000000005</v>
      </c>
      <c r="AV5" s="22">
        <f>Assumptions!$H6</f>
        <v>19.056256000000005</v>
      </c>
      <c r="AW5" s="22">
        <f>Assumptions!$H6</f>
        <v>19.056256000000005</v>
      </c>
      <c r="AX5" s="22">
        <f>Assumptions!$H6</f>
        <v>19.056256000000005</v>
      </c>
      <c r="AY5" s="22">
        <f>Assumptions!$H6</f>
        <v>19.056256000000005</v>
      </c>
      <c r="AZ5" s="604">
        <f>Assumptions!$H6</f>
        <v>19.056256000000005</v>
      </c>
      <c r="BA5" s="686">
        <f>Assumptions!$I6</f>
        <v>20.199631360000005</v>
      </c>
      <c r="BB5" s="22">
        <f>Assumptions!$I6</f>
        <v>20.199631360000005</v>
      </c>
      <c r="BC5" s="22">
        <f>Assumptions!$I6</f>
        <v>20.199631360000005</v>
      </c>
      <c r="BD5" s="22">
        <f>Assumptions!$I6</f>
        <v>20.199631360000005</v>
      </c>
      <c r="BE5" s="22">
        <f>Assumptions!$I6</f>
        <v>20.199631360000005</v>
      </c>
      <c r="BF5" s="22">
        <f>Assumptions!$I6</f>
        <v>20.199631360000005</v>
      </c>
      <c r="BG5" s="22">
        <f>Assumptions!$I6</f>
        <v>20.199631360000005</v>
      </c>
      <c r="BH5" s="22">
        <f>Assumptions!$I6</f>
        <v>20.199631360000005</v>
      </c>
      <c r="BI5" s="22">
        <f>Assumptions!$I6</f>
        <v>20.199631360000005</v>
      </c>
      <c r="BJ5" s="22">
        <f>Assumptions!$I6</f>
        <v>20.199631360000005</v>
      </c>
      <c r="BK5" s="22">
        <f>Assumptions!$I6</f>
        <v>20.199631360000005</v>
      </c>
      <c r="BL5" s="604">
        <f>Assumptions!$I6</f>
        <v>20.199631360000005</v>
      </c>
      <c r="BM5" s="686">
        <f>Assumptions!$J6</f>
        <v>21.411609241600008</v>
      </c>
      <c r="BN5" s="22">
        <f>Assumptions!$J6</f>
        <v>21.411609241600008</v>
      </c>
      <c r="BO5" s="22">
        <f>Assumptions!$J6</f>
        <v>21.411609241600008</v>
      </c>
      <c r="BP5" s="22">
        <f>Assumptions!$J6</f>
        <v>21.411609241600008</v>
      </c>
      <c r="BQ5" s="22">
        <f>Assumptions!$J6</f>
        <v>21.411609241600008</v>
      </c>
      <c r="BR5" s="22">
        <f>Assumptions!$J6</f>
        <v>21.411609241600008</v>
      </c>
      <c r="BS5" s="22">
        <f>Assumptions!$J6</f>
        <v>21.411609241600008</v>
      </c>
      <c r="BT5" s="22">
        <f>Assumptions!$J6</f>
        <v>21.411609241600008</v>
      </c>
      <c r="BU5" s="22">
        <f>Assumptions!$J6</f>
        <v>21.411609241600008</v>
      </c>
      <c r="BV5" s="22">
        <f>Assumptions!$J6</f>
        <v>21.411609241600008</v>
      </c>
      <c r="BW5" s="22">
        <f>Assumptions!$J6</f>
        <v>21.411609241600008</v>
      </c>
      <c r="BX5" s="604">
        <f>Assumptions!$J6</f>
        <v>21.411609241600008</v>
      </c>
      <c r="BY5" s="686">
        <f>Assumptions!$K6</f>
        <v>22.696305796096009</v>
      </c>
      <c r="BZ5" s="22">
        <f>Assumptions!$K6</f>
        <v>22.696305796096009</v>
      </c>
      <c r="CA5" s="22">
        <f>Assumptions!$K6</f>
        <v>22.696305796096009</v>
      </c>
      <c r="CB5" s="22">
        <f>Assumptions!$K6</f>
        <v>22.696305796096009</v>
      </c>
      <c r="CC5" s="22">
        <f>Assumptions!$K6</f>
        <v>22.696305796096009</v>
      </c>
      <c r="CD5" s="22">
        <f>Assumptions!$K6</f>
        <v>22.696305796096009</v>
      </c>
      <c r="CE5" s="22">
        <f>Assumptions!$K6</f>
        <v>22.696305796096009</v>
      </c>
      <c r="CF5" s="22">
        <f>Assumptions!$K6</f>
        <v>22.696305796096009</v>
      </c>
      <c r="CG5" s="22">
        <f>Assumptions!$K6</f>
        <v>22.696305796096009</v>
      </c>
      <c r="CH5" s="22">
        <f>Assumptions!$K6</f>
        <v>22.696305796096009</v>
      </c>
      <c r="CI5" s="22">
        <f>Assumptions!$K6</f>
        <v>22.696305796096009</v>
      </c>
      <c r="CJ5" s="604">
        <f>Assumptions!$K6</f>
        <v>22.696305796096009</v>
      </c>
      <c r="CK5" s="686">
        <f>Assumptions!$L6</f>
        <v>24.05808414386177</v>
      </c>
      <c r="CL5" s="22">
        <f>Assumptions!$L6</f>
        <v>24.05808414386177</v>
      </c>
      <c r="CM5" s="22">
        <f>Assumptions!$L6</f>
        <v>24.05808414386177</v>
      </c>
      <c r="CN5" s="22">
        <f>Assumptions!$L6</f>
        <v>24.05808414386177</v>
      </c>
      <c r="CO5" s="22">
        <f>Assumptions!$L6</f>
        <v>24.05808414386177</v>
      </c>
      <c r="CP5" s="22">
        <f>Assumptions!$L6</f>
        <v>24.05808414386177</v>
      </c>
      <c r="CQ5" s="22">
        <f>Assumptions!$L6</f>
        <v>24.05808414386177</v>
      </c>
      <c r="CR5" s="22">
        <f>Assumptions!$L6</f>
        <v>24.05808414386177</v>
      </c>
      <c r="CS5" s="22">
        <f>Assumptions!$L6</f>
        <v>24.05808414386177</v>
      </c>
      <c r="CT5" s="22">
        <f>Assumptions!$L6</f>
        <v>24.05808414386177</v>
      </c>
      <c r="CU5" s="22">
        <f>Assumptions!$L6</f>
        <v>24.05808414386177</v>
      </c>
      <c r="CV5" s="604">
        <f>Assumptions!$L6</f>
        <v>24.05808414386177</v>
      </c>
      <c r="CW5" s="686">
        <f>Assumptions!$M6</f>
        <v>25.501569192493477</v>
      </c>
      <c r="CX5" s="22">
        <f>Assumptions!$M6</f>
        <v>25.501569192493477</v>
      </c>
      <c r="CY5" s="22">
        <f>Assumptions!$M6</f>
        <v>25.501569192493477</v>
      </c>
      <c r="CZ5" s="22">
        <f>Assumptions!$M6</f>
        <v>25.501569192493477</v>
      </c>
      <c r="DA5" s="22">
        <f>Assumptions!$M6</f>
        <v>25.501569192493477</v>
      </c>
      <c r="DB5" s="22">
        <f>Assumptions!$M6</f>
        <v>25.501569192493477</v>
      </c>
      <c r="DC5" s="22">
        <f>Assumptions!$M6</f>
        <v>25.501569192493477</v>
      </c>
      <c r="DD5" s="22">
        <f>Assumptions!$M6</f>
        <v>25.501569192493477</v>
      </c>
      <c r="DE5" s="22">
        <f>Assumptions!$M6</f>
        <v>25.501569192493477</v>
      </c>
      <c r="DF5" s="22">
        <f>Assumptions!$M6</f>
        <v>25.501569192493477</v>
      </c>
      <c r="DG5" s="22">
        <f>Assumptions!$M6</f>
        <v>25.501569192493477</v>
      </c>
      <c r="DH5" s="604">
        <f>Assumptions!$M6</f>
        <v>25.501569192493477</v>
      </c>
      <c r="DI5" s="686">
        <f>Assumptions!$N6</f>
        <v>27.031663344043086</v>
      </c>
      <c r="DJ5" s="22">
        <f>Assumptions!$N6</f>
        <v>27.031663344043086</v>
      </c>
      <c r="DK5" s="22">
        <f>Assumptions!$N6</f>
        <v>27.031663344043086</v>
      </c>
      <c r="DL5" s="22">
        <f>Assumptions!$N6</f>
        <v>27.031663344043086</v>
      </c>
      <c r="DM5" s="22">
        <f>Assumptions!$N6</f>
        <v>27.031663344043086</v>
      </c>
      <c r="DN5" s="22">
        <f>Assumptions!$N6</f>
        <v>27.031663344043086</v>
      </c>
      <c r="DO5" s="22">
        <f>Assumptions!$N6</f>
        <v>27.031663344043086</v>
      </c>
      <c r="DP5" s="22">
        <f>Assumptions!$N6</f>
        <v>27.031663344043086</v>
      </c>
      <c r="DQ5" s="22">
        <f>Assumptions!$N6</f>
        <v>27.031663344043086</v>
      </c>
      <c r="DR5" s="22">
        <f>Assumptions!$N6</f>
        <v>27.031663344043086</v>
      </c>
      <c r="DS5" s="22">
        <f>Assumptions!$N6</f>
        <v>27.031663344043086</v>
      </c>
      <c r="DT5" s="604">
        <f>Assumptions!$N6</f>
        <v>27.031663344043086</v>
      </c>
    </row>
    <row r="6" spans="1:132" hidden="1" x14ac:dyDescent="0.2">
      <c r="B6" s="21" t="s">
        <v>311</v>
      </c>
      <c r="C6" s="20"/>
      <c r="D6" s="20"/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22">
        <f>Assumptions!$E7</f>
        <v>1</v>
      </c>
      <c r="P6" s="604">
        <f>Assumptions!$E7</f>
        <v>1</v>
      </c>
      <c r="Q6" s="686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22">
        <f>Assumptions!$F7</f>
        <v>1.0629999999999999</v>
      </c>
      <c r="AB6" s="604">
        <f>Assumptions!$F7</f>
        <v>1.0629999999999999</v>
      </c>
      <c r="AC6" s="686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22">
        <f>Assumptions!$G7</f>
        <v>1.1299689999999998</v>
      </c>
      <c r="AN6" s="604">
        <f>Assumptions!$G7</f>
        <v>1.1299689999999998</v>
      </c>
      <c r="AO6" s="686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22">
        <f>Assumptions!$H7</f>
        <v>1.2011570469999997</v>
      </c>
      <c r="AZ6" s="604">
        <f>Assumptions!$H7</f>
        <v>1.2011570469999997</v>
      </c>
      <c r="BA6" s="686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22">
        <f>Assumptions!$I7</f>
        <v>1.2768299409609996</v>
      </c>
      <c r="BL6" s="604">
        <f>Assumptions!$I7</f>
        <v>1.2768299409609996</v>
      </c>
      <c r="BM6" s="686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22">
        <f>Assumptions!$J7</f>
        <v>1.3572702272415424</v>
      </c>
      <c r="BX6" s="604">
        <f>Assumptions!$J7</f>
        <v>1.3572702272415424</v>
      </c>
      <c r="BY6" s="686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22">
        <f>Assumptions!$K7</f>
        <v>1.4427782515577596</v>
      </c>
      <c r="CJ6" s="604">
        <f>Assumptions!$K7</f>
        <v>1.4427782515577596</v>
      </c>
      <c r="CK6" s="686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22">
        <f>Assumptions!$L7</f>
        <v>1.5336732814058984</v>
      </c>
      <c r="CV6" s="604">
        <f>Assumptions!$L7</f>
        <v>1.5336732814058984</v>
      </c>
      <c r="CW6" s="686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22">
        <f>Assumptions!$M7</f>
        <v>1.6302946981344699</v>
      </c>
      <c r="DH6" s="604">
        <f>Assumptions!$M7</f>
        <v>1.6302946981344699</v>
      </c>
      <c r="DI6" s="686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22">
        <f>Assumptions!$N7</f>
        <v>1.7330032641169415</v>
      </c>
      <c r="DT6" s="604">
        <f>Assumptions!$N7</f>
        <v>1.7330032641169415</v>
      </c>
    </row>
    <row r="7" spans="1:132" s="7" customFormat="1" ht="12.75" customHeight="1" x14ac:dyDescent="0.2">
      <c r="A7" s="61"/>
      <c r="B7" s="62"/>
      <c r="C7" s="20"/>
      <c r="D7" s="20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05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05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7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7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7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7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7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7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7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764"/>
    </row>
    <row r="8" spans="1:132" ht="18.75" customHeight="1" x14ac:dyDescent="0.3">
      <c r="A8" s="245" t="s">
        <v>521</v>
      </c>
      <c r="B8" s="131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606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606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606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606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606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606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606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606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606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606"/>
    </row>
    <row r="9" spans="1:132" ht="18.75" customHeight="1" x14ac:dyDescent="0.25">
      <c r="A9" s="609" t="s">
        <v>589</v>
      </c>
      <c r="B9" s="610"/>
      <c r="C9" s="108">
        <f>-'Capex Summary Sheet'!F5</f>
        <v>-855731.41490065644</v>
      </c>
      <c r="D9" s="268"/>
      <c r="E9" s="685">
        <f>C9</f>
        <v>-855731.41490065644</v>
      </c>
      <c r="F9" s="685"/>
      <c r="G9" s="685"/>
      <c r="H9" s="685"/>
      <c r="I9" s="685"/>
      <c r="J9" s="685"/>
      <c r="K9" s="685"/>
      <c r="L9" s="685"/>
      <c r="M9" s="685"/>
      <c r="N9" s="310"/>
      <c r="O9" s="310"/>
      <c r="P9" s="311"/>
      <c r="Q9" s="28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1"/>
      <c r="AC9" s="280"/>
      <c r="AD9" s="310"/>
      <c r="AE9" s="310"/>
      <c r="AF9" s="310"/>
      <c r="AG9" s="310"/>
      <c r="AH9" s="310"/>
      <c r="AI9" s="310"/>
      <c r="AJ9" s="310"/>
      <c r="AK9" s="310"/>
      <c r="AL9" s="310"/>
      <c r="AM9" s="310"/>
      <c r="AN9" s="311"/>
      <c r="AO9" s="280"/>
      <c r="AP9" s="310"/>
      <c r="AQ9" s="310"/>
      <c r="AR9" s="310"/>
      <c r="AS9" s="310"/>
      <c r="AT9" s="310"/>
      <c r="AU9" s="310"/>
      <c r="AV9" s="310"/>
      <c r="AW9" s="310"/>
      <c r="AX9" s="310"/>
      <c r="AY9" s="310"/>
      <c r="AZ9" s="311"/>
      <c r="BA9" s="280"/>
      <c r="BB9" s="310"/>
      <c r="BC9" s="310"/>
      <c r="BD9" s="310"/>
      <c r="BE9" s="310"/>
      <c r="BF9" s="310"/>
      <c r="BG9" s="310"/>
      <c r="BH9" s="310"/>
      <c r="BI9" s="310"/>
      <c r="BJ9" s="310"/>
      <c r="BK9" s="310"/>
      <c r="BL9" s="311"/>
      <c r="BM9" s="280"/>
      <c r="BN9" s="310"/>
      <c r="BO9" s="310"/>
      <c r="BP9" s="310"/>
      <c r="BQ9" s="310"/>
      <c r="BR9" s="310"/>
      <c r="BS9" s="310"/>
      <c r="BT9" s="310"/>
      <c r="BU9" s="310"/>
      <c r="BV9" s="310"/>
      <c r="BW9" s="310"/>
      <c r="BX9" s="311"/>
      <c r="BY9" s="280"/>
      <c r="BZ9" s="310"/>
      <c r="CA9" s="310"/>
      <c r="CB9" s="310"/>
      <c r="CC9" s="310"/>
      <c r="CD9" s="310"/>
      <c r="CE9" s="310"/>
      <c r="CF9" s="310"/>
      <c r="CG9" s="310"/>
      <c r="CH9" s="310"/>
      <c r="CI9" s="310"/>
      <c r="CJ9" s="311"/>
      <c r="CK9" s="280"/>
      <c r="CL9" s="310"/>
      <c r="CM9" s="310"/>
      <c r="CN9" s="310"/>
      <c r="CO9" s="310"/>
      <c r="CP9" s="310"/>
      <c r="CQ9" s="310"/>
      <c r="CR9" s="310"/>
      <c r="CS9" s="310"/>
      <c r="CT9" s="310"/>
      <c r="CU9" s="310"/>
      <c r="CV9" s="311"/>
      <c r="CW9" s="280"/>
      <c r="CX9" s="310"/>
      <c r="CY9" s="310"/>
      <c r="CZ9" s="310"/>
      <c r="DA9" s="310"/>
      <c r="DB9" s="310"/>
      <c r="DC9" s="310"/>
      <c r="DD9" s="310"/>
      <c r="DE9" s="310"/>
      <c r="DF9" s="310"/>
      <c r="DG9" s="310"/>
      <c r="DH9" s="311"/>
      <c r="DI9" s="280"/>
      <c r="DJ9" s="310"/>
      <c r="DK9" s="310"/>
      <c r="DL9" s="310"/>
      <c r="DM9" s="310"/>
      <c r="DN9" s="310"/>
      <c r="DO9" s="310"/>
      <c r="DP9" s="310"/>
      <c r="DQ9" s="310"/>
      <c r="DR9" s="310"/>
      <c r="DS9" s="310"/>
      <c r="DT9" s="311"/>
    </row>
    <row r="10" spans="1:132" ht="18.75" customHeight="1" x14ac:dyDescent="0.25">
      <c r="A10" s="609" t="s">
        <v>590</v>
      </c>
      <c r="B10" s="610"/>
      <c r="C10" s="108">
        <f>-'Capex Summary Sheet'!F6</f>
        <v>-10000000</v>
      </c>
      <c r="D10" s="268"/>
      <c r="E10" s="685">
        <f>$C$10*1/2</f>
        <v>-5000000</v>
      </c>
      <c r="F10" s="685">
        <f>$C$10*1/2</f>
        <v>-5000000</v>
      </c>
      <c r="G10" s="685"/>
      <c r="H10" s="685"/>
      <c r="I10" s="685"/>
      <c r="J10" s="685"/>
      <c r="K10" s="685"/>
      <c r="L10" s="685"/>
      <c r="M10" s="685"/>
      <c r="N10" s="310"/>
      <c r="O10" s="310"/>
      <c r="P10" s="311"/>
      <c r="Q10" s="28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1"/>
      <c r="AC10" s="280"/>
      <c r="AD10" s="310"/>
      <c r="AE10" s="310"/>
      <c r="AF10" s="310"/>
      <c r="AG10" s="310"/>
      <c r="AH10" s="310"/>
      <c r="AI10" s="310"/>
      <c r="AJ10" s="310"/>
      <c r="AK10" s="310"/>
      <c r="AL10" s="310"/>
      <c r="AM10" s="310"/>
      <c r="AN10" s="311"/>
      <c r="AO10" s="280"/>
      <c r="AP10" s="310"/>
      <c r="AQ10" s="310"/>
      <c r="AR10" s="310"/>
      <c r="AS10" s="310"/>
      <c r="AT10" s="310"/>
      <c r="AU10" s="310"/>
      <c r="AV10" s="310"/>
      <c r="AW10" s="310"/>
      <c r="AX10" s="310"/>
      <c r="AY10" s="310"/>
      <c r="AZ10" s="311"/>
      <c r="BA10" s="280"/>
      <c r="BB10" s="310"/>
      <c r="BC10" s="310"/>
      <c r="BD10" s="310"/>
      <c r="BE10" s="310"/>
      <c r="BF10" s="310"/>
      <c r="BG10" s="310"/>
      <c r="BH10" s="310"/>
      <c r="BI10" s="310"/>
      <c r="BJ10" s="310"/>
      <c r="BK10" s="310"/>
      <c r="BL10" s="311"/>
      <c r="BM10" s="280"/>
      <c r="BN10" s="310"/>
      <c r="BO10" s="310"/>
      <c r="BP10" s="310"/>
      <c r="BQ10" s="310"/>
      <c r="BR10" s="310"/>
      <c r="BS10" s="310"/>
      <c r="BT10" s="310"/>
      <c r="BU10" s="310"/>
      <c r="BV10" s="310"/>
      <c r="BW10" s="310"/>
      <c r="BX10" s="311"/>
      <c r="BY10" s="280"/>
      <c r="BZ10" s="310"/>
      <c r="CA10" s="310"/>
      <c r="CB10" s="310"/>
      <c r="CC10" s="310"/>
      <c r="CD10" s="310"/>
      <c r="CE10" s="310"/>
      <c r="CF10" s="310"/>
      <c r="CG10" s="310"/>
      <c r="CH10" s="310"/>
      <c r="CI10" s="310"/>
      <c r="CJ10" s="311"/>
      <c r="CK10" s="280"/>
      <c r="CL10" s="310"/>
      <c r="CM10" s="310"/>
      <c r="CN10" s="310"/>
      <c r="CO10" s="310"/>
      <c r="CP10" s="310"/>
      <c r="CQ10" s="310"/>
      <c r="CR10" s="310"/>
      <c r="CS10" s="310"/>
      <c r="CT10" s="310"/>
      <c r="CU10" s="310"/>
      <c r="CV10" s="311"/>
      <c r="CW10" s="280"/>
      <c r="CX10" s="310"/>
      <c r="CY10" s="310"/>
      <c r="CZ10" s="310"/>
      <c r="DA10" s="310"/>
      <c r="DB10" s="310"/>
      <c r="DC10" s="310"/>
      <c r="DD10" s="310"/>
      <c r="DE10" s="310"/>
      <c r="DF10" s="310"/>
      <c r="DG10" s="310"/>
      <c r="DH10" s="311"/>
      <c r="DI10" s="280"/>
      <c r="DJ10" s="310"/>
      <c r="DK10" s="310"/>
      <c r="DL10" s="310"/>
      <c r="DM10" s="310"/>
      <c r="DN10" s="310"/>
      <c r="DO10" s="310"/>
      <c r="DP10" s="310"/>
      <c r="DQ10" s="310"/>
      <c r="DR10" s="310"/>
      <c r="DS10" s="310"/>
      <c r="DT10" s="311"/>
    </row>
    <row r="11" spans="1:132" ht="18.75" customHeight="1" x14ac:dyDescent="0.25">
      <c r="A11" s="609" t="s">
        <v>591</v>
      </c>
      <c r="B11" s="610"/>
      <c r="C11" s="108">
        <f>-'Capex Summary Sheet'!F7</f>
        <v>-2532000</v>
      </c>
      <c r="D11" s="268"/>
      <c r="E11" s="685"/>
      <c r="F11" s="685"/>
      <c r="G11" s="685">
        <f>$C$11*1/3</f>
        <v>-844000</v>
      </c>
      <c r="H11" s="685">
        <f>$C$11*1/3</f>
        <v>-844000</v>
      </c>
      <c r="I11" s="685">
        <f>$C$11*1/3</f>
        <v>-844000</v>
      </c>
      <c r="J11" s="685"/>
      <c r="K11" s="685"/>
      <c r="L11" s="685"/>
      <c r="M11" s="685"/>
      <c r="N11" s="310"/>
      <c r="O11" s="310"/>
      <c r="P11" s="311"/>
      <c r="Q11" s="280"/>
      <c r="R11" s="310"/>
      <c r="S11" s="310"/>
      <c r="T11" s="310"/>
      <c r="U11" s="310"/>
      <c r="V11" s="310"/>
      <c r="W11" s="310"/>
      <c r="X11" s="310"/>
      <c r="Y11" s="310"/>
      <c r="Z11" s="310"/>
      <c r="AA11" s="310"/>
      <c r="AB11" s="311"/>
      <c r="AC11" s="280"/>
      <c r="AD11" s="310"/>
      <c r="AE11" s="310"/>
      <c r="AF11" s="310"/>
      <c r="AG11" s="310"/>
      <c r="AH11" s="310"/>
      <c r="AI11" s="310"/>
      <c r="AJ11" s="310"/>
      <c r="AK11" s="310"/>
      <c r="AL11" s="310"/>
      <c r="AM11" s="310"/>
      <c r="AN11" s="311"/>
      <c r="AO11" s="280"/>
      <c r="AP11" s="310"/>
      <c r="AQ11" s="310"/>
      <c r="AR11" s="310"/>
      <c r="AS11" s="310"/>
      <c r="AT11" s="310"/>
      <c r="AU11" s="310"/>
      <c r="AV11" s="310"/>
      <c r="AW11" s="310"/>
      <c r="AX11" s="310"/>
      <c r="AY11" s="310"/>
      <c r="AZ11" s="311"/>
      <c r="BA11" s="280"/>
      <c r="BB11" s="310"/>
      <c r="BC11" s="310"/>
      <c r="BD11" s="310"/>
      <c r="BE11" s="310"/>
      <c r="BF11" s="310"/>
      <c r="BG11" s="310"/>
      <c r="BH11" s="310"/>
      <c r="BI11" s="310"/>
      <c r="BJ11" s="310"/>
      <c r="BK11" s="310"/>
      <c r="BL11" s="311"/>
      <c r="BM11" s="280"/>
      <c r="BN11" s="310"/>
      <c r="BO11" s="310"/>
      <c r="BP11" s="310"/>
      <c r="BQ11" s="310"/>
      <c r="BR11" s="310"/>
      <c r="BS11" s="310"/>
      <c r="BT11" s="310"/>
      <c r="BU11" s="310"/>
      <c r="BV11" s="310"/>
      <c r="BW11" s="310"/>
      <c r="BX11" s="311"/>
      <c r="BY11" s="280"/>
      <c r="BZ11" s="310"/>
      <c r="CA11" s="310"/>
      <c r="CB11" s="310"/>
      <c r="CC11" s="310"/>
      <c r="CD11" s="310"/>
      <c r="CE11" s="310"/>
      <c r="CF11" s="310"/>
      <c r="CG11" s="310"/>
      <c r="CH11" s="310"/>
      <c r="CI11" s="310"/>
      <c r="CJ11" s="311"/>
      <c r="CK11" s="280"/>
      <c r="CL11" s="310"/>
      <c r="CM11" s="310"/>
      <c r="CN11" s="310"/>
      <c r="CO11" s="310"/>
      <c r="CP11" s="310"/>
      <c r="CQ11" s="310"/>
      <c r="CR11" s="310"/>
      <c r="CS11" s="310"/>
      <c r="CT11" s="310"/>
      <c r="CU11" s="310"/>
      <c r="CV11" s="311"/>
      <c r="CW11" s="280"/>
      <c r="CX11" s="310"/>
      <c r="CY11" s="310"/>
      <c r="CZ11" s="310"/>
      <c r="DA11" s="310"/>
      <c r="DB11" s="310"/>
      <c r="DC11" s="310"/>
      <c r="DD11" s="310"/>
      <c r="DE11" s="310"/>
      <c r="DF11" s="310"/>
      <c r="DG11" s="310"/>
      <c r="DH11" s="311"/>
      <c r="DI11" s="280"/>
      <c r="DJ11" s="310"/>
      <c r="DK11" s="310"/>
      <c r="DL11" s="310"/>
      <c r="DM11" s="310"/>
      <c r="DN11" s="310"/>
      <c r="DO11" s="310"/>
      <c r="DP11" s="310"/>
      <c r="DQ11" s="310"/>
      <c r="DR11" s="310"/>
      <c r="DS11" s="310"/>
      <c r="DT11" s="311"/>
    </row>
    <row r="12" spans="1:132" ht="18.75" customHeight="1" x14ac:dyDescent="0.25">
      <c r="A12" s="609" t="s">
        <v>65</v>
      </c>
      <c r="B12" s="610"/>
      <c r="C12" s="108">
        <f>-'Capex Summary Sheet'!F8</f>
        <v>-32653050</v>
      </c>
      <c r="D12" s="268"/>
      <c r="E12" s="685"/>
      <c r="F12" s="685"/>
      <c r="G12" s="685"/>
      <c r="H12" s="685">
        <f t="shared" ref="H12:M12" si="0">$C$12*1/6</f>
        <v>-5442175</v>
      </c>
      <c r="I12" s="685">
        <f t="shared" si="0"/>
        <v>-5442175</v>
      </c>
      <c r="J12" s="685">
        <f t="shared" si="0"/>
        <v>-5442175</v>
      </c>
      <c r="K12" s="685">
        <f t="shared" si="0"/>
        <v>-5442175</v>
      </c>
      <c r="L12" s="685">
        <f t="shared" si="0"/>
        <v>-5442175</v>
      </c>
      <c r="M12" s="685">
        <f t="shared" si="0"/>
        <v>-5442175</v>
      </c>
      <c r="N12" s="685"/>
      <c r="O12" s="310"/>
      <c r="P12" s="311"/>
      <c r="Q12" s="280"/>
      <c r="R12" s="310"/>
      <c r="S12" s="310"/>
      <c r="T12" s="310"/>
      <c r="U12" s="310"/>
      <c r="V12" s="310"/>
      <c r="W12" s="310"/>
      <c r="X12" s="310"/>
      <c r="Y12" s="310"/>
      <c r="Z12" s="310"/>
      <c r="AA12" s="310"/>
      <c r="AB12" s="311"/>
      <c r="AC12" s="280"/>
      <c r="AD12" s="310"/>
      <c r="AE12" s="310"/>
      <c r="AF12" s="310"/>
      <c r="AG12" s="310"/>
      <c r="AH12" s="310"/>
      <c r="AI12" s="310"/>
      <c r="AJ12" s="310"/>
      <c r="AK12" s="310"/>
      <c r="AL12" s="310"/>
      <c r="AM12" s="310"/>
      <c r="AN12" s="311"/>
      <c r="AO12" s="280"/>
      <c r="AP12" s="310"/>
      <c r="AQ12" s="310"/>
      <c r="AR12" s="310"/>
      <c r="AS12" s="310"/>
      <c r="AT12" s="310"/>
      <c r="AU12" s="310"/>
      <c r="AV12" s="310"/>
      <c r="AW12" s="310"/>
      <c r="AX12" s="310"/>
      <c r="AY12" s="310"/>
      <c r="AZ12" s="311"/>
      <c r="BA12" s="280"/>
      <c r="BB12" s="310"/>
      <c r="BC12" s="310"/>
      <c r="BD12" s="310"/>
      <c r="BE12" s="310"/>
      <c r="BF12" s="310"/>
      <c r="BG12" s="310"/>
      <c r="BH12" s="310"/>
      <c r="BI12" s="310"/>
      <c r="BJ12" s="310"/>
      <c r="BK12" s="310"/>
      <c r="BL12" s="311"/>
      <c r="BM12" s="280"/>
      <c r="BN12" s="310"/>
      <c r="BO12" s="310"/>
      <c r="BP12" s="310"/>
      <c r="BQ12" s="310"/>
      <c r="BR12" s="310"/>
      <c r="BS12" s="310"/>
      <c r="BT12" s="310"/>
      <c r="BU12" s="310"/>
      <c r="BV12" s="310"/>
      <c r="BW12" s="310"/>
      <c r="BX12" s="311"/>
      <c r="BY12" s="280"/>
      <c r="BZ12" s="310"/>
      <c r="CA12" s="310"/>
      <c r="CB12" s="310"/>
      <c r="CC12" s="310"/>
      <c r="CD12" s="310"/>
      <c r="CE12" s="310"/>
      <c r="CF12" s="310"/>
      <c r="CG12" s="310"/>
      <c r="CH12" s="310"/>
      <c r="CI12" s="310"/>
      <c r="CJ12" s="311"/>
      <c r="CK12" s="280"/>
      <c r="CL12" s="310"/>
      <c r="CM12" s="310"/>
      <c r="CN12" s="310"/>
      <c r="CO12" s="310"/>
      <c r="CP12" s="310"/>
      <c r="CQ12" s="310"/>
      <c r="CR12" s="310"/>
      <c r="CS12" s="310"/>
      <c r="CT12" s="310"/>
      <c r="CU12" s="310"/>
      <c r="CV12" s="311"/>
      <c r="CW12" s="280"/>
      <c r="CX12" s="310"/>
      <c r="CY12" s="310"/>
      <c r="CZ12" s="310"/>
      <c r="DA12" s="310"/>
      <c r="DB12" s="310"/>
      <c r="DC12" s="310"/>
      <c r="DD12" s="310"/>
      <c r="DE12" s="310"/>
      <c r="DF12" s="310"/>
      <c r="DG12" s="310"/>
      <c r="DH12" s="311"/>
      <c r="DI12" s="280"/>
      <c r="DJ12" s="310"/>
      <c r="DK12" s="310"/>
      <c r="DL12" s="310"/>
      <c r="DM12" s="310"/>
      <c r="DN12" s="310"/>
      <c r="DO12" s="310"/>
      <c r="DP12" s="310"/>
      <c r="DQ12" s="310"/>
      <c r="DR12" s="310"/>
      <c r="DS12" s="310"/>
      <c r="DT12" s="311"/>
    </row>
    <row r="13" spans="1:132" ht="18.75" customHeight="1" x14ac:dyDescent="0.25">
      <c r="A13" s="609" t="s">
        <v>522</v>
      </c>
      <c r="B13" s="610"/>
      <c r="C13" s="108">
        <f>-'Capex Summary Sheet'!F9</f>
        <v>-4159750</v>
      </c>
      <c r="D13" s="268"/>
      <c r="E13" s="685"/>
      <c r="F13" s="685"/>
      <c r="G13" s="685">
        <f>$C$13*1/4</f>
        <v>-1039937.5</v>
      </c>
      <c r="H13" s="685">
        <f>$C$13*1/4</f>
        <v>-1039937.5</v>
      </c>
      <c r="I13" s="685">
        <f>$C$13*1/4</f>
        <v>-1039937.5</v>
      </c>
      <c r="J13" s="685">
        <f>$C$13*1/4</f>
        <v>-1039937.5</v>
      </c>
      <c r="K13" s="685"/>
      <c r="L13" s="685"/>
      <c r="M13" s="685"/>
      <c r="N13" s="685">
        <v>0</v>
      </c>
      <c r="O13" s="685">
        <v>0</v>
      </c>
      <c r="P13" s="697">
        <v>0</v>
      </c>
      <c r="Q13" s="730">
        <v>0</v>
      </c>
      <c r="R13" s="685">
        <v>0</v>
      </c>
      <c r="S13" s="685">
        <v>0</v>
      </c>
      <c r="T13" s="685">
        <v>0</v>
      </c>
      <c r="U13" s="685">
        <v>0</v>
      </c>
      <c r="V13" s="685"/>
      <c r="W13" s="685"/>
      <c r="X13" s="685"/>
      <c r="Y13" s="685"/>
      <c r="Z13" s="685"/>
      <c r="AA13" s="685"/>
      <c r="AB13" s="311"/>
      <c r="AC13" s="280"/>
      <c r="AD13" s="310"/>
      <c r="AE13" s="310"/>
      <c r="AF13" s="310"/>
      <c r="AG13" s="310"/>
      <c r="AH13" s="310"/>
      <c r="AI13" s="310"/>
      <c r="AJ13" s="310"/>
      <c r="AK13" s="310"/>
      <c r="AL13" s="310"/>
      <c r="AM13" s="310"/>
      <c r="AN13" s="311"/>
      <c r="AO13" s="280"/>
      <c r="AP13" s="310"/>
      <c r="AQ13" s="310"/>
      <c r="AR13" s="310"/>
      <c r="AS13" s="310"/>
      <c r="AT13" s="310"/>
      <c r="AU13" s="310"/>
      <c r="AV13" s="310"/>
      <c r="AW13" s="310"/>
      <c r="AX13" s="310"/>
      <c r="AY13" s="310"/>
      <c r="AZ13" s="311"/>
      <c r="BA13" s="280"/>
      <c r="BB13" s="310"/>
      <c r="BC13" s="310"/>
      <c r="BD13" s="310"/>
      <c r="BE13" s="310"/>
      <c r="BF13" s="310"/>
      <c r="BG13" s="310"/>
      <c r="BH13" s="310"/>
      <c r="BI13" s="310"/>
      <c r="BJ13" s="310"/>
      <c r="BK13" s="310"/>
      <c r="BL13" s="311"/>
      <c r="BM13" s="28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1"/>
      <c r="BY13" s="28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1"/>
      <c r="CK13" s="28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1"/>
      <c r="CW13" s="280"/>
      <c r="CX13" s="310"/>
      <c r="CY13" s="310"/>
      <c r="CZ13" s="310"/>
      <c r="DA13" s="310"/>
      <c r="DB13" s="310"/>
      <c r="DC13" s="310"/>
      <c r="DD13" s="310"/>
      <c r="DE13" s="310"/>
      <c r="DF13" s="310"/>
      <c r="DG13" s="310"/>
      <c r="DH13" s="311"/>
      <c r="DI13" s="280"/>
      <c r="DJ13" s="310"/>
      <c r="DK13" s="310"/>
      <c r="DL13" s="310"/>
      <c r="DM13" s="310"/>
      <c r="DN13" s="310"/>
      <c r="DO13" s="310"/>
      <c r="DP13" s="310"/>
      <c r="DQ13" s="310"/>
      <c r="DR13" s="310"/>
      <c r="DS13" s="310"/>
      <c r="DT13" s="311"/>
    </row>
    <row r="14" spans="1:132" ht="18.75" customHeight="1" x14ac:dyDescent="0.25">
      <c r="A14" s="609" t="s">
        <v>1389</v>
      </c>
      <c r="B14" s="610"/>
      <c r="C14" s="108">
        <f>-'Capex Summary Sheet'!F10</f>
        <v>-8164190.9933770886</v>
      </c>
      <c r="D14" s="268"/>
      <c r="E14" s="685"/>
      <c r="F14" s="685"/>
      <c r="G14" s="685"/>
      <c r="H14" s="685"/>
      <c r="I14" s="685"/>
      <c r="J14" s="685"/>
      <c r="K14" s="685"/>
      <c r="L14" s="685"/>
      <c r="M14" s="685">
        <f t="shared" ref="M14:R14" si="1">$C$14*1/6</f>
        <v>-1360698.4988961814</v>
      </c>
      <c r="N14" s="685">
        <f t="shared" si="1"/>
        <v>-1360698.4988961814</v>
      </c>
      <c r="O14" s="685">
        <f t="shared" si="1"/>
        <v>-1360698.4988961814</v>
      </c>
      <c r="P14" s="697">
        <f t="shared" si="1"/>
        <v>-1360698.4988961814</v>
      </c>
      <c r="Q14" s="730">
        <f t="shared" si="1"/>
        <v>-1360698.4988961814</v>
      </c>
      <c r="R14" s="685">
        <f t="shared" si="1"/>
        <v>-1360698.4988961814</v>
      </c>
      <c r="S14" s="310"/>
      <c r="T14" s="310"/>
      <c r="U14" s="310"/>
      <c r="V14" s="310"/>
      <c r="W14" s="310"/>
      <c r="X14" s="310"/>
      <c r="Y14" s="310"/>
      <c r="Z14" s="310"/>
      <c r="AA14" s="310"/>
      <c r="AB14" s="311"/>
      <c r="AC14" s="28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1"/>
      <c r="AO14" s="28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1"/>
      <c r="BA14" s="28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1"/>
      <c r="BM14" s="280"/>
      <c r="BN14" s="310"/>
      <c r="BO14" s="310"/>
      <c r="BP14" s="310"/>
      <c r="BQ14" s="310"/>
      <c r="BR14" s="310"/>
      <c r="BS14" s="310"/>
      <c r="BT14" s="310"/>
      <c r="BU14" s="310"/>
      <c r="BV14" s="310"/>
      <c r="BW14" s="310"/>
      <c r="BX14" s="311"/>
      <c r="BY14" s="280"/>
      <c r="BZ14" s="310"/>
      <c r="CA14" s="310"/>
      <c r="CB14" s="310"/>
      <c r="CC14" s="310"/>
      <c r="CD14" s="310"/>
      <c r="CE14" s="310"/>
      <c r="CF14" s="310"/>
      <c r="CG14" s="310"/>
      <c r="CH14" s="310"/>
      <c r="CI14" s="310"/>
      <c r="CJ14" s="311"/>
      <c r="CK14" s="280"/>
      <c r="CL14" s="310"/>
      <c r="CM14" s="310"/>
      <c r="CN14" s="310"/>
      <c r="CO14" s="310"/>
      <c r="CP14" s="310"/>
      <c r="CQ14" s="310"/>
      <c r="CR14" s="310"/>
      <c r="CS14" s="310"/>
      <c r="CT14" s="310"/>
      <c r="CU14" s="310"/>
      <c r="CV14" s="311"/>
      <c r="CW14" s="280"/>
      <c r="CX14" s="310"/>
      <c r="CY14" s="310"/>
      <c r="CZ14" s="310"/>
      <c r="DA14" s="310"/>
      <c r="DB14" s="310"/>
      <c r="DC14" s="310"/>
      <c r="DD14" s="310"/>
      <c r="DE14" s="310"/>
      <c r="DF14" s="310"/>
      <c r="DG14" s="310"/>
      <c r="DH14" s="311"/>
      <c r="DI14" s="280"/>
      <c r="DJ14" s="310"/>
      <c r="DK14" s="310"/>
      <c r="DL14" s="310"/>
      <c r="DM14" s="310"/>
      <c r="DN14" s="310"/>
      <c r="DO14" s="310"/>
      <c r="DP14" s="310"/>
      <c r="DQ14" s="310"/>
      <c r="DR14" s="310"/>
      <c r="DS14" s="310"/>
      <c r="DT14" s="311"/>
    </row>
    <row r="15" spans="1:132" ht="18.75" customHeight="1" x14ac:dyDescent="0.25">
      <c r="A15" s="609" t="s">
        <v>1390</v>
      </c>
      <c r="B15" s="610"/>
      <c r="C15" s="108">
        <f>-'Capex Summary Sheet'!F11</f>
        <v>-12071770</v>
      </c>
      <c r="D15" s="268"/>
      <c r="E15" s="685"/>
      <c r="F15" s="685"/>
      <c r="G15" s="685"/>
      <c r="H15" s="685"/>
      <c r="I15" s="685"/>
      <c r="J15" s="685"/>
      <c r="K15" s="685"/>
      <c r="L15" s="685"/>
      <c r="M15" s="685"/>
      <c r="N15" s="310"/>
      <c r="O15" s="310"/>
      <c r="P15" s="311"/>
      <c r="Q15" s="280"/>
      <c r="R15" s="310"/>
      <c r="S15" s="310"/>
      <c r="T15" s="310"/>
      <c r="U15" s="310"/>
      <c r="V15" s="310"/>
      <c r="W15" s="310"/>
      <c r="X15" s="310"/>
      <c r="Y15" s="310"/>
      <c r="Z15" s="310"/>
      <c r="AA15" s="310">
        <f>$C$15*1/18</f>
        <v>-670653.88888888888</v>
      </c>
      <c r="AB15" s="311">
        <f t="shared" ref="AB15:AQ15" si="2">$C$15*1/18</f>
        <v>-670653.88888888888</v>
      </c>
      <c r="AC15" s="280">
        <f t="shared" si="2"/>
        <v>-670653.88888888888</v>
      </c>
      <c r="AD15" s="310">
        <f t="shared" si="2"/>
        <v>-670653.88888888888</v>
      </c>
      <c r="AE15" s="310">
        <f t="shared" si="2"/>
        <v>-670653.88888888888</v>
      </c>
      <c r="AF15" s="310">
        <f>$C$15*1/18</f>
        <v>-670653.88888888888</v>
      </c>
      <c r="AG15" s="310">
        <f t="shared" si="2"/>
        <v>-670653.88888888888</v>
      </c>
      <c r="AH15" s="310">
        <f t="shared" si="2"/>
        <v>-670653.88888888888</v>
      </c>
      <c r="AI15" s="310">
        <f>$C$15*1/18</f>
        <v>-670653.88888888888</v>
      </c>
      <c r="AJ15" s="310">
        <f t="shared" si="2"/>
        <v>-670653.88888888888</v>
      </c>
      <c r="AK15" s="310">
        <f t="shared" si="2"/>
        <v>-670653.88888888888</v>
      </c>
      <c r="AL15" s="310">
        <f t="shared" si="2"/>
        <v>-670653.88888888888</v>
      </c>
      <c r="AM15" s="310">
        <f t="shared" si="2"/>
        <v>-670653.88888888888</v>
      </c>
      <c r="AN15" s="311">
        <f>$C$15*1/18</f>
        <v>-670653.88888888888</v>
      </c>
      <c r="AO15" s="280">
        <f t="shared" si="2"/>
        <v>-670653.88888888888</v>
      </c>
      <c r="AP15" s="310">
        <f>$C$15*1/18</f>
        <v>-670653.88888888888</v>
      </c>
      <c r="AQ15" s="310">
        <f t="shared" si="2"/>
        <v>-670653.88888888888</v>
      </c>
      <c r="AR15" s="310">
        <f>$C$15*1/18</f>
        <v>-670653.88888888888</v>
      </c>
      <c r="AS15" s="310"/>
      <c r="AT15" s="310"/>
      <c r="AU15" s="310"/>
      <c r="AV15" s="310"/>
      <c r="AW15" s="310"/>
      <c r="AX15" s="310"/>
      <c r="AY15" s="310"/>
      <c r="AZ15" s="311"/>
      <c r="BA15" s="280"/>
      <c r="BB15" s="310"/>
      <c r="BC15" s="310"/>
      <c r="BD15" s="310"/>
      <c r="BE15" s="310"/>
      <c r="BF15" s="310"/>
      <c r="BG15" s="310"/>
      <c r="BH15" s="310"/>
      <c r="BI15" s="310"/>
      <c r="BJ15" s="310"/>
      <c r="BK15" s="310"/>
      <c r="BL15" s="311"/>
      <c r="BM15" s="280"/>
      <c r="BN15" s="310"/>
      <c r="BO15" s="310"/>
      <c r="BP15" s="310"/>
      <c r="BQ15" s="310"/>
      <c r="BR15" s="310"/>
      <c r="BS15" s="310"/>
      <c r="BT15" s="310"/>
      <c r="BU15" s="310"/>
      <c r="BV15" s="310"/>
      <c r="BW15" s="310"/>
      <c r="BX15" s="311"/>
      <c r="BY15" s="280"/>
      <c r="BZ15" s="310"/>
      <c r="CA15" s="310"/>
      <c r="CB15" s="310"/>
      <c r="CC15" s="310"/>
      <c r="CD15" s="310"/>
      <c r="CE15" s="310"/>
      <c r="CF15" s="310"/>
      <c r="CG15" s="310"/>
      <c r="CH15" s="310"/>
      <c r="CI15" s="310"/>
      <c r="CJ15" s="311"/>
      <c r="CK15" s="280"/>
      <c r="CL15" s="310"/>
      <c r="CM15" s="310"/>
      <c r="CN15" s="310"/>
      <c r="CO15" s="310"/>
      <c r="CP15" s="310"/>
      <c r="CQ15" s="310"/>
      <c r="CR15" s="310"/>
      <c r="CS15" s="310"/>
      <c r="CT15" s="310"/>
      <c r="CU15" s="310"/>
      <c r="CV15" s="311"/>
      <c r="CW15" s="280"/>
      <c r="CX15" s="310"/>
      <c r="CY15" s="310"/>
      <c r="CZ15" s="310"/>
      <c r="DA15" s="310"/>
      <c r="DB15" s="310"/>
      <c r="DC15" s="310"/>
      <c r="DD15" s="310"/>
      <c r="DE15" s="310"/>
      <c r="DF15" s="310"/>
      <c r="DG15" s="310"/>
      <c r="DH15" s="311"/>
      <c r="DI15" s="280"/>
      <c r="DJ15" s="310"/>
      <c r="DK15" s="310"/>
      <c r="DL15" s="310"/>
      <c r="DM15" s="310"/>
      <c r="DN15" s="310"/>
      <c r="DO15" s="310"/>
      <c r="DP15" s="310"/>
      <c r="DQ15" s="310"/>
      <c r="DR15" s="310"/>
      <c r="DS15" s="310"/>
      <c r="DT15" s="311"/>
    </row>
    <row r="16" spans="1:132" ht="18.75" customHeight="1" x14ac:dyDescent="0.25">
      <c r="A16" s="609" t="s">
        <v>592</v>
      </c>
      <c r="B16" s="610"/>
      <c r="C16" s="108">
        <f>-'Capex Summary Sheet'!F12</f>
        <v>-26982500</v>
      </c>
      <c r="D16" s="268"/>
      <c r="E16" s="685"/>
      <c r="F16" s="685"/>
      <c r="G16" s="685"/>
      <c r="H16" s="685"/>
      <c r="I16" s="685"/>
      <c r="J16" s="685"/>
      <c r="K16" s="685"/>
      <c r="L16" s="685"/>
      <c r="M16" s="685"/>
      <c r="N16" s="310"/>
      <c r="O16" s="310"/>
      <c r="P16" s="311"/>
      <c r="Q16" s="280">
        <f>$C$16*1/14</f>
        <v>-1927321.4285714286</v>
      </c>
      <c r="R16" s="280">
        <f t="shared" ref="R16:AD16" si="3">$C$16*1/14</f>
        <v>-1927321.4285714286</v>
      </c>
      <c r="S16" s="280">
        <f t="shared" si="3"/>
        <v>-1927321.4285714286</v>
      </c>
      <c r="T16" s="280">
        <f t="shared" si="3"/>
        <v>-1927321.4285714286</v>
      </c>
      <c r="U16" s="280">
        <f t="shared" si="3"/>
        <v>-1927321.4285714286</v>
      </c>
      <c r="V16" s="280">
        <f t="shared" si="3"/>
        <v>-1927321.4285714286</v>
      </c>
      <c r="W16" s="280">
        <f t="shared" si="3"/>
        <v>-1927321.4285714286</v>
      </c>
      <c r="X16" s="280">
        <f t="shared" si="3"/>
        <v>-1927321.4285714286</v>
      </c>
      <c r="Y16" s="280">
        <f t="shared" si="3"/>
        <v>-1927321.4285714286</v>
      </c>
      <c r="Z16" s="280">
        <f t="shared" si="3"/>
        <v>-1927321.4285714286</v>
      </c>
      <c r="AA16" s="280">
        <f t="shared" si="3"/>
        <v>-1927321.4285714286</v>
      </c>
      <c r="AB16" s="731">
        <f t="shared" si="3"/>
        <v>-1927321.4285714286</v>
      </c>
      <c r="AC16" s="280">
        <f t="shared" si="3"/>
        <v>-1927321.4285714286</v>
      </c>
      <c r="AD16" s="280">
        <f t="shared" si="3"/>
        <v>-1927321.4285714286</v>
      </c>
      <c r="AE16" s="310"/>
      <c r="AF16" s="310"/>
      <c r="AG16" s="310"/>
      <c r="AH16" s="310"/>
      <c r="AI16" s="310"/>
      <c r="AJ16" s="310"/>
      <c r="AK16" s="310"/>
      <c r="AL16" s="310"/>
      <c r="AM16" s="310"/>
      <c r="AN16" s="311"/>
      <c r="AO16" s="280"/>
      <c r="AP16" s="310"/>
      <c r="AQ16" s="310"/>
      <c r="AR16" s="310"/>
      <c r="AS16" s="310"/>
      <c r="AT16" s="310"/>
      <c r="AU16" s="310"/>
      <c r="AV16" s="310"/>
      <c r="AW16" s="310"/>
      <c r="AX16" s="310"/>
      <c r="AY16" s="310"/>
      <c r="AZ16" s="311"/>
      <c r="BA16" s="280"/>
      <c r="BB16" s="310"/>
      <c r="BC16" s="310"/>
      <c r="BD16" s="310"/>
      <c r="BE16" s="310"/>
      <c r="BF16" s="310"/>
      <c r="BG16" s="310"/>
      <c r="BH16" s="310"/>
      <c r="BI16" s="310"/>
      <c r="BJ16" s="310"/>
      <c r="BK16" s="310"/>
      <c r="BL16" s="311"/>
      <c r="BM16" s="280"/>
      <c r="BN16" s="310"/>
      <c r="BO16" s="310"/>
      <c r="BP16" s="310"/>
      <c r="BQ16" s="310"/>
      <c r="BR16" s="310"/>
      <c r="BS16" s="310"/>
      <c r="BT16" s="310"/>
      <c r="BU16" s="310"/>
      <c r="BV16" s="310"/>
      <c r="BW16" s="310"/>
      <c r="BX16" s="311"/>
      <c r="BY16" s="280"/>
      <c r="BZ16" s="310"/>
      <c r="CA16" s="310"/>
      <c r="CB16" s="310"/>
      <c r="CC16" s="310"/>
      <c r="CD16" s="310"/>
      <c r="CE16" s="310"/>
      <c r="CF16" s="310"/>
      <c r="CG16" s="310"/>
      <c r="CH16" s="310"/>
      <c r="CI16" s="310"/>
      <c r="CJ16" s="311"/>
      <c r="CK16" s="280"/>
      <c r="CL16" s="310"/>
      <c r="CM16" s="310"/>
      <c r="CN16" s="310"/>
      <c r="CO16" s="310"/>
      <c r="CP16" s="310"/>
      <c r="CQ16" s="310"/>
      <c r="CR16" s="310"/>
      <c r="CS16" s="310"/>
      <c r="CT16" s="310"/>
      <c r="CU16" s="310"/>
      <c r="CV16" s="311"/>
      <c r="CW16" s="280"/>
      <c r="CX16" s="310"/>
      <c r="CY16" s="310"/>
      <c r="CZ16" s="310"/>
      <c r="DA16" s="310"/>
      <c r="DB16" s="310"/>
      <c r="DC16" s="310"/>
      <c r="DD16" s="310"/>
      <c r="DE16" s="310"/>
      <c r="DF16" s="310"/>
      <c r="DG16" s="310"/>
      <c r="DH16" s="311"/>
      <c r="DI16" s="280"/>
      <c r="DJ16" s="310"/>
      <c r="DK16" s="310"/>
      <c r="DL16" s="310"/>
      <c r="DM16" s="310"/>
      <c r="DN16" s="310"/>
      <c r="DO16" s="310"/>
      <c r="DP16" s="310"/>
      <c r="DQ16" s="310"/>
      <c r="DR16" s="310"/>
      <c r="DS16" s="310"/>
      <c r="DT16" s="311"/>
    </row>
    <row r="17" spans="1:124" ht="18.75" customHeight="1" x14ac:dyDescent="0.25">
      <c r="A17" s="609" t="s">
        <v>593</v>
      </c>
      <c r="B17" s="610"/>
      <c r="C17" s="108">
        <f>-'Capex Summary Sheet'!F13</f>
        <v>-1000000</v>
      </c>
      <c r="D17" s="268"/>
      <c r="E17" s="685">
        <f>$C$17*1/36</f>
        <v>-27777.777777777777</v>
      </c>
      <c r="F17" s="685">
        <f t="shared" ref="F17:AN17" si="4">$C$17*1/36</f>
        <v>-27777.777777777777</v>
      </c>
      <c r="G17" s="685">
        <f t="shared" si="4"/>
        <v>-27777.777777777777</v>
      </c>
      <c r="H17" s="685">
        <f t="shared" si="4"/>
        <v>-27777.777777777777</v>
      </c>
      <c r="I17" s="685">
        <f t="shared" si="4"/>
        <v>-27777.777777777777</v>
      </c>
      <c r="J17" s="685">
        <f t="shared" si="4"/>
        <v>-27777.777777777777</v>
      </c>
      <c r="K17" s="685">
        <f t="shared" si="4"/>
        <v>-27777.777777777777</v>
      </c>
      <c r="L17" s="685">
        <f t="shared" si="4"/>
        <v>-27777.777777777777</v>
      </c>
      <c r="M17" s="685">
        <f t="shared" si="4"/>
        <v>-27777.777777777777</v>
      </c>
      <c r="N17" s="685">
        <f t="shared" si="4"/>
        <v>-27777.777777777777</v>
      </c>
      <c r="O17" s="685">
        <f t="shared" si="4"/>
        <v>-27777.777777777777</v>
      </c>
      <c r="P17" s="697">
        <f t="shared" si="4"/>
        <v>-27777.777777777777</v>
      </c>
      <c r="Q17" s="730">
        <f t="shared" si="4"/>
        <v>-27777.777777777777</v>
      </c>
      <c r="R17" s="685">
        <f t="shared" si="4"/>
        <v>-27777.777777777777</v>
      </c>
      <c r="S17" s="685">
        <f t="shared" si="4"/>
        <v>-27777.777777777777</v>
      </c>
      <c r="T17" s="685">
        <f t="shared" si="4"/>
        <v>-27777.777777777777</v>
      </c>
      <c r="U17" s="685">
        <f t="shared" si="4"/>
        <v>-27777.777777777777</v>
      </c>
      <c r="V17" s="685">
        <f t="shared" si="4"/>
        <v>-27777.777777777777</v>
      </c>
      <c r="W17" s="685">
        <f t="shared" si="4"/>
        <v>-27777.777777777777</v>
      </c>
      <c r="X17" s="685">
        <f t="shared" si="4"/>
        <v>-27777.777777777777</v>
      </c>
      <c r="Y17" s="685">
        <f t="shared" si="4"/>
        <v>-27777.777777777777</v>
      </c>
      <c r="Z17" s="685">
        <f t="shared" si="4"/>
        <v>-27777.777777777777</v>
      </c>
      <c r="AA17" s="685">
        <f t="shared" si="4"/>
        <v>-27777.777777777777</v>
      </c>
      <c r="AB17" s="697">
        <f t="shared" si="4"/>
        <v>-27777.777777777777</v>
      </c>
      <c r="AC17" s="730">
        <f t="shared" si="4"/>
        <v>-27777.777777777777</v>
      </c>
      <c r="AD17" s="685">
        <f t="shared" si="4"/>
        <v>-27777.777777777777</v>
      </c>
      <c r="AE17" s="685">
        <f t="shared" si="4"/>
        <v>-27777.777777777777</v>
      </c>
      <c r="AF17" s="685">
        <f t="shared" si="4"/>
        <v>-27777.777777777777</v>
      </c>
      <c r="AG17" s="685">
        <f t="shared" si="4"/>
        <v>-27777.777777777777</v>
      </c>
      <c r="AH17" s="685">
        <f t="shared" si="4"/>
        <v>-27777.777777777777</v>
      </c>
      <c r="AI17" s="685">
        <f t="shared" si="4"/>
        <v>-27777.777777777777</v>
      </c>
      <c r="AJ17" s="685">
        <f t="shared" si="4"/>
        <v>-27777.777777777777</v>
      </c>
      <c r="AK17" s="685">
        <f t="shared" si="4"/>
        <v>-27777.777777777777</v>
      </c>
      <c r="AL17" s="685">
        <f t="shared" si="4"/>
        <v>-27777.777777777777</v>
      </c>
      <c r="AM17" s="685">
        <f t="shared" si="4"/>
        <v>-27777.777777777777</v>
      </c>
      <c r="AN17" s="697">
        <f t="shared" si="4"/>
        <v>-27777.777777777777</v>
      </c>
      <c r="AO17" s="730"/>
      <c r="AP17" s="685"/>
      <c r="AQ17" s="685"/>
      <c r="AR17" s="685"/>
      <c r="AS17" s="310"/>
      <c r="AT17" s="310"/>
      <c r="AU17" s="310"/>
      <c r="AV17" s="310"/>
      <c r="AW17" s="310"/>
      <c r="AX17" s="310"/>
      <c r="AY17" s="310"/>
      <c r="AZ17" s="311"/>
      <c r="BA17" s="280"/>
      <c r="BB17" s="310"/>
      <c r="BC17" s="310"/>
      <c r="BD17" s="310"/>
      <c r="BE17" s="310"/>
      <c r="BF17" s="310"/>
      <c r="BG17" s="310"/>
      <c r="BH17" s="310"/>
      <c r="BI17" s="310"/>
      <c r="BJ17" s="310"/>
      <c r="BK17" s="310"/>
      <c r="BL17" s="311"/>
      <c r="BM17" s="280"/>
      <c r="BN17" s="310"/>
      <c r="BO17" s="310"/>
      <c r="BP17" s="310"/>
      <c r="BQ17" s="310"/>
      <c r="BR17" s="310"/>
      <c r="BS17" s="310"/>
      <c r="BT17" s="310"/>
      <c r="BU17" s="310"/>
      <c r="BV17" s="310"/>
      <c r="BW17" s="310"/>
      <c r="BX17" s="311"/>
      <c r="BY17" s="280"/>
      <c r="BZ17" s="310"/>
      <c r="CA17" s="310"/>
      <c r="CB17" s="310"/>
      <c r="CC17" s="310"/>
      <c r="CD17" s="310"/>
      <c r="CE17" s="310"/>
      <c r="CF17" s="310"/>
      <c r="CG17" s="310"/>
      <c r="CH17" s="310"/>
      <c r="CI17" s="310"/>
      <c r="CJ17" s="311"/>
      <c r="CK17" s="280"/>
      <c r="CL17" s="310"/>
      <c r="CM17" s="310"/>
      <c r="CN17" s="310"/>
      <c r="CO17" s="310"/>
      <c r="CP17" s="310"/>
      <c r="CQ17" s="310"/>
      <c r="CR17" s="310"/>
      <c r="CS17" s="310"/>
      <c r="CT17" s="310"/>
      <c r="CU17" s="310"/>
      <c r="CV17" s="311"/>
      <c r="CW17" s="280"/>
      <c r="CX17" s="310"/>
      <c r="CY17" s="310"/>
      <c r="CZ17" s="310"/>
      <c r="DA17" s="310"/>
      <c r="DB17" s="310"/>
      <c r="DC17" s="310"/>
      <c r="DD17" s="310"/>
      <c r="DE17" s="310"/>
      <c r="DF17" s="310"/>
      <c r="DG17" s="310"/>
      <c r="DH17" s="311"/>
      <c r="DI17" s="280"/>
      <c r="DJ17" s="310"/>
      <c r="DK17" s="310"/>
      <c r="DL17" s="310"/>
      <c r="DM17" s="310"/>
      <c r="DN17" s="310"/>
      <c r="DO17" s="310"/>
      <c r="DP17" s="310"/>
      <c r="DQ17" s="310"/>
      <c r="DR17" s="310"/>
      <c r="DS17" s="310"/>
      <c r="DT17" s="311"/>
    </row>
    <row r="18" spans="1:124" ht="18.75" customHeight="1" x14ac:dyDescent="0.25">
      <c r="A18" s="609" t="s">
        <v>594</v>
      </c>
      <c r="B18" s="610"/>
      <c r="C18" s="108">
        <f>-'Capex Summary Sheet'!F14</f>
        <v>-8808610.9043045957</v>
      </c>
      <c r="D18" s="268"/>
      <c r="E18" s="685">
        <f>$C$18*1/36</f>
        <v>-244683.63623068322</v>
      </c>
      <c r="F18" s="685">
        <f t="shared" ref="F18:AN18" si="5">$C$18*1/36</f>
        <v>-244683.63623068322</v>
      </c>
      <c r="G18" s="685">
        <f t="shared" si="5"/>
        <v>-244683.63623068322</v>
      </c>
      <c r="H18" s="685">
        <f t="shared" si="5"/>
        <v>-244683.63623068322</v>
      </c>
      <c r="I18" s="685">
        <f t="shared" si="5"/>
        <v>-244683.63623068322</v>
      </c>
      <c r="J18" s="685">
        <f t="shared" si="5"/>
        <v>-244683.63623068322</v>
      </c>
      <c r="K18" s="685">
        <f t="shared" si="5"/>
        <v>-244683.63623068322</v>
      </c>
      <c r="L18" s="685">
        <f t="shared" si="5"/>
        <v>-244683.63623068322</v>
      </c>
      <c r="M18" s="685">
        <f t="shared" si="5"/>
        <v>-244683.63623068322</v>
      </c>
      <c r="N18" s="685">
        <f t="shared" si="5"/>
        <v>-244683.63623068322</v>
      </c>
      <c r="O18" s="685">
        <f t="shared" si="5"/>
        <v>-244683.63623068322</v>
      </c>
      <c r="P18" s="697">
        <f t="shared" si="5"/>
        <v>-244683.63623068322</v>
      </c>
      <c r="Q18" s="730">
        <f t="shared" si="5"/>
        <v>-244683.63623068322</v>
      </c>
      <c r="R18" s="685">
        <f t="shared" si="5"/>
        <v>-244683.63623068322</v>
      </c>
      <c r="S18" s="685">
        <f t="shared" si="5"/>
        <v>-244683.63623068322</v>
      </c>
      <c r="T18" s="685">
        <f t="shared" si="5"/>
        <v>-244683.63623068322</v>
      </c>
      <c r="U18" s="685">
        <f t="shared" si="5"/>
        <v>-244683.63623068322</v>
      </c>
      <c r="V18" s="685">
        <f t="shared" si="5"/>
        <v>-244683.63623068322</v>
      </c>
      <c r="W18" s="685">
        <f t="shared" si="5"/>
        <v>-244683.63623068322</v>
      </c>
      <c r="X18" s="685">
        <f t="shared" si="5"/>
        <v>-244683.63623068322</v>
      </c>
      <c r="Y18" s="685">
        <f t="shared" si="5"/>
        <v>-244683.63623068322</v>
      </c>
      <c r="Z18" s="685">
        <f t="shared" si="5"/>
        <v>-244683.63623068322</v>
      </c>
      <c r="AA18" s="685">
        <f t="shared" si="5"/>
        <v>-244683.63623068322</v>
      </c>
      <c r="AB18" s="697">
        <f t="shared" si="5"/>
        <v>-244683.63623068322</v>
      </c>
      <c r="AC18" s="730">
        <f t="shared" si="5"/>
        <v>-244683.63623068322</v>
      </c>
      <c r="AD18" s="685">
        <f t="shared" si="5"/>
        <v>-244683.63623068322</v>
      </c>
      <c r="AE18" s="685">
        <f t="shared" si="5"/>
        <v>-244683.63623068322</v>
      </c>
      <c r="AF18" s="685">
        <f t="shared" si="5"/>
        <v>-244683.63623068322</v>
      </c>
      <c r="AG18" s="685">
        <f t="shared" si="5"/>
        <v>-244683.63623068322</v>
      </c>
      <c r="AH18" s="685">
        <f t="shared" si="5"/>
        <v>-244683.63623068322</v>
      </c>
      <c r="AI18" s="685">
        <f t="shared" si="5"/>
        <v>-244683.63623068322</v>
      </c>
      <c r="AJ18" s="685">
        <f t="shared" si="5"/>
        <v>-244683.63623068322</v>
      </c>
      <c r="AK18" s="685">
        <f t="shared" si="5"/>
        <v>-244683.63623068322</v>
      </c>
      <c r="AL18" s="685">
        <f t="shared" si="5"/>
        <v>-244683.63623068322</v>
      </c>
      <c r="AM18" s="685">
        <f t="shared" si="5"/>
        <v>-244683.63623068322</v>
      </c>
      <c r="AN18" s="697">
        <f t="shared" si="5"/>
        <v>-244683.63623068322</v>
      </c>
      <c r="AO18" s="730"/>
      <c r="AP18" s="685"/>
      <c r="AQ18" s="685"/>
      <c r="AR18" s="685"/>
      <c r="AS18" s="685"/>
      <c r="AT18" s="685"/>
      <c r="AU18" s="685"/>
      <c r="AV18" s="685"/>
      <c r="AW18" s="685"/>
      <c r="AX18" s="685"/>
      <c r="AY18" s="310"/>
      <c r="AZ18" s="311"/>
      <c r="BA18" s="280"/>
      <c r="BB18" s="310"/>
      <c r="BC18" s="310"/>
      <c r="BD18" s="310"/>
      <c r="BE18" s="310"/>
      <c r="BF18" s="310"/>
      <c r="BG18" s="310"/>
      <c r="BH18" s="310"/>
      <c r="BI18" s="310"/>
      <c r="BJ18" s="310"/>
      <c r="BK18" s="310"/>
      <c r="BL18" s="311"/>
      <c r="BM18" s="280"/>
      <c r="BN18" s="310"/>
      <c r="BO18" s="310"/>
      <c r="BP18" s="310"/>
      <c r="BQ18" s="310"/>
      <c r="BR18" s="310"/>
      <c r="BS18" s="310"/>
      <c r="BT18" s="310"/>
      <c r="BU18" s="310"/>
      <c r="BV18" s="310"/>
      <c r="BW18" s="310"/>
      <c r="BX18" s="311"/>
      <c r="BY18" s="280"/>
      <c r="BZ18" s="310"/>
      <c r="CA18" s="310"/>
      <c r="CB18" s="310"/>
      <c r="CC18" s="310"/>
      <c r="CD18" s="310"/>
      <c r="CE18" s="310"/>
      <c r="CF18" s="310"/>
      <c r="CG18" s="310"/>
      <c r="CH18" s="310"/>
      <c r="CI18" s="310"/>
      <c r="CJ18" s="311"/>
      <c r="CK18" s="280"/>
      <c r="CL18" s="310"/>
      <c r="CM18" s="310"/>
      <c r="CN18" s="310"/>
      <c r="CO18" s="310"/>
      <c r="CP18" s="310"/>
      <c r="CQ18" s="310"/>
      <c r="CR18" s="310"/>
      <c r="CS18" s="310"/>
      <c r="CT18" s="310"/>
      <c r="CU18" s="310"/>
      <c r="CV18" s="311"/>
      <c r="CW18" s="280"/>
      <c r="CX18" s="310"/>
      <c r="CY18" s="310"/>
      <c r="CZ18" s="310"/>
      <c r="DA18" s="310"/>
      <c r="DB18" s="310"/>
      <c r="DC18" s="310"/>
      <c r="DD18" s="310"/>
      <c r="DE18" s="310"/>
      <c r="DF18" s="310"/>
      <c r="DG18" s="310"/>
      <c r="DH18" s="311"/>
      <c r="DI18" s="280"/>
      <c r="DJ18" s="310"/>
      <c r="DK18" s="310"/>
      <c r="DL18" s="310"/>
      <c r="DM18" s="310"/>
      <c r="DN18" s="310"/>
      <c r="DO18" s="310"/>
      <c r="DP18" s="310"/>
      <c r="DQ18" s="310"/>
      <c r="DR18" s="310"/>
      <c r="DS18" s="310"/>
      <c r="DT18" s="311"/>
    </row>
    <row r="19" spans="1:124" ht="18.75" customHeight="1" x14ac:dyDescent="0.25">
      <c r="A19" s="253"/>
      <c r="B19" s="135"/>
      <c r="C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10"/>
      <c r="Q19" s="109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10"/>
      <c r="AC19" s="109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10"/>
      <c r="AO19" s="109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10"/>
      <c r="BA19" s="109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10"/>
      <c r="BM19" s="109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10"/>
      <c r="BY19" s="109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10"/>
      <c r="CK19" s="109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10"/>
      <c r="CW19" s="109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10"/>
      <c r="DI19" s="109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10"/>
    </row>
    <row r="20" spans="1:124" ht="18.75" customHeight="1" x14ac:dyDescent="0.25">
      <c r="A20" s="253" t="s">
        <v>354</v>
      </c>
      <c r="B20" s="469">
        <v>0.05</v>
      </c>
      <c r="C20" s="108">
        <f>SUM(E20:DT20)</f>
        <v>-5361380.1656291196</v>
      </c>
      <c r="E20" s="108">
        <f t="shared" ref="E20:AR20" si="6">SUM(E9:E19)*$B20</f>
        <v>-306409.6414454559</v>
      </c>
      <c r="F20" s="108">
        <f t="shared" si="6"/>
        <v>-263623.07070042304</v>
      </c>
      <c r="G20" s="108">
        <f t="shared" si="6"/>
        <v>-107819.94570042305</v>
      </c>
      <c r="H20" s="108">
        <f t="shared" si="6"/>
        <v>-379928.69570042309</v>
      </c>
      <c r="I20" s="108">
        <f t="shared" si="6"/>
        <v>-379928.69570042309</v>
      </c>
      <c r="J20" s="108">
        <f t="shared" si="6"/>
        <v>-337728.69570042309</v>
      </c>
      <c r="K20" s="108">
        <f t="shared" si="6"/>
        <v>-285731.82070042304</v>
      </c>
      <c r="L20" s="108">
        <f t="shared" si="6"/>
        <v>-285731.82070042304</v>
      </c>
      <c r="M20" s="108">
        <f t="shared" si="6"/>
        <v>-353766.74564523215</v>
      </c>
      <c r="N20" s="108">
        <f t="shared" si="6"/>
        <v>-81657.99564523212</v>
      </c>
      <c r="O20" s="108">
        <f t="shared" si="6"/>
        <v>-81657.99564523212</v>
      </c>
      <c r="P20" s="110">
        <f t="shared" si="6"/>
        <v>-81657.99564523212</v>
      </c>
      <c r="Q20" s="109">
        <f t="shared" si="6"/>
        <v>-178024.06707380357</v>
      </c>
      <c r="R20" s="108">
        <f t="shared" si="6"/>
        <v>-178024.06707380357</v>
      </c>
      <c r="S20" s="108">
        <f t="shared" si="6"/>
        <v>-109989.14212899448</v>
      </c>
      <c r="T20" s="108">
        <f t="shared" si="6"/>
        <v>-109989.14212899448</v>
      </c>
      <c r="U20" s="108">
        <f t="shared" si="6"/>
        <v>-109989.14212899448</v>
      </c>
      <c r="V20" s="108">
        <f t="shared" si="6"/>
        <v>-109989.14212899448</v>
      </c>
      <c r="W20" s="108">
        <f t="shared" si="6"/>
        <v>-109989.14212899448</v>
      </c>
      <c r="X20" s="108">
        <f t="shared" si="6"/>
        <v>-109989.14212899448</v>
      </c>
      <c r="Y20" s="108">
        <f t="shared" si="6"/>
        <v>-109989.14212899448</v>
      </c>
      <c r="Z20" s="108">
        <f t="shared" si="6"/>
        <v>-109989.14212899448</v>
      </c>
      <c r="AA20" s="108">
        <f t="shared" si="6"/>
        <v>-143521.83657343895</v>
      </c>
      <c r="AB20" s="110">
        <f t="shared" si="6"/>
        <v>-143521.83657343895</v>
      </c>
      <c r="AC20" s="109">
        <f t="shared" si="6"/>
        <v>-143521.83657343895</v>
      </c>
      <c r="AD20" s="108">
        <f t="shared" si="6"/>
        <v>-143521.83657343895</v>
      </c>
      <c r="AE20" s="108">
        <f t="shared" si="6"/>
        <v>-47155.765144867495</v>
      </c>
      <c r="AF20" s="108">
        <f t="shared" si="6"/>
        <v>-47155.765144867495</v>
      </c>
      <c r="AG20" s="108">
        <f t="shared" si="6"/>
        <v>-47155.765144867495</v>
      </c>
      <c r="AH20" s="108">
        <f t="shared" si="6"/>
        <v>-47155.765144867495</v>
      </c>
      <c r="AI20" s="108">
        <f t="shared" si="6"/>
        <v>-47155.765144867495</v>
      </c>
      <c r="AJ20" s="108">
        <f t="shared" si="6"/>
        <v>-47155.765144867495</v>
      </c>
      <c r="AK20" s="108">
        <f t="shared" si="6"/>
        <v>-47155.765144867495</v>
      </c>
      <c r="AL20" s="108">
        <f t="shared" si="6"/>
        <v>-47155.765144867495</v>
      </c>
      <c r="AM20" s="108">
        <f t="shared" si="6"/>
        <v>-47155.765144867495</v>
      </c>
      <c r="AN20" s="110">
        <f t="shared" si="6"/>
        <v>-47155.765144867495</v>
      </c>
      <c r="AO20" s="109">
        <f t="shared" si="6"/>
        <v>-33532.694444444445</v>
      </c>
      <c r="AP20" s="108">
        <f t="shared" si="6"/>
        <v>-33532.694444444445</v>
      </c>
      <c r="AQ20" s="108">
        <f t="shared" si="6"/>
        <v>-33532.694444444445</v>
      </c>
      <c r="AR20" s="108">
        <f t="shared" si="6"/>
        <v>-33532.694444444445</v>
      </c>
      <c r="AS20" s="108">
        <f t="shared" ref="AS20:BP20" si="7">SUM(AS9:AS19)*$B20</f>
        <v>0</v>
      </c>
      <c r="AT20" s="108">
        <f t="shared" si="7"/>
        <v>0</v>
      </c>
      <c r="AU20" s="108">
        <f t="shared" si="7"/>
        <v>0</v>
      </c>
      <c r="AV20" s="108">
        <f t="shared" si="7"/>
        <v>0</v>
      </c>
      <c r="AW20" s="108">
        <f t="shared" si="7"/>
        <v>0</v>
      </c>
      <c r="AX20" s="108">
        <f t="shared" si="7"/>
        <v>0</v>
      </c>
      <c r="AY20" s="108">
        <f t="shared" si="7"/>
        <v>0</v>
      </c>
      <c r="AZ20" s="110">
        <f t="shared" si="7"/>
        <v>0</v>
      </c>
      <c r="BA20" s="109">
        <f t="shared" si="7"/>
        <v>0</v>
      </c>
      <c r="BB20" s="108">
        <f t="shared" si="7"/>
        <v>0</v>
      </c>
      <c r="BC20" s="108">
        <f t="shared" si="7"/>
        <v>0</v>
      </c>
      <c r="BD20" s="108">
        <f t="shared" si="7"/>
        <v>0</v>
      </c>
      <c r="BE20" s="108">
        <f t="shared" si="7"/>
        <v>0</v>
      </c>
      <c r="BF20" s="108">
        <f t="shared" si="7"/>
        <v>0</v>
      </c>
      <c r="BG20" s="108">
        <f t="shared" si="7"/>
        <v>0</v>
      </c>
      <c r="BH20" s="108">
        <f t="shared" si="7"/>
        <v>0</v>
      </c>
      <c r="BI20" s="108">
        <f t="shared" si="7"/>
        <v>0</v>
      </c>
      <c r="BJ20" s="108">
        <f t="shared" si="7"/>
        <v>0</v>
      </c>
      <c r="BK20" s="108">
        <f t="shared" si="7"/>
        <v>0</v>
      </c>
      <c r="BL20" s="110">
        <f t="shared" si="7"/>
        <v>0</v>
      </c>
      <c r="BM20" s="109">
        <f t="shared" si="7"/>
        <v>0</v>
      </c>
      <c r="BN20" s="108">
        <f t="shared" si="7"/>
        <v>0</v>
      </c>
      <c r="BO20" s="108">
        <f t="shared" si="7"/>
        <v>0</v>
      </c>
      <c r="BP20" s="108">
        <f t="shared" si="7"/>
        <v>0</v>
      </c>
      <c r="BQ20" s="108">
        <f t="shared" ref="BQ20:CV20" si="8">SUM(BQ9:BQ19)*$B20</f>
        <v>0</v>
      </c>
      <c r="BR20" s="108">
        <f t="shared" si="8"/>
        <v>0</v>
      </c>
      <c r="BS20" s="108">
        <f t="shared" si="8"/>
        <v>0</v>
      </c>
      <c r="BT20" s="108">
        <f t="shared" si="8"/>
        <v>0</v>
      </c>
      <c r="BU20" s="108">
        <f t="shared" si="8"/>
        <v>0</v>
      </c>
      <c r="BV20" s="108">
        <f t="shared" si="8"/>
        <v>0</v>
      </c>
      <c r="BW20" s="108">
        <f t="shared" si="8"/>
        <v>0</v>
      </c>
      <c r="BX20" s="110">
        <f t="shared" si="8"/>
        <v>0</v>
      </c>
      <c r="BY20" s="109">
        <f t="shared" si="8"/>
        <v>0</v>
      </c>
      <c r="BZ20" s="108">
        <f t="shared" si="8"/>
        <v>0</v>
      </c>
      <c r="CA20" s="108">
        <f t="shared" si="8"/>
        <v>0</v>
      </c>
      <c r="CB20" s="108">
        <f t="shared" si="8"/>
        <v>0</v>
      </c>
      <c r="CC20" s="108">
        <f t="shared" si="8"/>
        <v>0</v>
      </c>
      <c r="CD20" s="108">
        <f t="shared" si="8"/>
        <v>0</v>
      </c>
      <c r="CE20" s="108">
        <f t="shared" si="8"/>
        <v>0</v>
      </c>
      <c r="CF20" s="108">
        <f t="shared" si="8"/>
        <v>0</v>
      </c>
      <c r="CG20" s="108">
        <f t="shared" si="8"/>
        <v>0</v>
      </c>
      <c r="CH20" s="108">
        <f t="shared" si="8"/>
        <v>0</v>
      </c>
      <c r="CI20" s="108">
        <f t="shared" si="8"/>
        <v>0</v>
      </c>
      <c r="CJ20" s="110">
        <f t="shared" si="8"/>
        <v>0</v>
      </c>
      <c r="CK20" s="109">
        <f t="shared" si="8"/>
        <v>0</v>
      </c>
      <c r="CL20" s="108">
        <f t="shared" si="8"/>
        <v>0</v>
      </c>
      <c r="CM20" s="108">
        <f t="shared" si="8"/>
        <v>0</v>
      </c>
      <c r="CN20" s="108">
        <f t="shared" si="8"/>
        <v>0</v>
      </c>
      <c r="CO20" s="108">
        <f t="shared" si="8"/>
        <v>0</v>
      </c>
      <c r="CP20" s="108">
        <f t="shared" si="8"/>
        <v>0</v>
      </c>
      <c r="CQ20" s="108">
        <f t="shared" si="8"/>
        <v>0</v>
      </c>
      <c r="CR20" s="108">
        <f t="shared" si="8"/>
        <v>0</v>
      </c>
      <c r="CS20" s="108">
        <f t="shared" si="8"/>
        <v>0</v>
      </c>
      <c r="CT20" s="108">
        <f t="shared" si="8"/>
        <v>0</v>
      </c>
      <c r="CU20" s="108">
        <f t="shared" si="8"/>
        <v>0</v>
      </c>
      <c r="CV20" s="110">
        <f t="shared" si="8"/>
        <v>0</v>
      </c>
      <c r="CW20" s="109">
        <f t="shared" ref="CW20:DT20" si="9">SUM(CW9:CW19)*$B20</f>
        <v>0</v>
      </c>
      <c r="CX20" s="108">
        <f t="shared" si="9"/>
        <v>0</v>
      </c>
      <c r="CY20" s="108">
        <f t="shared" si="9"/>
        <v>0</v>
      </c>
      <c r="CZ20" s="108">
        <f t="shared" si="9"/>
        <v>0</v>
      </c>
      <c r="DA20" s="108">
        <f t="shared" si="9"/>
        <v>0</v>
      </c>
      <c r="DB20" s="108">
        <f t="shared" si="9"/>
        <v>0</v>
      </c>
      <c r="DC20" s="108">
        <f t="shared" si="9"/>
        <v>0</v>
      </c>
      <c r="DD20" s="108">
        <f t="shared" si="9"/>
        <v>0</v>
      </c>
      <c r="DE20" s="108">
        <f t="shared" si="9"/>
        <v>0</v>
      </c>
      <c r="DF20" s="108">
        <f t="shared" si="9"/>
        <v>0</v>
      </c>
      <c r="DG20" s="108">
        <f t="shared" si="9"/>
        <v>0</v>
      </c>
      <c r="DH20" s="110">
        <f t="shared" si="9"/>
        <v>0</v>
      </c>
      <c r="DI20" s="109">
        <f t="shared" si="9"/>
        <v>0</v>
      </c>
      <c r="DJ20" s="108">
        <f t="shared" si="9"/>
        <v>0</v>
      </c>
      <c r="DK20" s="108">
        <f t="shared" si="9"/>
        <v>0</v>
      </c>
      <c r="DL20" s="108">
        <f t="shared" si="9"/>
        <v>0</v>
      </c>
      <c r="DM20" s="108">
        <f t="shared" si="9"/>
        <v>0</v>
      </c>
      <c r="DN20" s="108">
        <f t="shared" si="9"/>
        <v>0</v>
      </c>
      <c r="DO20" s="108">
        <f t="shared" si="9"/>
        <v>0</v>
      </c>
      <c r="DP20" s="108">
        <f t="shared" si="9"/>
        <v>0</v>
      </c>
      <c r="DQ20" s="108">
        <f t="shared" si="9"/>
        <v>0</v>
      </c>
      <c r="DR20" s="108">
        <f t="shared" si="9"/>
        <v>0</v>
      </c>
      <c r="DS20" s="108">
        <f t="shared" si="9"/>
        <v>0</v>
      </c>
      <c r="DT20" s="110">
        <f t="shared" si="9"/>
        <v>0</v>
      </c>
    </row>
    <row r="21" spans="1:124" ht="18.75" customHeight="1" x14ac:dyDescent="0.25">
      <c r="A21" s="253" t="s">
        <v>355</v>
      </c>
      <c r="B21" s="469" t="s">
        <v>365</v>
      </c>
      <c r="C21" s="108"/>
      <c r="E21" s="108"/>
      <c r="F21" s="108"/>
      <c r="G21" s="108">
        <f t="shared" ref="G21:P21" si="10">SUM(G17:G19)*(G6-1)</f>
        <v>0</v>
      </c>
      <c r="H21" s="108">
        <f t="shared" si="10"/>
        <v>0</v>
      </c>
      <c r="I21" s="108">
        <f t="shared" si="10"/>
        <v>0</v>
      </c>
      <c r="J21" s="108">
        <f t="shared" si="10"/>
        <v>0</v>
      </c>
      <c r="K21" s="108">
        <f t="shared" si="10"/>
        <v>0</v>
      </c>
      <c r="L21" s="108">
        <f t="shared" si="10"/>
        <v>0</v>
      </c>
      <c r="M21" s="108">
        <f t="shared" si="10"/>
        <v>0</v>
      </c>
      <c r="N21" s="108">
        <f t="shared" si="10"/>
        <v>0</v>
      </c>
      <c r="O21" s="108">
        <f t="shared" si="10"/>
        <v>0</v>
      </c>
      <c r="P21" s="110">
        <f t="shared" si="10"/>
        <v>0</v>
      </c>
      <c r="Q21" s="109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10"/>
      <c r="AC21" s="109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10"/>
      <c r="AO21" s="109">
        <f t="shared" ref="AO21:BP21" si="11">SUM(AO17:AO19)*(AO6-1)</f>
        <v>0</v>
      </c>
      <c r="AP21" s="108">
        <f t="shared" si="11"/>
        <v>0</v>
      </c>
      <c r="AQ21" s="108">
        <f t="shared" si="11"/>
        <v>0</v>
      </c>
      <c r="AR21" s="108">
        <f t="shared" si="11"/>
        <v>0</v>
      </c>
      <c r="AS21" s="108">
        <f t="shared" si="11"/>
        <v>0</v>
      </c>
      <c r="AT21" s="108">
        <f t="shared" si="11"/>
        <v>0</v>
      </c>
      <c r="AU21" s="108">
        <f t="shared" si="11"/>
        <v>0</v>
      </c>
      <c r="AV21" s="108">
        <f t="shared" si="11"/>
        <v>0</v>
      </c>
      <c r="AW21" s="108">
        <f t="shared" si="11"/>
        <v>0</v>
      </c>
      <c r="AX21" s="108">
        <f t="shared" si="11"/>
        <v>0</v>
      </c>
      <c r="AY21" s="108">
        <f t="shared" si="11"/>
        <v>0</v>
      </c>
      <c r="AZ21" s="110">
        <f t="shared" si="11"/>
        <v>0</v>
      </c>
      <c r="BA21" s="109">
        <f t="shared" si="11"/>
        <v>0</v>
      </c>
      <c r="BB21" s="108">
        <f t="shared" si="11"/>
        <v>0</v>
      </c>
      <c r="BC21" s="108">
        <f t="shared" si="11"/>
        <v>0</v>
      </c>
      <c r="BD21" s="108">
        <f t="shared" si="11"/>
        <v>0</v>
      </c>
      <c r="BE21" s="108">
        <f t="shared" si="11"/>
        <v>0</v>
      </c>
      <c r="BF21" s="108">
        <f t="shared" si="11"/>
        <v>0</v>
      </c>
      <c r="BG21" s="108">
        <f t="shared" si="11"/>
        <v>0</v>
      </c>
      <c r="BH21" s="108">
        <f t="shared" si="11"/>
        <v>0</v>
      </c>
      <c r="BI21" s="108">
        <f t="shared" si="11"/>
        <v>0</v>
      </c>
      <c r="BJ21" s="108">
        <f t="shared" si="11"/>
        <v>0</v>
      </c>
      <c r="BK21" s="108">
        <f t="shared" si="11"/>
        <v>0</v>
      </c>
      <c r="BL21" s="110">
        <f t="shared" si="11"/>
        <v>0</v>
      </c>
      <c r="BM21" s="109">
        <f t="shared" si="11"/>
        <v>0</v>
      </c>
      <c r="BN21" s="108">
        <f t="shared" si="11"/>
        <v>0</v>
      </c>
      <c r="BO21" s="108">
        <f t="shared" si="11"/>
        <v>0</v>
      </c>
      <c r="BP21" s="108">
        <f t="shared" si="11"/>
        <v>0</v>
      </c>
      <c r="BQ21" s="108">
        <f t="shared" ref="BQ21:CV21" si="12">SUM(BQ17:BQ19)*(BQ6-1)</f>
        <v>0</v>
      </c>
      <c r="BR21" s="108">
        <f t="shared" si="12"/>
        <v>0</v>
      </c>
      <c r="BS21" s="108">
        <f t="shared" si="12"/>
        <v>0</v>
      </c>
      <c r="BT21" s="108">
        <f t="shared" si="12"/>
        <v>0</v>
      </c>
      <c r="BU21" s="108">
        <f t="shared" si="12"/>
        <v>0</v>
      </c>
      <c r="BV21" s="108">
        <f t="shared" si="12"/>
        <v>0</v>
      </c>
      <c r="BW21" s="108">
        <f t="shared" si="12"/>
        <v>0</v>
      </c>
      <c r="BX21" s="110">
        <f t="shared" si="12"/>
        <v>0</v>
      </c>
      <c r="BY21" s="109">
        <f t="shared" si="12"/>
        <v>0</v>
      </c>
      <c r="BZ21" s="108">
        <f t="shared" si="12"/>
        <v>0</v>
      </c>
      <c r="CA21" s="108">
        <f t="shared" si="12"/>
        <v>0</v>
      </c>
      <c r="CB21" s="108">
        <f t="shared" si="12"/>
        <v>0</v>
      </c>
      <c r="CC21" s="108">
        <f t="shared" si="12"/>
        <v>0</v>
      </c>
      <c r="CD21" s="108">
        <f t="shared" si="12"/>
        <v>0</v>
      </c>
      <c r="CE21" s="108">
        <f t="shared" si="12"/>
        <v>0</v>
      </c>
      <c r="CF21" s="108">
        <f t="shared" si="12"/>
        <v>0</v>
      </c>
      <c r="CG21" s="108">
        <f t="shared" si="12"/>
        <v>0</v>
      </c>
      <c r="CH21" s="108">
        <f t="shared" si="12"/>
        <v>0</v>
      </c>
      <c r="CI21" s="108">
        <f t="shared" si="12"/>
        <v>0</v>
      </c>
      <c r="CJ21" s="110">
        <f t="shared" si="12"/>
        <v>0</v>
      </c>
      <c r="CK21" s="109">
        <f t="shared" si="12"/>
        <v>0</v>
      </c>
      <c r="CL21" s="108">
        <f t="shared" si="12"/>
        <v>0</v>
      </c>
      <c r="CM21" s="108">
        <f t="shared" si="12"/>
        <v>0</v>
      </c>
      <c r="CN21" s="108">
        <f t="shared" si="12"/>
        <v>0</v>
      </c>
      <c r="CO21" s="108">
        <f t="shared" si="12"/>
        <v>0</v>
      </c>
      <c r="CP21" s="108">
        <f t="shared" si="12"/>
        <v>0</v>
      </c>
      <c r="CQ21" s="108">
        <f t="shared" si="12"/>
        <v>0</v>
      </c>
      <c r="CR21" s="108">
        <f t="shared" si="12"/>
        <v>0</v>
      </c>
      <c r="CS21" s="108">
        <f t="shared" si="12"/>
        <v>0</v>
      </c>
      <c r="CT21" s="108">
        <f t="shared" si="12"/>
        <v>0</v>
      </c>
      <c r="CU21" s="108">
        <f t="shared" si="12"/>
        <v>0</v>
      </c>
      <c r="CV21" s="110">
        <f t="shared" si="12"/>
        <v>0</v>
      </c>
      <c r="CW21" s="109">
        <f t="shared" ref="CW21:DT21" si="13">SUM(CW17:CW19)*(CW6-1)</f>
        <v>0</v>
      </c>
      <c r="CX21" s="108">
        <f t="shared" si="13"/>
        <v>0</v>
      </c>
      <c r="CY21" s="108">
        <f t="shared" si="13"/>
        <v>0</v>
      </c>
      <c r="CZ21" s="108">
        <f t="shared" si="13"/>
        <v>0</v>
      </c>
      <c r="DA21" s="108">
        <f t="shared" si="13"/>
        <v>0</v>
      </c>
      <c r="DB21" s="108">
        <f t="shared" si="13"/>
        <v>0</v>
      </c>
      <c r="DC21" s="108">
        <f t="shared" si="13"/>
        <v>0</v>
      </c>
      <c r="DD21" s="108">
        <f t="shared" si="13"/>
        <v>0</v>
      </c>
      <c r="DE21" s="108">
        <f t="shared" si="13"/>
        <v>0</v>
      </c>
      <c r="DF21" s="108">
        <f t="shared" si="13"/>
        <v>0</v>
      </c>
      <c r="DG21" s="108">
        <f t="shared" si="13"/>
        <v>0</v>
      </c>
      <c r="DH21" s="110">
        <f t="shared" si="13"/>
        <v>0</v>
      </c>
      <c r="DI21" s="109">
        <f t="shared" si="13"/>
        <v>0</v>
      </c>
      <c r="DJ21" s="108">
        <f t="shared" si="13"/>
        <v>0</v>
      </c>
      <c r="DK21" s="108">
        <f t="shared" si="13"/>
        <v>0</v>
      </c>
      <c r="DL21" s="108">
        <f t="shared" si="13"/>
        <v>0</v>
      </c>
      <c r="DM21" s="108">
        <f t="shared" si="13"/>
        <v>0</v>
      </c>
      <c r="DN21" s="108">
        <f t="shared" si="13"/>
        <v>0</v>
      </c>
      <c r="DO21" s="108">
        <f t="shared" si="13"/>
        <v>0</v>
      </c>
      <c r="DP21" s="108">
        <f t="shared" si="13"/>
        <v>0</v>
      </c>
      <c r="DQ21" s="108">
        <f t="shared" si="13"/>
        <v>0</v>
      </c>
      <c r="DR21" s="108">
        <f t="shared" si="13"/>
        <v>0</v>
      </c>
      <c r="DS21" s="108">
        <f t="shared" si="13"/>
        <v>0</v>
      </c>
      <c r="DT21" s="110">
        <f t="shared" si="13"/>
        <v>0</v>
      </c>
    </row>
    <row r="22" spans="1:124" ht="18.75" customHeight="1" thickBot="1" x14ac:dyDescent="0.3">
      <c r="A22" s="167"/>
      <c r="B22" s="8"/>
      <c r="C22" s="10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606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606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606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606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606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606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606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606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606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606"/>
    </row>
    <row r="23" spans="1:124" s="6" customFormat="1" ht="26.25" customHeight="1" thickBot="1" x14ac:dyDescent="0.35">
      <c r="A23" s="1437" t="s">
        <v>116</v>
      </c>
      <c r="B23" s="1438"/>
      <c r="C23" s="478">
        <f>SUM(C9:C21)</f>
        <v>-112588983.47821146</v>
      </c>
      <c r="E23" s="232">
        <f t="shared" ref="E23:AJ23" si="14">SUM(E9:E21)</f>
        <v>-6434602.4703545738</v>
      </c>
      <c r="F23" s="232">
        <f t="shared" si="14"/>
        <v>-5536084.4847088838</v>
      </c>
      <c r="G23" s="232">
        <f t="shared" si="14"/>
        <v>-2264218.8597088838</v>
      </c>
      <c r="H23" s="232">
        <f t="shared" si="14"/>
        <v>-7978502.6097088838</v>
      </c>
      <c r="I23" s="232">
        <f t="shared" si="14"/>
        <v>-7978502.6097088838</v>
      </c>
      <c r="J23" s="232">
        <f t="shared" si="14"/>
        <v>-7092302.6097088838</v>
      </c>
      <c r="K23" s="232">
        <f t="shared" si="14"/>
        <v>-6000368.2347088838</v>
      </c>
      <c r="L23" s="232">
        <f t="shared" si="14"/>
        <v>-6000368.2347088838</v>
      </c>
      <c r="M23" s="232">
        <f t="shared" si="14"/>
        <v>-7429101.658549875</v>
      </c>
      <c r="N23" s="232">
        <f t="shared" si="14"/>
        <v>-1714817.9085498743</v>
      </c>
      <c r="O23" s="232">
        <f t="shared" si="14"/>
        <v>-1714817.9085498743</v>
      </c>
      <c r="P23" s="763">
        <f t="shared" si="14"/>
        <v>-1714817.9085498743</v>
      </c>
      <c r="Q23" s="232">
        <f t="shared" si="14"/>
        <v>-3738505.4085498746</v>
      </c>
      <c r="R23" s="232">
        <f t="shared" si="14"/>
        <v>-3738505.4085498746</v>
      </c>
      <c r="S23" s="232">
        <f t="shared" si="14"/>
        <v>-2309771.9847088843</v>
      </c>
      <c r="T23" s="232">
        <f t="shared" si="14"/>
        <v>-2309771.9847088843</v>
      </c>
      <c r="U23" s="232">
        <f t="shared" si="14"/>
        <v>-2309771.9847088843</v>
      </c>
      <c r="V23" s="232">
        <f t="shared" si="14"/>
        <v>-2309771.9847088843</v>
      </c>
      <c r="W23" s="232">
        <f t="shared" si="14"/>
        <v>-2309771.9847088843</v>
      </c>
      <c r="X23" s="232">
        <f t="shared" si="14"/>
        <v>-2309771.9847088843</v>
      </c>
      <c r="Y23" s="232">
        <f t="shared" si="14"/>
        <v>-2309771.9847088843</v>
      </c>
      <c r="Z23" s="232">
        <f t="shared" si="14"/>
        <v>-2309771.9847088843</v>
      </c>
      <c r="AA23" s="232">
        <f t="shared" si="14"/>
        <v>-3013958.5680422178</v>
      </c>
      <c r="AB23" s="763">
        <f t="shared" si="14"/>
        <v>-3013958.5680422178</v>
      </c>
      <c r="AC23" s="232">
        <f t="shared" si="14"/>
        <v>-3013958.5680422178</v>
      </c>
      <c r="AD23" s="232">
        <f t="shared" si="14"/>
        <v>-3013958.5680422178</v>
      </c>
      <c r="AE23" s="232">
        <f t="shared" si="14"/>
        <v>-990271.06804221729</v>
      </c>
      <c r="AF23" s="232">
        <f t="shared" si="14"/>
        <v>-990271.06804221729</v>
      </c>
      <c r="AG23" s="232">
        <f t="shared" si="14"/>
        <v>-990271.06804221729</v>
      </c>
      <c r="AH23" s="232">
        <f t="shared" si="14"/>
        <v>-990271.06804221729</v>
      </c>
      <c r="AI23" s="232">
        <f t="shared" si="14"/>
        <v>-990271.06804221729</v>
      </c>
      <c r="AJ23" s="232">
        <f t="shared" si="14"/>
        <v>-990271.06804221729</v>
      </c>
      <c r="AK23" s="232">
        <f t="shared" ref="AK23:BQ23" si="15">SUM(AK9:AK21)</f>
        <v>-990271.06804221729</v>
      </c>
      <c r="AL23" s="232">
        <f t="shared" si="15"/>
        <v>-990271.06804221729</v>
      </c>
      <c r="AM23" s="232">
        <f t="shared" si="15"/>
        <v>-990271.06804221729</v>
      </c>
      <c r="AN23" s="763">
        <f t="shared" si="15"/>
        <v>-990271.06804221729</v>
      </c>
      <c r="AO23" s="232">
        <f t="shared" si="15"/>
        <v>-704186.58333333337</v>
      </c>
      <c r="AP23" s="232">
        <f t="shared" si="15"/>
        <v>-704186.58333333337</v>
      </c>
      <c r="AQ23" s="232">
        <f t="shared" si="15"/>
        <v>-704186.58333333337</v>
      </c>
      <c r="AR23" s="232">
        <f t="shared" si="15"/>
        <v>-704186.58333333337</v>
      </c>
      <c r="AS23" s="232">
        <f t="shared" si="15"/>
        <v>0</v>
      </c>
      <c r="AT23" s="232">
        <f t="shared" si="15"/>
        <v>0</v>
      </c>
      <c r="AU23" s="232">
        <f t="shared" si="15"/>
        <v>0</v>
      </c>
      <c r="AV23" s="232">
        <f t="shared" si="15"/>
        <v>0</v>
      </c>
      <c r="AW23" s="232">
        <f t="shared" si="15"/>
        <v>0</v>
      </c>
      <c r="AX23" s="232">
        <f t="shared" si="15"/>
        <v>0</v>
      </c>
      <c r="AY23" s="232">
        <f t="shared" si="15"/>
        <v>0</v>
      </c>
      <c r="AZ23" s="763">
        <f t="shared" si="15"/>
        <v>0</v>
      </c>
      <c r="BA23" s="232">
        <f t="shared" si="15"/>
        <v>0</v>
      </c>
      <c r="BB23" s="232">
        <f t="shared" si="15"/>
        <v>0</v>
      </c>
      <c r="BC23" s="232">
        <f t="shared" si="15"/>
        <v>0</v>
      </c>
      <c r="BD23" s="232">
        <f t="shared" si="15"/>
        <v>0</v>
      </c>
      <c r="BE23" s="232">
        <f t="shared" si="15"/>
        <v>0</v>
      </c>
      <c r="BF23" s="232">
        <f t="shared" si="15"/>
        <v>0</v>
      </c>
      <c r="BG23" s="232">
        <f t="shared" si="15"/>
        <v>0</v>
      </c>
      <c r="BH23" s="232">
        <f t="shared" si="15"/>
        <v>0</v>
      </c>
      <c r="BI23" s="232">
        <f t="shared" si="15"/>
        <v>0</v>
      </c>
      <c r="BJ23" s="232">
        <f t="shared" si="15"/>
        <v>0</v>
      </c>
      <c r="BK23" s="232">
        <f t="shared" si="15"/>
        <v>0</v>
      </c>
      <c r="BL23" s="763">
        <f t="shared" si="15"/>
        <v>0</v>
      </c>
      <c r="BM23" s="232">
        <f t="shared" si="15"/>
        <v>0</v>
      </c>
      <c r="BN23" s="232">
        <f t="shared" si="15"/>
        <v>0</v>
      </c>
      <c r="BO23" s="232">
        <f t="shared" si="15"/>
        <v>0</v>
      </c>
      <c r="BP23" s="232">
        <f t="shared" si="15"/>
        <v>0</v>
      </c>
      <c r="BQ23" s="232">
        <f t="shared" si="15"/>
        <v>0</v>
      </c>
      <c r="BR23" s="232">
        <f t="shared" ref="BR23:DT23" si="16">SUM(BR9:BR21)</f>
        <v>0</v>
      </c>
      <c r="BS23" s="232">
        <f t="shared" si="16"/>
        <v>0</v>
      </c>
      <c r="BT23" s="232">
        <f t="shared" si="16"/>
        <v>0</v>
      </c>
      <c r="BU23" s="232">
        <f t="shared" si="16"/>
        <v>0</v>
      </c>
      <c r="BV23" s="232">
        <f t="shared" si="16"/>
        <v>0</v>
      </c>
      <c r="BW23" s="232">
        <f t="shared" si="16"/>
        <v>0</v>
      </c>
      <c r="BX23" s="763">
        <f t="shared" si="16"/>
        <v>0</v>
      </c>
      <c r="BY23" s="232">
        <f t="shared" si="16"/>
        <v>0</v>
      </c>
      <c r="BZ23" s="232">
        <f t="shared" si="16"/>
        <v>0</v>
      </c>
      <c r="CA23" s="232">
        <f t="shared" si="16"/>
        <v>0</v>
      </c>
      <c r="CB23" s="232">
        <f t="shared" si="16"/>
        <v>0</v>
      </c>
      <c r="CC23" s="232">
        <f t="shared" si="16"/>
        <v>0</v>
      </c>
      <c r="CD23" s="232">
        <f t="shared" si="16"/>
        <v>0</v>
      </c>
      <c r="CE23" s="232">
        <f t="shared" si="16"/>
        <v>0</v>
      </c>
      <c r="CF23" s="232">
        <f t="shared" si="16"/>
        <v>0</v>
      </c>
      <c r="CG23" s="232">
        <f t="shared" si="16"/>
        <v>0</v>
      </c>
      <c r="CH23" s="232">
        <f t="shared" si="16"/>
        <v>0</v>
      </c>
      <c r="CI23" s="232">
        <f t="shared" si="16"/>
        <v>0</v>
      </c>
      <c r="CJ23" s="763">
        <f t="shared" si="16"/>
        <v>0</v>
      </c>
      <c r="CK23" s="232">
        <f t="shared" si="16"/>
        <v>0</v>
      </c>
      <c r="CL23" s="232">
        <f t="shared" si="16"/>
        <v>0</v>
      </c>
      <c r="CM23" s="232">
        <f t="shared" si="16"/>
        <v>0</v>
      </c>
      <c r="CN23" s="232">
        <f t="shared" si="16"/>
        <v>0</v>
      </c>
      <c r="CO23" s="232">
        <f t="shared" si="16"/>
        <v>0</v>
      </c>
      <c r="CP23" s="232">
        <f t="shared" si="16"/>
        <v>0</v>
      </c>
      <c r="CQ23" s="232">
        <f t="shared" si="16"/>
        <v>0</v>
      </c>
      <c r="CR23" s="232">
        <f t="shared" si="16"/>
        <v>0</v>
      </c>
      <c r="CS23" s="232">
        <f t="shared" si="16"/>
        <v>0</v>
      </c>
      <c r="CT23" s="232">
        <f t="shared" si="16"/>
        <v>0</v>
      </c>
      <c r="CU23" s="232">
        <f t="shared" si="16"/>
        <v>0</v>
      </c>
      <c r="CV23" s="763">
        <f t="shared" si="16"/>
        <v>0</v>
      </c>
      <c r="CW23" s="232">
        <f t="shared" si="16"/>
        <v>0</v>
      </c>
      <c r="CX23" s="232">
        <f t="shared" si="16"/>
        <v>0</v>
      </c>
      <c r="CY23" s="232">
        <f t="shared" si="16"/>
        <v>0</v>
      </c>
      <c r="CZ23" s="232">
        <f t="shared" si="16"/>
        <v>0</v>
      </c>
      <c r="DA23" s="232">
        <f t="shared" si="16"/>
        <v>0</v>
      </c>
      <c r="DB23" s="232">
        <f t="shared" si="16"/>
        <v>0</v>
      </c>
      <c r="DC23" s="232">
        <f t="shared" si="16"/>
        <v>0</v>
      </c>
      <c r="DD23" s="232">
        <f t="shared" si="16"/>
        <v>0</v>
      </c>
      <c r="DE23" s="232">
        <f t="shared" si="16"/>
        <v>0</v>
      </c>
      <c r="DF23" s="232">
        <f t="shared" si="16"/>
        <v>0</v>
      </c>
      <c r="DG23" s="232">
        <f t="shared" si="16"/>
        <v>0</v>
      </c>
      <c r="DH23" s="763">
        <f t="shared" si="16"/>
        <v>0</v>
      </c>
      <c r="DI23" s="232">
        <f t="shared" si="16"/>
        <v>0</v>
      </c>
      <c r="DJ23" s="232">
        <f t="shared" si="16"/>
        <v>0</v>
      </c>
      <c r="DK23" s="232">
        <f t="shared" si="16"/>
        <v>0</v>
      </c>
      <c r="DL23" s="232">
        <f t="shared" si="16"/>
        <v>0</v>
      </c>
      <c r="DM23" s="232">
        <f t="shared" si="16"/>
        <v>0</v>
      </c>
      <c r="DN23" s="232">
        <f t="shared" si="16"/>
        <v>0</v>
      </c>
      <c r="DO23" s="232">
        <f t="shared" si="16"/>
        <v>0</v>
      </c>
      <c r="DP23" s="232">
        <f t="shared" si="16"/>
        <v>0</v>
      </c>
      <c r="DQ23" s="232">
        <f t="shared" si="16"/>
        <v>0</v>
      </c>
      <c r="DR23" s="232">
        <f t="shared" si="16"/>
        <v>0</v>
      </c>
      <c r="DS23" s="232">
        <f t="shared" si="16"/>
        <v>0</v>
      </c>
      <c r="DT23" s="763">
        <f t="shared" si="16"/>
        <v>0</v>
      </c>
    </row>
    <row r="24" spans="1:124" x14ac:dyDescent="0.2">
      <c r="B24" s="385" t="s">
        <v>356</v>
      </c>
      <c r="C24" s="384">
        <f>SUM(E23:DT23)</f>
        <v>-112588983.47821151</v>
      </c>
    </row>
    <row r="26" spans="1:124" x14ac:dyDescent="0.2">
      <c r="A26" s="2" t="s">
        <v>363</v>
      </c>
    </row>
    <row r="27" spans="1:124" x14ac:dyDescent="0.2">
      <c r="A27" s="2" t="s">
        <v>364</v>
      </c>
    </row>
    <row r="30" spans="1:124" s="475" customFormat="1" ht="13.5" thickBot="1" x14ac:dyDescent="0.25"/>
    <row r="31" spans="1:124" s="15" customFormat="1" ht="18.75" x14ac:dyDescent="0.3">
      <c r="A31" s="476"/>
    </row>
    <row r="32" spans="1:124" s="15" customFormat="1" ht="27.75" customHeight="1" x14ac:dyDescent="0.3">
      <c r="A32" s="476"/>
      <c r="B32" s="72"/>
    </row>
    <row r="33" spans="1:124" s="15" customFormat="1" ht="15" x14ac:dyDescent="0.25">
      <c r="A33" s="253"/>
      <c r="B33" s="135"/>
      <c r="C33" s="108"/>
      <c r="E33" s="107"/>
      <c r="F33" s="107"/>
      <c r="G33" s="107"/>
      <c r="H33" s="107"/>
      <c r="I33" s="107"/>
      <c r="J33" s="107"/>
      <c r="K33" s="107"/>
      <c r="L33" s="108"/>
      <c r="M33" s="108"/>
      <c r="N33" s="108"/>
      <c r="O33" s="108"/>
      <c r="P33" s="184"/>
      <c r="Q33" s="344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84"/>
      <c r="AC33" s="344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84"/>
      <c r="AO33" s="344"/>
      <c r="AP33" s="108"/>
      <c r="AQ33" s="470"/>
      <c r="AR33" s="470"/>
      <c r="AS33" s="470"/>
      <c r="AT33" s="470"/>
      <c r="AU33" s="470"/>
      <c r="AV33" s="470"/>
      <c r="AW33" s="108"/>
      <c r="AX33" s="108"/>
      <c r="AY33" s="108"/>
      <c r="AZ33" s="110"/>
      <c r="BA33" s="109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10"/>
      <c r="BM33" s="109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10"/>
      <c r="BY33" s="109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10"/>
      <c r="CK33" s="109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10"/>
      <c r="CW33" s="109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10"/>
      <c r="DI33" s="109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10"/>
    </row>
    <row r="34" spans="1:124" s="15" customFormat="1" ht="15" x14ac:dyDescent="0.25">
      <c r="A34" s="253"/>
      <c r="B34" s="135"/>
      <c r="C34" s="108"/>
      <c r="E34" s="107"/>
      <c r="F34" s="107"/>
      <c r="G34" s="107"/>
      <c r="H34" s="107"/>
      <c r="I34" s="107"/>
      <c r="J34" s="107"/>
      <c r="K34" s="107"/>
      <c r="L34" s="108"/>
      <c r="M34" s="108"/>
      <c r="N34" s="108"/>
      <c r="O34" s="108"/>
      <c r="P34" s="184"/>
      <c r="Q34" s="344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84"/>
      <c r="AC34" s="344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84"/>
      <c r="AO34" s="344"/>
      <c r="AP34" s="108"/>
      <c r="AQ34" s="470"/>
      <c r="AR34" s="470"/>
      <c r="AS34" s="470"/>
      <c r="AT34" s="470"/>
      <c r="AU34" s="470"/>
      <c r="AV34" s="470"/>
      <c r="AW34" s="108"/>
      <c r="AX34" s="108"/>
      <c r="AY34" s="108"/>
      <c r="AZ34" s="110"/>
      <c r="BA34" s="109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10"/>
      <c r="BM34" s="109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10"/>
      <c r="BY34" s="109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10"/>
      <c r="CK34" s="109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10"/>
      <c r="CW34" s="109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10"/>
      <c r="DI34" s="109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10"/>
    </row>
    <row r="35" spans="1:124" s="15" customFormat="1" ht="15" x14ac:dyDescent="0.25">
      <c r="A35" s="253"/>
      <c r="B35" s="135"/>
      <c r="C35" s="108"/>
      <c r="E35" s="107"/>
      <c r="F35" s="107"/>
      <c r="G35" s="107"/>
      <c r="H35" s="107"/>
      <c r="I35" s="107"/>
      <c r="J35" s="107"/>
      <c r="K35" s="107"/>
      <c r="L35" s="108"/>
      <c r="M35" s="108"/>
      <c r="N35" s="108"/>
      <c r="O35" s="108"/>
      <c r="P35" s="184"/>
      <c r="Q35" s="344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84"/>
      <c r="AC35" s="344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84"/>
      <c r="AO35" s="344"/>
      <c r="AP35" s="108"/>
      <c r="AQ35" s="470"/>
      <c r="AR35" s="470"/>
      <c r="AS35" s="470"/>
      <c r="AT35" s="470"/>
      <c r="AU35" s="470"/>
      <c r="AV35" s="470"/>
      <c r="AW35" s="108"/>
      <c r="AX35" s="108"/>
      <c r="AY35" s="108"/>
      <c r="AZ35" s="110"/>
      <c r="BA35" s="109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10"/>
      <c r="BM35" s="109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10"/>
      <c r="BY35" s="109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10"/>
      <c r="CK35" s="109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10"/>
      <c r="CW35" s="109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10"/>
      <c r="DI35" s="109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10"/>
    </row>
    <row r="36" spans="1:124" s="15" customFormat="1" ht="15" x14ac:dyDescent="0.25">
      <c r="A36" s="253"/>
      <c r="B36" s="135"/>
      <c r="C36" s="108"/>
      <c r="E36" s="107"/>
      <c r="F36" s="107"/>
      <c r="G36" s="107"/>
      <c r="H36" s="107"/>
      <c r="I36" s="107"/>
      <c r="J36" s="107"/>
      <c r="K36" s="107"/>
      <c r="L36" s="108"/>
      <c r="M36" s="108"/>
      <c r="N36" s="108"/>
      <c r="O36" s="108"/>
      <c r="P36" s="184"/>
      <c r="Q36" s="344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84"/>
      <c r="AC36" s="344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10"/>
      <c r="AO36" s="109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10"/>
      <c r="BA36" s="109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10"/>
      <c r="BM36" s="109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10"/>
      <c r="BY36" s="109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10"/>
      <c r="CK36" s="109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10"/>
      <c r="CW36" s="109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10"/>
      <c r="DI36" s="109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10"/>
    </row>
    <row r="37" spans="1:124" s="15" customFormat="1" ht="15" x14ac:dyDescent="0.25">
      <c r="A37" s="246"/>
      <c r="B37" s="135"/>
      <c r="C37" s="108"/>
      <c r="E37" s="107"/>
      <c r="F37" s="107"/>
      <c r="G37" s="107"/>
      <c r="H37" s="107"/>
      <c r="I37" s="107"/>
      <c r="J37" s="107"/>
      <c r="K37" s="107"/>
      <c r="L37" s="108"/>
      <c r="M37" s="108"/>
      <c r="N37" s="108"/>
      <c r="O37" s="108"/>
      <c r="P37" s="184"/>
      <c r="Q37" s="344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84"/>
      <c r="AC37" s="344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10"/>
      <c r="AO37" s="109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10"/>
      <c r="BA37" s="109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10"/>
      <c r="BM37" s="109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10"/>
      <c r="BY37" s="109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10"/>
      <c r="CK37" s="109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10"/>
      <c r="CW37" s="109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10"/>
      <c r="DI37" s="109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10"/>
    </row>
    <row r="38" spans="1:124" s="15" customFormat="1" ht="15" x14ac:dyDescent="0.25">
      <c r="A38" s="253"/>
      <c r="B38" s="135"/>
      <c r="C38" s="108"/>
      <c r="E38" s="107"/>
      <c r="F38" s="107"/>
      <c r="G38" s="107"/>
      <c r="H38" s="107"/>
      <c r="I38" s="107"/>
      <c r="J38" s="107"/>
      <c r="K38" s="107"/>
      <c r="L38" s="108"/>
      <c r="M38" s="108"/>
      <c r="N38" s="108"/>
      <c r="O38" s="108"/>
      <c r="P38" s="184"/>
      <c r="Q38" s="344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84"/>
      <c r="AC38" s="344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10"/>
      <c r="AO38" s="344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10"/>
      <c r="BA38" s="344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10"/>
      <c r="BM38" s="344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10"/>
      <c r="BY38" s="344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10"/>
      <c r="CK38" s="344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10"/>
      <c r="CW38" s="344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10"/>
      <c r="DI38" s="344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10"/>
    </row>
    <row r="39" spans="1:124" s="15" customFormat="1" ht="15" x14ac:dyDescent="0.25">
      <c r="A39" s="253"/>
      <c r="B39" s="469"/>
      <c r="C39" s="108"/>
      <c r="E39" s="107"/>
      <c r="F39" s="107"/>
      <c r="G39" s="107"/>
      <c r="H39" s="107"/>
      <c r="I39" s="107"/>
      <c r="J39" s="107"/>
      <c r="K39" s="107"/>
      <c r="L39" s="108"/>
      <c r="M39" s="108"/>
      <c r="N39" s="108"/>
      <c r="O39" s="108"/>
      <c r="P39" s="184"/>
      <c r="Q39" s="344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84"/>
      <c r="AC39" s="344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10"/>
      <c r="AO39" s="109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10"/>
      <c r="BA39" s="109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10"/>
      <c r="BM39" s="109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10"/>
      <c r="BY39" s="109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10"/>
      <c r="CK39" s="109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10"/>
      <c r="CW39" s="109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10"/>
      <c r="DI39" s="109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10"/>
    </row>
    <row r="40" spans="1:124" s="15" customFormat="1" ht="15" x14ac:dyDescent="0.25">
      <c r="A40" s="253"/>
      <c r="B40" s="469"/>
      <c r="C40" s="108"/>
      <c r="E40" s="107"/>
      <c r="F40" s="107"/>
      <c r="G40" s="107"/>
      <c r="H40" s="107"/>
      <c r="I40" s="107"/>
      <c r="J40" s="107"/>
      <c r="K40" s="107"/>
      <c r="L40" s="108"/>
      <c r="M40" s="108"/>
      <c r="N40" s="108"/>
      <c r="O40" s="108"/>
      <c r="P40" s="184"/>
      <c r="Q40" s="344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84"/>
      <c r="AC40" s="344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10"/>
      <c r="AO40" s="109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10"/>
      <c r="BA40" s="109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10"/>
      <c r="BM40" s="109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10"/>
      <c r="BY40" s="109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10"/>
      <c r="CK40" s="109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10"/>
      <c r="CW40" s="109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10"/>
      <c r="DI40" s="109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10"/>
    </row>
    <row r="41" spans="1:124" s="15" customFormat="1" x14ac:dyDescent="0.2"/>
    <row r="42" spans="1:124" s="15" customFormat="1" ht="27.75" customHeight="1" x14ac:dyDescent="0.3">
      <c r="A42" s="476"/>
      <c r="B42" s="72"/>
    </row>
    <row r="43" spans="1:124" s="15" customFormat="1" ht="15" x14ac:dyDescent="0.25">
      <c r="A43" s="253"/>
      <c r="B43" s="135"/>
      <c r="C43" s="108"/>
      <c r="E43" s="107"/>
      <c r="F43" s="107"/>
      <c r="G43" s="107"/>
      <c r="H43" s="107"/>
      <c r="I43" s="107"/>
      <c r="J43" s="107"/>
      <c r="K43" s="107"/>
      <c r="L43" s="108"/>
      <c r="M43" s="108"/>
      <c r="N43" s="108"/>
      <c r="O43" s="108"/>
      <c r="P43" s="184"/>
      <c r="Q43" s="344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84"/>
      <c r="AC43" s="344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10"/>
      <c r="AO43" s="109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10"/>
      <c r="BA43" s="477"/>
      <c r="BB43" s="477"/>
      <c r="BC43" s="477"/>
      <c r="BD43" s="477"/>
      <c r="BE43" s="108"/>
      <c r="BF43" s="108"/>
      <c r="BG43" s="108"/>
      <c r="BH43" s="108"/>
      <c r="BI43" s="108"/>
      <c r="BJ43" s="108"/>
      <c r="BK43" s="108"/>
      <c r="BL43" s="110"/>
      <c r="BM43" s="109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10"/>
      <c r="BY43" s="109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10"/>
      <c r="CK43" s="109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10"/>
      <c r="CW43" s="109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10"/>
      <c r="DI43" s="109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10"/>
    </row>
    <row r="44" spans="1:124" s="15" customFormat="1" ht="15" x14ac:dyDescent="0.25">
      <c r="A44" s="253"/>
      <c r="B44" s="135"/>
      <c r="C44" s="108"/>
      <c r="E44" s="107"/>
      <c r="F44" s="107"/>
      <c r="G44" s="107"/>
      <c r="H44" s="107"/>
      <c r="I44" s="107"/>
      <c r="J44" s="107"/>
      <c r="K44" s="107"/>
      <c r="L44" s="108"/>
      <c r="M44" s="108"/>
      <c r="N44" s="108"/>
      <c r="O44" s="108"/>
      <c r="P44" s="184"/>
      <c r="Q44" s="344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84"/>
      <c r="AC44" s="344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10"/>
      <c r="AO44" s="344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10"/>
      <c r="BA44" s="477"/>
      <c r="BB44" s="477"/>
      <c r="BC44" s="477"/>
      <c r="BD44" s="477"/>
      <c r="BE44" s="108"/>
      <c r="BF44" s="108"/>
      <c r="BG44" s="108"/>
      <c r="BH44" s="108"/>
      <c r="BI44" s="108"/>
      <c r="BJ44" s="108"/>
      <c r="BK44" s="108"/>
      <c r="BL44" s="110"/>
      <c r="BM44" s="109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10"/>
      <c r="BY44" s="109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10"/>
      <c r="CK44" s="109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10"/>
      <c r="CW44" s="109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10"/>
      <c r="DI44" s="109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10"/>
    </row>
    <row r="45" spans="1:124" s="15" customFormat="1" ht="15" x14ac:dyDescent="0.25">
      <c r="A45" s="253"/>
      <c r="B45" s="135"/>
      <c r="C45" s="108"/>
      <c r="E45" s="107"/>
      <c r="F45" s="107"/>
      <c r="G45" s="107"/>
      <c r="H45" s="107"/>
      <c r="I45" s="107"/>
      <c r="J45" s="107"/>
      <c r="K45" s="107"/>
      <c r="L45" s="108"/>
      <c r="M45" s="108"/>
      <c r="N45" s="108"/>
      <c r="O45" s="108"/>
      <c r="P45" s="184"/>
      <c r="Q45" s="344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84"/>
      <c r="AC45" s="344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84"/>
      <c r="AO45" s="110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10"/>
      <c r="BA45" s="477"/>
      <c r="BB45" s="477"/>
      <c r="BC45" s="477"/>
      <c r="BD45" s="477"/>
      <c r="BE45" s="108"/>
      <c r="BF45" s="108"/>
      <c r="BG45" s="108"/>
      <c r="BH45" s="108"/>
      <c r="BI45" s="108"/>
      <c r="BJ45" s="108"/>
      <c r="BK45" s="108"/>
      <c r="BL45" s="110"/>
      <c r="BM45" s="109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10"/>
      <c r="BY45" s="109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10"/>
      <c r="CK45" s="109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10"/>
      <c r="CW45" s="109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10"/>
      <c r="DI45" s="109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10"/>
    </row>
    <row r="46" spans="1:124" s="15" customFormat="1" ht="15" x14ac:dyDescent="0.25">
      <c r="A46" s="253"/>
      <c r="B46" s="135"/>
      <c r="C46" s="108"/>
      <c r="E46" s="107"/>
      <c r="F46" s="107"/>
      <c r="G46" s="107"/>
      <c r="H46" s="107"/>
      <c r="I46" s="107"/>
      <c r="J46" s="107"/>
      <c r="K46" s="107"/>
      <c r="L46" s="108"/>
      <c r="M46" s="108"/>
      <c r="N46" s="108"/>
      <c r="O46" s="108"/>
      <c r="P46" s="184"/>
      <c r="Q46" s="344"/>
      <c r="R46" s="108"/>
      <c r="S46" s="108"/>
      <c r="T46" s="108"/>
      <c r="U46" s="477"/>
      <c r="V46" s="470"/>
      <c r="W46" s="470"/>
      <c r="X46" s="470"/>
      <c r="Y46" s="108"/>
      <c r="Z46" s="108"/>
      <c r="AA46" s="108"/>
      <c r="AB46" s="184"/>
      <c r="AC46" s="344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10"/>
      <c r="AO46" s="109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10"/>
      <c r="BA46" s="109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10"/>
      <c r="BM46" s="109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10"/>
      <c r="BY46" s="109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10"/>
      <c r="CK46" s="109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10"/>
      <c r="CW46" s="109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10"/>
      <c r="DI46" s="109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10"/>
    </row>
    <row r="47" spans="1:124" s="15" customFormat="1" ht="15" x14ac:dyDescent="0.25">
      <c r="A47" s="253"/>
      <c r="B47" s="135"/>
      <c r="C47" s="108"/>
      <c r="E47" s="107"/>
      <c r="F47" s="107"/>
      <c r="G47" s="107"/>
      <c r="H47" s="107"/>
      <c r="I47" s="107"/>
      <c r="J47" s="107"/>
      <c r="K47" s="107"/>
      <c r="L47" s="108"/>
      <c r="M47" s="108"/>
      <c r="N47" s="108"/>
      <c r="O47" s="108"/>
      <c r="P47" s="184"/>
      <c r="Q47" s="344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84"/>
      <c r="AC47" s="344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10"/>
      <c r="AO47" s="109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10"/>
      <c r="BA47" s="477"/>
      <c r="BB47" s="477"/>
      <c r="BC47" s="477"/>
      <c r="BD47" s="477"/>
      <c r="BE47" s="108"/>
      <c r="BF47" s="108"/>
      <c r="BG47" s="108"/>
      <c r="BH47" s="108"/>
      <c r="BI47" s="108"/>
      <c r="BJ47" s="108"/>
      <c r="BK47" s="108"/>
      <c r="BL47" s="110"/>
      <c r="BM47" s="109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10"/>
      <c r="BY47" s="109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10"/>
      <c r="CK47" s="109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10"/>
      <c r="CW47" s="109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10"/>
      <c r="DI47" s="109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10"/>
    </row>
    <row r="48" spans="1:124" s="15" customFormat="1" ht="15" x14ac:dyDescent="0.25">
      <c r="A48" s="253"/>
      <c r="B48" s="135"/>
      <c r="C48" s="108"/>
      <c r="E48" s="107"/>
      <c r="F48" s="107"/>
      <c r="G48" s="107"/>
      <c r="H48" s="107"/>
      <c r="I48" s="107"/>
      <c r="J48" s="107"/>
      <c r="K48" s="107"/>
      <c r="L48" s="108"/>
      <c r="M48" s="108"/>
      <c r="N48" s="108"/>
      <c r="O48" s="108"/>
      <c r="P48" s="184"/>
      <c r="Q48" s="344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84"/>
      <c r="AC48" s="344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10"/>
      <c r="AO48" s="344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10"/>
      <c r="BA48" s="344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10"/>
      <c r="BM48" s="344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10"/>
      <c r="BY48" s="344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10"/>
      <c r="CK48" s="344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10"/>
      <c r="CW48" s="344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10"/>
      <c r="DI48" s="344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10"/>
    </row>
    <row r="49" spans="1:124" s="15" customFormat="1" ht="15" x14ac:dyDescent="0.25">
      <c r="A49" s="253"/>
      <c r="B49" s="469"/>
      <c r="C49" s="108"/>
      <c r="E49" s="107"/>
      <c r="F49" s="107"/>
      <c r="G49" s="107"/>
      <c r="H49" s="107"/>
      <c r="I49" s="107"/>
      <c r="J49" s="107"/>
      <c r="K49" s="107"/>
      <c r="L49" s="108"/>
      <c r="M49" s="108"/>
      <c r="N49" s="108"/>
      <c r="O49" s="108"/>
      <c r="P49" s="184"/>
      <c r="Q49" s="344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84"/>
      <c r="AC49" s="344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10"/>
      <c r="AO49" s="109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10"/>
      <c r="BA49" s="109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10"/>
      <c r="BM49" s="109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10"/>
      <c r="BY49" s="109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10"/>
      <c r="CK49" s="109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10"/>
      <c r="CW49" s="109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10"/>
      <c r="DI49" s="109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10"/>
    </row>
    <row r="50" spans="1:124" s="15" customFormat="1" ht="15" x14ac:dyDescent="0.25">
      <c r="A50" s="253"/>
      <c r="B50" s="469"/>
      <c r="C50" s="108"/>
      <c r="E50" s="107"/>
      <c r="F50" s="107"/>
      <c r="G50" s="107"/>
      <c r="H50" s="107"/>
      <c r="I50" s="107"/>
      <c r="J50" s="107"/>
      <c r="K50" s="107"/>
      <c r="L50" s="108"/>
      <c r="M50" s="108"/>
      <c r="N50" s="108"/>
      <c r="O50" s="108"/>
      <c r="P50" s="184"/>
      <c r="Q50" s="344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84"/>
      <c r="AC50" s="344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10"/>
      <c r="AO50" s="109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10"/>
      <c r="BA50" s="109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10"/>
      <c r="BM50" s="109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10"/>
      <c r="BY50" s="109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10"/>
      <c r="CK50" s="109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10"/>
      <c r="CW50" s="109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10"/>
      <c r="DI50" s="109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10"/>
    </row>
    <row r="51" spans="1:124" s="15" customFormat="1" x14ac:dyDescent="0.2"/>
    <row r="52" spans="1:124" s="15" customFormat="1" ht="27.75" customHeight="1" x14ac:dyDescent="0.3">
      <c r="A52" s="476"/>
      <c r="B52" s="72"/>
    </row>
    <row r="53" spans="1:124" s="15" customFormat="1" ht="15" x14ac:dyDescent="0.25">
      <c r="A53" s="253"/>
      <c r="B53" s="135"/>
      <c r="C53" s="108"/>
      <c r="E53" s="107"/>
      <c r="F53" s="107"/>
      <c r="G53" s="107"/>
      <c r="H53" s="107"/>
      <c r="I53" s="107"/>
      <c r="J53" s="107"/>
      <c r="K53" s="107"/>
      <c r="L53" s="108"/>
      <c r="M53" s="108"/>
      <c r="N53" s="108"/>
      <c r="O53" s="108"/>
      <c r="P53" s="184"/>
      <c r="Q53" s="344"/>
      <c r="R53" s="344"/>
      <c r="S53" s="108"/>
      <c r="T53" s="108"/>
      <c r="U53" s="108"/>
      <c r="V53" s="108"/>
      <c r="W53" s="108"/>
      <c r="X53" s="108"/>
      <c r="Y53" s="108"/>
      <c r="Z53" s="108"/>
      <c r="AA53" s="108"/>
      <c r="AB53" s="184"/>
      <c r="AC53" s="344"/>
      <c r="AD53" s="344"/>
      <c r="AE53" s="344"/>
      <c r="AF53" s="344"/>
      <c r="AG53" s="108"/>
      <c r="AH53" s="108"/>
      <c r="AI53" s="108"/>
      <c r="AJ53" s="108"/>
      <c r="AK53" s="108"/>
      <c r="AL53" s="108"/>
      <c r="AM53" s="108"/>
      <c r="AN53" s="110"/>
      <c r="AO53" s="477"/>
      <c r="AP53" s="477"/>
      <c r="AQ53" s="477"/>
      <c r="AR53" s="477"/>
      <c r="AS53" s="108"/>
      <c r="AT53" s="108"/>
      <c r="AU53" s="108"/>
      <c r="AV53" s="108"/>
      <c r="AW53" s="108"/>
      <c r="AX53" s="108"/>
      <c r="AY53" s="108"/>
      <c r="AZ53" s="110"/>
      <c r="BA53" s="109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10"/>
      <c r="BM53" s="109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10"/>
      <c r="BY53" s="109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10"/>
      <c r="CK53" s="109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10"/>
      <c r="CW53" s="109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10"/>
      <c r="DI53" s="109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10"/>
    </row>
    <row r="54" spans="1:124" s="15" customFormat="1" ht="15" x14ac:dyDescent="0.25">
      <c r="A54" s="253"/>
      <c r="B54" s="135"/>
      <c r="C54" s="108"/>
      <c r="E54" s="107"/>
      <c r="F54" s="107"/>
      <c r="G54" s="107"/>
      <c r="H54" s="107"/>
      <c r="I54" s="107"/>
      <c r="J54" s="107"/>
      <c r="K54" s="107"/>
      <c r="L54" s="108"/>
      <c r="M54" s="108"/>
      <c r="N54" s="108"/>
      <c r="O54" s="108"/>
      <c r="P54" s="184"/>
      <c r="Q54" s="344"/>
      <c r="R54" s="344"/>
      <c r="S54" s="108"/>
      <c r="T54" s="108"/>
      <c r="U54" s="108"/>
      <c r="V54" s="108"/>
      <c r="W54" s="108"/>
      <c r="X54" s="108"/>
      <c r="Y54" s="108"/>
      <c r="Z54" s="108"/>
      <c r="AA54" s="108"/>
      <c r="AB54" s="184"/>
      <c r="AC54" s="344"/>
      <c r="AD54" s="344"/>
      <c r="AE54" s="344"/>
      <c r="AF54" s="344"/>
      <c r="AG54" s="108"/>
      <c r="AH54" s="108"/>
      <c r="AI54" s="108"/>
      <c r="AJ54" s="108"/>
      <c r="AK54" s="108"/>
      <c r="AL54" s="108"/>
      <c r="AM54" s="108"/>
      <c r="AN54" s="110"/>
      <c r="AO54" s="477"/>
      <c r="AP54" s="477"/>
      <c r="AQ54" s="477"/>
      <c r="AR54" s="477"/>
      <c r="AS54" s="108"/>
      <c r="AT54" s="108"/>
      <c r="AU54" s="108"/>
      <c r="AV54" s="108"/>
      <c r="AW54" s="108"/>
      <c r="AX54" s="108"/>
      <c r="AY54" s="108"/>
      <c r="AZ54" s="110"/>
      <c r="BA54" s="109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10"/>
      <c r="BM54" s="109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10"/>
      <c r="BY54" s="109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10"/>
      <c r="CK54" s="109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10"/>
      <c r="CW54" s="109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10"/>
      <c r="DI54" s="109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10"/>
    </row>
    <row r="55" spans="1:124" s="15" customFormat="1" ht="15" x14ac:dyDescent="0.25">
      <c r="A55" s="246"/>
      <c r="B55" s="135"/>
      <c r="C55" s="108"/>
      <c r="E55" s="107"/>
      <c r="F55" s="107"/>
      <c r="G55" s="107"/>
      <c r="H55" s="107"/>
      <c r="I55" s="107"/>
      <c r="J55" s="107"/>
      <c r="K55" s="107"/>
      <c r="L55" s="108"/>
      <c r="M55" s="108"/>
      <c r="N55" s="108"/>
      <c r="O55" s="108"/>
      <c r="P55" s="184"/>
      <c r="Q55" s="344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84"/>
      <c r="AC55" s="344"/>
      <c r="AD55" s="344"/>
      <c r="AE55" s="344"/>
      <c r="AF55" s="344"/>
      <c r="AG55" s="108"/>
      <c r="AH55" s="108"/>
      <c r="AI55" s="108"/>
      <c r="AJ55" s="108"/>
      <c r="AK55" s="108"/>
      <c r="AL55" s="108"/>
      <c r="AM55" s="108"/>
      <c r="AN55" s="110"/>
      <c r="AO55" s="477"/>
      <c r="AP55" s="477"/>
      <c r="AQ55" s="477"/>
      <c r="AR55" s="477"/>
      <c r="AS55" s="108"/>
      <c r="AT55" s="108"/>
      <c r="AU55" s="108"/>
      <c r="AV55" s="108"/>
      <c r="AW55" s="108"/>
      <c r="AX55" s="108"/>
      <c r="AY55" s="108"/>
      <c r="AZ55" s="110"/>
      <c r="BA55" s="109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10"/>
      <c r="BM55" s="109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10"/>
      <c r="BY55" s="109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10"/>
      <c r="CK55" s="109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10"/>
      <c r="CW55" s="109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10"/>
      <c r="DI55" s="109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10"/>
    </row>
    <row r="56" spans="1:124" s="15" customFormat="1" ht="15" x14ac:dyDescent="0.25">
      <c r="A56" s="246"/>
      <c r="B56" s="135"/>
      <c r="C56" s="108"/>
      <c r="E56" s="107"/>
      <c r="F56" s="107"/>
      <c r="G56" s="107"/>
      <c r="H56" s="107"/>
      <c r="I56" s="107"/>
      <c r="J56" s="107"/>
      <c r="K56" s="107"/>
      <c r="L56" s="108"/>
      <c r="M56" s="108"/>
      <c r="N56" s="108"/>
      <c r="O56" s="108"/>
      <c r="P56" s="184"/>
      <c r="Q56" s="344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84"/>
      <c r="AC56" s="344"/>
      <c r="AD56" s="108"/>
      <c r="AE56" s="344"/>
      <c r="AF56" s="344"/>
      <c r="AG56" s="344"/>
      <c r="AH56" s="344"/>
      <c r="AI56" s="108"/>
      <c r="AJ56" s="108"/>
      <c r="AK56" s="108"/>
      <c r="AL56" s="108"/>
      <c r="AM56" s="108"/>
      <c r="AN56" s="110"/>
      <c r="AO56" s="344"/>
      <c r="AP56" s="108"/>
      <c r="AQ56" s="477"/>
      <c r="AR56" s="477"/>
      <c r="AS56" s="477"/>
      <c r="AT56" s="477"/>
      <c r="AU56" s="108"/>
      <c r="AV56" s="108"/>
      <c r="AW56" s="108"/>
      <c r="AX56" s="108"/>
      <c r="AY56" s="108"/>
      <c r="AZ56" s="110"/>
      <c r="BA56" s="109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10"/>
      <c r="BM56" s="109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10"/>
      <c r="BY56" s="109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10"/>
      <c r="CK56" s="109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10"/>
      <c r="CW56" s="109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10"/>
      <c r="DI56" s="109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10"/>
    </row>
    <row r="57" spans="1:124" s="15" customFormat="1" ht="15" x14ac:dyDescent="0.25">
      <c r="A57" s="246"/>
      <c r="B57" s="135"/>
      <c r="C57" s="108"/>
      <c r="E57" s="107"/>
      <c r="F57" s="107"/>
      <c r="G57" s="107"/>
      <c r="H57" s="107"/>
      <c r="I57" s="107"/>
      <c r="J57" s="107"/>
      <c r="K57" s="107"/>
      <c r="L57" s="108"/>
      <c r="M57" s="108"/>
      <c r="N57" s="108"/>
      <c r="O57" s="108"/>
      <c r="P57" s="184"/>
      <c r="Q57" s="344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84"/>
      <c r="AC57" s="344"/>
      <c r="AD57" s="108"/>
      <c r="AE57" s="108"/>
      <c r="AF57" s="108"/>
      <c r="AG57" s="344"/>
      <c r="AH57" s="344"/>
      <c r="AI57" s="344"/>
      <c r="AJ57" s="344"/>
      <c r="AK57" s="108"/>
      <c r="AL57" s="108"/>
      <c r="AM57" s="108"/>
      <c r="AN57" s="110"/>
      <c r="AO57" s="344"/>
      <c r="AP57" s="108"/>
      <c r="AQ57" s="108"/>
      <c r="AR57" s="108"/>
      <c r="AS57" s="477"/>
      <c r="AT57" s="477"/>
      <c r="AU57" s="477"/>
      <c r="AV57" s="477"/>
      <c r="AW57" s="108"/>
      <c r="AX57" s="108"/>
      <c r="AY57" s="108"/>
      <c r="AZ57" s="110"/>
      <c r="BA57" s="109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10"/>
      <c r="BM57" s="109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10"/>
      <c r="BY57" s="109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10"/>
      <c r="CK57" s="109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10"/>
      <c r="CW57" s="109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10"/>
      <c r="DI57" s="109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10"/>
    </row>
    <row r="58" spans="1:124" s="15" customFormat="1" ht="15" x14ac:dyDescent="0.25">
      <c r="A58" s="253"/>
      <c r="B58" s="135"/>
      <c r="C58" s="108"/>
      <c r="E58" s="107"/>
      <c r="F58" s="107"/>
      <c r="G58" s="107"/>
      <c r="H58" s="107"/>
      <c r="I58" s="107"/>
      <c r="J58" s="107"/>
      <c r="K58" s="107"/>
      <c r="L58" s="108"/>
      <c r="M58" s="108"/>
      <c r="N58" s="108"/>
      <c r="O58" s="108"/>
      <c r="P58" s="184"/>
      <c r="Q58" s="344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84"/>
      <c r="AC58" s="344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10"/>
      <c r="AO58" s="344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10"/>
      <c r="BA58" s="477"/>
      <c r="BB58" s="477"/>
      <c r="BC58" s="477"/>
      <c r="BD58" s="477"/>
      <c r="BE58" s="108"/>
      <c r="BF58" s="108"/>
      <c r="BG58" s="108"/>
      <c r="BH58" s="108"/>
      <c r="BI58" s="108"/>
      <c r="BJ58" s="108"/>
      <c r="BK58" s="108"/>
      <c r="BL58" s="110"/>
      <c r="BM58" s="344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10"/>
      <c r="BY58" s="344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10"/>
      <c r="CK58" s="344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10"/>
      <c r="CW58" s="344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10"/>
      <c r="DI58" s="344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10"/>
    </row>
    <row r="59" spans="1:124" s="15" customFormat="1" ht="15" x14ac:dyDescent="0.25">
      <c r="A59" s="253"/>
      <c r="B59" s="469"/>
      <c r="C59" s="108"/>
      <c r="E59" s="107"/>
      <c r="F59" s="107"/>
      <c r="G59" s="107"/>
      <c r="H59" s="107"/>
      <c r="I59" s="107"/>
      <c r="J59" s="107"/>
      <c r="K59" s="107"/>
      <c r="L59" s="108"/>
      <c r="M59" s="108"/>
      <c r="N59" s="108"/>
      <c r="O59" s="108"/>
      <c r="P59" s="184"/>
      <c r="Q59" s="344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84"/>
      <c r="AC59" s="344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10"/>
      <c r="AO59" s="344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10"/>
      <c r="BA59" s="477"/>
      <c r="BB59" s="477"/>
      <c r="BC59" s="477"/>
      <c r="BD59" s="477"/>
      <c r="BE59" s="108"/>
      <c r="BF59" s="108"/>
      <c r="BG59" s="108"/>
      <c r="BH59" s="108"/>
      <c r="BI59" s="108"/>
      <c r="BJ59" s="108"/>
      <c r="BK59" s="108"/>
      <c r="BL59" s="110"/>
      <c r="BM59" s="109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10"/>
      <c r="BY59" s="109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10"/>
      <c r="CK59" s="109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10"/>
      <c r="CW59" s="109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10"/>
      <c r="DI59" s="109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10"/>
    </row>
    <row r="60" spans="1:124" s="15" customFormat="1" ht="15" x14ac:dyDescent="0.25">
      <c r="A60" s="253"/>
      <c r="B60" s="469"/>
      <c r="C60" s="108"/>
      <c r="E60" s="107"/>
      <c r="F60" s="107"/>
      <c r="G60" s="107"/>
      <c r="H60" s="107"/>
      <c r="I60" s="107"/>
      <c r="J60" s="107"/>
      <c r="K60" s="107"/>
      <c r="L60" s="108"/>
      <c r="M60" s="108"/>
      <c r="N60" s="108"/>
      <c r="O60" s="108"/>
      <c r="P60" s="184"/>
      <c r="Q60" s="477"/>
      <c r="R60" s="477"/>
      <c r="S60" s="477"/>
      <c r="T60" s="477"/>
      <c r="U60" s="344"/>
      <c r="V60" s="108"/>
      <c r="W60" s="108"/>
      <c r="X60" s="108"/>
      <c r="Y60" s="108"/>
      <c r="Z60" s="108"/>
      <c r="AA60" s="108"/>
      <c r="AB60" s="184"/>
      <c r="AC60" s="344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10"/>
      <c r="AO60" s="109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10"/>
      <c r="BA60" s="109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10"/>
      <c r="BM60" s="109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10"/>
      <c r="BY60" s="109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10"/>
      <c r="CK60" s="109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10"/>
      <c r="CW60" s="109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10"/>
      <c r="DI60" s="109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10"/>
    </row>
    <row r="61" spans="1:124" s="15" customFormat="1" x14ac:dyDescent="0.2"/>
    <row r="62" spans="1:124" s="15" customFormat="1" ht="27.75" customHeight="1" x14ac:dyDescent="0.3">
      <c r="A62" s="476"/>
      <c r="B62" s="72"/>
    </row>
    <row r="63" spans="1:124" s="15" customFormat="1" ht="15" x14ac:dyDescent="0.25">
      <c r="A63" s="253"/>
      <c r="B63" s="135"/>
      <c r="C63" s="108"/>
      <c r="E63" s="107"/>
      <c r="F63" s="107"/>
      <c r="G63" s="107"/>
      <c r="H63" s="107"/>
      <c r="I63" s="107"/>
      <c r="J63" s="107"/>
      <c r="K63" s="107"/>
      <c r="L63" s="108"/>
      <c r="M63" s="108"/>
      <c r="N63" s="108"/>
      <c r="O63" s="108"/>
      <c r="P63" s="184"/>
      <c r="Q63" s="344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84"/>
      <c r="AC63" s="344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10"/>
      <c r="AO63" s="109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10"/>
      <c r="BA63" s="109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10"/>
      <c r="BM63" s="109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10"/>
      <c r="BY63" s="109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10"/>
      <c r="CK63" s="109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10"/>
      <c r="CW63" s="109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10"/>
      <c r="DI63" s="109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10"/>
    </row>
    <row r="64" spans="1:124" s="15" customFormat="1" ht="15" x14ac:dyDescent="0.25">
      <c r="A64" s="253"/>
      <c r="B64" s="135"/>
      <c r="C64" s="108"/>
      <c r="E64" s="107"/>
      <c r="F64" s="107"/>
      <c r="G64" s="107"/>
      <c r="H64" s="107"/>
      <c r="I64" s="107"/>
      <c r="J64" s="107"/>
      <c r="K64" s="107"/>
      <c r="L64" s="108"/>
      <c r="M64" s="108"/>
      <c r="N64" s="108"/>
      <c r="O64" s="108"/>
      <c r="P64" s="184"/>
      <c r="Q64" s="344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84"/>
      <c r="AC64" s="344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10"/>
      <c r="AO64" s="109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10"/>
      <c r="BA64" s="109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10"/>
      <c r="BM64" s="109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10"/>
      <c r="BY64" s="109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10"/>
      <c r="CK64" s="109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10"/>
      <c r="CW64" s="109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10"/>
      <c r="DI64" s="109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10"/>
    </row>
    <row r="65" spans="1:124" s="15" customFormat="1" ht="15" x14ac:dyDescent="0.25">
      <c r="A65" s="253"/>
      <c r="B65" s="135"/>
      <c r="C65" s="108"/>
      <c r="E65" s="107"/>
      <c r="F65" s="107"/>
      <c r="G65" s="107"/>
      <c r="H65" s="107"/>
      <c r="I65" s="107"/>
      <c r="J65" s="107"/>
      <c r="K65" s="107"/>
      <c r="L65" s="108"/>
      <c r="M65" s="108"/>
      <c r="N65" s="108"/>
      <c r="O65" s="108"/>
      <c r="P65" s="184"/>
      <c r="Q65" s="344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84"/>
      <c r="AC65" s="344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84"/>
      <c r="AO65" s="110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10"/>
      <c r="BA65" s="109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10"/>
      <c r="BM65" s="109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10"/>
      <c r="BY65" s="109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10"/>
      <c r="CK65" s="109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10"/>
      <c r="CW65" s="109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10"/>
      <c r="DI65" s="109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10"/>
    </row>
    <row r="66" spans="1:124" s="15" customFormat="1" x14ac:dyDescent="0.2"/>
    <row r="67" spans="1:124" s="15" customFormat="1" ht="27.75" customHeight="1" x14ac:dyDescent="0.3">
      <c r="A67" s="476"/>
      <c r="B67" s="72"/>
    </row>
    <row r="68" spans="1:124" s="15" customFormat="1" ht="15" x14ac:dyDescent="0.25">
      <c r="A68" s="253"/>
      <c r="B68" s="135"/>
      <c r="C68" s="108"/>
      <c r="E68" s="107"/>
      <c r="F68" s="107"/>
      <c r="G68" s="107"/>
      <c r="H68" s="107"/>
      <c r="I68" s="107"/>
      <c r="J68" s="107"/>
      <c r="K68" s="107"/>
      <c r="L68" s="108"/>
      <c r="M68" s="108"/>
      <c r="N68" s="108"/>
      <c r="O68" s="108"/>
      <c r="P68" s="184"/>
      <c r="Q68" s="344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84"/>
      <c r="AC68" s="344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10"/>
      <c r="AO68" s="109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10"/>
      <c r="BA68" s="109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10"/>
      <c r="BM68" s="109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10"/>
      <c r="BY68" s="109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10"/>
      <c r="CK68" s="109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10"/>
      <c r="CW68" s="109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10"/>
      <c r="DI68" s="109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10"/>
    </row>
    <row r="69" spans="1:124" s="15" customFormat="1" ht="15" x14ac:dyDescent="0.25">
      <c r="A69" s="253"/>
      <c r="B69" s="135"/>
      <c r="C69" s="108"/>
      <c r="E69" s="107"/>
      <c r="F69" s="107"/>
      <c r="G69" s="107"/>
      <c r="H69" s="107"/>
      <c r="I69" s="107"/>
      <c r="J69" s="107"/>
      <c r="K69" s="107"/>
      <c r="L69" s="108"/>
      <c r="M69" s="108"/>
      <c r="N69" s="108"/>
      <c r="O69" s="108"/>
      <c r="P69" s="184"/>
      <c r="Q69" s="344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84"/>
      <c r="AC69" s="344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10"/>
      <c r="AO69" s="109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10"/>
      <c r="BA69" s="109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10"/>
      <c r="BM69" s="109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10"/>
      <c r="BY69" s="109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10"/>
      <c r="CK69" s="109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10"/>
      <c r="CW69" s="109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10"/>
      <c r="DI69" s="109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10"/>
    </row>
    <row r="70" spans="1:124" s="15" customFormat="1" x14ac:dyDescent="0.2"/>
    <row r="71" spans="1:124" s="15" customFormat="1" x14ac:dyDescent="0.2"/>
    <row r="72" spans="1:124" s="15" customFormat="1" x14ac:dyDescent="0.2"/>
    <row r="73" spans="1:124" s="15" customFormat="1" x14ac:dyDescent="0.2"/>
    <row r="74" spans="1:124" s="15" customFormat="1" x14ac:dyDescent="0.2"/>
    <row r="75" spans="1:124" s="15" customFormat="1" x14ac:dyDescent="0.2"/>
    <row r="76" spans="1:124" s="15" customFormat="1" x14ac:dyDescent="0.2"/>
    <row r="77" spans="1:124" s="15" customFormat="1" x14ac:dyDescent="0.2"/>
    <row r="78" spans="1:124" s="15" customFormat="1" x14ac:dyDescent="0.2"/>
    <row r="79" spans="1:124" s="15" customFormat="1" x14ac:dyDescent="0.2"/>
    <row r="80" spans="1:124" s="15" customFormat="1" x14ac:dyDescent="0.2"/>
    <row r="81" s="15" customFormat="1" x14ac:dyDescent="0.2"/>
    <row r="82" s="15" customFormat="1" x14ac:dyDescent="0.2"/>
    <row r="83" s="15" customFormat="1" x14ac:dyDescent="0.2"/>
    <row r="84" s="15" customFormat="1" x14ac:dyDescent="0.2"/>
    <row r="85" s="15" customFormat="1" x14ac:dyDescent="0.2"/>
    <row r="86" s="15" customFormat="1" x14ac:dyDescent="0.2"/>
    <row r="87" s="15" customFormat="1" x14ac:dyDescent="0.2"/>
    <row r="88" s="15" customFormat="1" x14ac:dyDescent="0.2"/>
    <row r="89" s="15" customFormat="1" x14ac:dyDescent="0.2"/>
    <row r="90" s="15" customFormat="1" x14ac:dyDescent="0.2"/>
    <row r="91" s="15" customFormat="1" x14ac:dyDescent="0.2"/>
    <row r="92" s="15" customFormat="1" x14ac:dyDescent="0.2"/>
    <row r="93" s="15" customFormat="1" x14ac:dyDescent="0.2"/>
    <row r="94" s="15" customFormat="1" x14ac:dyDescent="0.2"/>
    <row r="95" s="15" customFormat="1" x14ac:dyDescent="0.2"/>
    <row r="96" s="15" customFormat="1" x14ac:dyDescent="0.2"/>
    <row r="97" s="15" customFormat="1" x14ac:dyDescent="0.2"/>
    <row r="98" s="15" customFormat="1" x14ac:dyDescent="0.2"/>
    <row r="99" s="15" customFormat="1" x14ac:dyDescent="0.2"/>
    <row r="100" s="15" customFormat="1" x14ac:dyDescent="0.2"/>
    <row r="101" s="15" customFormat="1" x14ac:dyDescent="0.2"/>
    <row r="102" s="15" customFormat="1" x14ac:dyDescent="0.2"/>
    <row r="103" s="15" customFormat="1" x14ac:dyDescent="0.2"/>
    <row r="104" s="15" customFormat="1" x14ac:dyDescent="0.2"/>
    <row r="105" s="15" customFormat="1" x14ac:dyDescent="0.2"/>
    <row r="106" s="15" customFormat="1" x14ac:dyDescent="0.2"/>
    <row r="107" s="15" customFormat="1" x14ac:dyDescent="0.2"/>
    <row r="108" s="15" customFormat="1" x14ac:dyDescent="0.2"/>
    <row r="109" s="15" customFormat="1" x14ac:dyDescent="0.2"/>
    <row r="110" s="15" customFormat="1" x14ac:dyDescent="0.2"/>
    <row r="111" s="15" customFormat="1" x14ac:dyDescent="0.2"/>
    <row r="112" s="15" customFormat="1" x14ac:dyDescent="0.2"/>
  </sheetData>
  <mergeCells count="12">
    <mergeCell ref="CK2:CV2"/>
    <mergeCell ref="CW2:DH2"/>
    <mergeCell ref="DI2:DT2"/>
    <mergeCell ref="AO2:AZ2"/>
    <mergeCell ref="A2:B2"/>
    <mergeCell ref="E2:P2"/>
    <mergeCell ref="Q2:AB2"/>
    <mergeCell ref="A23:B23"/>
    <mergeCell ref="AC2:AN2"/>
    <mergeCell ref="BA2:BL2"/>
    <mergeCell ref="BM2:BX2"/>
    <mergeCell ref="BY2:CJ2"/>
  </mergeCells>
  <pageMargins left="0.25" right="0.25" top="0.75" bottom="0.75" header="0.3" footer="0.3"/>
  <pageSetup paperSize="8" scale="4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DU53"/>
  <sheetViews>
    <sheetView zoomScale="55" zoomScaleNormal="55" zoomScalePageLayoutView="85" workbookViewId="0">
      <pane xSplit="3" ySplit="3" topLeftCell="AK4" activePane="bottomRight" state="frozen"/>
      <selection pane="topRight" activeCell="C1" sqref="C1"/>
      <selection pane="bottomLeft" activeCell="A4" sqref="A4"/>
      <selection pane="bottomRight" activeCell="AP10" sqref="AP10:AZ10"/>
    </sheetView>
  </sheetViews>
  <sheetFormatPr defaultColWidth="11.7109375" defaultRowHeight="12.75" x14ac:dyDescent="0.2"/>
  <cols>
    <col min="1" max="1" width="2.42578125" style="2" customWidth="1"/>
    <col min="2" max="2" width="31.7109375" style="2" customWidth="1"/>
    <col min="3" max="3" width="27" style="2" customWidth="1"/>
    <col min="4" max="4" width="1.28515625" style="2" customWidth="1"/>
    <col min="5" max="16384" width="11.7109375" style="2"/>
  </cols>
  <sheetData>
    <row r="1" spans="1:125" ht="12.75" customHeight="1" x14ac:dyDescent="0.2">
      <c r="A1" s="1417" t="s">
        <v>280</v>
      </c>
      <c r="B1" s="1417"/>
      <c r="C1" s="1417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500"/>
      <c r="Q1" s="788"/>
      <c r="R1" s="3"/>
      <c r="S1" s="3"/>
      <c r="T1" s="3"/>
      <c r="U1" s="3"/>
      <c r="V1" s="3"/>
      <c r="W1" s="3"/>
      <c r="X1" s="3"/>
      <c r="Y1" s="3"/>
      <c r="Z1" s="3"/>
      <c r="AA1" s="3"/>
      <c r="AB1" s="500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500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500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0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500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00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500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500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500"/>
    </row>
    <row r="2" spans="1:125" ht="39" customHeight="1" x14ac:dyDescent="0.2">
      <c r="A2" s="1417"/>
      <c r="B2" s="1417"/>
      <c r="C2" s="1417"/>
      <c r="D2" s="14"/>
      <c r="E2" s="1420" t="s">
        <v>507</v>
      </c>
      <c r="F2" s="1420"/>
      <c r="G2" s="1420"/>
      <c r="H2" s="1420"/>
      <c r="I2" s="1420"/>
      <c r="J2" s="1420"/>
      <c r="K2" s="1420"/>
      <c r="L2" s="1420"/>
      <c r="M2" s="1420"/>
      <c r="N2" s="1420"/>
      <c r="O2" s="1420"/>
      <c r="P2" s="1421"/>
      <c r="Q2" s="1418" t="s">
        <v>508</v>
      </c>
      <c r="R2" s="1415"/>
      <c r="S2" s="1415"/>
      <c r="T2" s="1415"/>
      <c r="U2" s="1415"/>
      <c r="V2" s="1415"/>
      <c r="W2" s="1415"/>
      <c r="X2" s="1415"/>
      <c r="Y2" s="1415"/>
      <c r="Z2" s="1415"/>
      <c r="AA2" s="1415"/>
      <c r="AB2" s="1416"/>
      <c r="AC2" s="1415" t="s">
        <v>509</v>
      </c>
      <c r="AD2" s="1415"/>
      <c r="AE2" s="1415"/>
      <c r="AF2" s="1415"/>
      <c r="AG2" s="1415"/>
      <c r="AH2" s="1415"/>
      <c r="AI2" s="1415"/>
      <c r="AJ2" s="1415"/>
      <c r="AK2" s="1415"/>
      <c r="AL2" s="1415"/>
      <c r="AM2" s="1415"/>
      <c r="AN2" s="1416"/>
      <c r="AO2" s="1418" t="s">
        <v>510</v>
      </c>
      <c r="AP2" s="1415"/>
      <c r="AQ2" s="1415"/>
      <c r="AR2" s="1415"/>
      <c r="AS2" s="1415"/>
      <c r="AT2" s="1415"/>
      <c r="AU2" s="1415"/>
      <c r="AV2" s="1415"/>
      <c r="AW2" s="1415"/>
      <c r="AX2" s="1415"/>
      <c r="AY2" s="1415"/>
      <c r="AZ2" s="1416"/>
      <c r="BA2" s="1415" t="s">
        <v>511</v>
      </c>
      <c r="BB2" s="1415"/>
      <c r="BC2" s="1415"/>
      <c r="BD2" s="1415"/>
      <c r="BE2" s="1415"/>
      <c r="BF2" s="1415"/>
      <c r="BG2" s="1415"/>
      <c r="BH2" s="1415"/>
      <c r="BI2" s="1415"/>
      <c r="BJ2" s="1415"/>
      <c r="BK2" s="1415"/>
      <c r="BL2" s="1416"/>
      <c r="BM2" s="1415" t="s">
        <v>512</v>
      </c>
      <c r="BN2" s="1415"/>
      <c r="BO2" s="1415"/>
      <c r="BP2" s="1415"/>
      <c r="BQ2" s="1415"/>
      <c r="BR2" s="1415"/>
      <c r="BS2" s="1415"/>
      <c r="BT2" s="1415"/>
      <c r="BU2" s="1415"/>
      <c r="BV2" s="1415"/>
      <c r="BW2" s="1415"/>
      <c r="BX2" s="1416"/>
      <c r="BY2" s="1415" t="s">
        <v>513</v>
      </c>
      <c r="BZ2" s="1415"/>
      <c r="CA2" s="1415"/>
      <c r="CB2" s="1415"/>
      <c r="CC2" s="1415"/>
      <c r="CD2" s="1415"/>
      <c r="CE2" s="1415"/>
      <c r="CF2" s="1415"/>
      <c r="CG2" s="1415"/>
      <c r="CH2" s="1415"/>
      <c r="CI2" s="1415"/>
      <c r="CJ2" s="1416"/>
      <c r="CK2" s="1415" t="s">
        <v>514</v>
      </c>
      <c r="CL2" s="1415"/>
      <c r="CM2" s="1415"/>
      <c r="CN2" s="1415"/>
      <c r="CO2" s="1415"/>
      <c r="CP2" s="1415"/>
      <c r="CQ2" s="1415"/>
      <c r="CR2" s="1415"/>
      <c r="CS2" s="1415"/>
      <c r="CT2" s="1415"/>
      <c r="CU2" s="1415"/>
      <c r="CV2" s="1416"/>
      <c r="CW2" s="1415" t="s">
        <v>515</v>
      </c>
      <c r="CX2" s="1415"/>
      <c r="CY2" s="1415"/>
      <c r="CZ2" s="1415"/>
      <c r="DA2" s="1415"/>
      <c r="DB2" s="1415"/>
      <c r="DC2" s="1415"/>
      <c r="DD2" s="1415"/>
      <c r="DE2" s="1415"/>
      <c r="DF2" s="1415"/>
      <c r="DG2" s="1415"/>
      <c r="DH2" s="1416"/>
      <c r="DI2" s="1415" t="s">
        <v>516</v>
      </c>
      <c r="DJ2" s="1415"/>
      <c r="DK2" s="1415"/>
      <c r="DL2" s="1415"/>
      <c r="DM2" s="1415"/>
      <c r="DN2" s="1415"/>
      <c r="DO2" s="1415"/>
      <c r="DP2" s="1415"/>
      <c r="DQ2" s="1415"/>
      <c r="DR2" s="1415"/>
      <c r="DS2" s="1415"/>
      <c r="DT2" s="1416"/>
    </row>
    <row r="3" spans="1:125" ht="18.75" customHeight="1" x14ac:dyDescent="0.25">
      <c r="A3" s="1417"/>
      <c r="B3" s="1417"/>
      <c r="C3" s="1417"/>
      <c r="D3" s="7"/>
      <c r="E3" s="484" t="s">
        <v>175</v>
      </c>
      <c r="F3" s="484" t="s">
        <v>176</v>
      </c>
      <c r="G3" s="484" t="s">
        <v>177</v>
      </c>
      <c r="H3" s="484" t="s">
        <v>178</v>
      </c>
      <c r="I3" s="484" t="s">
        <v>167</v>
      </c>
      <c r="J3" s="484" t="s">
        <v>168</v>
      </c>
      <c r="K3" s="484" t="s">
        <v>169</v>
      </c>
      <c r="L3" s="484" t="s">
        <v>170</v>
      </c>
      <c r="M3" s="484" t="s">
        <v>171</v>
      </c>
      <c r="N3" s="484" t="s">
        <v>172</v>
      </c>
      <c r="O3" s="484" t="s">
        <v>173</v>
      </c>
      <c r="P3" s="694" t="s">
        <v>174</v>
      </c>
      <c r="Q3" s="541" t="s">
        <v>175</v>
      </c>
      <c r="R3" s="272" t="s">
        <v>176</v>
      </c>
      <c r="S3" s="272" t="s">
        <v>177</v>
      </c>
      <c r="T3" s="272" t="s">
        <v>178</v>
      </c>
      <c r="U3" s="272" t="s">
        <v>167</v>
      </c>
      <c r="V3" s="272" t="s">
        <v>168</v>
      </c>
      <c r="W3" s="272" t="s">
        <v>169</v>
      </c>
      <c r="X3" s="272" t="s">
        <v>170</v>
      </c>
      <c r="Y3" s="272" t="s">
        <v>171</v>
      </c>
      <c r="Z3" s="272" t="s">
        <v>172</v>
      </c>
      <c r="AA3" s="272" t="s">
        <v>173</v>
      </c>
      <c r="AB3" s="603" t="s">
        <v>174</v>
      </c>
      <c r="AC3" s="272" t="s">
        <v>175</v>
      </c>
      <c r="AD3" s="272" t="s">
        <v>176</v>
      </c>
      <c r="AE3" s="272" t="s">
        <v>177</v>
      </c>
      <c r="AF3" s="272" t="s">
        <v>178</v>
      </c>
      <c r="AG3" s="272" t="s">
        <v>167</v>
      </c>
      <c r="AH3" s="272" t="s">
        <v>168</v>
      </c>
      <c r="AI3" s="272" t="s">
        <v>169</v>
      </c>
      <c r="AJ3" s="272" t="s">
        <v>170</v>
      </c>
      <c r="AK3" s="272" t="s">
        <v>171</v>
      </c>
      <c r="AL3" s="272" t="s">
        <v>172</v>
      </c>
      <c r="AM3" s="272" t="s">
        <v>173</v>
      </c>
      <c r="AN3" s="603" t="s">
        <v>174</v>
      </c>
      <c r="AO3" s="541" t="s">
        <v>175</v>
      </c>
      <c r="AP3" s="272" t="s">
        <v>176</v>
      </c>
      <c r="AQ3" s="272" t="s">
        <v>177</v>
      </c>
      <c r="AR3" s="272" t="s">
        <v>178</v>
      </c>
      <c r="AS3" s="272" t="s">
        <v>167</v>
      </c>
      <c r="AT3" s="272" t="s">
        <v>168</v>
      </c>
      <c r="AU3" s="272" t="s">
        <v>169</v>
      </c>
      <c r="AV3" s="272" t="s">
        <v>170</v>
      </c>
      <c r="AW3" s="272" t="s">
        <v>171</v>
      </c>
      <c r="AX3" s="272" t="s">
        <v>172</v>
      </c>
      <c r="AY3" s="272" t="s">
        <v>173</v>
      </c>
      <c r="AZ3" s="603" t="s">
        <v>174</v>
      </c>
      <c r="BA3" s="272" t="s">
        <v>175</v>
      </c>
      <c r="BB3" s="272" t="s">
        <v>176</v>
      </c>
      <c r="BC3" s="272" t="s">
        <v>177</v>
      </c>
      <c r="BD3" s="272" t="s">
        <v>178</v>
      </c>
      <c r="BE3" s="272" t="s">
        <v>167</v>
      </c>
      <c r="BF3" s="272" t="s">
        <v>168</v>
      </c>
      <c r="BG3" s="272" t="s">
        <v>169</v>
      </c>
      <c r="BH3" s="272" t="s">
        <v>170</v>
      </c>
      <c r="BI3" s="272" t="s">
        <v>171</v>
      </c>
      <c r="BJ3" s="272" t="s">
        <v>172</v>
      </c>
      <c r="BK3" s="272" t="s">
        <v>173</v>
      </c>
      <c r="BL3" s="603" t="s">
        <v>174</v>
      </c>
      <c r="BM3" s="272" t="s">
        <v>175</v>
      </c>
      <c r="BN3" s="272" t="s">
        <v>176</v>
      </c>
      <c r="BO3" s="272" t="s">
        <v>177</v>
      </c>
      <c r="BP3" s="272" t="s">
        <v>178</v>
      </c>
      <c r="BQ3" s="272" t="s">
        <v>167</v>
      </c>
      <c r="BR3" s="272" t="s">
        <v>168</v>
      </c>
      <c r="BS3" s="272" t="s">
        <v>169</v>
      </c>
      <c r="BT3" s="272" t="s">
        <v>170</v>
      </c>
      <c r="BU3" s="272" t="s">
        <v>171</v>
      </c>
      <c r="BV3" s="272" t="s">
        <v>172</v>
      </c>
      <c r="BW3" s="272" t="s">
        <v>173</v>
      </c>
      <c r="BX3" s="603" t="s">
        <v>174</v>
      </c>
      <c r="BY3" s="272" t="s">
        <v>175</v>
      </c>
      <c r="BZ3" s="272" t="s">
        <v>176</v>
      </c>
      <c r="CA3" s="272" t="s">
        <v>177</v>
      </c>
      <c r="CB3" s="272" t="s">
        <v>178</v>
      </c>
      <c r="CC3" s="272" t="s">
        <v>167</v>
      </c>
      <c r="CD3" s="272" t="s">
        <v>168</v>
      </c>
      <c r="CE3" s="272" t="s">
        <v>169</v>
      </c>
      <c r="CF3" s="272" t="s">
        <v>170</v>
      </c>
      <c r="CG3" s="272" t="s">
        <v>171</v>
      </c>
      <c r="CH3" s="272" t="s">
        <v>172</v>
      </c>
      <c r="CI3" s="272" t="s">
        <v>173</v>
      </c>
      <c r="CJ3" s="603" t="s">
        <v>174</v>
      </c>
      <c r="CK3" s="272" t="s">
        <v>175</v>
      </c>
      <c r="CL3" s="272" t="s">
        <v>176</v>
      </c>
      <c r="CM3" s="272" t="s">
        <v>177</v>
      </c>
      <c r="CN3" s="272" t="s">
        <v>178</v>
      </c>
      <c r="CO3" s="272" t="s">
        <v>167</v>
      </c>
      <c r="CP3" s="272" t="s">
        <v>168</v>
      </c>
      <c r="CQ3" s="272" t="s">
        <v>169</v>
      </c>
      <c r="CR3" s="272" t="s">
        <v>170</v>
      </c>
      <c r="CS3" s="272" t="s">
        <v>171</v>
      </c>
      <c r="CT3" s="272" t="s">
        <v>172</v>
      </c>
      <c r="CU3" s="272" t="s">
        <v>173</v>
      </c>
      <c r="CV3" s="603" t="s">
        <v>174</v>
      </c>
      <c r="CW3" s="272" t="s">
        <v>175</v>
      </c>
      <c r="CX3" s="272" t="s">
        <v>176</v>
      </c>
      <c r="CY3" s="272" t="s">
        <v>177</v>
      </c>
      <c r="CZ3" s="272" t="s">
        <v>178</v>
      </c>
      <c r="DA3" s="272" t="s">
        <v>167</v>
      </c>
      <c r="DB3" s="272" t="s">
        <v>168</v>
      </c>
      <c r="DC3" s="272" t="s">
        <v>169</v>
      </c>
      <c r="DD3" s="272" t="s">
        <v>170</v>
      </c>
      <c r="DE3" s="272" t="s">
        <v>171</v>
      </c>
      <c r="DF3" s="272" t="s">
        <v>172</v>
      </c>
      <c r="DG3" s="272" t="s">
        <v>173</v>
      </c>
      <c r="DH3" s="603" t="s">
        <v>174</v>
      </c>
      <c r="DI3" s="272" t="s">
        <v>175</v>
      </c>
      <c r="DJ3" s="272" t="s">
        <v>176</v>
      </c>
      <c r="DK3" s="272" t="s">
        <v>177</v>
      </c>
      <c r="DL3" s="272" t="s">
        <v>178</v>
      </c>
      <c r="DM3" s="272" t="s">
        <v>167</v>
      </c>
      <c r="DN3" s="272" t="s">
        <v>168</v>
      </c>
      <c r="DO3" s="272" t="s">
        <v>169</v>
      </c>
      <c r="DP3" s="272" t="s">
        <v>170</v>
      </c>
      <c r="DQ3" s="272" t="s">
        <v>171</v>
      </c>
      <c r="DR3" s="272" t="s">
        <v>172</v>
      </c>
      <c r="DS3" s="272" t="s">
        <v>173</v>
      </c>
      <c r="DT3" s="603" t="s">
        <v>174</v>
      </c>
    </row>
    <row r="4" spans="1:125" ht="18.75" customHeight="1" x14ac:dyDescent="0.3">
      <c r="B4" s="161" t="s">
        <v>247</v>
      </c>
      <c r="C4" s="125"/>
      <c r="D4" s="7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513"/>
      <c r="Q4" s="789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739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739"/>
      <c r="AO4" s="789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739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739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739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739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739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739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739"/>
    </row>
    <row r="5" spans="1:125" ht="15" x14ac:dyDescent="0.25">
      <c r="B5" s="162" t="s">
        <v>246</v>
      </c>
      <c r="C5" s="56"/>
      <c r="D5" s="7"/>
      <c r="E5" s="463">
        <f>'Summary Bioplan'!E121</f>
        <v>0</v>
      </c>
      <c r="F5" s="463">
        <f>'Summary Bioplan'!F121</f>
        <v>0</v>
      </c>
      <c r="G5" s="463">
        <f>'Summary Bioplan'!G121</f>
        <v>0</v>
      </c>
      <c r="H5" s="463">
        <f>'Summary Bioplan'!H108</f>
        <v>0</v>
      </c>
      <c r="I5" s="463">
        <f>'Summary Bioplan'!I121</f>
        <v>0</v>
      </c>
      <c r="J5" s="463">
        <f>'Summary Bioplan'!J121</f>
        <v>0</v>
      </c>
      <c r="K5" s="463">
        <f>'Summary Bioplan'!K121</f>
        <v>0</v>
      </c>
      <c r="L5" s="463">
        <f>'Summary Bioplan'!L121</f>
        <v>0</v>
      </c>
      <c r="M5" s="463">
        <f>'Summary Bioplan'!M121</f>
        <v>0</v>
      </c>
      <c r="N5" s="463">
        <f>'Summary Bioplan'!N121</f>
        <v>0</v>
      </c>
      <c r="O5" s="463">
        <v>0</v>
      </c>
      <c r="P5" s="487">
        <f>'Summary Bioplan'!P121</f>
        <v>0</v>
      </c>
      <c r="Q5" s="1178">
        <f>'Summary Bioplan'!Q121</f>
        <v>0</v>
      </c>
      <c r="R5" s="685">
        <v>0</v>
      </c>
      <c r="S5" s="685">
        <f>'Summary Bioplan'!S15</f>
        <v>1250000</v>
      </c>
      <c r="T5" s="685">
        <f>'Summary Bioplan'!T15</f>
        <v>0</v>
      </c>
      <c r="U5" s="685">
        <f>'Summary Bioplan'!U15</f>
        <v>0</v>
      </c>
      <c r="V5" s="685">
        <f>'Summary Bioplan'!V15</f>
        <v>0</v>
      </c>
      <c r="W5" s="685">
        <f>'Summary Bioplan'!W15</f>
        <v>0</v>
      </c>
      <c r="X5" s="685">
        <f>'Summary Bioplan'!X15</f>
        <v>0</v>
      </c>
      <c r="Y5" s="685">
        <f>'Summary Bioplan'!Y15</f>
        <v>0</v>
      </c>
      <c r="Z5" s="685">
        <f>'Summary Bioplan'!Z15</f>
        <v>0</v>
      </c>
      <c r="AA5" s="685">
        <f>'Summary Bioplan'!AA15</f>
        <v>0</v>
      </c>
      <c r="AB5" s="697">
        <f>'Summary Bioplan'!AB15</f>
        <v>0</v>
      </c>
      <c r="AC5" s="730">
        <f>'Summary Bioplan'!AC15</f>
        <v>0</v>
      </c>
      <c r="AD5" s="685">
        <f>'Summary Bioplan'!AD15</f>
        <v>0</v>
      </c>
      <c r="AE5" s="685">
        <f>'Summary Bioplan'!AE15</f>
        <v>1250000</v>
      </c>
      <c r="AF5" s="685">
        <f>'Summary Bioplan'!AF15</f>
        <v>0</v>
      </c>
      <c r="AG5" s="685">
        <f>'Summary Bioplan'!AG15</f>
        <v>0</v>
      </c>
      <c r="AH5" s="685">
        <f>'Summary Bioplan'!AH15</f>
        <v>0</v>
      </c>
      <c r="AI5" s="685">
        <f>'Summary Bioplan'!AI15</f>
        <v>0</v>
      </c>
      <c r="AJ5" s="685">
        <f>'Summary Bioplan'!AJ15</f>
        <v>0</v>
      </c>
      <c r="AK5" s="685">
        <f>'Summary Bioplan'!AK15</f>
        <v>0</v>
      </c>
      <c r="AL5" s="685">
        <f>'Summary Bioplan'!AL15</f>
        <v>0</v>
      </c>
      <c r="AM5" s="685">
        <f>'Summary Bioplan'!AM15</f>
        <v>0</v>
      </c>
      <c r="AN5" s="697">
        <f>'Summary Bioplan'!AN15</f>
        <v>0</v>
      </c>
      <c r="AO5" s="1178">
        <f>'Summary Bioplan'!AO15</f>
        <v>0</v>
      </c>
      <c r="AP5" s="685">
        <f>'Summary Bioplan'!AP15</f>
        <v>0</v>
      </c>
      <c r="AQ5" s="685">
        <f>'Summary Bioplan'!AQ15</f>
        <v>1250000</v>
      </c>
      <c r="AR5" s="685">
        <f>'Summary Bioplan'!AR15</f>
        <v>0</v>
      </c>
      <c r="AS5" s="685">
        <f>'Summary Bioplan'!AS15</f>
        <v>0</v>
      </c>
      <c r="AT5" s="685">
        <f>'Summary Bioplan'!AT15</f>
        <v>0</v>
      </c>
      <c r="AU5" s="685">
        <f>'Summary Bioplan'!AU15</f>
        <v>0</v>
      </c>
      <c r="AV5" s="685">
        <f>'Summary Bioplan'!AV15</f>
        <v>0</v>
      </c>
      <c r="AW5" s="685">
        <f>'Summary Bioplan'!AW15</f>
        <v>0</v>
      </c>
      <c r="AX5" s="685">
        <f>'Summary Bioplan'!AX15</f>
        <v>0</v>
      </c>
      <c r="AY5" s="685">
        <f>'Summary Bioplan'!AY15</f>
        <v>0</v>
      </c>
      <c r="AZ5" s="697">
        <f>'Summary Bioplan'!AZ15</f>
        <v>0</v>
      </c>
      <c r="BA5" s="730">
        <f>'Summary Bioplan'!BA15</f>
        <v>0</v>
      </c>
      <c r="BB5" s="685">
        <f>'Summary Bioplan'!BB15</f>
        <v>0</v>
      </c>
      <c r="BC5" s="685">
        <f>'Summary Bioplan'!BC15</f>
        <v>1250000</v>
      </c>
      <c r="BD5" s="685">
        <f>'Summary Bioplan'!BD15</f>
        <v>0</v>
      </c>
      <c r="BE5" s="685">
        <f>'Summary Bioplan'!BE15</f>
        <v>0</v>
      </c>
      <c r="BF5" s="685">
        <f>'Summary Bioplan'!BF15</f>
        <v>0</v>
      </c>
      <c r="BG5" s="685">
        <f>'Summary Bioplan'!BG15</f>
        <v>0</v>
      </c>
      <c r="BH5" s="685">
        <f>'Summary Bioplan'!BH15</f>
        <v>0</v>
      </c>
      <c r="BI5" s="685">
        <f>'Summary Bioplan'!BI15</f>
        <v>0</v>
      </c>
      <c r="BJ5" s="685">
        <f>'Summary Bioplan'!BJ15</f>
        <v>0</v>
      </c>
      <c r="BK5" s="685">
        <f>'Summary Bioplan'!BK15</f>
        <v>0</v>
      </c>
      <c r="BL5" s="697">
        <f>'Summary Bioplan'!BL15</f>
        <v>0</v>
      </c>
      <c r="BM5" s="730">
        <f>'Summary Bioplan'!BM15</f>
        <v>0</v>
      </c>
      <c r="BN5" s="685">
        <f>'Summary Bioplan'!BN15</f>
        <v>0</v>
      </c>
      <c r="BO5" s="685">
        <f>'Summary Bioplan'!BO15</f>
        <v>1250000</v>
      </c>
      <c r="BP5" s="685">
        <f>'Summary Bioplan'!BP15</f>
        <v>0</v>
      </c>
      <c r="BQ5" s="685">
        <f>'Summary Bioplan'!BQ15</f>
        <v>0</v>
      </c>
      <c r="BR5" s="685">
        <f>'Summary Bioplan'!BR15</f>
        <v>0</v>
      </c>
      <c r="BS5" s="685">
        <f>'Summary Bioplan'!BS15</f>
        <v>0</v>
      </c>
      <c r="BT5" s="685">
        <f>'Summary Bioplan'!BT15</f>
        <v>0</v>
      </c>
      <c r="BU5" s="685">
        <f>'Summary Bioplan'!BU15</f>
        <v>0</v>
      </c>
      <c r="BV5" s="685">
        <f>'Summary Bioplan'!BV15</f>
        <v>0</v>
      </c>
      <c r="BW5" s="685">
        <f>'Summary Bioplan'!BW15</f>
        <v>0</v>
      </c>
      <c r="BX5" s="697">
        <f>'Summary Bioplan'!BX15</f>
        <v>0</v>
      </c>
      <c r="BY5" s="730">
        <f>'Summary Bioplan'!BY15</f>
        <v>0</v>
      </c>
      <c r="BZ5" s="685">
        <f>'Summary Bioplan'!BZ15</f>
        <v>0</v>
      </c>
      <c r="CA5" s="685">
        <f>'Summary Bioplan'!CA15</f>
        <v>1250000</v>
      </c>
      <c r="CB5" s="685">
        <f>'Summary Bioplan'!CB15</f>
        <v>0</v>
      </c>
      <c r="CC5" s="685">
        <f>'Summary Bioplan'!CC15</f>
        <v>0</v>
      </c>
      <c r="CD5" s="685">
        <f>'Summary Bioplan'!CD15</f>
        <v>0</v>
      </c>
      <c r="CE5" s="685">
        <f>'Summary Bioplan'!CE15</f>
        <v>0</v>
      </c>
      <c r="CF5" s="685">
        <f>'Summary Bioplan'!CF15</f>
        <v>0</v>
      </c>
      <c r="CG5" s="685">
        <f>'Summary Bioplan'!CG15</f>
        <v>0</v>
      </c>
      <c r="CH5" s="685">
        <f>'Summary Bioplan'!CH15</f>
        <v>0</v>
      </c>
      <c r="CI5" s="685">
        <f>'Summary Bioplan'!CI15</f>
        <v>0</v>
      </c>
      <c r="CJ5" s="697">
        <f>'Summary Bioplan'!CJ15</f>
        <v>0</v>
      </c>
      <c r="CK5" s="730">
        <f>'Summary Bioplan'!CK15</f>
        <v>0</v>
      </c>
      <c r="CL5" s="685">
        <f>'Summary Bioplan'!CL15</f>
        <v>0</v>
      </c>
      <c r="CM5" s="685">
        <f>'Summary Bioplan'!CM15</f>
        <v>1250000</v>
      </c>
      <c r="CN5" s="685">
        <f>'Summary Bioplan'!CN15</f>
        <v>0</v>
      </c>
      <c r="CO5" s="685">
        <f>'Summary Bioplan'!CO15</f>
        <v>0</v>
      </c>
      <c r="CP5" s="685">
        <f>'Summary Bioplan'!CP15</f>
        <v>0</v>
      </c>
      <c r="CQ5" s="685">
        <f>'Summary Bioplan'!CQ15</f>
        <v>0</v>
      </c>
      <c r="CR5" s="685">
        <f>'Summary Bioplan'!CR15</f>
        <v>0</v>
      </c>
      <c r="CS5" s="685">
        <f>'Summary Bioplan'!CS15</f>
        <v>0</v>
      </c>
      <c r="CT5" s="685">
        <f>'Summary Bioplan'!CT15</f>
        <v>0</v>
      </c>
      <c r="CU5" s="685">
        <f>'Summary Bioplan'!CU15</f>
        <v>0</v>
      </c>
      <c r="CV5" s="697">
        <f>'Summary Bioplan'!CV15</f>
        <v>0</v>
      </c>
      <c r="CW5" s="730">
        <f>'Summary Bioplan'!CW15</f>
        <v>0</v>
      </c>
      <c r="CX5" s="685">
        <f>'Summary Bioplan'!CX15</f>
        <v>0</v>
      </c>
      <c r="CY5" s="685">
        <f>'Summary Bioplan'!CY15</f>
        <v>1250000</v>
      </c>
      <c r="CZ5" s="685">
        <f>'Summary Bioplan'!CZ15</f>
        <v>0</v>
      </c>
      <c r="DA5" s="685">
        <f>'Summary Bioplan'!DA15</f>
        <v>0</v>
      </c>
      <c r="DB5" s="685">
        <f>'Summary Bioplan'!DB15</f>
        <v>0</v>
      </c>
      <c r="DC5" s="685">
        <f>'Summary Bioplan'!DC15</f>
        <v>0</v>
      </c>
      <c r="DD5" s="685">
        <f>'Summary Bioplan'!DD15</f>
        <v>0</v>
      </c>
      <c r="DE5" s="685">
        <f>'Summary Bioplan'!DE15</f>
        <v>0</v>
      </c>
      <c r="DF5" s="685">
        <f>'Summary Bioplan'!DF15</f>
        <v>0</v>
      </c>
      <c r="DG5" s="685">
        <f>'Summary Bioplan'!DG15</f>
        <v>0</v>
      </c>
      <c r="DH5" s="697">
        <f>'Summary Bioplan'!DH15</f>
        <v>0</v>
      </c>
      <c r="DI5" s="730">
        <f>'Summary Bioplan'!DI15</f>
        <v>0</v>
      </c>
      <c r="DJ5" s="685">
        <f>'Summary Bioplan'!DJ15</f>
        <v>0</v>
      </c>
      <c r="DK5" s="685">
        <f>'Summary Bioplan'!DK15</f>
        <v>1250000</v>
      </c>
      <c r="DL5" s="685">
        <f>'Summary Bioplan'!DL15</f>
        <v>0</v>
      </c>
      <c r="DM5" s="685">
        <f>'Summary Bioplan'!DM15</f>
        <v>0</v>
      </c>
      <c r="DN5" s="685">
        <f>'Summary Bioplan'!DN15</f>
        <v>0</v>
      </c>
      <c r="DO5" s="685">
        <f>'Summary Bioplan'!DO15</f>
        <v>0</v>
      </c>
      <c r="DP5" s="685">
        <f>'Summary Bioplan'!DP15</f>
        <v>0</v>
      </c>
      <c r="DQ5" s="685">
        <f>'Summary Bioplan'!DQ15</f>
        <v>0</v>
      </c>
      <c r="DR5" s="685">
        <f>'Summary Bioplan'!DR15</f>
        <v>0</v>
      </c>
      <c r="DS5" s="685">
        <f>'Summary Bioplan'!DS15</f>
        <v>0</v>
      </c>
      <c r="DT5" s="697">
        <f>'Summary Bioplan'!DT15</f>
        <v>0</v>
      </c>
    </row>
    <row r="6" spans="1:125" ht="15" x14ac:dyDescent="0.25">
      <c r="B6" s="162" t="s">
        <v>1301</v>
      </c>
      <c r="C6" s="56"/>
      <c r="D6" s="7"/>
      <c r="E6" s="463">
        <f>'Summary Bioplan'!E44</f>
        <v>0</v>
      </c>
      <c r="F6" s="463">
        <f>'Summary Bioplan'!F44</f>
        <v>0</v>
      </c>
      <c r="G6" s="463">
        <f>'Summary Bioplan'!G44</f>
        <v>0</v>
      </c>
      <c r="H6" s="463">
        <f>'Summary Bioplan'!H44</f>
        <v>0</v>
      </c>
      <c r="I6" s="463">
        <f>'Summary Bioplan'!I44</f>
        <v>0</v>
      </c>
      <c r="J6" s="463">
        <f>'Summary Bioplan'!J44</f>
        <v>0</v>
      </c>
      <c r="K6" s="463">
        <f>'Summary Bioplan'!K44</f>
        <v>0</v>
      </c>
      <c r="L6" s="463">
        <f>'Summary Bioplan'!L44</f>
        <v>0</v>
      </c>
      <c r="M6" s="463">
        <f>'Summary Bioplan'!M44</f>
        <v>0</v>
      </c>
      <c r="N6" s="463">
        <f>'Summary Bioplan'!N44</f>
        <v>0</v>
      </c>
      <c r="O6" s="463">
        <f>'Summary Bioplan'!O44</f>
        <v>0</v>
      </c>
      <c r="P6" s="487">
        <f>'Summary Bioplan'!P44</f>
        <v>0</v>
      </c>
      <c r="Q6" s="1178">
        <f>'Summary Bioplan'!Q44</f>
        <v>0</v>
      </c>
      <c r="R6" s="685">
        <f>'Summary Bioplan'!R44</f>
        <v>0</v>
      </c>
      <c r="S6" s="685">
        <f>'Summary Bioplan'!S44</f>
        <v>0</v>
      </c>
      <c r="T6" s="685">
        <f>'Summary Bioplan'!T44</f>
        <v>0</v>
      </c>
      <c r="U6" s="685">
        <f>'Summary Bioplan'!U44</f>
        <v>0</v>
      </c>
      <c r="V6" s="685">
        <f>'Summary Bioplan'!V28</f>
        <v>1663.7599525949101</v>
      </c>
      <c r="W6" s="685">
        <f>'Summary Bioplan'!W28</f>
        <v>3246.8681552135977</v>
      </c>
      <c r="X6" s="685">
        <f>'Summary Bioplan'!X28</f>
        <v>6786.0133349401731</v>
      </c>
      <c r="Y6" s="685">
        <f>'Summary Bioplan'!Y28</f>
        <v>10780.692064473094</v>
      </c>
      <c r="Z6" s="685">
        <f>'Summary Bioplan'!Z28</f>
        <v>16521.372969045762</v>
      </c>
      <c r="AA6" s="685">
        <f>'Summary Bioplan'!AA28</f>
        <v>23622.019154122598</v>
      </c>
      <c r="AB6" s="697">
        <f>'Summary Bioplan'!AB28</f>
        <v>32442.18661687764</v>
      </c>
      <c r="AC6" s="730">
        <f>'Summary Bioplan'!AC28</f>
        <v>50586.105145123031</v>
      </c>
      <c r="AD6" s="685">
        <f>'Summary Bioplan'!AD28</f>
        <v>39444.488205776579</v>
      </c>
      <c r="AE6" s="685">
        <f>'Summary Bioplan'!AE28</f>
        <v>43389.232662951581</v>
      </c>
      <c r="AF6" s="685">
        <f>'Summary Bioplan'!AF28</f>
        <v>47694.240575872238</v>
      </c>
      <c r="AG6" s="685">
        <f>'Summary Bioplan'!AG28</f>
        <v>27075.451512998068</v>
      </c>
      <c r="AH6" s="685">
        <f>'Summary Bioplan'!AH28</f>
        <v>31404.696609575964</v>
      </c>
      <c r="AI6" s="685">
        <f>'Summary Bioplan'!AI28</f>
        <v>39605.387268790219</v>
      </c>
      <c r="AJ6" s="685">
        <f>'Summary Bioplan'!AJ28</f>
        <v>6786.0133349401731</v>
      </c>
      <c r="AK6" s="685">
        <f>'Summary Bioplan'!AK28</f>
        <v>10780.692064473094</v>
      </c>
      <c r="AL6" s="685">
        <f>'Summary Bioplan'!AL28</f>
        <v>16521.372969045762</v>
      </c>
      <c r="AM6" s="685">
        <f>'Summary Bioplan'!AM28</f>
        <v>23622.019154122598</v>
      </c>
      <c r="AN6" s="697">
        <f>'Summary Bioplan'!AN28</f>
        <v>32442.18661687764</v>
      </c>
      <c r="AO6" s="1178">
        <f>'Summary Bioplan'!AO28</f>
        <v>50586.105145123031</v>
      </c>
      <c r="AP6" s="685">
        <f>'Summary Bioplan'!AP28</f>
        <v>39444.488205776579</v>
      </c>
      <c r="AQ6" s="685">
        <f>'Summary Bioplan'!AQ28</f>
        <v>43389.232662951581</v>
      </c>
      <c r="AR6" s="685">
        <f>'Summary Bioplan'!AR28</f>
        <v>47694.240575872238</v>
      </c>
      <c r="AS6" s="685">
        <f>'Summary Bioplan'!AS28</f>
        <v>27075.451512998068</v>
      </c>
      <c r="AT6" s="685">
        <f>'Summary Bioplan'!AT28</f>
        <v>31404.696609575964</v>
      </c>
      <c r="AU6" s="685">
        <f>'Summary Bioplan'!AU28</f>
        <v>39605.387268790219</v>
      </c>
      <c r="AV6" s="685">
        <f>'Summary Bioplan'!AV28</f>
        <v>6786.0133349401731</v>
      </c>
      <c r="AW6" s="685">
        <f>'Summary Bioplan'!AW28</f>
        <v>10780.692064473094</v>
      </c>
      <c r="AX6" s="685">
        <f>'Summary Bioplan'!AX28</f>
        <v>16521.372969045762</v>
      </c>
      <c r="AY6" s="685">
        <f>'Summary Bioplan'!AY28</f>
        <v>23622.019154122598</v>
      </c>
      <c r="AZ6" s="697">
        <f>'Summary Bioplan'!AZ28</f>
        <v>32442.18661687764</v>
      </c>
      <c r="BA6" s="730">
        <f>'Summary Bioplan'!BA28</f>
        <v>50586.105145123031</v>
      </c>
      <c r="BB6" s="685">
        <f>'Summary Bioplan'!BB28</f>
        <v>39444.488205776579</v>
      </c>
      <c r="BC6" s="685">
        <f>'Summary Bioplan'!BC28</f>
        <v>43389.232662951581</v>
      </c>
      <c r="BD6" s="685">
        <f>'Summary Bioplan'!BD28</f>
        <v>47694.240575872238</v>
      </c>
      <c r="BE6" s="685">
        <f>'Summary Bioplan'!BE28</f>
        <v>27075.451512998068</v>
      </c>
      <c r="BF6" s="685">
        <f>'Summary Bioplan'!BF28</f>
        <v>31404.696609575964</v>
      </c>
      <c r="BG6" s="685">
        <f>'Summary Bioplan'!BG28</f>
        <v>39605.387268790219</v>
      </c>
      <c r="BH6" s="685">
        <f>'Summary Bioplan'!BH28</f>
        <v>6786.0133349401731</v>
      </c>
      <c r="BI6" s="685">
        <f>'Summary Bioplan'!BI28</f>
        <v>10780.692064473094</v>
      </c>
      <c r="BJ6" s="685">
        <f>'Summary Bioplan'!BJ28</f>
        <v>16521.372969045762</v>
      </c>
      <c r="BK6" s="685">
        <f>'Summary Bioplan'!BK28</f>
        <v>23622.019154122598</v>
      </c>
      <c r="BL6" s="697">
        <f>'Summary Bioplan'!BL28</f>
        <v>32442.18661687764</v>
      </c>
      <c r="BM6" s="730">
        <f>'Summary Bioplan'!BM28</f>
        <v>50586.105145123031</v>
      </c>
      <c r="BN6" s="685">
        <f>'Summary Bioplan'!BN28</f>
        <v>39444.488205776579</v>
      </c>
      <c r="BO6" s="685">
        <f>'Summary Bioplan'!BO28</f>
        <v>43389.232662951581</v>
      </c>
      <c r="BP6" s="685">
        <f>'Summary Bioplan'!BP28</f>
        <v>47694.240575872238</v>
      </c>
      <c r="BQ6" s="685">
        <f>'Summary Bioplan'!BQ28</f>
        <v>27075.451512998068</v>
      </c>
      <c r="BR6" s="685">
        <f>'Summary Bioplan'!BR28</f>
        <v>31404.696609575964</v>
      </c>
      <c r="BS6" s="685">
        <f>'Summary Bioplan'!BS28</f>
        <v>39605.387268790219</v>
      </c>
      <c r="BT6" s="685">
        <f>'Summary Bioplan'!BT28</f>
        <v>6786.0133349401731</v>
      </c>
      <c r="BU6" s="685">
        <f>'Summary Bioplan'!BU28</f>
        <v>10780.692064473094</v>
      </c>
      <c r="BV6" s="685">
        <f>'Summary Bioplan'!BV28</f>
        <v>16521.372969045762</v>
      </c>
      <c r="BW6" s="685">
        <f>'Summary Bioplan'!BW28</f>
        <v>23622.019154122598</v>
      </c>
      <c r="BX6" s="697">
        <f>'Summary Bioplan'!BX28</f>
        <v>32442.18661687764</v>
      </c>
      <c r="BY6" s="730">
        <f>'Summary Bioplan'!BY28</f>
        <v>50586.105145123031</v>
      </c>
      <c r="BZ6" s="685">
        <f>'Summary Bioplan'!BZ28</f>
        <v>39444.488205776579</v>
      </c>
      <c r="CA6" s="685">
        <f>'Summary Bioplan'!CA28</f>
        <v>43389.232662951581</v>
      </c>
      <c r="CB6" s="685">
        <f>'Summary Bioplan'!CB28</f>
        <v>47694.240575872238</v>
      </c>
      <c r="CC6" s="685">
        <f>'Summary Bioplan'!CC28</f>
        <v>27075.451512998068</v>
      </c>
      <c r="CD6" s="685">
        <f>'Summary Bioplan'!CD28</f>
        <v>31404.696609575964</v>
      </c>
      <c r="CE6" s="685">
        <f>'Summary Bioplan'!CE28</f>
        <v>39605.387268790219</v>
      </c>
      <c r="CF6" s="685">
        <f>'Summary Bioplan'!CF28</f>
        <v>6786.0133349401731</v>
      </c>
      <c r="CG6" s="685">
        <f>'Summary Bioplan'!CG28</f>
        <v>10780.692064473094</v>
      </c>
      <c r="CH6" s="685">
        <f>'Summary Bioplan'!CH28</f>
        <v>16521.372969045762</v>
      </c>
      <c r="CI6" s="685">
        <f>'Summary Bioplan'!CI28</f>
        <v>23622.019154122598</v>
      </c>
      <c r="CJ6" s="697">
        <f>'Summary Bioplan'!CJ28</f>
        <v>32442.18661687764</v>
      </c>
      <c r="CK6" s="730">
        <f>'Summary Bioplan'!CK28</f>
        <v>50586.105145123031</v>
      </c>
      <c r="CL6" s="685">
        <f>'Summary Bioplan'!CL28</f>
        <v>39444.488205776579</v>
      </c>
      <c r="CM6" s="685">
        <f>'Summary Bioplan'!CM28</f>
        <v>43389.232662951581</v>
      </c>
      <c r="CN6" s="685">
        <f>'Summary Bioplan'!CN28</f>
        <v>47694.240575872238</v>
      </c>
      <c r="CO6" s="685">
        <f>'Summary Bioplan'!CO28</f>
        <v>27075.451512998068</v>
      </c>
      <c r="CP6" s="685">
        <f>'Summary Bioplan'!CP28</f>
        <v>31404.696609575964</v>
      </c>
      <c r="CQ6" s="685">
        <f>'Summary Bioplan'!CQ28</f>
        <v>39605.387268790219</v>
      </c>
      <c r="CR6" s="685">
        <f>'Summary Bioplan'!CR28</f>
        <v>6786.0133349401731</v>
      </c>
      <c r="CS6" s="685">
        <f>'Summary Bioplan'!CS28</f>
        <v>10780.692064473094</v>
      </c>
      <c r="CT6" s="685">
        <f>'Summary Bioplan'!CT28</f>
        <v>16521.372969045762</v>
      </c>
      <c r="CU6" s="685">
        <f>'Summary Bioplan'!CU28</f>
        <v>23622.019154122598</v>
      </c>
      <c r="CV6" s="697">
        <f>'Summary Bioplan'!CV28</f>
        <v>32442.18661687764</v>
      </c>
      <c r="CW6" s="730">
        <f>'Summary Bioplan'!CW28</f>
        <v>50586.105145123031</v>
      </c>
      <c r="CX6" s="685">
        <f>'Summary Bioplan'!CX28</f>
        <v>39444.488205776579</v>
      </c>
      <c r="CY6" s="685">
        <f>'Summary Bioplan'!CY28</f>
        <v>43389.232662951581</v>
      </c>
      <c r="CZ6" s="685">
        <f>'Summary Bioplan'!CZ28</f>
        <v>47694.240575872238</v>
      </c>
      <c r="DA6" s="685">
        <f>'Summary Bioplan'!DA28</f>
        <v>27075.451512998068</v>
      </c>
      <c r="DB6" s="685">
        <f>'Summary Bioplan'!DB28</f>
        <v>31404.696609575964</v>
      </c>
      <c r="DC6" s="685">
        <f>'Summary Bioplan'!DC28</f>
        <v>39605.387268790219</v>
      </c>
      <c r="DD6" s="685">
        <f>'Summary Bioplan'!DD28</f>
        <v>6786.0133349401731</v>
      </c>
      <c r="DE6" s="685">
        <f>'Summary Bioplan'!DE28</f>
        <v>10780.692064473094</v>
      </c>
      <c r="DF6" s="685">
        <f>'Summary Bioplan'!DF28</f>
        <v>16521.372969045762</v>
      </c>
      <c r="DG6" s="685">
        <f>'Summary Bioplan'!DG28</f>
        <v>23622.019154122598</v>
      </c>
      <c r="DH6" s="697">
        <f>'Summary Bioplan'!DH28</f>
        <v>32442.18661687764</v>
      </c>
      <c r="DI6" s="730">
        <f>'Summary Bioplan'!DI28</f>
        <v>50586.105145123031</v>
      </c>
      <c r="DJ6" s="685">
        <f>'Summary Bioplan'!DJ28</f>
        <v>39444.488205776579</v>
      </c>
      <c r="DK6" s="685">
        <f>'Summary Bioplan'!DK28</f>
        <v>43389.232662951581</v>
      </c>
      <c r="DL6" s="685">
        <f>'Summary Bioplan'!DL28</f>
        <v>47694.240575872238</v>
      </c>
      <c r="DM6" s="685">
        <f>'Summary Bioplan'!DM28</f>
        <v>27075.451512998068</v>
      </c>
      <c r="DN6" s="685">
        <f>'Summary Bioplan'!DN28</f>
        <v>31404.696609575964</v>
      </c>
      <c r="DO6" s="685">
        <f>'Summary Bioplan'!DO28</f>
        <v>39605.387268790219</v>
      </c>
      <c r="DP6" s="685">
        <f>'Summary Bioplan'!DP28</f>
        <v>6786.0133349401731</v>
      </c>
      <c r="DQ6" s="685">
        <f>'Summary Bioplan'!DQ28</f>
        <v>10780.692064473094</v>
      </c>
      <c r="DR6" s="685">
        <f>'Summary Bioplan'!DR28</f>
        <v>16521.372969045762</v>
      </c>
      <c r="DS6" s="685">
        <f>'Summary Bioplan'!DS28</f>
        <v>23622.019154122598</v>
      </c>
      <c r="DT6" s="697">
        <f>'Summary Bioplan'!DT28</f>
        <v>32442.18661687764</v>
      </c>
    </row>
    <row r="7" spans="1:125" ht="15" x14ac:dyDescent="0.25">
      <c r="B7" s="162" t="s">
        <v>1302</v>
      </c>
      <c r="C7" s="56"/>
      <c r="D7" s="7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87"/>
      <c r="Q7" s="1178"/>
      <c r="R7" s="685"/>
      <c r="S7" s="685"/>
      <c r="T7" s="685"/>
      <c r="U7" s="685"/>
      <c r="V7" s="685"/>
      <c r="W7" s="685"/>
      <c r="X7" s="685"/>
      <c r="Y7" s="685"/>
      <c r="Z7" s="685"/>
      <c r="AA7" s="685"/>
      <c r="AB7" s="697"/>
      <c r="AC7" s="730"/>
      <c r="AD7" s="685">
        <f>'Summary Bioplan'!AD44</f>
        <v>24863.666469951357</v>
      </c>
      <c r="AE7" s="685">
        <f>'Summary Bioplan'!AE44</f>
        <v>41725.369605776345</v>
      </c>
      <c r="AF7" s="685">
        <f>'Summary Bioplan'!AF44</f>
        <v>65306.692487260196</v>
      </c>
      <c r="AG7" s="685">
        <f>'Summary Bioplan'!AG44</f>
        <v>137727.10001869086</v>
      </c>
      <c r="AH7" s="685">
        <f>'Summary Bioplan'!AH44</f>
        <v>204542.36249809389</v>
      </c>
      <c r="AI7" s="685">
        <f>'Summary Bioplan'!AI44</f>
        <v>285260.95490063122</v>
      </c>
      <c r="AJ7" s="685">
        <f>'Summary Bioplan'!AJ44</f>
        <v>431152.63275199645</v>
      </c>
      <c r="AK7" s="685">
        <f>'Summary Bioplan'!AK44</f>
        <v>541015.14585394226</v>
      </c>
      <c r="AL7" s="685">
        <f>'Summary Bioplan'!AL44</f>
        <v>644904.64310880145</v>
      </c>
      <c r="AM7" s="685">
        <f>'Summary Bioplan'!AM44</f>
        <v>751904.05390133092</v>
      </c>
      <c r="AN7" s="697">
        <f>'Summary Bioplan'!AN44</f>
        <v>834208.82214565354</v>
      </c>
      <c r="AO7" s="1178">
        <f>'Summary Bioplan'!AO44</f>
        <v>961746.457390027</v>
      </c>
      <c r="AP7" s="685">
        <f>'Summary Bioplan'!AP44</f>
        <v>1052073.3134621386</v>
      </c>
      <c r="AQ7" s="685">
        <f>'Summary Bioplan'!AQ44</f>
        <v>1166290.6659315848</v>
      </c>
      <c r="AR7" s="685">
        <f>'Summary Bioplan'!AR44</f>
        <v>1097019.3943842831</v>
      </c>
      <c r="AS7" s="685">
        <f>'Summary Bioplan'!AS44</f>
        <v>992084.37588359579</v>
      </c>
      <c r="AT7" s="685">
        <f>'Summary Bioplan'!AT44</f>
        <v>1070419.3431207894</v>
      </c>
      <c r="AU7" s="685">
        <f>'Summary Bioplan'!AU44</f>
        <v>1080353.5688204449</v>
      </c>
      <c r="AV7" s="685">
        <f>'Summary Bioplan'!AV44</f>
        <v>1100051.6783865883</v>
      </c>
      <c r="AW7" s="685">
        <f>'Summary Bioplan'!AW44</f>
        <v>1205704.9412302878</v>
      </c>
      <c r="AX7" s="685">
        <f>'Summary Bioplan'!AX44</f>
        <v>1159189.6406655374</v>
      </c>
      <c r="AY7" s="685">
        <f>'Summary Bioplan'!AY44</f>
        <v>1064966.7401414944</v>
      </c>
      <c r="AZ7" s="697">
        <f>'Summary Bioplan'!AZ44</f>
        <v>930941.75150785246</v>
      </c>
      <c r="BA7" s="730">
        <f>'Summary Bioplan'!BA44</f>
        <v>961746.457390027</v>
      </c>
      <c r="BB7" s="685">
        <f>'Summary Bioplan'!BB44</f>
        <v>1052073.3134621386</v>
      </c>
      <c r="BC7" s="685">
        <f>'Summary Bioplan'!BC44</f>
        <v>1166290.6659315848</v>
      </c>
      <c r="BD7" s="685">
        <f>'Summary Bioplan'!BD44</f>
        <v>1097019.3943842831</v>
      </c>
      <c r="BE7" s="685">
        <f>'Summary Bioplan'!BE44</f>
        <v>992084.37588359579</v>
      </c>
      <c r="BF7" s="685">
        <f>'Summary Bioplan'!BF44</f>
        <v>1070419.3431207894</v>
      </c>
      <c r="BG7" s="685">
        <f>'Summary Bioplan'!BG44</f>
        <v>1080353.5688204449</v>
      </c>
      <c r="BH7" s="685">
        <f>'Summary Bioplan'!BH44</f>
        <v>1100051.6783865883</v>
      </c>
      <c r="BI7" s="685">
        <f>'Summary Bioplan'!BI44</f>
        <v>1205704.9412302878</v>
      </c>
      <c r="BJ7" s="685">
        <f>'Summary Bioplan'!BJ44</f>
        <v>1159189.6406655374</v>
      </c>
      <c r="BK7" s="685">
        <f>'Summary Bioplan'!BK44</f>
        <v>1064966.7401414944</v>
      </c>
      <c r="BL7" s="697">
        <f>'Summary Bioplan'!BL44</f>
        <v>930941.75150785246</v>
      </c>
      <c r="BM7" s="730">
        <f>'Summary Bioplan'!BM44</f>
        <v>961746.457390027</v>
      </c>
      <c r="BN7" s="685">
        <f>'Summary Bioplan'!BN44</f>
        <v>1052073.3134621386</v>
      </c>
      <c r="BO7" s="685">
        <f>'Summary Bioplan'!BO44</f>
        <v>1166290.6659315848</v>
      </c>
      <c r="BP7" s="685">
        <f>'Summary Bioplan'!BP44</f>
        <v>1097019.3943842831</v>
      </c>
      <c r="BQ7" s="685">
        <f>'Summary Bioplan'!BQ44</f>
        <v>992084.37588359579</v>
      </c>
      <c r="BR7" s="685">
        <f>'Summary Bioplan'!BR44</f>
        <v>1070419.3431207894</v>
      </c>
      <c r="BS7" s="685">
        <f>'Summary Bioplan'!BS44</f>
        <v>1080353.5688204449</v>
      </c>
      <c r="BT7" s="685">
        <f>'Summary Bioplan'!BT44</f>
        <v>1100051.6783865883</v>
      </c>
      <c r="BU7" s="685">
        <f>'Summary Bioplan'!BU44</f>
        <v>1205704.9412302878</v>
      </c>
      <c r="BV7" s="685">
        <f>'Summary Bioplan'!BV44</f>
        <v>1159189.6406655374</v>
      </c>
      <c r="BW7" s="685">
        <f>'Summary Bioplan'!BW44</f>
        <v>1064966.7401414944</v>
      </c>
      <c r="BX7" s="697">
        <f>'Summary Bioplan'!BX44</f>
        <v>930941.75150785246</v>
      </c>
      <c r="BY7" s="730">
        <f>'Summary Bioplan'!BY44</f>
        <v>961746.457390027</v>
      </c>
      <c r="BZ7" s="685">
        <f>'Summary Bioplan'!BZ44</f>
        <v>1052073.3134621386</v>
      </c>
      <c r="CA7" s="685">
        <f>'Summary Bioplan'!CA44</f>
        <v>1166290.6659315848</v>
      </c>
      <c r="CB7" s="685">
        <f>'Summary Bioplan'!CB44</f>
        <v>1097019.3943842831</v>
      </c>
      <c r="CC7" s="685">
        <f>'Summary Bioplan'!CC44</f>
        <v>992084.37588359579</v>
      </c>
      <c r="CD7" s="685">
        <f>'Summary Bioplan'!CD44</f>
        <v>1070419.3431207894</v>
      </c>
      <c r="CE7" s="685">
        <f>'Summary Bioplan'!CE44</f>
        <v>1080353.5688204449</v>
      </c>
      <c r="CF7" s="685">
        <f>'Summary Bioplan'!CF44</f>
        <v>1100051.6783865883</v>
      </c>
      <c r="CG7" s="685">
        <f>'Summary Bioplan'!CG44</f>
        <v>1205704.9412302878</v>
      </c>
      <c r="CH7" s="685">
        <f>'Summary Bioplan'!CH44</f>
        <v>1159189.6406655374</v>
      </c>
      <c r="CI7" s="685">
        <f>'Summary Bioplan'!CI44</f>
        <v>1064966.7401414944</v>
      </c>
      <c r="CJ7" s="697">
        <f>'Summary Bioplan'!CJ44</f>
        <v>930941.75150785246</v>
      </c>
      <c r="CK7" s="730">
        <f>'Summary Bioplan'!CK44</f>
        <v>961746.457390027</v>
      </c>
      <c r="CL7" s="685">
        <f>'Summary Bioplan'!CL44</f>
        <v>1052073.3134621386</v>
      </c>
      <c r="CM7" s="685">
        <f>'Summary Bioplan'!CM44</f>
        <v>1166290.6659315848</v>
      </c>
      <c r="CN7" s="685">
        <f>'Summary Bioplan'!CN44</f>
        <v>1097019.3943842831</v>
      </c>
      <c r="CO7" s="685">
        <f>'Summary Bioplan'!CO44</f>
        <v>992084.37588359579</v>
      </c>
      <c r="CP7" s="685">
        <f>'Summary Bioplan'!CP44</f>
        <v>1070419.3431207894</v>
      </c>
      <c r="CQ7" s="685">
        <f>'Summary Bioplan'!CQ44</f>
        <v>1080353.5688204449</v>
      </c>
      <c r="CR7" s="685">
        <f>'Summary Bioplan'!CR44</f>
        <v>1100051.6783865883</v>
      </c>
      <c r="CS7" s="685">
        <f>'Summary Bioplan'!CS44</f>
        <v>1205704.9412302878</v>
      </c>
      <c r="CT7" s="685">
        <f>'Summary Bioplan'!CT44</f>
        <v>1159189.6406655374</v>
      </c>
      <c r="CU7" s="685">
        <f>'Summary Bioplan'!CU44</f>
        <v>1064966.7401414944</v>
      </c>
      <c r="CV7" s="697">
        <f>'Summary Bioplan'!CV44</f>
        <v>930941.75150785246</v>
      </c>
      <c r="CW7" s="730">
        <f>'Summary Bioplan'!CW44</f>
        <v>961746.457390027</v>
      </c>
      <c r="CX7" s="685">
        <f>'Summary Bioplan'!CX44</f>
        <v>1052073.3134621386</v>
      </c>
      <c r="CY7" s="685">
        <f>'Summary Bioplan'!CY44</f>
        <v>1166290.6659315848</v>
      </c>
      <c r="CZ7" s="685">
        <f>'Summary Bioplan'!CZ44</f>
        <v>1097019.3943842831</v>
      </c>
      <c r="DA7" s="685">
        <f>'Summary Bioplan'!DA44</f>
        <v>992084.37588359579</v>
      </c>
      <c r="DB7" s="685">
        <f>'Summary Bioplan'!DB44</f>
        <v>1070419.3431207894</v>
      </c>
      <c r="DC7" s="685">
        <f>'Summary Bioplan'!DC44</f>
        <v>1080353.5688204449</v>
      </c>
      <c r="DD7" s="685">
        <f>'Summary Bioplan'!DD44</f>
        <v>1100051.6783865883</v>
      </c>
      <c r="DE7" s="685">
        <f>'Summary Bioplan'!DE44</f>
        <v>1205704.9412302878</v>
      </c>
      <c r="DF7" s="685">
        <f>'Summary Bioplan'!DF44</f>
        <v>1159189.6406655374</v>
      </c>
      <c r="DG7" s="685">
        <f>'Summary Bioplan'!DG44</f>
        <v>1064966.7401414944</v>
      </c>
      <c r="DH7" s="697">
        <f>'Summary Bioplan'!DH44</f>
        <v>930941.75150785246</v>
      </c>
      <c r="DI7" s="730">
        <f>'Summary Bioplan'!DI44</f>
        <v>961746.457390027</v>
      </c>
      <c r="DJ7" s="685">
        <f>'Summary Bioplan'!DJ44</f>
        <v>1052073.3134621386</v>
      </c>
      <c r="DK7" s="685">
        <f>'Summary Bioplan'!DK44</f>
        <v>1166290.6659315848</v>
      </c>
      <c r="DL7" s="685">
        <f>'Summary Bioplan'!DL44</f>
        <v>1097019.3943842831</v>
      </c>
      <c r="DM7" s="685">
        <f>'Summary Bioplan'!DM44</f>
        <v>992084.37588359579</v>
      </c>
      <c r="DN7" s="685">
        <f>'Summary Bioplan'!DN44</f>
        <v>1070419.3431207894</v>
      </c>
      <c r="DO7" s="685">
        <f>'Summary Bioplan'!DO44</f>
        <v>1080353.5688204449</v>
      </c>
      <c r="DP7" s="685">
        <f>'Summary Bioplan'!DP44</f>
        <v>1100051.6783865883</v>
      </c>
      <c r="DQ7" s="685">
        <f>'Summary Bioplan'!DQ44</f>
        <v>1205704.9412302878</v>
      </c>
      <c r="DR7" s="685">
        <f>'Summary Bioplan'!DR44</f>
        <v>1159189.6406655374</v>
      </c>
      <c r="DS7" s="685">
        <f>'Summary Bioplan'!DS44</f>
        <v>1064966.7401414944</v>
      </c>
      <c r="DT7" s="697">
        <f>'Summary Bioplan'!DT44</f>
        <v>930941.75150785246</v>
      </c>
    </row>
    <row r="8" spans="1:125" ht="15" x14ac:dyDescent="0.25">
      <c r="B8" s="162" t="s">
        <v>1382</v>
      </c>
      <c r="C8" s="56"/>
      <c r="D8" s="7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87"/>
      <c r="Q8" s="1178"/>
      <c r="R8" s="685"/>
      <c r="S8" s="685"/>
      <c r="T8" s="685"/>
      <c r="U8" s="685"/>
      <c r="V8" s="310">
        <f>'Summary Bioplan'!V58</f>
        <v>1079.5546050400501</v>
      </c>
      <c r="W8" s="310">
        <f>'Summary Bioplan'!W58</f>
        <v>2058.0406634042938</v>
      </c>
      <c r="X8" s="310">
        <f>'Summary Bioplan'!X58</f>
        <v>4600.8887336445478</v>
      </c>
      <c r="Y8" s="310">
        <f>'Summary Bioplan'!Y58</f>
        <v>5193.0823483927979</v>
      </c>
      <c r="Z8" s="310">
        <f>'Summary Bioplan'!Z58</f>
        <v>7462.8851759444678</v>
      </c>
      <c r="AA8" s="310">
        <f>'Summary Bioplan'!AA58</f>
        <v>9230.8400405998873</v>
      </c>
      <c r="AB8" s="311">
        <f>'Summary Bioplan'!AB58</f>
        <v>11466.217701581554</v>
      </c>
      <c r="AC8" s="280">
        <f>'Summary Bioplan'!AC58</f>
        <v>23587.094086719007</v>
      </c>
      <c r="AD8" s="310">
        <f>'Summary Bioplan'!AD58</f>
        <v>9496.3041291729587</v>
      </c>
      <c r="AE8" s="310">
        <f>'Summary Bioplan'!AE58</f>
        <v>5128.1677943275026</v>
      </c>
      <c r="AF8" s="310">
        <f>'Summary Bioplan'!AF58</f>
        <v>5596.5102867968544</v>
      </c>
      <c r="AG8" s="310">
        <f>'Summary Bioplan'!AG58</f>
        <v>3081.2916528637952</v>
      </c>
      <c r="AH8" s="310">
        <f>'Summary Bioplan'!AH58</f>
        <v>4544.6852922179287</v>
      </c>
      <c r="AI8" s="310">
        <f>'Summary Bioplan'!AI58</f>
        <v>10660.897856978536</v>
      </c>
      <c r="AJ8" s="310">
        <f>'Summary Bioplan'!AJ58</f>
        <v>4600.8887336445478</v>
      </c>
      <c r="AK8" s="310">
        <f>'Summary Bioplan'!AK58</f>
        <v>5193.0823483927979</v>
      </c>
      <c r="AL8" s="310">
        <f>'Summary Bioplan'!AL58</f>
        <v>7462.8851759444678</v>
      </c>
      <c r="AM8" s="310">
        <f>'Summary Bioplan'!AM58</f>
        <v>9230.8400405998873</v>
      </c>
      <c r="AN8" s="311">
        <f>'Summary Bioplan'!AN58</f>
        <v>11466.217701581554</v>
      </c>
      <c r="AO8" s="474">
        <f>'Summary Bioplan'!AO58</f>
        <v>23587.094086719007</v>
      </c>
      <c r="AP8" s="310">
        <f>'Summary Bioplan'!AP58</f>
        <v>9496.3041291729587</v>
      </c>
      <c r="AQ8" s="310">
        <f>'Summary Bioplan'!AQ58</f>
        <v>5128.1677943275026</v>
      </c>
      <c r="AR8" s="310">
        <f>'Summary Bioplan'!AR58</f>
        <v>5596.5102867968544</v>
      </c>
      <c r="AS8" s="310">
        <f>'Summary Bioplan'!AS58</f>
        <v>3081.2916528637952</v>
      </c>
      <c r="AT8" s="310">
        <f>'Summary Bioplan'!AT58</f>
        <v>4544.6852922179287</v>
      </c>
      <c r="AU8" s="310">
        <f>'Summary Bioplan'!AU58</f>
        <v>10660.897856978536</v>
      </c>
      <c r="AV8" s="310">
        <f>'Summary Bioplan'!AV58</f>
        <v>4600.8887336445478</v>
      </c>
      <c r="AW8" s="310">
        <f>'Summary Bioplan'!AW58</f>
        <v>5193.0823483927979</v>
      </c>
      <c r="AX8" s="310">
        <f>'Summary Bioplan'!AX58</f>
        <v>7462.8851759444678</v>
      </c>
      <c r="AY8" s="310">
        <f>'Summary Bioplan'!AY58</f>
        <v>9230.8400405998873</v>
      </c>
      <c r="AZ8" s="311">
        <f>'Summary Bioplan'!AZ58</f>
        <v>11466.217701581554</v>
      </c>
      <c r="BA8" s="280">
        <f>'Summary Bioplan'!BA58</f>
        <v>23587.094086719007</v>
      </c>
      <c r="BB8" s="310">
        <f>'Summary Bioplan'!BB58</f>
        <v>9496.3041291729587</v>
      </c>
      <c r="BC8" s="310">
        <f>'Summary Bioplan'!BC58</f>
        <v>5128.1677943275026</v>
      </c>
      <c r="BD8" s="310">
        <f>'Summary Bioplan'!BD58</f>
        <v>5596.5102867968544</v>
      </c>
      <c r="BE8" s="310">
        <f>'Summary Bioplan'!BE58</f>
        <v>3081.2916528637952</v>
      </c>
      <c r="BF8" s="310">
        <f>'Summary Bioplan'!BF58</f>
        <v>4544.6852922179287</v>
      </c>
      <c r="BG8" s="310">
        <f>'Summary Bioplan'!BG58</f>
        <v>10660.897856978536</v>
      </c>
      <c r="BH8" s="310">
        <f>'Summary Bioplan'!BH58</f>
        <v>4600.8887336445478</v>
      </c>
      <c r="BI8" s="310">
        <f>'Summary Bioplan'!BI58</f>
        <v>5193.0823483927979</v>
      </c>
      <c r="BJ8" s="310">
        <f>'Summary Bioplan'!BJ58</f>
        <v>7462.8851759444678</v>
      </c>
      <c r="BK8" s="310">
        <f>'Summary Bioplan'!BK58</f>
        <v>9230.8400405998873</v>
      </c>
      <c r="BL8" s="311">
        <f>'Summary Bioplan'!BL58</f>
        <v>11466.217701581554</v>
      </c>
      <c r="BM8" s="280">
        <f>'Summary Bioplan'!BM58</f>
        <v>23587.094086719007</v>
      </c>
      <c r="BN8" s="310">
        <f>'Summary Bioplan'!BN58</f>
        <v>9496.3041291729587</v>
      </c>
      <c r="BO8" s="310">
        <f>'Summary Bioplan'!BO58</f>
        <v>5128.1677943275026</v>
      </c>
      <c r="BP8" s="310">
        <f>'Summary Bioplan'!BP58</f>
        <v>5596.5102867968544</v>
      </c>
      <c r="BQ8" s="310">
        <f>'Summary Bioplan'!BQ58</f>
        <v>3081.2916528637952</v>
      </c>
      <c r="BR8" s="310">
        <f>'Summary Bioplan'!BR58</f>
        <v>4544.6852922179287</v>
      </c>
      <c r="BS8" s="310">
        <f>'Summary Bioplan'!BS58</f>
        <v>10660.897856978536</v>
      </c>
      <c r="BT8" s="310">
        <f>'Summary Bioplan'!BT58</f>
        <v>4600.8887336445478</v>
      </c>
      <c r="BU8" s="310">
        <f>'Summary Bioplan'!BU58</f>
        <v>5193.0823483927979</v>
      </c>
      <c r="BV8" s="310">
        <f>'Summary Bioplan'!BV58</f>
        <v>7462.8851759444678</v>
      </c>
      <c r="BW8" s="310">
        <f>'Summary Bioplan'!BW58</f>
        <v>9230.8400405998873</v>
      </c>
      <c r="BX8" s="311">
        <f>'Summary Bioplan'!BX58</f>
        <v>11466.217701581554</v>
      </c>
      <c r="BY8" s="280">
        <f>'Summary Bioplan'!BY58</f>
        <v>23587.094086719007</v>
      </c>
      <c r="BZ8" s="310">
        <f>'Summary Bioplan'!BZ58</f>
        <v>9496.3041291729587</v>
      </c>
      <c r="CA8" s="310">
        <f>'Summary Bioplan'!CA58</f>
        <v>5128.1677943275026</v>
      </c>
      <c r="CB8" s="310">
        <f>'Summary Bioplan'!CB58</f>
        <v>5596.5102867968544</v>
      </c>
      <c r="CC8" s="310">
        <f>'Summary Bioplan'!CC58</f>
        <v>3081.2916528637952</v>
      </c>
      <c r="CD8" s="310">
        <f>'Summary Bioplan'!CD58</f>
        <v>4544.6852922179287</v>
      </c>
      <c r="CE8" s="310">
        <f>'Summary Bioplan'!CE58</f>
        <v>10660.897856978536</v>
      </c>
      <c r="CF8" s="310">
        <f>'Summary Bioplan'!CF58</f>
        <v>4600.8887336445478</v>
      </c>
      <c r="CG8" s="310">
        <f>'Summary Bioplan'!CG58</f>
        <v>5193.0823483927979</v>
      </c>
      <c r="CH8" s="310">
        <f>'Summary Bioplan'!CH58</f>
        <v>7462.8851759444678</v>
      </c>
      <c r="CI8" s="310">
        <f>'Summary Bioplan'!CI58</f>
        <v>9230.8400405998873</v>
      </c>
      <c r="CJ8" s="311">
        <f>'Summary Bioplan'!CJ58</f>
        <v>11466.217701581554</v>
      </c>
      <c r="CK8" s="280">
        <f>'Summary Bioplan'!CK58</f>
        <v>23587.094086719007</v>
      </c>
      <c r="CL8" s="310">
        <f>'Summary Bioplan'!CL58</f>
        <v>9496.3041291729587</v>
      </c>
      <c r="CM8" s="310">
        <f>'Summary Bioplan'!CM58</f>
        <v>5128.1677943275026</v>
      </c>
      <c r="CN8" s="310">
        <f>'Summary Bioplan'!CN58</f>
        <v>5596.5102867968544</v>
      </c>
      <c r="CO8" s="310">
        <f>'Summary Bioplan'!CO58</f>
        <v>3081.2916528637952</v>
      </c>
      <c r="CP8" s="310">
        <f>'Summary Bioplan'!CP58</f>
        <v>4544.6852922179287</v>
      </c>
      <c r="CQ8" s="310">
        <f>'Summary Bioplan'!CQ58</f>
        <v>10660.897856978536</v>
      </c>
      <c r="CR8" s="310">
        <f>'Summary Bioplan'!CR58</f>
        <v>4600.8887336445478</v>
      </c>
      <c r="CS8" s="310">
        <f>'Summary Bioplan'!CS58</f>
        <v>5193.0823483927979</v>
      </c>
      <c r="CT8" s="310">
        <f>'Summary Bioplan'!CT58</f>
        <v>7462.8851759444678</v>
      </c>
      <c r="CU8" s="310">
        <f>'Summary Bioplan'!CU58</f>
        <v>9230.8400405998873</v>
      </c>
      <c r="CV8" s="311">
        <f>'Summary Bioplan'!CV58</f>
        <v>11466.217701581554</v>
      </c>
      <c r="CW8" s="280">
        <f>'Summary Bioplan'!CW58</f>
        <v>23587.094086719007</v>
      </c>
      <c r="CX8" s="310">
        <f>'Summary Bioplan'!CX58</f>
        <v>9496.3041291729587</v>
      </c>
      <c r="CY8" s="310">
        <f>'Summary Bioplan'!CY58</f>
        <v>5128.1677943275026</v>
      </c>
      <c r="CZ8" s="310">
        <f>'Summary Bioplan'!CZ58</f>
        <v>5596.5102867968544</v>
      </c>
      <c r="DA8" s="310">
        <f>'Summary Bioplan'!DA58</f>
        <v>3081.2916528637952</v>
      </c>
      <c r="DB8" s="310">
        <f>'Summary Bioplan'!DB58</f>
        <v>4544.6852922179287</v>
      </c>
      <c r="DC8" s="310">
        <f>'Summary Bioplan'!DC58</f>
        <v>10660.897856978536</v>
      </c>
      <c r="DD8" s="310">
        <f>'Summary Bioplan'!DD58</f>
        <v>4600.8887336445478</v>
      </c>
      <c r="DE8" s="310">
        <f>'Summary Bioplan'!DE58</f>
        <v>5193.0823483927979</v>
      </c>
      <c r="DF8" s="310">
        <f>'Summary Bioplan'!DF58</f>
        <v>7462.8851759444678</v>
      </c>
      <c r="DG8" s="310">
        <f>'Summary Bioplan'!DG58</f>
        <v>9230.8400405998873</v>
      </c>
      <c r="DH8" s="311">
        <f>'Summary Bioplan'!DH58</f>
        <v>11466.217701581554</v>
      </c>
      <c r="DI8" s="280">
        <f>'Summary Bioplan'!DI58</f>
        <v>23587.094086719007</v>
      </c>
      <c r="DJ8" s="310">
        <f>'Summary Bioplan'!DJ58</f>
        <v>9496.3041291729587</v>
      </c>
      <c r="DK8" s="310">
        <f>'Summary Bioplan'!DK58</f>
        <v>5128.1677943275026</v>
      </c>
      <c r="DL8" s="310">
        <f>'Summary Bioplan'!DL58</f>
        <v>5596.5102867968544</v>
      </c>
      <c r="DM8" s="310">
        <f>'Summary Bioplan'!DM58</f>
        <v>3081.2916528637952</v>
      </c>
      <c r="DN8" s="310">
        <f>'Summary Bioplan'!DN58</f>
        <v>4544.6852922179287</v>
      </c>
      <c r="DO8" s="310">
        <f>'Summary Bioplan'!DO58</f>
        <v>10660.897856978536</v>
      </c>
      <c r="DP8" s="310">
        <f>'Summary Bioplan'!DP58</f>
        <v>4600.8887336445478</v>
      </c>
      <c r="DQ8" s="310">
        <f>'Summary Bioplan'!DQ58</f>
        <v>5193.0823483927979</v>
      </c>
      <c r="DR8" s="310">
        <f>'Summary Bioplan'!DR58</f>
        <v>7462.8851759444678</v>
      </c>
      <c r="DS8" s="310">
        <f>'Summary Bioplan'!DS58</f>
        <v>9230.8400405998873</v>
      </c>
      <c r="DT8" s="311">
        <f>'Summary Bioplan'!DT58</f>
        <v>11466.217701581554</v>
      </c>
    </row>
    <row r="9" spans="1:125" ht="15" x14ac:dyDescent="0.25">
      <c r="B9" s="162" t="s">
        <v>1381</v>
      </c>
      <c r="C9" s="56"/>
      <c r="D9" s="7"/>
      <c r="E9" s="463">
        <f>'Summary Bioplan'!E58</f>
        <v>0</v>
      </c>
      <c r="F9" s="463">
        <f>'Summary Bioplan'!F58</f>
        <v>0</v>
      </c>
      <c r="G9" s="463">
        <f>'Summary Bioplan'!G58</f>
        <v>0</v>
      </c>
      <c r="H9" s="463">
        <f>'Summary Bioplan'!H58</f>
        <v>0</v>
      </c>
      <c r="I9" s="463">
        <f>'Summary Bioplan'!I58</f>
        <v>0</v>
      </c>
      <c r="J9" s="463">
        <f>'Summary Bioplan'!J58</f>
        <v>0</v>
      </c>
      <c r="K9" s="463">
        <f>'Summary Bioplan'!K58</f>
        <v>0</v>
      </c>
      <c r="L9" s="463">
        <f>'Summary Bioplan'!L58</f>
        <v>0</v>
      </c>
      <c r="M9" s="463">
        <v>0</v>
      </c>
      <c r="N9" s="463">
        <v>0</v>
      </c>
      <c r="O9" s="463">
        <v>0</v>
      </c>
      <c r="P9" s="487">
        <v>0</v>
      </c>
      <c r="Q9" s="474">
        <v>0</v>
      </c>
      <c r="R9" s="310">
        <v>0</v>
      </c>
      <c r="S9" s="310">
        <v>0</v>
      </c>
      <c r="T9" s="310"/>
      <c r="U9" s="310"/>
      <c r="V9" s="310"/>
      <c r="W9" s="310"/>
      <c r="X9" s="310"/>
      <c r="Y9" s="310"/>
      <c r="Z9" s="310"/>
      <c r="AA9" s="310"/>
      <c r="AB9" s="311"/>
      <c r="AC9" s="280"/>
      <c r="AD9" s="310">
        <f>'Summary Bioplan'!AD75</f>
        <v>12730.319548162888</v>
      </c>
      <c r="AE9" s="310">
        <f>'Summary Bioplan'!AE75</f>
        <v>21920.214076572483</v>
      </c>
      <c r="AF9" s="310">
        <f>'Summary Bioplan'!AF75</f>
        <v>30655.719745929007</v>
      </c>
      <c r="AG9" s="310">
        <f>'Summary Bioplan'!AG75</f>
        <v>64260.81235625963</v>
      </c>
      <c r="AH9" s="310">
        <f>'Summary Bioplan'!AH75</f>
        <v>86859.84122322395</v>
      </c>
      <c r="AI9" s="310">
        <f>'Summary Bioplan'!AI75</f>
        <v>104934.17012329849</v>
      </c>
      <c r="AJ9" s="310">
        <f>'Summary Bioplan'!AJ75</f>
        <v>142865.76710760177</v>
      </c>
      <c r="AK9" s="310">
        <f>'Summary Bioplan'!AK75</f>
        <v>142821.26703252958</v>
      </c>
      <c r="AL9" s="310">
        <f>'Summary Bioplan'!AL75</f>
        <v>135056.34643131678</v>
      </c>
      <c r="AM9" s="310">
        <f>'Summary Bioplan'!AM75</f>
        <v>139099.23403028841</v>
      </c>
      <c r="AN9" s="311">
        <f>'Summary Bioplan'!AN75</f>
        <v>106996.19871761937</v>
      </c>
      <c r="AO9" s="474">
        <f>'Summary Bioplan'!AO75</f>
        <v>165798.92581768552</v>
      </c>
      <c r="AP9" s="310">
        <f>'Summary Bioplan'!AP75</f>
        <v>224629.20016712393</v>
      </c>
      <c r="AQ9" s="310">
        <f>'Summary Bioplan'!AQ75</f>
        <v>268622.79681236111</v>
      </c>
      <c r="AR9" s="310">
        <f>'Summary Bioplan'!AR75</f>
        <v>247679.12872122874</v>
      </c>
      <c r="AS9" s="310">
        <f>'Summary Bioplan'!AS75</f>
        <v>235416.36806128995</v>
      </c>
      <c r="AT9" s="310">
        <f>'Summary Bioplan'!AT75</f>
        <v>263085.58869988396</v>
      </c>
      <c r="AU9" s="310">
        <f>'Summary Bioplan'!AU75</f>
        <v>242893.06254358235</v>
      </c>
      <c r="AV9" s="310">
        <f>'Summary Bioplan'!AV75</f>
        <v>246709.7138660599</v>
      </c>
      <c r="AW9" s="310">
        <f>'Summary Bioplan'!AW75</f>
        <v>232606.36665307044</v>
      </c>
      <c r="AX9" s="310">
        <f>'Summary Bioplan'!AX75</f>
        <v>185703.96540566417</v>
      </c>
      <c r="AY9" s="310">
        <f>'Summary Bioplan'!AY75</f>
        <v>147639.00626995423</v>
      </c>
      <c r="AZ9" s="311">
        <f>'Summary Bioplan'!AZ75</f>
        <v>106996.19871761937</v>
      </c>
      <c r="BA9" s="280">
        <f>'Summary Bioplan'!BA75</f>
        <v>165798.92581768552</v>
      </c>
      <c r="BB9" s="310">
        <f>'Summary Bioplan'!BB75</f>
        <v>224629.20016712393</v>
      </c>
      <c r="BC9" s="310">
        <f>'Summary Bioplan'!BC75</f>
        <v>268622.79681236111</v>
      </c>
      <c r="BD9" s="310">
        <f>'Summary Bioplan'!BD75</f>
        <v>247679.12872122874</v>
      </c>
      <c r="BE9" s="310">
        <f>'Summary Bioplan'!BE75</f>
        <v>235416.36806128995</v>
      </c>
      <c r="BF9" s="310">
        <f>'Summary Bioplan'!BF75</f>
        <v>263085.58869988396</v>
      </c>
      <c r="BG9" s="310">
        <f>'Summary Bioplan'!BG75</f>
        <v>242893.06254358235</v>
      </c>
      <c r="BH9" s="310">
        <f>'Summary Bioplan'!BH75</f>
        <v>246709.7138660599</v>
      </c>
      <c r="BI9" s="310">
        <f>'Summary Bioplan'!BI75</f>
        <v>232606.36665307044</v>
      </c>
      <c r="BJ9" s="310">
        <f>'Summary Bioplan'!BJ75</f>
        <v>185703.96540566417</v>
      </c>
      <c r="BK9" s="310">
        <f>'Summary Bioplan'!BK75</f>
        <v>147639.00626995423</v>
      </c>
      <c r="BL9" s="311">
        <f>'Summary Bioplan'!BL75</f>
        <v>106996.19871761937</v>
      </c>
      <c r="BM9" s="280">
        <f>'Summary Bioplan'!BM75</f>
        <v>165798.92581768552</v>
      </c>
      <c r="BN9" s="310">
        <f>'Summary Bioplan'!BN75</f>
        <v>224629.20016712393</v>
      </c>
      <c r="BO9" s="310">
        <f>'Summary Bioplan'!BO75</f>
        <v>268622.79681236111</v>
      </c>
      <c r="BP9" s="310">
        <f>'Summary Bioplan'!BP75</f>
        <v>247679.12872122874</v>
      </c>
      <c r="BQ9" s="310">
        <f>'Summary Bioplan'!BQ75</f>
        <v>235416.36806128995</v>
      </c>
      <c r="BR9" s="310">
        <f>'Summary Bioplan'!BR75</f>
        <v>263085.58869988396</v>
      </c>
      <c r="BS9" s="310">
        <f>'Summary Bioplan'!BS75</f>
        <v>242893.06254358235</v>
      </c>
      <c r="BT9" s="310">
        <f>'Summary Bioplan'!BT75</f>
        <v>246709.7138660599</v>
      </c>
      <c r="BU9" s="310">
        <f>'Summary Bioplan'!BU75</f>
        <v>232606.36665307044</v>
      </c>
      <c r="BV9" s="310">
        <f>'Summary Bioplan'!BV75</f>
        <v>185703.96540566417</v>
      </c>
      <c r="BW9" s="310">
        <f>'Summary Bioplan'!BW75</f>
        <v>147639.00626995423</v>
      </c>
      <c r="BX9" s="311">
        <f>'Summary Bioplan'!BX75</f>
        <v>106996.19871761937</v>
      </c>
      <c r="BY9" s="280">
        <f>'Summary Bioplan'!BY75</f>
        <v>165798.92581768552</v>
      </c>
      <c r="BZ9" s="310">
        <f>'Summary Bioplan'!BZ75</f>
        <v>224629.20016712393</v>
      </c>
      <c r="CA9" s="310">
        <f>'Summary Bioplan'!CA75</f>
        <v>268622.79681236111</v>
      </c>
      <c r="CB9" s="310">
        <f>'Summary Bioplan'!CB75</f>
        <v>247679.12872122874</v>
      </c>
      <c r="CC9" s="310">
        <f>'Summary Bioplan'!CC75</f>
        <v>235416.36806128995</v>
      </c>
      <c r="CD9" s="310">
        <f>'Summary Bioplan'!CD75</f>
        <v>263085.58869988396</v>
      </c>
      <c r="CE9" s="310">
        <f>'Summary Bioplan'!CE75</f>
        <v>242893.06254358235</v>
      </c>
      <c r="CF9" s="310">
        <f>'Summary Bioplan'!CF75</f>
        <v>246709.7138660599</v>
      </c>
      <c r="CG9" s="310">
        <f>'Summary Bioplan'!CG75</f>
        <v>232606.36665307044</v>
      </c>
      <c r="CH9" s="310">
        <f>'Summary Bioplan'!CH75</f>
        <v>185703.96540566417</v>
      </c>
      <c r="CI9" s="310">
        <f>'Summary Bioplan'!CI75</f>
        <v>147639.00626995423</v>
      </c>
      <c r="CJ9" s="311">
        <f>'Summary Bioplan'!CJ75</f>
        <v>106996.19871761937</v>
      </c>
      <c r="CK9" s="280">
        <f>'Summary Bioplan'!CK75</f>
        <v>165798.92581768552</v>
      </c>
      <c r="CL9" s="310">
        <f>'Summary Bioplan'!CL75</f>
        <v>224629.20016712393</v>
      </c>
      <c r="CM9" s="310">
        <f>'Summary Bioplan'!CM75</f>
        <v>268622.79681236111</v>
      </c>
      <c r="CN9" s="310">
        <f>'Summary Bioplan'!CN75</f>
        <v>247679.12872122874</v>
      </c>
      <c r="CO9" s="310">
        <f>'Summary Bioplan'!CO75</f>
        <v>235416.36806128995</v>
      </c>
      <c r="CP9" s="310">
        <f>'Summary Bioplan'!CP75</f>
        <v>263085.58869988396</v>
      </c>
      <c r="CQ9" s="310">
        <f>'Summary Bioplan'!CQ75</f>
        <v>242893.06254358235</v>
      </c>
      <c r="CR9" s="310">
        <f>'Summary Bioplan'!CR75</f>
        <v>246709.7138660599</v>
      </c>
      <c r="CS9" s="310">
        <f>'Summary Bioplan'!CS75</f>
        <v>232606.36665307044</v>
      </c>
      <c r="CT9" s="310">
        <f>'Summary Bioplan'!CT75</f>
        <v>185703.96540566417</v>
      </c>
      <c r="CU9" s="310">
        <f>'Summary Bioplan'!CU75</f>
        <v>147639.00626995423</v>
      </c>
      <c r="CV9" s="311">
        <f>'Summary Bioplan'!CV75</f>
        <v>106996.19871761937</v>
      </c>
      <c r="CW9" s="280">
        <f>'Summary Bioplan'!CW75</f>
        <v>165798.92581768552</v>
      </c>
      <c r="CX9" s="310">
        <f>'Summary Bioplan'!CX75</f>
        <v>224629.20016712393</v>
      </c>
      <c r="CY9" s="310">
        <f>'Summary Bioplan'!CY75</f>
        <v>268622.79681236111</v>
      </c>
      <c r="CZ9" s="310">
        <f>'Summary Bioplan'!CZ75</f>
        <v>247679.12872122874</v>
      </c>
      <c r="DA9" s="310">
        <f>'Summary Bioplan'!DA75</f>
        <v>235416.36806128995</v>
      </c>
      <c r="DB9" s="310">
        <f>'Summary Bioplan'!DB75</f>
        <v>263085.58869988396</v>
      </c>
      <c r="DC9" s="310">
        <f>'Summary Bioplan'!DC75</f>
        <v>242893.06254358235</v>
      </c>
      <c r="DD9" s="310">
        <f>'Summary Bioplan'!DD75</f>
        <v>246709.7138660599</v>
      </c>
      <c r="DE9" s="310">
        <f>'Summary Bioplan'!DE75</f>
        <v>232606.36665307044</v>
      </c>
      <c r="DF9" s="310">
        <f>'Summary Bioplan'!DF75</f>
        <v>185703.96540566417</v>
      </c>
      <c r="DG9" s="310">
        <f>'Summary Bioplan'!DG75</f>
        <v>147639.00626995423</v>
      </c>
      <c r="DH9" s="311">
        <f>'Summary Bioplan'!DH75</f>
        <v>106996.19871761937</v>
      </c>
      <c r="DI9" s="280">
        <f>'Summary Bioplan'!DI75</f>
        <v>165798.92581768552</v>
      </c>
      <c r="DJ9" s="310">
        <f>'Summary Bioplan'!DJ75</f>
        <v>224629.20016712393</v>
      </c>
      <c r="DK9" s="310">
        <f>'Summary Bioplan'!DK75</f>
        <v>268622.79681236111</v>
      </c>
      <c r="DL9" s="310">
        <f>'Summary Bioplan'!DL75</f>
        <v>247679.12872122874</v>
      </c>
      <c r="DM9" s="310">
        <f>'Summary Bioplan'!DM75</f>
        <v>235416.36806128995</v>
      </c>
      <c r="DN9" s="310">
        <f>'Summary Bioplan'!DN75</f>
        <v>263085.58869988396</v>
      </c>
      <c r="DO9" s="310">
        <f>'Summary Bioplan'!DO75</f>
        <v>242893.06254358235</v>
      </c>
      <c r="DP9" s="310">
        <f>'Summary Bioplan'!DP75</f>
        <v>246709.7138660599</v>
      </c>
      <c r="DQ9" s="310">
        <f>'Summary Bioplan'!DQ75</f>
        <v>232606.36665307044</v>
      </c>
      <c r="DR9" s="310">
        <f>'Summary Bioplan'!DR75</f>
        <v>185703.96540566417</v>
      </c>
      <c r="DS9" s="310">
        <f>'Summary Bioplan'!DS75</f>
        <v>147639.00626995423</v>
      </c>
      <c r="DT9" s="311">
        <f>'Summary Bioplan'!DT75</f>
        <v>106996.19871761937</v>
      </c>
      <c r="DU9" s="523"/>
    </row>
    <row r="10" spans="1:125" ht="15" x14ac:dyDescent="0.25">
      <c r="B10" s="162" t="s">
        <v>543</v>
      </c>
      <c r="C10" s="85"/>
      <c r="D10" s="7"/>
      <c r="E10" s="463">
        <f>'Summary Bioplan'!E92</f>
        <v>0</v>
      </c>
      <c r="F10" s="463">
        <f>'Summary Bioplan'!F92</f>
        <v>0</v>
      </c>
      <c r="G10" s="463">
        <f>'Summary Bioplan'!G92</f>
        <v>0</v>
      </c>
      <c r="H10" s="463">
        <f>'Summary Bioplan'!H92</f>
        <v>0</v>
      </c>
      <c r="I10" s="463">
        <f>'Summary Bioplan'!I92</f>
        <v>0</v>
      </c>
      <c r="J10" s="463">
        <f>'Summary Bioplan'!J92</f>
        <v>0</v>
      </c>
      <c r="K10" s="463">
        <f>'Summary Bioplan'!K92</f>
        <v>0</v>
      </c>
      <c r="L10" s="463">
        <f>'Summary Bioplan'!L92</f>
        <v>0</v>
      </c>
      <c r="M10" s="463">
        <f>'Summary Bioplan'!M92</f>
        <v>0</v>
      </c>
      <c r="N10" s="463">
        <f>'Summary Bioplan'!N92</f>
        <v>0</v>
      </c>
      <c r="O10" s="463">
        <f>'Summary Bioplan'!O92</f>
        <v>0</v>
      </c>
      <c r="P10" s="487">
        <f>'Summary Bioplan'!P92</f>
        <v>0</v>
      </c>
      <c r="Q10" s="1179">
        <f>'Summary Bioplan'!Q92</f>
        <v>0</v>
      </c>
      <c r="R10" s="311">
        <f>'Summary Bioplan'!R92</f>
        <v>0</v>
      </c>
      <c r="S10" s="311">
        <f>'Summary Bioplan'!S92</f>
        <v>0</v>
      </c>
      <c r="T10" s="311">
        <f>'Summary Bioplan'!T92</f>
        <v>0</v>
      </c>
      <c r="U10" s="311">
        <f>'Summary Bioplan'!U92</f>
        <v>0</v>
      </c>
      <c r="V10" s="311">
        <f>'Summary Bioplan'!V92</f>
        <v>0</v>
      </c>
      <c r="W10" s="311">
        <f>'Summary Bioplan'!W92</f>
        <v>0</v>
      </c>
      <c r="X10" s="311">
        <f>'Summary Bioplan'!X92</f>
        <v>0</v>
      </c>
      <c r="Y10" s="311">
        <f>'Summary Bioplan'!Y92</f>
        <v>0</v>
      </c>
      <c r="Z10" s="311">
        <f>'Summary Bioplan'!Z92</f>
        <v>0</v>
      </c>
      <c r="AA10" s="311">
        <f>'Summary Bioplan'!AA92</f>
        <v>0</v>
      </c>
      <c r="AB10" s="311">
        <f>'Summary Bioplan'!AB92</f>
        <v>0</v>
      </c>
      <c r="AC10" s="731">
        <f>'Summary Bioplan'!AC92</f>
        <v>0</v>
      </c>
      <c r="AD10" s="311">
        <f>'Summary Bioplan'!AD92</f>
        <v>0</v>
      </c>
      <c r="AE10" s="311">
        <f>'Summary Bioplan'!AE92</f>
        <v>0</v>
      </c>
      <c r="AF10" s="311">
        <f>'Summary Bioplan'!AF92</f>
        <v>0</v>
      </c>
      <c r="AG10" s="311">
        <f>'Summary Bioplan'!AG92</f>
        <v>0</v>
      </c>
      <c r="AH10" s="311">
        <f>'Summary Bioplan'!AH92</f>
        <v>0</v>
      </c>
      <c r="AI10" s="311">
        <f>'Summary Bioplan'!AI92</f>
        <v>0</v>
      </c>
      <c r="AJ10" s="311">
        <f>'Summary Bioplan'!AJ92</f>
        <v>0</v>
      </c>
      <c r="AK10" s="311">
        <f>'Summary Bioplan'!AK92</f>
        <v>0</v>
      </c>
      <c r="AL10" s="311">
        <f>'Summary Bioplan'!AL92</f>
        <v>0</v>
      </c>
      <c r="AM10" s="311">
        <f>'Summary Bioplan'!AM92</f>
        <v>0</v>
      </c>
      <c r="AN10" s="311">
        <f>'Summary Bioplan'!AN92</f>
        <v>0</v>
      </c>
      <c r="AO10" s="1179">
        <f>'Summary Bioplan'!AO92</f>
        <v>0</v>
      </c>
      <c r="AP10" s="311">
        <f>'Summary Bioplan'!AP92</f>
        <v>97535.949335501937</v>
      </c>
      <c r="AQ10" s="311">
        <f>'Summary Bioplan'!AQ92</f>
        <v>92415.568155446963</v>
      </c>
      <c r="AR10" s="311">
        <f>'Summary Bioplan'!AR92</f>
        <v>259793.67825593904</v>
      </c>
      <c r="AS10" s="311">
        <f>'Summary Bioplan'!AS92</f>
        <v>309013.54580521834</v>
      </c>
      <c r="AT10" s="311">
        <f>'Summary Bioplan'!AT92</f>
        <v>122798.17690662858</v>
      </c>
      <c r="AU10" s="311">
        <f>'Summary Bioplan'!AU92</f>
        <v>176906.59164156171</v>
      </c>
      <c r="AV10" s="311">
        <f>'Summary Bioplan'!AV92</f>
        <v>206073.52733018948</v>
      </c>
      <c r="AW10" s="311">
        <f>'Summary Bioplan'!AW92</f>
        <v>72541.964389768254</v>
      </c>
      <c r="AX10" s="311">
        <f>'Summary Bioplan'!AX92</f>
        <v>189364.50472295342</v>
      </c>
      <c r="AY10" s="311">
        <f>'Summary Bioplan'!AY92</f>
        <v>207791.36688554633</v>
      </c>
      <c r="AZ10" s="311">
        <f>'Summary Bioplan'!AZ92</f>
        <v>215867.11454519042</v>
      </c>
      <c r="BA10" s="731">
        <f>'Summary Bioplan'!BA92</f>
        <v>95765.600068576954</v>
      </c>
      <c r="BB10" s="311">
        <f>'Summary Bioplan'!BB92</f>
        <v>97535.949335501937</v>
      </c>
      <c r="BC10" s="311">
        <f>'Summary Bioplan'!BC92</f>
        <v>92415.568155446963</v>
      </c>
      <c r="BD10" s="311">
        <f>'Summary Bioplan'!BD92</f>
        <v>259793.67825593904</v>
      </c>
      <c r="BE10" s="311">
        <f>'Summary Bioplan'!BE92</f>
        <v>309013.54580521834</v>
      </c>
      <c r="BF10" s="311">
        <f>'Summary Bioplan'!BF92</f>
        <v>122798.17690662858</v>
      </c>
      <c r="BG10" s="311">
        <f>'Summary Bioplan'!BG92</f>
        <v>176906.59164156171</v>
      </c>
      <c r="BH10" s="311">
        <f>'Summary Bioplan'!BH92</f>
        <v>206073.52733018948</v>
      </c>
      <c r="BI10" s="311">
        <f>'Summary Bioplan'!BI92</f>
        <v>72541.964389768254</v>
      </c>
      <c r="BJ10" s="311">
        <f>'Summary Bioplan'!BJ92</f>
        <v>189364.50472295342</v>
      </c>
      <c r="BK10" s="311">
        <f>'Summary Bioplan'!BK92</f>
        <v>207791.36688554633</v>
      </c>
      <c r="BL10" s="311">
        <f>'Summary Bioplan'!BL92</f>
        <v>215867.11454519042</v>
      </c>
      <c r="BM10" s="731">
        <f>'Summary Bioplan'!BM92</f>
        <v>95765.600068576954</v>
      </c>
      <c r="BN10" s="311">
        <f>'Summary Bioplan'!BN92</f>
        <v>97535.949335501937</v>
      </c>
      <c r="BO10" s="311">
        <f>'Summary Bioplan'!BO92</f>
        <v>92415.568155446963</v>
      </c>
      <c r="BP10" s="311">
        <f>'Summary Bioplan'!BP92</f>
        <v>259793.67825593904</v>
      </c>
      <c r="BQ10" s="311">
        <f>'Summary Bioplan'!BQ92</f>
        <v>309013.54580521834</v>
      </c>
      <c r="BR10" s="311">
        <f>'Summary Bioplan'!BR92</f>
        <v>122798.17690662858</v>
      </c>
      <c r="BS10" s="311">
        <f>'Summary Bioplan'!BS92</f>
        <v>176906.59164156171</v>
      </c>
      <c r="BT10" s="311">
        <f>'Summary Bioplan'!BT92</f>
        <v>206073.52733018948</v>
      </c>
      <c r="BU10" s="311">
        <f>'Summary Bioplan'!BU92</f>
        <v>72541.964389768254</v>
      </c>
      <c r="BV10" s="311">
        <f>'Summary Bioplan'!BV92</f>
        <v>189364.50472295342</v>
      </c>
      <c r="BW10" s="311">
        <f>'Summary Bioplan'!BW92</f>
        <v>207791.36688554633</v>
      </c>
      <c r="BX10" s="311">
        <f>'Summary Bioplan'!BX92</f>
        <v>215867.11454519042</v>
      </c>
      <c r="BY10" s="731">
        <f>'Summary Bioplan'!BY92</f>
        <v>95765.600068576954</v>
      </c>
      <c r="BZ10" s="311">
        <f>'Summary Bioplan'!BZ92</f>
        <v>97535.949335501937</v>
      </c>
      <c r="CA10" s="311">
        <f>'Summary Bioplan'!CA92</f>
        <v>92415.568155446963</v>
      </c>
      <c r="CB10" s="311">
        <f>'Summary Bioplan'!CB92</f>
        <v>259793.67825593904</v>
      </c>
      <c r="CC10" s="311">
        <f>'Summary Bioplan'!CC92</f>
        <v>309013.54580521834</v>
      </c>
      <c r="CD10" s="311">
        <f>'Summary Bioplan'!CD92</f>
        <v>122798.17690662858</v>
      </c>
      <c r="CE10" s="311">
        <f>'Summary Bioplan'!CE92</f>
        <v>176906.59164156171</v>
      </c>
      <c r="CF10" s="311">
        <f>'Summary Bioplan'!CF92</f>
        <v>206073.52733018948</v>
      </c>
      <c r="CG10" s="311">
        <f>'Summary Bioplan'!CG92</f>
        <v>72541.964389768254</v>
      </c>
      <c r="CH10" s="311">
        <f>'Summary Bioplan'!CH92</f>
        <v>189364.50472295342</v>
      </c>
      <c r="CI10" s="311">
        <f>'Summary Bioplan'!CI92</f>
        <v>207791.36688554633</v>
      </c>
      <c r="CJ10" s="311">
        <f>'Summary Bioplan'!CJ92</f>
        <v>215867.11454519042</v>
      </c>
      <c r="CK10" s="731">
        <f>'Summary Bioplan'!CK92</f>
        <v>95765.600068576954</v>
      </c>
      <c r="CL10" s="311">
        <f>'Summary Bioplan'!CL92</f>
        <v>97535.949335501937</v>
      </c>
      <c r="CM10" s="311">
        <f>'Summary Bioplan'!CM92</f>
        <v>92415.568155446963</v>
      </c>
      <c r="CN10" s="311">
        <f>'Summary Bioplan'!CN92</f>
        <v>259793.67825593904</v>
      </c>
      <c r="CO10" s="311">
        <f>'Summary Bioplan'!CO92</f>
        <v>309013.54580521834</v>
      </c>
      <c r="CP10" s="311">
        <f>'Summary Bioplan'!CP92</f>
        <v>122798.17690662858</v>
      </c>
      <c r="CQ10" s="311">
        <f>'Summary Bioplan'!CQ92</f>
        <v>176906.59164156171</v>
      </c>
      <c r="CR10" s="311">
        <f>'Summary Bioplan'!CR92</f>
        <v>206073.52733018948</v>
      </c>
      <c r="CS10" s="311">
        <f>'Summary Bioplan'!CS92</f>
        <v>72541.964389768254</v>
      </c>
      <c r="CT10" s="311">
        <f>'Summary Bioplan'!CT92</f>
        <v>189364.50472295342</v>
      </c>
      <c r="CU10" s="311">
        <f>'Summary Bioplan'!CU92</f>
        <v>207791.36688554633</v>
      </c>
      <c r="CV10" s="311">
        <f>'Summary Bioplan'!CV92</f>
        <v>215867.11454519042</v>
      </c>
      <c r="CW10" s="731">
        <f>'Summary Bioplan'!CW92</f>
        <v>95765.600068576954</v>
      </c>
      <c r="CX10" s="311">
        <f>'Summary Bioplan'!CX92</f>
        <v>97535.949335501937</v>
      </c>
      <c r="CY10" s="311">
        <f>'Summary Bioplan'!CY92</f>
        <v>92415.568155446963</v>
      </c>
      <c r="CZ10" s="311">
        <f>'Summary Bioplan'!CZ92</f>
        <v>259793.67825593904</v>
      </c>
      <c r="DA10" s="311">
        <f>'Summary Bioplan'!DA92</f>
        <v>309013.54580521834</v>
      </c>
      <c r="DB10" s="311">
        <f>'Summary Bioplan'!DB92</f>
        <v>122798.17690662858</v>
      </c>
      <c r="DC10" s="311">
        <f>'Summary Bioplan'!DC92</f>
        <v>176906.59164156171</v>
      </c>
      <c r="DD10" s="311">
        <f>'Summary Bioplan'!DD92</f>
        <v>206073.52733018948</v>
      </c>
      <c r="DE10" s="311">
        <f>'Summary Bioplan'!DE92</f>
        <v>72541.964389768254</v>
      </c>
      <c r="DF10" s="311">
        <f>'Summary Bioplan'!DF92</f>
        <v>189364.50472295342</v>
      </c>
      <c r="DG10" s="311">
        <f>'Summary Bioplan'!DG92</f>
        <v>207791.36688554633</v>
      </c>
      <c r="DH10" s="311">
        <f>'Summary Bioplan'!DH92</f>
        <v>215867.11454519042</v>
      </c>
      <c r="DI10" s="731">
        <f>'Summary Bioplan'!DI92</f>
        <v>95765.600068576954</v>
      </c>
      <c r="DJ10" s="311">
        <f>'Summary Bioplan'!DJ92</f>
        <v>97535.949335501937</v>
      </c>
      <c r="DK10" s="311">
        <f>'Summary Bioplan'!DK92</f>
        <v>92415.568155446963</v>
      </c>
      <c r="DL10" s="311">
        <f>'Summary Bioplan'!DL92</f>
        <v>259793.67825593904</v>
      </c>
      <c r="DM10" s="311">
        <f>'Summary Bioplan'!DM92</f>
        <v>309013.54580521834</v>
      </c>
      <c r="DN10" s="311">
        <f>'Summary Bioplan'!DN92</f>
        <v>122798.17690662858</v>
      </c>
      <c r="DO10" s="311">
        <f>'Summary Bioplan'!DO92</f>
        <v>176906.59164156171</v>
      </c>
      <c r="DP10" s="311">
        <f>'Summary Bioplan'!DP92</f>
        <v>206073.52733018948</v>
      </c>
      <c r="DQ10" s="311">
        <f>'Summary Bioplan'!DQ92</f>
        <v>72541.964389768254</v>
      </c>
      <c r="DR10" s="311">
        <f>'Summary Bioplan'!DR92</f>
        <v>189364.50472295342</v>
      </c>
      <c r="DS10" s="311">
        <f>'Summary Bioplan'!DS92</f>
        <v>207791.36688554633</v>
      </c>
      <c r="DT10" s="311">
        <f>'Summary Bioplan'!DT92</f>
        <v>215867.11454519042</v>
      </c>
    </row>
    <row r="11" spans="1:125" ht="15" x14ac:dyDescent="0.25">
      <c r="B11" s="162" t="s">
        <v>1395</v>
      </c>
      <c r="C11" s="85"/>
      <c r="D11" s="7"/>
      <c r="E11" s="463">
        <f>E10*Assumptions!$C$22*Assumptions!$C$14</f>
        <v>0</v>
      </c>
      <c r="F11" s="463">
        <f>F10*Assumptions!$C$22*Assumptions!$C$14</f>
        <v>0</v>
      </c>
      <c r="G11" s="463">
        <f>G10*Assumptions!$C$22*Assumptions!$C$14</f>
        <v>0</v>
      </c>
      <c r="H11" s="463">
        <f>H10*Assumptions!$C$22*Assumptions!$C$14</f>
        <v>0</v>
      </c>
      <c r="I11" s="463">
        <f>I10*Assumptions!$C$22*Assumptions!$C$14</f>
        <v>0</v>
      </c>
      <c r="J11" s="463">
        <f>J10*Assumptions!$C$22*Assumptions!$C$14</f>
        <v>0</v>
      </c>
      <c r="K11" s="463">
        <f>K10*Assumptions!$C$22*Assumptions!$C$14</f>
        <v>0</v>
      </c>
      <c r="L11" s="463">
        <f>L10*Assumptions!$C$22*Assumptions!$C$14</f>
        <v>0</v>
      </c>
      <c r="M11" s="463">
        <f>M10*Assumptions!$C$22*Assumptions!$C$14</f>
        <v>0</v>
      </c>
      <c r="N11" s="463">
        <f>N10*Assumptions!$C$22*Assumptions!$C$14</f>
        <v>0</v>
      </c>
      <c r="O11" s="463">
        <f>O10*Assumptions!$C$22*Assumptions!$C$14</f>
        <v>0</v>
      </c>
      <c r="P11" s="487">
        <f>P10*Assumptions!$C$22*Assumptions!$C$14</f>
        <v>0</v>
      </c>
      <c r="Q11" s="1180">
        <f>Q10*Assumptions!$C$22*Assumptions!$C$14</f>
        <v>0</v>
      </c>
      <c r="R11" s="108">
        <f>R10*Assumptions!$C$22*Assumptions!$C$14</f>
        <v>0</v>
      </c>
      <c r="S11" s="108">
        <f>S10*Assumptions!$C$22*Assumptions!$C$14</f>
        <v>0</v>
      </c>
      <c r="T11" s="108">
        <f>T10*Assumptions!$C$22*Assumptions!$C$14</f>
        <v>0</v>
      </c>
      <c r="U11" s="108">
        <f>U10*Assumptions!$C$22*Assumptions!$C$14</f>
        <v>0</v>
      </c>
      <c r="V11" s="108">
        <f>V10*Assumptions!$C$22*Assumptions!$C$14</f>
        <v>0</v>
      </c>
      <c r="W11" s="108">
        <f>W10*Assumptions!$C$22*Assumptions!$C$14</f>
        <v>0</v>
      </c>
      <c r="X11" s="108">
        <f>X10*Assumptions!$C$22*Assumptions!$C$14</f>
        <v>0</v>
      </c>
      <c r="Y11" s="108">
        <f>Y10*Assumptions!$C$22*Assumptions!$C$14</f>
        <v>0</v>
      </c>
      <c r="Z11" s="108">
        <f>Z10*Assumptions!$C$22*Assumptions!$C$14</f>
        <v>0</v>
      </c>
      <c r="AA11" s="108">
        <f>AA10*Assumptions!$C$22*Assumptions!$C$14</f>
        <v>0</v>
      </c>
      <c r="AB11" s="110">
        <f>AB10*Assumptions!$C$22*Assumptions!$C$14</f>
        <v>0</v>
      </c>
      <c r="AC11" s="692">
        <f>AC10*Assumptions!$C$22*Assumptions!$C$14</f>
        <v>0</v>
      </c>
      <c r="AD11" s="108">
        <f>AD10*Assumptions!$C$22*Assumptions!$C$14</f>
        <v>0</v>
      </c>
      <c r="AE11" s="108">
        <f>AE10*Assumptions!$C$22*Assumptions!$C$14</f>
        <v>0</v>
      </c>
      <c r="AF11" s="108">
        <f>AF10*Assumptions!$C$22*Assumptions!$C$14</f>
        <v>0</v>
      </c>
      <c r="AG11" s="108">
        <f>AG10*Assumptions!$C$22*Assumptions!$C$14</f>
        <v>0</v>
      </c>
      <c r="AH11" s="108">
        <f>AH10*Assumptions!$C$22*Assumptions!$C$14</f>
        <v>0</v>
      </c>
      <c r="AI11" s="108">
        <f>AI10*Assumptions!$C$22*Assumptions!$C$14</f>
        <v>0</v>
      </c>
      <c r="AJ11" s="108">
        <f>AJ10*Assumptions!$C$22*Assumptions!$C$14</f>
        <v>0</v>
      </c>
      <c r="AK11" s="108">
        <f>AK10*Assumptions!$C$22*Assumptions!$C$14</f>
        <v>0</v>
      </c>
      <c r="AL11" s="108">
        <f>AL10*Assumptions!$C$22*Assumptions!$C$14</f>
        <v>0</v>
      </c>
      <c r="AM11" s="108">
        <f>AM10*Assumptions!$C$22*Assumptions!$C$14</f>
        <v>0</v>
      </c>
      <c r="AN11" s="110">
        <f>AN10*Assumptions!$C$22*Assumptions!$C$14</f>
        <v>0</v>
      </c>
      <c r="AO11" s="1180">
        <f>AO10*Assumptions!$C$22*Assumptions!$C$14</f>
        <v>0</v>
      </c>
      <c r="AP11" s="108">
        <f>AP10*Assumptions!$C$22*Assumptions!$C$14</f>
        <v>43891.177200975872</v>
      </c>
      <c r="AQ11" s="108">
        <f>AQ10*Assumptions!$C$22*Assumptions!$C$14</f>
        <v>41587.005669951133</v>
      </c>
      <c r="AR11" s="108">
        <f>AR10*Assumptions!$C$22*Assumptions!$C$14</f>
        <v>116907.15521517258</v>
      </c>
      <c r="AS11" s="108">
        <f>AS10*Assumptions!$C$22*Assumptions!$C$14</f>
        <v>139056.09561234826</v>
      </c>
      <c r="AT11" s="108">
        <f>AT10*Assumptions!$C$22*Assumptions!$C$14</f>
        <v>55259.179607982864</v>
      </c>
      <c r="AU11" s="108">
        <f>AU10*Assumptions!$C$22*Assumptions!$C$14</f>
        <v>79607.966238702778</v>
      </c>
      <c r="AV11" s="108">
        <f>AV10*Assumptions!$C$22*Assumptions!$C$14</f>
        <v>92733.087298585262</v>
      </c>
      <c r="AW11" s="108">
        <f>AW10*Assumptions!$C$22*Assumptions!$C$14</f>
        <v>32643.883975395715</v>
      </c>
      <c r="AX11" s="108">
        <f>AX10*Assumptions!$C$22*Assumptions!$C$14</f>
        <v>85214.027125329041</v>
      </c>
      <c r="AY11" s="108">
        <f>AY10*Assumptions!$C$22*Assumptions!$C$14</f>
        <v>93506.115098495851</v>
      </c>
      <c r="AZ11" s="110">
        <f>AZ10*Assumptions!$C$22*Assumptions!$C$14</f>
        <v>97140.201545335687</v>
      </c>
      <c r="BA11" s="692">
        <f>BA10*Assumptions!$C$22*Assumptions!$C$14</f>
        <v>43094.520030859632</v>
      </c>
      <c r="BB11" s="108">
        <f>BB10*Assumptions!$C$22*Assumptions!$C$14</f>
        <v>43891.177200975872</v>
      </c>
      <c r="BC11" s="108">
        <f>BC10*Assumptions!$C$22*Assumptions!$C$14</f>
        <v>41587.005669951133</v>
      </c>
      <c r="BD11" s="108">
        <f>BD10*Assumptions!$C$22*Assumptions!$C$14</f>
        <v>116907.15521517258</v>
      </c>
      <c r="BE11" s="108">
        <f>BE10*Assumptions!$C$22*Assumptions!$C$14</f>
        <v>139056.09561234826</v>
      </c>
      <c r="BF11" s="108">
        <f>BF10*Assumptions!$C$22*Assumptions!$C$14</f>
        <v>55259.179607982864</v>
      </c>
      <c r="BG11" s="108">
        <f>BG10*Assumptions!$C$22*Assumptions!$C$14</f>
        <v>79607.966238702778</v>
      </c>
      <c r="BH11" s="108">
        <f>BH10*Assumptions!$C$22*Assumptions!$C$14</f>
        <v>92733.087298585262</v>
      </c>
      <c r="BI11" s="108">
        <f>BI10*Assumptions!$C$22*Assumptions!$C$14</f>
        <v>32643.883975395715</v>
      </c>
      <c r="BJ11" s="108">
        <f>BJ10*Assumptions!$C$22*Assumptions!$C$14</f>
        <v>85214.027125329041</v>
      </c>
      <c r="BK11" s="108">
        <f>BK10*Assumptions!$C$22*Assumptions!$C$14</f>
        <v>93506.115098495851</v>
      </c>
      <c r="BL11" s="110">
        <f>BL10*Assumptions!$C$22*Assumptions!$C$14</f>
        <v>97140.201545335687</v>
      </c>
      <c r="BM11" s="692">
        <f>BM10*Assumptions!$C$22*Assumptions!$C$14</f>
        <v>43094.520030859632</v>
      </c>
      <c r="BN11" s="108">
        <f>BN10*Assumptions!$C$22*Assumptions!$C$14</f>
        <v>43891.177200975872</v>
      </c>
      <c r="BO11" s="108">
        <f>BO10*Assumptions!$C$22*Assumptions!$C$14</f>
        <v>41587.005669951133</v>
      </c>
      <c r="BP11" s="108">
        <f>BP10*Assumptions!$C$22*Assumptions!$C$14</f>
        <v>116907.15521517258</v>
      </c>
      <c r="BQ11" s="108">
        <f>BQ10*Assumptions!$C$22*Assumptions!$C$14</f>
        <v>139056.09561234826</v>
      </c>
      <c r="BR11" s="108">
        <f>BR10*Assumptions!$C$22*Assumptions!$C$14</f>
        <v>55259.179607982864</v>
      </c>
      <c r="BS11" s="108">
        <f>BS10*Assumptions!$C$22*Assumptions!$C$14</f>
        <v>79607.966238702778</v>
      </c>
      <c r="BT11" s="108">
        <f>BT10*Assumptions!$C$22*Assumptions!$C$14</f>
        <v>92733.087298585262</v>
      </c>
      <c r="BU11" s="108">
        <f>BU10*Assumptions!$C$22*Assumptions!$C$14</f>
        <v>32643.883975395715</v>
      </c>
      <c r="BV11" s="108">
        <f>BV10*Assumptions!$C$22*Assumptions!$C$14</f>
        <v>85214.027125329041</v>
      </c>
      <c r="BW11" s="108">
        <f>BW10*Assumptions!$C$22*Assumptions!$C$14</f>
        <v>93506.115098495851</v>
      </c>
      <c r="BX11" s="110">
        <f>BX10*Assumptions!$C$22*Assumptions!$C$14</f>
        <v>97140.201545335687</v>
      </c>
      <c r="BY11" s="692">
        <f>BY10*Assumptions!$C$22*Assumptions!$C$14</f>
        <v>43094.520030859632</v>
      </c>
      <c r="BZ11" s="108">
        <f>BZ10*Assumptions!$C$22*Assumptions!$C$14</f>
        <v>43891.177200975872</v>
      </c>
      <c r="CA11" s="108">
        <f>CA10*Assumptions!$C$22*Assumptions!$C$14</f>
        <v>41587.005669951133</v>
      </c>
      <c r="CB11" s="108">
        <f>CB10*Assumptions!$C$22*Assumptions!$C$14</f>
        <v>116907.15521517258</v>
      </c>
      <c r="CC11" s="108">
        <f>CC10*Assumptions!$C$22*Assumptions!$C$14</f>
        <v>139056.09561234826</v>
      </c>
      <c r="CD11" s="108">
        <f>CD10*Assumptions!$C$22*Assumptions!$C$14</f>
        <v>55259.179607982864</v>
      </c>
      <c r="CE11" s="108">
        <f>CE10*Assumptions!$C$22*Assumptions!$C$14</f>
        <v>79607.966238702778</v>
      </c>
      <c r="CF11" s="108">
        <f>CF10*Assumptions!$C$22*Assumptions!$C$14</f>
        <v>92733.087298585262</v>
      </c>
      <c r="CG11" s="108">
        <f>CG10*Assumptions!$C$22*Assumptions!$C$14</f>
        <v>32643.883975395715</v>
      </c>
      <c r="CH11" s="108">
        <f>CH10*Assumptions!$C$22*Assumptions!$C$14</f>
        <v>85214.027125329041</v>
      </c>
      <c r="CI11" s="108">
        <f>CI10*Assumptions!$C$22*Assumptions!$C$14</f>
        <v>93506.115098495851</v>
      </c>
      <c r="CJ11" s="110">
        <f>CJ10*Assumptions!$C$22*Assumptions!$C$14</f>
        <v>97140.201545335687</v>
      </c>
      <c r="CK11" s="692">
        <f>CK10*Assumptions!$C$22*Assumptions!$C$14</f>
        <v>43094.520030859632</v>
      </c>
      <c r="CL11" s="108">
        <f>CL10*Assumptions!$C$22*Assumptions!$C$14</f>
        <v>43891.177200975872</v>
      </c>
      <c r="CM11" s="108">
        <f>CM10*Assumptions!$C$22*Assumptions!$C$14</f>
        <v>41587.005669951133</v>
      </c>
      <c r="CN11" s="108">
        <f>CN10*Assumptions!$C$22*Assumptions!$C$14</f>
        <v>116907.15521517258</v>
      </c>
      <c r="CO11" s="108">
        <f>CO10*Assumptions!$C$22*Assumptions!$C$14</f>
        <v>139056.09561234826</v>
      </c>
      <c r="CP11" s="108">
        <f>CP10*Assumptions!$C$22*Assumptions!$C$14</f>
        <v>55259.179607982864</v>
      </c>
      <c r="CQ11" s="108">
        <f>CQ10*Assumptions!$C$22*Assumptions!$C$14</f>
        <v>79607.966238702778</v>
      </c>
      <c r="CR11" s="108">
        <f>CR10*Assumptions!$C$22*Assumptions!$C$14</f>
        <v>92733.087298585262</v>
      </c>
      <c r="CS11" s="108">
        <f>CS10*Assumptions!$C$22*Assumptions!$C$14</f>
        <v>32643.883975395715</v>
      </c>
      <c r="CT11" s="108">
        <f>CT10*Assumptions!$C$22*Assumptions!$C$14</f>
        <v>85214.027125329041</v>
      </c>
      <c r="CU11" s="108">
        <f>CU10*Assumptions!$C$22*Assumptions!$C$14</f>
        <v>93506.115098495851</v>
      </c>
      <c r="CV11" s="110">
        <f>CV10*Assumptions!$C$22*Assumptions!$C$14</f>
        <v>97140.201545335687</v>
      </c>
      <c r="CW11" s="692">
        <f>CW10*Assumptions!$C$22*Assumptions!$C$14</f>
        <v>43094.520030859632</v>
      </c>
      <c r="CX11" s="108">
        <f>CX10*Assumptions!$C$22*Assumptions!$C$14</f>
        <v>43891.177200975872</v>
      </c>
      <c r="CY11" s="108">
        <f>CY10*Assumptions!$C$22*Assumptions!$C$14</f>
        <v>41587.005669951133</v>
      </c>
      <c r="CZ11" s="108">
        <f>CZ10*Assumptions!$C$22*Assumptions!$C$14</f>
        <v>116907.15521517258</v>
      </c>
      <c r="DA11" s="108">
        <f>DA10*Assumptions!$C$22*Assumptions!$C$14</f>
        <v>139056.09561234826</v>
      </c>
      <c r="DB11" s="108">
        <f>DB10*Assumptions!$C$22*Assumptions!$C$14</f>
        <v>55259.179607982864</v>
      </c>
      <c r="DC11" s="108">
        <f>DC10*Assumptions!$C$22*Assumptions!$C$14</f>
        <v>79607.966238702778</v>
      </c>
      <c r="DD11" s="108">
        <f>DD10*Assumptions!$C$22*Assumptions!$C$14</f>
        <v>92733.087298585262</v>
      </c>
      <c r="DE11" s="108">
        <f>DE10*Assumptions!$C$22*Assumptions!$C$14</f>
        <v>32643.883975395715</v>
      </c>
      <c r="DF11" s="108">
        <f>DF10*Assumptions!$C$22*Assumptions!$C$14</f>
        <v>85214.027125329041</v>
      </c>
      <c r="DG11" s="108">
        <f>DG10*Assumptions!$C$22*Assumptions!$C$14</f>
        <v>93506.115098495851</v>
      </c>
      <c r="DH11" s="110">
        <f>DH10*Assumptions!$C$22*Assumptions!$C$14</f>
        <v>97140.201545335687</v>
      </c>
      <c r="DI11" s="692">
        <f>DI10*Assumptions!$C$22*Assumptions!$C$14</f>
        <v>43094.520030859632</v>
      </c>
      <c r="DJ11" s="108">
        <f>DJ10*Assumptions!$C$22*Assumptions!$C$14</f>
        <v>43891.177200975872</v>
      </c>
      <c r="DK11" s="108">
        <f>DK10*Assumptions!$C$22*Assumptions!$C$14</f>
        <v>41587.005669951133</v>
      </c>
      <c r="DL11" s="108">
        <f>DL10*Assumptions!$C$22*Assumptions!$C$14</f>
        <v>116907.15521517258</v>
      </c>
      <c r="DM11" s="108">
        <f>DM10*Assumptions!$C$22*Assumptions!$C$14</f>
        <v>139056.09561234826</v>
      </c>
      <c r="DN11" s="108">
        <f>DN10*Assumptions!$C$22*Assumptions!$C$14</f>
        <v>55259.179607982864</v>
      </c>
      <c r="DO11" s="108">
        <f>DO10*Assumptions!$C$22*Assumptions!$C$14</f>
        <v>79607.966238702778</v>
      </c>
      <c r="DP11" s="108">
        <f>DP10*Assumptions!$C$22*Assumptions!$C$14</f>
        <v>92733.087298585262</v>
      </c>
      <c r="DQ11" s="108">
        <f>DQ10*Assumptions!$C$22*Assumptions!$C$14</f>
        <v>32643.883975395715</v>
      </c>
      <c r="DR11" s="108">
        <f>DR10*Assumptions!$C$22*Assumptions!$C$14</f>
        <v>85214.027125329041</v>
      </c>
      <c r="DS11" s="108">
        <f>DS10*Assumptions!$C$22*Assumptions!$C$14</f>
        <v>93506.115098495851</v>
      </c>
      <c r="DT11" s="110">
        <f>DT10*Assumptions!$C$22*Assumptions!$C$14</f>
        <v>97140.201545335687</v>
      </c>
    </row>
    <row r="12" spans="1:125" ht="15" x14ac:dyDescent="0.25">
      <c r="B12" s="162" t="s">
        <v>555</v>
      </c>
      <c r="C12" s="85"/>
      <c r="D12" s="7"/>
      <c r="E12" s="463">
        <f>E10*Assumptions!$C$23*Assumptions!$C$14</f>
        <v>0</v>
      </c>
      <c r="F12" s="463">
        <f>F10*Assumptions!$C$23*Assumptions!$C$14</f>
        <v>0</v>
      </c>
      <c r="G12" s="463">
        <f>G10*Assumptions!$C$23*Assumptions!$C$14</f>
        <v>0</v>
      </c>
      <c r="H12" s="463">
        <f>H10*Assumptions!$C$23*Assumptions!$C$14</f>
        <v>0</v>
      </c>
      <c r="I12" s="463">
        <f>I10*Assumptions!$C$23*Assumptions!$C$14</f>
        <v>0</v>
      </c>
      <c r="J12" s="463">
        <f>J10*Assumptions!$C$23*Assumptions!$C$14</f>
        <v>0</v>
      </c>
      <c r="K12" s="463">
        <f>K10*Assumptions!$C$23*Assumptions!$C$14</f>
        <v>0</v>
      </c>
      <c r="L12" s="463">
        <f>L10*Assumptions!$C$23*Assumptions!$C$14</f>
        <v>0</v>
      </c>
      <c r="M12" s="463">
        <f>M10*Assumptions!$C$23*Assumptions!$C$14</f>
        <v>0</v>
      </c>
      <c r="N12" s="463">
        <f>N10*Assumptions!$C$23*Assumptions!$C$14</f>
        <v>0</v>
      </c>
      <c r="O12" s="463">
        <f>O10*Assumptions!$C$23*Assumptions!$C$14</f>
        <v>0</v>
      </c>
      <c r="P12" s="487">
        <f>P10*Assumptions!$C$23*Assumptions!$C$14</f>
        <v>0</v>
      </c>
      <c r="Q12" s="687">
        <f>Q10*Assumptions!$C$23*Assumptions!$C$14</f>
        <v>0</v>
      </c>
      <c r="R12" s="110">
        <f>R10*Assumptions!$C$23*Assumptions!$C$14</f>
        <v>0</v>
      </c>
      <c r="S12" s="110">
        <f>S10*Assumptions!$C$23*Assumptions!$C$14</f>
        <v>0</v>
      </c>
      <c r="T12" s="110">
        <f>T10*Assumptions!$C$23*Assumptions!$C$14</f>
        <v>0</v>
      </c>
      <c r="U12" s="110">
        <f>U10*Assumptions!$C$23*Assumptions!$C$14</f>
        <v>0</v>
      </c>
      <c r="V12" s="110">
        <f>V10*Assumptions!$C$23*Assumptions!$C$14</f>
        <v>0</v>
      </c>
      <c r="W12" s="110">
        <f>W10*Assumptions!$C$23*Assumptions!$C$14</f>
        <v>0</v>
      </c>
      <c r="X12" s="110">
        <f>X10*Assumptions!$C$23*Assumptions!$C$14</f>
        <v>0</v>
      </c>
      <c r="Y12" s="110">
        <f>Y10*Assumptions!$C$23*Assumptions!$C$14</f>
        <v>0</v>
      </c>
      <c r="Z12" s="110">
        <f>Z10*Assumptions!$C$23*Assumptions!$C$14</f>
        <v>0</v>
      </c>
      <c r="AA12" s="110">
        <f>AA10*Assumptions!$C$23*Assumptions!$C$14</f>
        <v>0</v>
      </c>
      <c r="AB12" s="110">
        <f>AB10*Assumptions!$C$23*Assumptions!$C$14</f>
        <v>0</v>
      </c>
      <c r="AC12" s="695">
        <f>AC10*Assumptions!$C$23*Assumptions!$C$14</f>
        <v>0</v>
      </c>
      <c r="AD12" s="110">
        <f>AD10*Assumptions!$C$23*Assumptions!$C$14</f>
        <v>0</v>
      </c>
      <c r="AE12" s="110">
        <f>AE10*Assumptions!$C$23*Assumptions!$C$14</f>
        <v>0</v>
      </c>
      <c r="AF12" s="110">
        <f>AF10*Assumptions!$C$23*Assumptions!$C$14</f>
        <v>0</v>
      </c>
      <c r="AG12" s="110">
        <f>AG10*Assumptions!$C$23*Assumptions!$C$14</f>
        <v>0</v>
      </c>
      <c r="AH12" s="110">
        <f>AH10*Assumptions!$C$23*Assumptions!$C$14</f>
        <v>0</v>
      </c>
      <c r="AI12" s="110">
        <f>AI10*Assumptions!$C$23*Assumptions!$C$14</f>
        <v>0</v>
      </c>
      <c r="AJ12" s="110">
        <f>AJ10*Assumptions!$C$23*Assumptions!$C$14</f>
        <v>0</v>
      </c>
      <c r="AK12" s="110">
        <f>AK10*Assumptions!$C$23*Assumptions!$C$14</f>
        <v>0</v>
      </c>
      <c r="AL12" s="110">
        <f>AL10*Assumptions!$C$23*Assumptions!$C$14</f>
        <v>0</v>
      </c>
      <c r="AM12" s="110">
        <f>AM10*Assumptions!$C$23*Assumptions!$C$14</f>
        <v>0</v>
      </c>
      <c r="AN12" s="110">
        <f>AN10*Assumptions!$C$23*Assumptions!$C$14</f>
        <v>0</v>
      </c>
      <c r="AO12" s="687">
        <f>AO10*Assumptions!$C$23*Assumptions!$C$14</f>
        <v>0</v>
      </c>
      <c r="AP12" s="110">
        <f>AP10*Assumptions!$C$23*Assumptions!$C$15</f>
        <v>0</v>
      </c>
      <c r="AQ12" s="110">
        <f>AQ10*Assumptions!$C$23*Assumptions!$C$15</f>
        <v>0</v>
      </c>
      <c r="AR12" s="110">
        <f>AR10*Assumptions!$C$23*Assumptions!$C$15</f>
        <v>0</v>
      </c>
      <c r="AS12" s="110">
        <f>AS10*Assumptions!$C$23*Assumptions!$C$15</f>
        <v>0</v>
      </c>
      <c r="AT12" s="110">
        <f>AT10*Assumptions!$C$23*Assumptions!$C$15</f>
        <v>0</v>
      </c>
      <c r="AU12" s="110">
        <f>AU10*Assumptions!$C$23*Assumptions!$C$15</f>
        <v>0</v>
      </c>
      <c r="AV12" s="110">
        <f>AV10*Assumptions!$C$23*Assumptions!$C$15</f>
        <v>0</v>
      </c>
      <c r="AW12" s="110">
        <f>AW10*Assumptions!$C$23*Assumptions!$C$15</f>
        <v>0</v>
      </c>
      <c r="AX12" s="110">
        <f>AX10*Assumptions!$C$23*Assumptions!$C$15</f>
        <v>0</v>
      </c>
      <c r="AY12" s="110">
        <f>AY10*Assumptions!$C$23*Assumptions!$C$15</f>
        <v>0</v>
      </c>
      <c r="AZ12" s="110">
        <f>AZ10*Assumptions!$C$23*Assumptions!$C$15</f>
        <v>0</v>
      </c>
      <c r="BA12" s="695">
        <f>BA10*Assumptions!$C$23*Assumptions!$C$15</f>
        <v>0</v>
      </c>
      <c r="BB12" s="110">
        <f>BB10*Assumptions!$C$23*Assumptions!$C$15</f>
        <v>0</v>
      </c>
      <c r="BC12" s="110">
        <f>BC10*Assumptions!$C$23*Assumptions!$C$15</f>
        <v>0</v>
      </c>
      <c r="BD12" s="110">
        <f>BD10*Assumptions!$C$23*Assumptions!$C$15</f>
        <v>0</v>
      </c>
      <c r="BE12" s="110">
        <f>BE10*Assumptions!$C$23*Assumptions!$C$15</f>
        <v>0</v>
      </c>
      <c r="BF12" s="110">
        <f>BF10*Assumptions!$C$23*Assumptions!$C$15</f>
        <v>0</v>
      </c>
      <c r="BG12" s="110">
        <f>BG10*Assumptions!$C$23*Assumptions!$C$15</f>
        <v>0</v>
      </c>
      <c r="BH12" s="110">
        <f>BH10*Assumptions!$C$23*Assumptions!$C$15</f>
        <v>0</v>
      </c>
      <c r="BI12" s="110">
        <f>BI10*Assumptions!$C$23*Assumptions!$C$15</f>
        <v>0</v>
      </c>
      <c r="BJ12" s="110">
        <f>BJ10*Assumptions!$C$23*Assumptions!$C$15</f>
        <v>0</v>
      </c>
      <c r="BK12" s="110">
        <f>BK10*Assumptions!$C$23*Assumptions!$C$15</f>
        <v>0</v>
      </c>
      <c r="BL12" s="110">
        <f>BL10*Assumptions!$C$23*Assumptions!$C$15</f>
        <v>0</v>
      </c>
      <c r="BM12" s="695">
        <f>BM10*Assumptions!$C$23*Assumptions!$C$15</f>
        <v>0</v>
      </c>
      <c r="BN12" s="110">
        <f>BN10*Assumptions!$C$23*Assumptions!$C$15</f>
        <v>0</v>
      </c>
      <c r="BO12" s="110">
        <f>BO10*Assumptions!$C$23*Assumptions!$C$15</f>
        <v>0</v>
      </c>
      <c r="BP12" s="110">
        <f>BP10*Assumptions!$C$23*Assumptions!$C$15</f>
        <v>0</v>
      </c>
      <c r="BQ12" s="110">
        <f>BQ10*Assumptions!$C$23*Assumptions!$C$15</f>
        <v>0</v>
      </c>
      <c r="BR12" s="110">
        <f>BR10*Assumptions!$C$23*Assumptions!$C$15</f>
        <v>0</v>
      </c>
      <c r="BS12" s="110">
        <f>BS10*Assumptions!$C$23*Assumptions!$C$15</f>
        <v>0</v>
      </c>
      <c r="BT12" s="110">
        <f>BT10*Assumptions!$C$23*Assumptions!$C$15</f>
        <v>0</v>
      </c>
      <c r="BU12" s="110">
        <f>BU10*Assumptions!$C$23*Assumptions!$C$15</f>
        <v>0</v>
      </c>
      <c r="BV12" s="110">
        <f>BV10*Assumptions!$C$23*Assumptions!$C$15</f>
        <v>0</v>
      </c>
      <c r="BW12" s="110">
        <f>BW10*Assumptions!$C$23*Assumptions!$C$15</f>
        <v>0</v>
      </c>
      <c r="BX12" s="110">
        <f>BX10*Assumptions!$C$23*Assumptions!$C$15</f>
        <v>0</v>
      </c>
      <c r="BY12" s="695">
        <f>BY10*Assumptions!$C$23*Assumptions!$C$15</f>
        <v>0</v>
      </c>
      <c r="BZ12" s="110">
        <f>BZ10*Assumptions!$C$23*Assumptions!$C$15</f>
        <v>0</v>
      </c>
      <c r="CA12" s="110">
        <f>CA10*Assumptions!$C$23*Assumptions!$C$15</f>
        <v>0</v>
      </c>
      <c r="CB12" s="110">
        <f>CB10*Assumptions!$C$23*Assumptions!$C$15</f>
        <v>0</v>
      </c>
      <c r="CC12" s="110">
        <f>CC10*Assumptions!$C$23*Assumptions!$C$15</f>
        <v>0</v>
      </c>
      <c r="CD12" s="110">
        <f>CD10*Assumptions!$C$23*Assumptions!$C$15</f>
        <v>0</v>
      </c>
      <c r="CE12" s="110">
        <f>CE10*Assumptions!$C$23*Assumptions!$C$15</f>
        <v>0</v>
      </c>
      <c r="CF12" s="110">
        <f>CF10*Assumptions!$C$23*Assumptions!$C$15</f>
        <v>0</v>
      </c>
      <c r="CG12" s="110">
        <f>CG10*Assumptions!$C$23*Assumptions!$C$15</f>
        <v>0</v>
      </c>
      <c r="CH12" s="110">
        <f>CH10*Assumptions!$C$23*Assumptions!$C$15</f>
        <v>0</v>
      </c>
      <c r="CI12" s="110">
        <f>CI10*Assumptions!$C$23*Assumptions!$C$15</f>
        <v>0</v>
      </c>
      <c r="CJ12" s="110">
        <f>CJ10*Assumptions!$C$23*Assumptions!$C$15</f>
        <v>0</v>
      </c>
      <c r="CK12" s="695">
        <f>CK10*Assumptions!$C$23*Assumptions!$C$15</f>
        <v>0</v>
      </c>
      <c r="CL12" s="110">
        <f>CL10*Assumptions!$C$23*Assumptions!$C$15</f>
        <v>0</v>
      </c>
      <c r="CM12" s="110">
        <f>CM10*Assumptions!$C$23*Assumptions!$C$15</f>
        <v>0</v>
      </c>
      <c r="CN12" s="110">
        <f>CN10*Assumptions!$C$23*Assumptions!$C$15</f>
        <v>0</v>
      </c>
      <c r="CO12" s="110">
        <f>CO10*Assumptions!$C$23*Assumptions!$C$15</f>
        <v>0</v>
      </c>
      <c r="CP12" s="110">
        <f>CP10*Assumptions!$C$23*Assumptions!$C$15</f>
        <v>0</v>
      </c>
      <c r="CQ12" s="110">
        <f>CQ10*Assumptions!$C$23*Assumptions!$C$15</f>
        <v>0</v>
      </c>
      <c r="CR12" s="110">
        <f>CR10*Assumptions!$C$23*Assumptions!$C$15</f>
        <v>0</v>
      </c>
      <c r="CS12" s="110">
        <f>CS10*Assumptions!$C$23*Assumptions!$C$15</f>
        <v>0</v>
      </c>
      <c r="CT12" s="110">
        <f>CT10*Assumptions!$C$23*Assumptions!$C$15</f>
        <v>0</v>
      </c>
      <c r="CU12" s="110">
        <f>CU10*Assumptions!$C$23*Assumptions!$C$15</f>
        <v>0</v>
      </c>
      <c r="CV12" s="110">
        <f>CV10*Assumptions!$C$23*Assumptions!$C$15</f>
        <v>0</v>
      </c>
      <c r="CW12" s="695">
        <f>CW10*Assumptions!$C$23*Assumptions!$C$15</f>
        <v>0</v>
      </c>
      <c r="CX12" s="110">
        <f>CX10*Assumptions!$C$23*Assumptions!$C$15</f>
        <v>0</v>
      </c>
      <c r="CY12" s="110">
        <f>CY10*Assumptions!$C$23*Assumptions!$C$15</f>
        <v>0</v>
      </c>
      <c r="CZ12" s="110">
        <f>CZ10*Assumptions!$C$23*Assumptions!$C$15</f>
        <v>0</v>
      </c>
      <c r="DA12" s="110">
        <f>DA10*Assumptions!$C$23*Assumptions!$C$15</f>
        <v>0</v>
      </c>
      <c r="DB12" s="110">
        <f>DB10*Assumptions!$C$23*Assumptions!$C$15</f>
        <v>0</v>
      </c>
      <c r="DC12" s="110">
        <f>DC10*Assumptions!$C$23*Assumptions!$C$15</f>
        <v>0</v>
      </c>
      <c r="DD12" s="110">
        <f>DD10*Assumptions!$C$23*Assumptions!$C$15</f>
        <v>0</v>
      </c>
      <c r="DE12" s="110">
        <f>DE10*Assumptions!$C$23*Assumptions!$C$15</f>
        <v>0</v>
      </c>
      <c r="DF12" s="110">
        <f>DF10*Assumptions!$C$23*Assumptions!$C$15</f>
        <v>0</v>
      </c>
      <c r="DG12" s="110">
        <f>DG10*Assumptions!$C$23*Assumptions!$C$15</f>
        <v>0</v>
      </c>
      <c r="DH12" s="110">
        <f>DH10*Assumptions!$C$23*Assumptions!$C$15</f>
        <v>0</v>
      </c>
      <c r="DI12" s="695">
        <f>DI10*Assumptions!$C$23*Assumptions!$C$15</f>
        <v>0</v>
      </c>
      <c r="DJ12" s="110">
        <f>DJ10*Assumptions!$C$23*Assumptions!$C$15</f>
        <v>0</v>
      </c>
      <c r="DK12" s="110">
        <f>DK10*Assumptions!$C$23*Assumptions!$C$15</f>
        <v>0</v>
      </c>
      <c r="DL12" s="110">
        <f>DL10*Assumptions!$C$23*Assumptions!$C$15</f>
        <v>0</v>
      </c>
      <c r="DM12" s="110">
        <f>DM10*Assumptions!$C$23*Assumptions!$C$15</f>
        <v>0</v>
      </c>
      <c r="DN12" s="110">
        <f>DN10*Assumptions!$C$23*Assumptions!$C$15</f>
        <v>0</v>
      </c>
      <c r="DO12" s="110">
        <f>DO10*Assumptions!$C$23*Assumptions!$C$15</f>
        <v>0</v>
      </c>
      <c r="DP12" s="110">
        <f>DP10*Assumptions!$C$23*Assumptions!$C$15</f>
        <v>0</v>
      </c>
      <c r="DQ12" s="110">
        <f>DQ10*Assumptions!$C$23*Assumptions!$C$15</f>
        <v>0</v>
      </c>
      <c r="DR12" s="110">
        <f>DR10*Assumptions!$C$23*Assumptions!$C$15</f>
        <v>0</v>
      </c>
      <c r="DS12" s="110">
        <f>DS10*Assumptions!$C$23*Assumptions!$C$15</f>
        <v>0</v>
      </c>
      <c r="DT12" s="110">
        <f>DT10*Assumptions!$C$23*Assumptions!$C$15</f>
        <v>0</v>
      </c>
    </row>
    <row r="13" spans="1:125" ht="15" x14ac:dyDescent="0.25">
      <c r="B13" s="162" t="s">
        <v>564</v>
      </c>
      <c r="C13" s="85"/>
      <c r="D13" s="7"/>
      <c r="E13" s="463">
        <f>E10*Assumptions!$C$24*Assumptions!$C$15</f>
        <v>0</v>
      </c>
      <c r="F13" s="463">
        <f>F10*Assumptions!$C$24*Assumptions!$C$15</f>
        <v>0</v>
      </c>
      <c r="G13" s="463">
        <f>G10*Assumptions!$C$24*Assumptions!$C$15</f>
        <v>0</v>
      </c>
      <c r="H13" s="463">
        <f>H10*Assumptions!$C$24*Assumptions!$C$15</f>
        <v>0</v>
      </c>
      <c r="I13" s="463">
        <f>I10*Assumptions!$C$24*Assumptions!$C$15</f>
        <v>0</v>
      </c>
      <c r="J13" s="463">
        <f>J10*Assumptions!$C$24*Assumptions!$C$15</f>
        <v>0</v>
      </c>
      <c r="K13" s="463">
        <f>K10*Assumptions!$C$24*Assumptions!$C$15</f>
        <v>0</v>
      </c>
      <c r="L13" s="463">
        <f>L10*Assumptions!$C$24*Assumptions!$C$15</f>
        <v>0</v>
      </c>
      <c r="M13" s="463">
        <f>M10*Assumptions!$C$24*Assumptions!$C$15</f>
        <v>0</v>
      </c>
      <c r="N13" s="463">
        <f>N10*Assumptions!$C$24*Assumptions!$C$15</f>
        <v>0</v>
      </c>
      <c r="O13" s="463">
        <f>O10*Assumptions!$C$24*Assumptions!$C$15</f>
        <v>0</v>
      </c>
      <c r="P13" s="487">
        <f>P10*Assumptions!$C$24*Assumptions!$C$15</f>
        <v>0</v>
      </c>
      <c r="Q13" s="687">
        <f>Q10*Assumptions!$C$24*Assumptions!$C$15</f>
        <v>0</v>
      </c>
      <c r="R13" s="110">
        <f>R10*Assumptions!$C$24*Assumptions!$C$15</f>
        <v>0</v>
      </c>
      <c r="S13" s="110">
        <f>S10*Assumptions!$C$24*Assumptions!$C$15</f>
        <v>0</v>
      </c>
      <c r="T13" s="110">
        <f>T10*Assumptions!$C$24*Assumptions!$C$15</f>
        <v>0</v>
      </c>
      <c r="U13" s="110">
        <f>U10*Assumptions!$C$24*Assumptions!$C$15</f>
        <v>0</v>
      </c>
      <c r="V13" s="110">
        <f>V10*Assumptions!$C$24*Assumptions!$C$15</f>
        <v>0</v>
      </c>
      <c r="W13" s="110">
        <f>W10*Assumptions!$C$24*Assumptions!$C$15</f>
        <v>0</v>
      </c>
      <c r="X13" s="110">
        <f>X10*Assumptions!$C$24*Assumptions!$C$15</f>
        <v>0</v>
      </c>
      <c r="Y13" s="110">
        <f>Y10*Assumptions!$C$24*Assumptions!$C$15</f>
        <v>0</v>
      </c>
      <c r="Z13" s="110">
        <f>Z10*Assumptions!$C$24*Assumptions!$C$15</f>
        <v>0</v>
      </c>
      <c r="AA13" s="110">
        <f>AA10*Assumptions!$C$24*Assumptions!$C$15</f>
        <v>0</v>
      </c>
      <c r="AB13" s="110">
        <f>AB10*Assumptions!$C$24*Assumptions!$C$15</f>
        <v>0</v>
      </c>
      <c r="AC13" s="695">
        <f>AC10*Assumptions!$C$24*Assumptions!$C$15</f>
        <v>0</v>
      </c>
      <c r="AD13" s="110">
        <f>AD10*Assumptions!$C$24*Assumptions!$C$15</f>
        <v>0</v>
      </c>
      <c r="AE13" s="110">
        <f>AE10*Assumptions!$C$24*Assumptions!$C$15</f>
        <v>0</v>
      </c>
      <c r="AF13" s="110">
        <f>AF10*Assumptions!$C$24*Assumptions!$C$15</f>
        <v>0</v>
      </c>
      <c r="AG13" s="110">
        <f>AG10*Assumptions!$C$24*Assumptions!$C$15</f>
        <v>0</v>
      </c>
      <c r="AH13" s="110">
        <f>AH10*Assumptions!$C$24*Assumptions!$C$15</f>
        <v>0</v>
      </c>
      <c r="AI13" s="110">
        <f>AI10*Assumptions!$C$24*Assumptions!$C$15</f>
        <v>0</v>
      </c>
      <c r="AJ13" s="110">
        <f>AJ10*Assumptions!$C$24*Assumptions!$C$15</f>
        <v>0</v>
      </c>
      <c r="AK13" s="110">
        <f>AK10*Assumptions!$C$24*Assumptions!$C$15</f>
        <v>0</v>
      </c>
      <c r="AL13" s="110">
        <f>AL10*Assumptions!$C$24*Assumptions!$C$15</f>
        <v>0</v>
      </c>
      <c r="AM13" s="110">
        <f>AM10*Assumptions!$C$24*Assumptions!$C$15</f>
        <v>0</v>
      </c>
      <c r="AN13" s="110">
        <f>AN10*Assumptions!$C$24*Assumptions!$C$15</f>
        <v>0</v>
      </c>
      <c r="AO13" s="687">
        <f>AO10*Assumptions!$C$24*Assumptions!$C$15</f>
        <v>0</v>
      </c>
      <c r="AP13" s="110">
        <f>AP10*Assumptions!$C$24*Assumptions!$C$16</f>
        <v>0</v>
      </c>
      <c r="AQ13" s="110">
        <f>AQ10*Assumptions!$C$24*Assumptions!$C$16</f>
        <v>0</v>
      </c>
      <c r="AR13" s="110">
        <f>AR10*Assumptions!$C$24*Assumptions!$C$16</f>
        <v>0</v>
      </c>
      <c r="AS13" s="110">
        <f>AS10*Assumptions!$C$24*Assumptions!$C$16</f>
        <v>0</v>
      </c>
      <c r="AT13" s="110">
        <f>AT10*Assumptions!$C$24*Assumptions!$C$16</f>
        <v>0</v>
      </c>
      <c r="AU13" s="110">
        <f>AU10*Assumptions!$C$24*Assumptions!$C$16</f>
        <v>0</v>
      </c>
      <c r="AV13" s="110">
        <f>AV10*Assumptions!$C$24*Assumptions!$C$16</f>
        <v>0</v>
      </c>
      <c r="AW13" s="110">
        <f>AW10*Assumptions!$C$24*Assumptions!$C$16</f>
        <v>0</v>
      </c>
      <c r="AX13" s="110">
        <f>AX10*Assumptions!$C$24*Assumptions!$C$16</f>
        <v>0</v>
      </c>
      <c r="AY13" s="110">
        <f>AY10*Assumptions!$C$24*Assumptions!$C$16</f>
        <v>0</v>
      </c>
      <c r="AZ13" s="110">
        <f>AZ10*Assumptions!$C$24*Assumptions!$C$16</f>
        <v>0</v>
      </c>
      <c r="BA13" s="695">
        <f>BA10*Assumptions!$C$24*Assumptions!$C$16</f>
        <v>0</v>
      </c>
      <c r="BB13" s="110">
        <f>BB10*Assumptions!$C$24*Assumptions!$C$16</f>
        <v>0</v>
      </c>
      <c r="BC13" s="110">
        <f>BC10*Assumptions!$C$24*Assumptions!$C$16</f>
        <v>0</v>
      </c>
      <c r="BD13" s="110">
        <f>BD10*Assumptions!$C$24*Assumptions!$C$16</f>
        <v>0</v>
      </c>
      <c r="BE13" s="110">
        <f>BE10*Assumptions!$C$24*Assumptions!$C$16</f>
        <v>0</v>
      </c>
      <c r="BF13" s="110">
        <f>BF10*Assumptions!$C$24*Assumptions!$C$16</f>
        <v>0</v>
      </c>
      <c r="BG13" s="110">
        <f>BG10*Assumptions!$C$24*Assumptions!$C$16</f>
        <v>0</v>
      </c>
      <c r="BH13" s="110">
        <f>BH10*Assumptions!$C$24*Assumptions!$C$16</f>
        <v>0</v>
      </c>
      <c r="BI13" s="110">
        <f>BI10*Assumptions!$C$24*Assumptions!$C$16</f>
        <v>0</v>
      </c>
      <c r="BJ13" s="110">
        <f>BJ10*Assumptions!$C$24*Assumptions!$C$16</f>
        <v>0</v>
      </c>
      <c r="BK13" s="110">
        <f>BK10*Assumptions!$C$24*Assumptions!$C$16</f>
        <v>0</v>
      </c>
      <c r="BL13" s="110">
        <f>BL10*Assumptions!$C$24*Assumptions!$C$16</f>
        <v>0</v>
      </c>
      <c r="BM13" s="695">
        <f>BM10*Assumptions!$C$24*Assumptions!$C$16</f>
        <v>0</v>
      </c>
      <c r="BN13" s="110">
        <f>BN10*Assumptions!$C$24*Assumptions!$C$16</f>
        <v>0</v>
      </c>
      <c r="BO13" s="110">
        <f>BO10*Assumptions!$C$24*Assumptions!$C$16</f>
        <v>0</v>
      </c>
      <c r="BP13" s="110">
        <f>BP10*Assumptions!$C$24*Assumptions!$C$16</f>
        <v>0</v>
      </c>
      <c r="BQ13" s="110">
        <f>BQ10*Assumptions!$C$24*Assumptions!$C$16</f>
        <v>0</v>
      </c>
      <c r="BR13" s="110">
        <f>BR10*Assumptions!$C$24*Assumptions!$C$16</f>
        <v>0</v>
      </c>
      <c r="BS13" s="110">
        <f>BS10*Assumptions!$C$24*Assumptions!$C$16</f>
        <v>0</v>
      </c>
      <c r="BT13" s="110">
        <f>BT10*Assumptions!$C$24*Assumptions!$C$16</f>
        <v>0</v>
      </c>
      <c r="BU13" s="110">
        <f>BU10*Assumptions!$C$24*Assumptions!$C$16</f>
        <v>0</v>
      </c>
      <c r="BV13" s="110">
        <f>BV10*Assumptions!$C$24*Assumptions!$C$16</f>
        <v>0</v>
      </c>
      <c r="BW13" s="110">
        <f>BW10*Assumptions!$C$24*Assumptions!$C$16</f>
        <v>0</v>
      </c>
      <c r="BX13" s="110">
        <f>BX10*Assumptions!$C$24*Assumptions!$C$16</f>
        <v>0</v>
      </c>
      <c r="BY13" s="695">
        <f>BY10*Assumptions!$C$24*Assumptions!$C$16</f>
        <v>0</v>
      </c>
      <c r="BZ13" s="110">
        <f>BZ10*Assumptions!$C$24*Assumptions!$C$16</f>
        <v>0</v>
      </c>
      <c r="CA13" s="110">
        <f>CA10*Assumptions!$C$24*Assumptions!$C$16</f>
        <v>0</v>
      </c>
      <c r="CB13" s="110">
        <f>CB10*Assumptions!$C$24*Assumptions!$C$16</f>
        <v>0</v>
      </c>
      <c r="CC13" s="110">
        <f>CC10*Assumptions!$C$24*Assumptions!$C$16</f>
        <v>0</v>
      </c>
      <c r="CD13" s="110">
        <f>CD10*Assumptions!$C$24*Assumptions!$C$16</f>
        <v>0</v>
      </c>
      <c r="CE13" s="110">
        <f>CE10*Assumptions!$C$24*Assumptions!$C$16</f>
        <v>0</v>
      </c>
      <c r="CF13" s="110">
        <f>CF10*Assumptions!$C$24*Assumptions!$C$16</f>
        <v>0</v>
      </c>
      <c r="CG13" s="110">
        <f>CG10*Assumptions!$C$24*Assumptions!$C$16</f>
        <v>0</v>
      </c>
      <c r="CH13" s="110">
        <f>CH10*Assumptions!$C$24*Assumptions!$C$16</f>
        <v>0</v>
      </c>
      <c r="CI13" s="110">
        <f>CI10*Assumptions!$C$24*Assumptions!$C$16</f>
        <v>0</v>
      </c>
      <c r="CJ13" s="110">
        <f>CJ10*Assumptions!$C$24*Assumptions!$C$16</f>
        <v>0</v>
      </c>
      <c r="CK13" s="695">
        <f>CK10*Assumptions!$C$24*Assumptions!$C$16</f>
        <v>0</v>
      </c>
      <c r="CL13" s="110">
        <f>CL10*Assumptions!$C$24*Assumptions!$C$16</f>
        <v>0</v>
      </c>
      <c r="CM13" s="110">
        <f>CM10*Assumptions!$C$24*Assumptions!$C$16</f>
        <v>0</v>
      </c>
      <c r="CN13" s="110">
        <f>CN10*Assumptions!$C$24*Assumptions!$C$16</f>
        <v>0</v>
      </c>
      <c r="CO13" s="110">
        <f>CO10*Assumptions!$C$24*Assumptions!$C$16</f>
        <v>0</v>
      </c>
      <c r="CP13" s="110">
        <f>CP10*Assumptions!$C$24*Assumptions!$C$16</f>
        <v>0</v>
      </c>
      <c r="CQ13" s="110">
        <f>CQ10*Assumptions!$C$24*Assumptions!$C$16</f>
        <v>0</v>
      </c>
      <c r="CR13" s="110">
        <f>CR10*Assumptions!$C$24*Assumptions!$C$16</f>
        <v>0</v>
      </c>
      <c r="CS13" s="110">
        <f>CS10*Assumptions!$C$24*Assumptions!$C$16</f>
        <v>0</v>
      </c>
      <c r="CT13" s="110">
        <f>CT10*Assumptions!$C$24*Assumptions!$C$16</f>
        <v>0</v>
      </c>
      <c r="CU13" s="110">
        <f>CU10*Assumptions!$C$24*Assumptions!$C$16</f>
        <v>0</v>
      </c>
      <c r="CV13" s="110">
        <f>CV10*Assumptions!$C$24*Assumptions!$C$16</f>
        <v>0</v>
      </c>
      <c r="CW13" s="695">
        <f>CW10*Assumptions!$C$24*Assumptions!$C$16</f>
        <v>0</v>
      </c>
      <c r="CX13" s="110">
        <f>CX10*Assumptions!$C$24*Assumptions!$C$16</f>
        <v>0</v>
      </c>
      <c r="CY13" s="110">
        <f>CY10*Assumptions!$C$24*Assumptions!$C$16</f>
        <v>0</v>
      </c>
      <c r="CZ13" s="110">
        <f>CZ10*Assumptions!$C$24*Assumptions!$C$16</f>
        <v>0</v>
      </c>
      <c r="DA13" s="110">
        <f>DA10*Assumptions!$C$24*Assumptions!$C$16</f>
        <v>0</v>
      </c>
      <c r="DB13" s="110">
        <f>DB10*Assumptions!$C$24*Assumptions!$C$16</f>
        <v>0</v>
      </c>
      <c r="DC13" s="110">
        <f>DC10*Assumptions!$C$24*Assumptions!$C$16</f>
        <v>0</v>
      </c>
      <c r="DD13" s="110">
        <f>DD10*Assumptions!$C$24*Assumptions!$C$16</f>
        <v>0</v>
      </c>
      <c r="DE13" s="110">
        <f>DE10*Assumptions!$C$24*Assumptions!$C$16</f>
        <v>0</v>
      </c>
      <c r="DF13" s="110">
        <f>DF10*Assumptions!$C$24*Assumptions!$C$16</f>
        <v>0</v>
      </c>
      <c r="DG13" s="110">
        <f>DG10*Assumptions!$C$24*Assumptions!$C$16</f>
        <v>0</v>
      </c>
      <c r="DH13" s="110">
        <f>DH10*Assumptions!$C$24*Assumptions!$C$16</f>
        <v>0</v>
      </c>
      <c r="DI13" s="695">
        <f>DI10*Assumptions!$C$24*Assumptions!$C$16</f>
        <v>0</v>
      </c>
      <c r="DJ13" s="110">
        <f>DJ10*Assumptions!$C$24*Assumptions!$C$16</f>
        <v>0</v>
      </c>
      <c r="DK13" s="110">
        <f>DK10*Assumptions!$C$24*Assumptions!$C$16</f>
        <v>0</v>
      </c>
      <c r="DL13" s="110">
        <f>DL10*Assumptions!$C$24*Assumptions!$C$16</f>
        <v>0</v>
      </c>
      <c r="DM13" s="110">
        <f>DM10*Assumptions!$C$24*Assumptions!$C$16</f>
        <v>0</v>
      </c>
      <c r="DN13" s="110">
        <f>DN10*Assumptions!$C$24*Assumptions!$C$16</f>
        <v>0</v>
      </c>
      <c r="DO13" s="110">
        <f>DO10*Assumptions!$C$24*Assumptions!$C$16</f>
        <v>0</v>
      </c>
      <c r="DP13" s="110">
        <f>DP10*Assumptions!$C$24*Assumptions!$C$16</f>
        <v>0</v>
      </c>
      <c r="DQ13" s="110">
        <f>DQ10*Assumptions!$C$24*Assumptions!$C$16</f>
        <v>0</v>
      </c>
      <c r="DR13" s="110">
        <f>DR10*Assumptions!$C$24*Assumptions!$C$16</f>
        <v>0</v>
      </c>
      <c r="DS13" s="110">
        <f>DS10*Assumptions!$C$24*Assumptions!$C$16</f>
        <v>0</v>
      </c>
      <c r="DT13" s="110">
        <f>DT10*Assumptions!$C$24*Assumptions!$C$16</f>
        <v>0</v>
      </c>
    </row>
    <row r="14" spans="1:125" ht="15" x14ac:dyDescent="0.25">
      <c r="B14" s="162" t="s">
        <v>1396</v>
      </c>
      <c r="C14" s="85"/>
      <c r="D14" s="7"/>
      <c r="E14" s="463">
        <f>E11*Assumptions!$C$25*Assumptions!$C$15</f>
        <v>0</v>
      </c>
      <c r="F14" s="463">
        <f>F11*Assumptions!$C$25*Assumptions!$C$15</f>
        <v>0</v>
      </c>
      <c r="G14" s="463">
        <f>G11*Assumptions!$C$25*Assumptions!$C$15</f>
        <v>0</v>
      </c>
      <c r="H14" s="463">
        <f>H11*Assumptions!$C$25*Assumptions!$C$15</f>
        <v>0</v>
      </c>
      <c r="I14" s="463">
        <f>I11*Assumptions!$C$25*Assumptions!$C$15</f>
        <v>0</v>
      </c>
      <c r="J14" s="463">
        <f>J11*Assumptions!$C$25*Assumptions!$C$15</f>
        <v>0</v>
      </c>
      <c r="K14" s="463">
        <f>K11*Assumptions!$C$25*Assumptions!$C$15</f>
        <v>0</v>
      </c>
      <c r="L14" s="463">
        <f>L11*Assumptions!$C$25*Assumptions!$C$15</f>
        <v>0</v>
      </c>
      <c r="M14" s="463">
        <f>M11*Assumptions!$C$25*Assumptions!$C$15</f>
        <v>0</v>
      </c>
      <c r="N14" s="463">
        <f>N11*Assumptions!$C$25*Assumptions!$C$15</f>
        <v>0</v>
      </c>
      <c r="O14" s="463">
        <f>O11*Assumptions!$C$25*Assumptions!$C$15</f>
        <v>0</v>
      </c>
      <c r="P14" s="487">
        <f>P11*Assumptions!$C$25*Assumptions!$C$15</f>
        <v>0</v>
      </c>
      <c r="Q14" s="687">
        <f>Q11*Assumptions!$C$25*Assumptions!$C$15</f>
        <v>0</v>
      </c>
      <c r="R14" s="110">
        <f>R11*Assumptions!$C$25*Assumptions!$C$15</f>
        <v>0</v>
      </c>
      <c r="S14" s="110">
        <f>S11*Assumptions!$C$25*Assumptions!$C$15</f>
        <v>0</v>
      </c>
      <c r="T14" s="110">
        <f>T11*Assumptions!$C$25*Assumptions!$C$15</f>
        <v>0</v>
      </c>
      <c r="U14" s="110">
        <f>U11*Assumptions!$C$25*Assumptions!$C$15</f>
        <v>0</v>
      </c>
      <c r="V14" s="110">
        <f>V11*Assumptions!$C$25*Assumptions!$C$15</f>
        <v>0</v>
      </c>
      <c r="W14" s="110">
        <f>W11*Assumptions!$C$25*Assumptions!$C$15</f>
        <v>0</v>
      </c>
      <c r="X14" s="110">
        <f>X11*Assumptions!$C$25*Assumptions!$C$15</f>
        <v>0</v>
      </c>
      <c r="Y14" s="110">
        <f>Y11*Assumptions!$C$25*Assumptions!$C$15</f>
        <v>0</v>
      </c>
      <c r="Z14" s="110">
        <f>Z11*Assumptions!$C$25*Assumptions!$C$15</f>
        <v>0</v>
      </c>
      <c r="AA14" s="110">
        <f>AA11*Assumptions!$C$25*Assumptions!$C$15</f>
        <v>0</v>
      </c>
      <c r="AB14" s="110">
        <f>AB11*Assumptions!$C$25*Assumptions!$C$15</f>
        <v>0</v>
      </c>
      <c r="AC14" s="695">
        <f>AC11*Assumptions!$C$25*Assumptions!$C$15</f>
        <v>0</v>
      </c>
      <c r="AD14" s="110">
        <f>AD11*Assumptions!$C$25*Assumptions!$C$15</f>
        <v>0</v>
      </c>
      <c r="AE14" s="110">
        <f>AE11*Assumptions!$C$25*Assumptions!$C$15</f>
        <v>0</v>
      </c>
      <c r="AF14" s="110">
        <f>AF11*Assumptions!$C$25*Assumptions!$C$15</f>
        <v>0</v>
      </c>
      <c r="AG14" s="110">
        <f>AG11*Assumptions!$C$25*Assumptions!$C$15</f>
        <v>0</v>
      </c>
      <c r="AH14" s="110">
        <f>AH11*Assumptions!$C$25*Assumptions!$C$15</f>
        <v>0</v>
      </c>
      <c r="AI14" s="110">
        <f>AI11*Assumptions!$C$25*Assumptions!$C$15</f>
        <v>0</v>
      </c>
      <c r="AJ14" s="110">
        <f>AJ11*Assumptions!$C$25*Assumptions!$C$15</f>
        <v>0</v>
      </c>
      <c r="AK14" s="110">
        <f>AK11*Assumptions!$C$25*Assumptions!$C$15</f>
        <v>0</v>
      </c>
      <c r="AL14" s="110">
        <f>AL11*Assumptions!$C$25*Assumptions!$C$15</f>
        <v>0</v>
      </c>
      <c r="AM14" s="110">
        <f>AM11*Assumptions!$C$25*Assumptions!$C$15</f>
        <v>0</v>
      </c>
      <c r="AN14" s="110">
        <f>AN11*Assumptions!$C$25*Assumptions!$C$15</f>
        <v>0</v>
      </c>
      <c r="AO14" s="687">
        <f>AO11*Assumptions!$C$25*Assumptions!$C$15</f>
        <v>0</v>
      </c>
      <c r="AP14" s="110">
        <f>AP10*Assumptions!$C$25*Assumptions!$C$14</f>
        <v>0</v>
      </c>
      <c r="AQ14" s="110">
        <f>AQ10*Assumptions!$C$25*Assumptions!$C$14</f>
        <v>0</v>
      </c>
      <c r="AR14" s="110">
        <f>AR10*Assumptions!$C$25*Assumptions!$C$14</f>
        <v>0</v>
      </c>
      <c r="AS14" s="110">
        <f>AS10*Assumptions!$C$25*Assumptions!$C$14</f>
        <v>0</v>
      </c>
      <c r="AT14" s="110">
        <f>AT10*Assumptions!$C$25*Assumptions!$C$14</f>
        <v>0</v>
      </c>
      <c r="AU14" s="110">
        <f>AU10*Assumptions!$C$25*Assumptions!$C$14</f>
        <v>0</v>
      </c>
      <c r="AV14" s="110">
        <f>AV10*Assumptions!$C$25*Assumptions!$C$14</f>
        <v>0</v>
      </c>
      <c r="AW14" s="110">
        <f>AW10*Assumptions!$C$25*Assumptions!$C$14</f>
        <v>0</v>
      </c>
      <c r="AX14" s="110">
        <f>AX10*Assumptions!$C$25*Assumptions!$C$14</f>
        <v>0</v>
      </c>
      <c r="AY14" s="110">
        <f>AY10*Assumptions!$C$25*Assumptions!$C$14</f>
        <v>0</v>
      </c>
      <c r="AZ14" s="110">
        <f>AZ10*Assumptions!$C$25*Assumptions!$C$14</f>
        <v>0</v>
      </c>
      <c r="BA14" s="695">
        <f>BA10*Assumptions!$C$25*Assumptions!$C$14</f>
        <v>0</v>
      </c>
      <c r="BB14" s="110">
        <f>BB10*Assumptions!$C$25*Assumptions!$C$14</f>
        <v>0</v>
      </c>
      <c r="BC14" s="110">
        <f>BC10*Assumptions!$C$25*Assumptions!$C$14</f>
        <v>0</v>
      </c>
      <c r="BD14" s="110">
        <f>BD10*Assumptions!$C$25*Assumptions!$C$14</f>
        <v>0</v>
      </c>
      <c r="BE14" s="110">
        <f>BE10*Assumptions!$C$25*Assumptions!$C$14</f>
        <v>0</v>
      </c>
      <c r="BF14" s="110">
        <f>BF10*Assumptions!$C$25*Assumptions!$C$14</f>
        <v>0</v>
      </c>
      <c r="BG14" s="110">
        <f>BG10*Assumptions!$C$25*Assumptions!$C$14</f>
        <v>0</v>
      </c>
      <c r="BH14" s="110">
        <f>BH10*Assumptions!$C$25*Assumptions!$C$14</f>
        <v>0</v>
      </c>
      <c r="BI14" s="110">
        <f>BI10*Assumptions!$C$25*Assumptions!$C$14</f>
        <v>0</v>
      </c>
      <c r="BJ14" s="110">
        <f>BJ10*Assumptions!$C$25*Assumptions!$C$14</f>
        <v>0</v>
      </c>
      <c r="BK14" s="110">
        <f>BK10*Assumptions!$C$25*Assumptions!$C$14</f>
        <v>0</v>
      </c>
      <c r="BL14" s="110">
        <f>BL10*Assumptions!$C$25*Assumptions!$C$14</f>
        <v>0</v>
      </c>
      <c r="BM14" s="695">
        <f>BM10*Assumptions!$C$25*Assumptions!$C$14</f>
        <v>0</v>
      </c>
      <c r="BN14" s="110">
        <f>BN10*Assumptions!$C$25*Assumptions!$C$14</f>
        <v>0</v>
      </c>
      <c r="BO14" s="110">
        <f>BO10*Assumptions!$C$25*Assumptions!$C$14</f>
        <v>0</v>
      </c>
      <c r="BP14" s="110">
        <f>BP10*Assumptions!$C$25*Assumptions!$C$14</f>
        <v>0</v>
      </c>
      <c r="BQ14" s="110">
        <f>BQ10*Assumptions!$C$25*Assumptions!$C$14</f>
        <v>0</v>
      </c>
      <c r="BR14" s="110">
        <f>BR10*Assumptions!$C$25*Assumptions!$C$14</f>
        <v>0</v>
      </c>
      <c r="BS14" s="110">
        <f>BS10*Assumptions!$C$25*Assumptions!$C$14</f>
        <v>0</v>
      </c>
      <c r="BT14" s="110">
        <f>BT10*Assumptions!$C$25*Assumptions!$C$14</f>
        <v>0</v>
      </c>
      <c r="BU14" s="110">
        <f>BU10*Assumptions!$C$25*Assumptions!$C$14</f>
        <v>0</v>
      </c>
      <c r="BV14" s="110">
        <f>BV10*Assumptions!$C$25*Assumptions!$C$14</f>
        <v>0</v>
      </c>
      <c r="BW14" s="110">
        <f>BW10*Assumptions!$C$25*Assumptions!$C$14</f>
        <v>0</v>
      </c>
      <c r="BX14" s="110">
        <f>BX10*Assumptions!$C$25*Assumptions!$C$14</f>
        <v>0</v>
      </c>
      <c r="BY14" s="695">
        <f>BY10*Assumptions!$C$25*Assumptions!$C$14</f>
        <v>0</v>
      </c>
      <c r="BZ14" s="110">
        <f>BZ10*Assumptions!$C$25*Assumptions!$C$14</f>
        <v>0</v>
      </c>
      <c r="CA14" s="110">
        <f>CA10*Assumptions!$C$25*Assumptions!$C$14</f>
        <v>0</v>
      </c>
      <c r="CB14" s="110">
        <f>CB10*Assumptions!$C$25*Assumptions!$C$14</f>
        <v>0</v>
      </c>
      <c r="CC14" s="110">
        <f>CC10*Assumptions!$C$25*Assumptions!$C$14</f>
        <v>0</v>
      </c>
      <c r="CD14" s="110">
        <f>CD10*Assumptions!$C$25*Assumptions!$C$14</f>
        <v>0</v>
      </c>
      <c r="CE14" s="110">
        <f>CE10*Assumptions!$C$25*Assumptions!$C$14</f>
        <v>0</v>
      </c>
      <c r="CF14" s="110">
        <f>CF10*Assumptions!$C$25*Assumptions!$C$14</f>
        <v>0</v>
      </c>
      <c r="CG14" s="110">
        <f>CG10*Assumptions!$C$25*Assumptions!$C$14</f>
        <v>0</v>
      </c>
      <c r="CH14" s="110">
        <f>CH10*Assumptions!$C$25*Assumptions!$C$14</f>
        <v>0</v>
      </c>
      <c r="CI14" s="110">
        <f>CI10*Assumptions!$C$25*Assumptions!$C$14</f>
        <v>0</v>
      </c>
      <c r="CJ14" s="110">
        <f>CJ10*Assumptions!$C$25*Assumptions!$C$14</f>
        <v>0</v>
      </c>
      <c r="CK14" s="695">
        <f>CK10*Assumptions!$C$25*Assumptions!$C$14</f>
        <v>0</v>
      </c>
      <c r="CL14" s="110">
        <f>CL10*Assumptions!$C$25*Assumptions!$C$14</f>
        <v>0</v>
      </c>
      <c r="CM14" s="110">
        <f>CM10*Assumptions!$C$25*Assumptions!$C$14</f>
        <v>0</v>
      </c>
      <c r="CN14" s="110">
        <f>CN10*Assumptions!$C$25*Assumptions!$C$14</f>
        <v>0</v>
      </c>
      <c r="CO14" s="110">
        <f>CO10*Assumptions!$C$25*Assumptions!$C$14</f>
        <v>0</v>
      </c>
      <c r="CP14" s="110">
        <f>CP10*Assumptions!$C$25*Assumptions!$C$14</f>
        <v>0</v>
      </c>
      <c r="CQ14" s="110">
        <f>CQ10*Assumptions!$C$25*Assumptions!$C$14</f>
        <v>0</v>
      </c>
      <c r="CR14" s="110">
        <f>CR10*Assumptions!$C$25*Assumptions!$C$14</f>
        <v>0</v>
      </c>
      <c r="CS14" s="110">
        <f>CS10*Assumptions!$C$25*Assumptions!$C$14</f>
        <v>0</v>
      </c>
      <c r="CT14" s="110">
        <f>CT10*Assumptions!$C$25*Assumptions!$C$14</f>
        <v>0</v>
      </c>
      <c r="CU14" s="110">
        <f>CU10*Assumptions!$C$25*Assumptions!$C$14</f>
        <v>0</v>
      </c>
      <c r="CV14" s="110">
        <f>CV10*Assumptions!$C$25*Assumptions!$C$14</f>
        <v>0</v>
      </c>
      <c r="CW14" s="695">
        <f>CW10*Assumptions!$C$25*Assumptions!$C$14</f>
        <v>0</v>
      </c>
      <c r="CX14" s="110">
        <f>CX10*Assumptions!$C$25*Assumptions!$C$14</f>
        <v>0</v>
      </c>
      <c r="CY14" s="110">
        <f>CY10*Assumptions!$C$25*Assumptions!$C$14</f>
        <v>0</v>
      </c>
      <c r="CZ14" s="110">
        <f>CZ10*Assumptions!$C$25*Assumptions!$C$14</f>
        <v>0</v>
      </c>
      <c r="DA14" s="110">
        <f>DA10*Assumptions!$C$25*Assumptions!$C$14</f>
        <v>0</v>
      </c>
      <c r="DB14" s="110">
        <f>DB10*Assumptions!$C$25*Assumptions!$C$14</f>
        <v>0</v>
      </c>
      <c r="DC14" s="110">
        <f>DC10*Assumptions!$C$25*Assumptions!$C$14</f>
        <v>0</v>
      </c>
      <c r="DD14" s="110">
        <f>DD10*Assumptions!$C$25*Assumptions!$C$14</f>
        <v>0</v>
      </c>
      <c r="DE14" s="110">
        <f>DE10*Assumptions!$C$25*Assumptions!$C$14</f>
        <v>0</v>
      </c>
      <c r="DF14" s="110">
        <f>DF10*Assumptions!$C$25*Assumptions!$C$14</f>
        <v>0</v>
      </c>
      <c r="DG14" s="110">
        <f>DG10*Assumptions!$C$25*Assumptions!$C$14</f>
        <v>0</v>
      </c>
      <c r="DH14" s="110">
        <f>DH10*Assumptions!$C$25*Assumptions!$C$14</f>
        <v>0</v>
      </c>
      <c r="DI14" s="695">
        <f>DI10*Assumptions!$C$25*Assumptions!$C$14</f>
        <v>0</v>
      </c>
      <c r="DJ14" s="110">
        <f>DJ10*Assumptions!$C$25*Assumptions!$C$14</f>
        <v>0</v>
      </c>
      <c r="DK14" s="110">
        <f>DK10*Assumptions!$C$25*Assumptions!$C$14</f>
        <v>0</v>
      </c>
      <c r="DL14" s="110">
        <f>DL10*Assumptions!$C$25*Assumptions!$C$14</f>
        <v>0</v>
      </c>
      <c r="DM14" s="110">
        <f>DM10*Assumptions!$C$25*Assumptions!$C$14</f>
        <v>0</v>
      </c>
      <c r="DN14" s="110">
        <f>DN10*Assumptions!$C$25*Assumptions!$C$14</f>
        <v>0</v>
      </c>
      <c r="DO14" s="110">
        <f>DO10*Assumptions!$C$25*Assumptions!$C$14</f>
        <v>0</v>
      </c>
      <c r="DP14" s="110">
        <f>DP10*Assumptions!$C$25*Assumptions!$C$14</f>
        <v>0</v>
      </c>
      <c r="DQ14" s="110">
        <f>DQ10*Assumptions!$C$25*Assumptions!$C$14</f>
        <v>0</v>
      </c>
      <c r="DR14" s="110">
        <f>DR10*Assumptions!$C$25*Assumptions!$C$14</f>
        <v>0</v>
      </c>
      <c r="DS14" s="110">
        <f>DS10*Assumptions!$C$25*Assumptions!$C$14</f>
        <v>0</v>
      </c>
      <c r="DT14" s="110">
        <f>DT10*Assumptions!$C$25*Assumptions!$C$14</f>
        <v>0</v>
      </c>
    </row>
    <row r="15" spans="1:125" ht="15" x14ac:dyDescent="0.25">
      <c r="B15" s="162" t="s">
        <v>554</v>
      </c>
      <c r="C15" s="85"/>
      <c r="D15" s="7"/>
      <c r="E15" s="463">
        <f>E12*Assumptions!$C$26*Assumptions!$C$15</f>
        <v>0</v>
      </c>
      <c r="F15" s="463">
        <f>F12*Assumptions!$C$26*Assumptions!$C$15</f>
        <v>0</v>
      </c>
      <c r="G15" s="463">
        <f>G12*Assumptions!$C$26*Assumptions!$C$15</f>
        <v>0</v>
      </c>
      <c r="H15" s="463">
        <f>H12*Assumptions!$C$26*Assumptions!$C$15</f>
        <v>0</v>
      </c>
      <c r="I15" s="463">
        <f>I12*Assumptions!$C$26*Assumptions!$C$15</f>
        <v>0</v>
      </c>
      <c r="J15" s="463">
        <f>J12*Assumptions!$C$26*Assumptions!$C$15</f>
        <v>0</v>
      </c>
      <c r="K15" s="463">
        <f>K12*Assumptions!$C$26*Assumptions!$C$15</f>
        <v>0</v>
      </c>
      <c r="L15" s="463">
        <f>L12*Assumptions!$C$26*Assumptions!$C$15</f>
        <v>0</v>
      </c>
      <c r="M15" s="463">
        <f>M12*Assumptions!$C$26*Assumptions!$C$15</f>
        <v>0</v>
      </c>
      <c r="N15" s="463">
        <f>N12*Assumptions!$C$26*Assumptions!$C$15</f>
        <v>0</v>
      </c>
      <c r="O15" s="463">
        <f>O12*Assumptions!$C$26*Assumptions!$C$15</f>
        <v>0</v>
      </c>
      <c r="P15" s="487">
        <f>P12*Assumptions!$C$26*Assumptions!$C$15</f>
        <v>0</v>
      </c>
      <c r="Q15" s="1180">
        <f>Q12*Assumptions!$C$26*Assumptions!$C$15</f>
        <v>0</v>
      </c>
      <c r="R15" s="108">
        <f>R12*Assumptions!$C$26*Assumptions!$C$15</f>
        <v>0</v>
      </c>
      <c r="S15" s="108">
        <f>S12*Assumptions!$C$26*Assumptions!$C$15</f>
        <v>0</v>
      </c>
      <c r="T15" s="108">
        <f>T12*Assumptions!$C$26*Assumptions!$C$15</f>
        <v>0</v>
      </c>
      <c r="U15" s="108">
        <f>U12*Assumptions!$C$26*Assumptions!$C$15</f>
        <v>0</v>
      </c>
      <c r="V15" s="108">
        <f>V12*Assumptions!$C$26*Assumptions!$C$15</f>
        <v>0</v>
      </c>
      <c r="W15" s="108">
        <f>W12*Assumptions!$C$26*Assumptions!$C$15</f>
        <v>0</v>
      </c>
      <c r="X15" s="108">
        <f>X12*Assumptions!$C$26*Assumptions!$C$15</f>
        <v>0</v>
      </c>
      <c r="Y15" s="108">
        <f>Y12*Assumptions!$C$26*Assumptions!$C$15</f>
        <v>0</v>
      </c>
      <c r="Z15" s="108">
        <f>Z12*Assumptions!$C$26*Assumptions!$C$15</f>
        <v>0</v>
      </c>
      <c r="AA15" s="108">
        <f>AA12*Assumptions!$C$26*Assumptions!$C$15</f>
        <v>0</v>
      </c>
      <c r="AB15" s="110">
        <f>AB12*Assumptions!$C$26*Assumptions!$C$15</f>
        <v>0</v>
      </c>
      <c r="AC15" s="692">
        <f>AC12*Assumptions!$C$26*Assumptions!$C$15</f>
        <v>0</v>
      </c>
      <c r="AD15" s="108">
        <f>AD12*Assumptions!$C$26*Assumptions!$C$15</f>
        <v>0</v>
      </c>
      <c r="AE15" s="108">
        <f>AE12*Assumptions!$C$26*Assumptions!$C$15</f>
        <v>0</v>
      </c>
      <c r="AF15" s="108">
        <f>AF12*Assumptions!$C$26*Assumptions!$C$15</f>
        <v>0</v>
      </c>
      <c r="AG15" s="108">
        <f>AG12*Assumptions!$C$26*Assumptions!$C$15</f>
        <v>0</v>
      </c>
      <c r="AH15" s="108">
        <f>AH12*Assumptions!$C$26*Assumptions!$C$15</f>
        <v>0</v>
      </c>
      <c r="AI15" s="108">
        <f>AI12*Assumptions!$C$26*Assumptions!$C$15</f>
        <v>0</v>
      </c>
      <c r="AJ15" s="108">
        <f>AJ12*Assumptions!$C$26*Assumptions!$C$15</f>
        <v>0</v>
      </c>
      <c r="AK15" s="108">
        <f>AK12*Assumptions!$C$26*Assumptions!$C$15</f>
        <v>0</v>
      </c>
      <c r="AL15" s="108">
        <f>AL12*Assumptions!$C$26*Assumptions!$C$15</f>
        <v>0</v>
      </c>
      <c r="AM15" s="108">
        <f>AM12*Assumptions!$C$26*Assumptions!$C$15</f>
        <v>0</v>
      </c>
      <c r="AN15" s="110">
        <f>AN12*Assumptions!$C$26*Assumptions!$C$15</f>
        <v>0</v>
      </c>
      <c r="AO15" s="1180">
        <f>AO12*Assumptions!$C$26*Assumptions!$C$15</f>
        <v>0</v>
      </c>
      <c r="AP15" s="108">
        <f>AP10*Assumptions!$C$26*Assumptions!$C$15</f>
        <v>38039.020240845755</v>
      </c>
      <c r="AQ15" s="108">
        <f>AQ10*Assumptions!$C$26*Assumptions!$C$15</f>
        <v>36042.071580624317</v>
      </c>
      <c r="AR15" s="108">
        <f>AR10*Assumptions!$C$26*Assumptions!$C$15</f>
        <v>101319.53451981622</v>
      </c>
      <c r="AS15" s="108">
        <f>AS10*Assumptions!$C$26*Assumptions!$C$15</f>
        <v>120515.28286403515</v>
      </c>
      <c r="AT15" s="108">
        <f>AT10*Assumptions!$C$26*Assumptions!$C$15</f>
        <v>47891.288993585149</v>
      </c>
      <c r="AU15" s="108">
        <f>AU10*Assumptions!$C$26*Assumptions!$C$15</f>
        <v>68993.570740209063</v>
      </c>
      <c r="AV15" s="108">
        <f>AV10*Assumptions!$C$26*Assumptions!$C$15</f>
        <v>80368.675658773893</v>
      </c>
      <c r="AW15" s="108">
        <f>AW10*Assumptions!$C$26*Assumptions!$C$15</f>
        <v>28291.366112009619</v>
      </c>
      <c r="AX15" s="108">
        <f>AX10*Assumptions!$C$26*Assumptions!$C$15</f>
        <v>73852.156841951844</v>
      </c>
      <c r="AY15" s="108">
        <f>AY10*Assumptions!$C$26*Assumptions!$C$15</f>
        <v>81038.633085363079</v>
      </c>
      <c r="AZ15" s="110">
        <f>AZ10*Assumptions!$C$26*Assumptions!$C$15</f>
        <v>84188.174672624271</v>
      </c>
      <c r="BA15" s="692">
        <f>BA10*Assumptions!$C$26*Assumptions!$C$15</f>
        <v>37348.584026745011</v>
      </c>
      <c r="BB15" s="108">
        <f>BB10*Assumptions!$C$26*Assumptions!$C$15</f>
        <v>38039.020240845755</v>
      </c>
      <c r="BC15" s="108">
        <f>BC10*Assumptions!$C$26*Assumptions!$C$15</f>
        <v>36042.071580624317</v>
      </c>
      <c r="BD15" s="108">
        <f>BD10*Assumptions!$C$26*Assumptions!$C$15</f>
        <v>101319.53451981622</v>
      </c>
      <c r="BE15" s="108">
        <f>BE10*Assumptions!$C$26*Assumptions!$C$15</f>
        <v>120515.28286403515</v>
      </c>
      <c r="BF15" s="108">
        <f>BF10*Assumptions!$C$26*Assumptions!$C$15</f>
        <v>47891.288993585149</v>
      </c>
      <c r="BG15" s="108">
        <f>BG10*Assumptions!$C$26*Assumptions!$C$15</f>
        <v>68993.570740209063</v>
      </c>
      <c r="BH15" s="108">
        <f>BH10*Assumptions!$C$26*Assumptions!$C$15</f>
        <v>80368.675658773893</v>
      </c>
      <c r="BI15" s="108">
        <f>BI10*Assumptions!$C$26*Assumptions!$C$15</f>
        <v>28291.366112009619</v>
      </c>
      <c r="BJ15" s="108">
        <f>BJ10*Assumptions!$C$26*Assumptions!$C$15</f>
        <v>73852.156841951844</v>
      </c>
      <c r="BK15" s="108">
        <f>BK10*Assumptions!$C$26*Assumptions!$C$15</f>
        <v>81038.633085363079</v>
      </c>
      <c r="BL15" s="110">
        <f>BL10*Assumptions!$C$26*Assumptions!$C$15</f>
        <v>84188.174672624271</v>
      </c>
      <c r="BM15" s="692">
        <f>BM10*Assumptions!$C$26*Assumptions!$C$15</f>
        <v>37348.584026745011</v>
      </c>
      <c r="BN15" s="108">
        <f>BN10*Assumptions!$C$26*Assumptions!$C$15</f>
        <v>38039.020240845755</v>
      </c>
      <c r="BO15" s="108">
        <f>BO10*Assumptions!$C$26*Assumptions!$C$15</f>
        <v>36042.071580624317</v>
      </c>
      <c r="BP15" s="108">
        <f>BP10*Assumptions!$C$26*Assumptions!$C$15</f>
        <v>101319.53451981622</v>
      </c>
      <c r="BQ15" s="108">
        <f>BQ10*Assumptions!$C$26*Assumptions!$C$15</f>
        <v>120515.28286403515</v>
      </c>
      <c r="BR15" s="108">
        <f>BR10*Assumptions!$C$26*Assumptions!$C$15</f>
        <v>47891.288993585149</v>
      </c>
      <c r="BS15" s="108">
        <f>BS10*Assumptions!$C$26*Assumptions!$C$15</f>
        <v>68993.570740209063</v>
      </c>
      <c r="BT15" s="108">
        <f>BT10*Assumptions!$C$26*Assumptions!$C$15</f>
        <v>80368.675658773893</v>
      </c>
      <c r="BU15" s="108">
        <f>BU10*Assumptions!$C$26*Assumptions!$C$15</f>
        <v>28291.366112009619</v>
      </c>
      <c r="BV15" s="108">
        <f>BV10*Assumptions!$C$26*Assumptions!$C$15</f>
        <v>73852.156841951844</v>
      </c>
      <c r="BW15" s="108">
        <f>BW10*Assumptions!$C$26*Assumptions!$C$15</f>
        <v>81038.633085363079</v>
      </c>
      <c r="BX15" s="110">
        <f>BX10*Assumptions!$C$26*Assumptions!$C$15</f>
        <v>84188.174672624271</v>
      </c>
      <c r="BY15" s="692">
        <f>BY10*Assumptions!$C$26*Assumptions!$C$15</f>
        <v>37348.584026745011</v>
      </c>
      <c r="BZ15" s="108">
        <f>BZ10*Assumptions!$C$26*Assumptions!$C$15</f>
        <v>38039.020240845755</v>
      </c>
      <c r="CA15" s="108">
        <f>CA10*Assumptions!$C$26*Assumptions!$C$15</f>
        <v>36042.071580624317</v>
      </c>
      <c r="CB15" s="108">
        <f>CB10*Assumptions!$C$26*Assumptions!$C$15</f>
        <v>101319.53451981622</v>
      </c>
      <c r="CC15" s="108">
        <f>CC10*Assumptions!$C$26*Assumptions!$C$15</f>
        <v>120515.28286403515</v>
      </c>
      <c r="CD15" s="108">
        <f>CD10*Assumptions!$C$26*Assumptions!$C$15</f>
        <v>47891.288993585149</v>
      </c>
      <c r="CE15" s="108">
        <f>CE10*Assumptions!$C$26*Assumptions!$C$15</f>
        <v>68993.570740209063</v>
      </c>
      <c r="CF15" s="108">
        <f>CF10*Assumptions!$C$26*Assumptions!$C$15</f>
        <v>80368.675658773893</v>
      </c>
      <c r="CG15" s="108">
        <f>CG10*Assumptions!$C$26*Assumptions!$C$15</f>
        <v>28291.366112009619</v>
      </c>
      <c r="CH15" s="108">
        <f>CH10*Assumptions!$C$26*Assumptions!$C$15</f>
        <v>73852.156841951844</v>
      </c>
      <c r="CI15" s="108">
        <f>CI10*Assumptions!$C$26*Assumptions!$C$15</f>
        <v>81038.633085363079</v>
      </c>
      <c r="CJ15" s="110">
        <f>CJ10*Assumptions!$C$26*Assumptions!$C$15</f>
        <v>84188.174672624271</v>
      </c>
      <c r="CK15" s="692">
        <f>CK10*Assumptions!$C$26*Assumptions!$C$15</f>
        <v>37348.584026745011</v>
      </c>
      <c r="CL15" s="108">
        <f>CL10*Assumptions!$C$26*Assumptions!$C$15</f>
        <v>38039.020240845755</v>
      </c>
      <c r="CM15" s="108">
        <f>CM10*Assumptions!$C$26*Assumptions!$C$15</f>
        <v>36042.071580624317</v>
      </c>
      <c r="CN15" s="108">
        <f>CN10*Assumptions!$C$26*Assumptions!$C$15</f>
        <v>101319.53451981622</v>
      </c>
      <c r="CO15" s="108">
        <f>CO10*Assumptions!$C$26*Assumptions!$C$15</f>
        <v>120515.28286403515</v>
      </c>
      <c r="CP15" s="108">
        <f>CP10*Assumptions!$C$26*Assumptions!$C$15</f>
        <v>47891.288993585149</v>
      </c>
      <c r="CQ15" s="108">
        <f>CQ10*Assumptions!$C$26*Assumptions!$C$15</f>
        <v>68993.570740209063</v>
      </c>
      <c r="CR15" s="108">
        <f>CR10*Assumptions!$C$26*Assumptions!$C$15</f>
        <v>80368.675658773893</v>
      </c>
      <c r="CS15" s="108">
        <f>CS10*Assumptions!$C$26*Assumptions!$C$15</f>
        <v>28291.366112009619</v>
      </c>
      <c r="CT15" s="108">
        <f>CT10*Assumptions!$C$26*Assumptions!$C$15</f>
        <v>73852.156841951844</v>
      </c>
      <c r="CU15" s="108">
        <f>CU10*Assumptions!$C$26*Assumptions!$C$15</f>
        <v>81038.633085363079</v>
      </c>
      <c r="CV15" s="110">
        <f>CV10*Assumptions!$C$26*Assumptions!$C$15</f>
        <v>84188.174672624271</v>
      </c>
      <c r="CW15" s="692">
        <f>CW10*Assumptions!$C$26*Assumptions!$C$15</f>
        <v>37348.584026745011</v>
      </c>
      <c r="CX15" s="108">
        <f>CX10*Assumptions!$C$26*Assumptions!$C$15</f>
        <v>38039.020240845755</v>
      </c>
      <c r="CY15" s="108">
        <f>CY10*Assumptions!$C$26*Assumptions!$C$15</f>
        <v>36042.071580624317</v>
      </c>
      <c r="CZ15" s="108">
        <f>CZ10*Assumptions!$C$26*Assumptions!$C$15</f>
        <v>101319.53451981622</v>
      </c>
      <c r="DA15" s="108">
        <f>DA10*Assumptions!$C$26*Assumptions!$C$15</f>
        <v>120515.28286403515</v>
      </c>
      <c r="DB15" s="108">
        <f>DB10*Assumptions!$C$26*Assumptions!$C$15</f>
        <v>47891.288993585149</v>
      </c>
      <c r="DC15" s="108">
        <f>DC10*Assumptions!$C$26*Assumptions!$C$15</f>
        <v>68993.570740209063</v>
      </c>
      <c r="DD15" s="108">
        <f>DD10*Assumptions!$C$26*Assumptions!$C$15</f>
        <v>80368.675658773893</v>
      </c>
      <c r="DE15" s="108">
        <f>DE10*Assumptions!$C$26*Assumptions!$C$15</f>
        <v>28291.366112009619</v>
      </c>
      <c r="DF15" s="108">
        <f>DF10*Assumptions!$C$26*Assumptions!$C$15</f>
        <v>73852.156841951844</v>
      </c>
      <c r="DG15" s="108">
        <f>DG10*Assumptions!$C$26*Assumptions!$C$15</f>
        <v>81038.633085363079</v>
      </c>
      <c r="DH15" s="110">
        <f>DH10*Assumptions!$C$26*Assumptions!$C$15</f>
        <v>84188.174672624271</v>
      </c>
      <c r="DI15" s="692">
        <f>DI10*Assumptions!$C$26*Assumptions!$C$15</f>
        <v>37348.584026745011</v>
      </c>
      <c r="DJ15" s="108">
        <f>DJ10*Assumptions!$C$26*Assumptions!$C$15</f>
        <v>38039.020240845755</v>
      </c>
      <c r="DK15" s="108">
        <f>DK10*Assumptions!$C$26*Assumptions!$C$15</f>
        <v>36042.071580624317</v>
      </c>
      <c r="DL15" s="108">
        <f>DL10*Assumptions!$C$26*Assumptions!$C$15</f>
        <v>101319.53451981622</v>
      </c>
      <c r="DM15" s="108">
        <f>DM10*Assumptions!$C$26*Assumptions!$C$15</f>
        <v>120515.28286403515</v>
      </c>
      <c r="DN15" s="108">
        <f>DN10*Assumptions!$C$26*Assumptions!$C$15</f>
        <v>47891.288993585149</v>
      </c>
      <c r="DO15" s="108">
        <f>DO10*Assumptions!$C$26*Assumptions!$C$15</f>
        <v>68993.570740209063</v>
      </c>
      <c r="DP15" s="108">
        <f>DP10*Assumptions!$C$26*Assumptions!$C$15</f>
        <v>80368.675658773893</v>
      </c>
      <c r="DQ15" s="108">
        <f>DQ10*Assumptions!$C$26*Assumptions!$C$15</f>
        <v>28291.366112009619</v>
      </c>
      <c r="DR15" s="108">
        <f>DR10*Assumptions!$C$26*Assumptions!$C$15</f>
        <v>73852.156841951844</v>
      </c>
      <c r="DS15" s="108">
        <f>DS10*Assumptions!$C$26*Assumptions!$C$15</f>
        <v>81038.633085363079</v>
      </c>
      <c r="DT15" s="110">
        <f>DT10*Assumptions!$C$26*Assumptions!$C$15</f>
        <v>84188.174672624271</v>
      </c>
    </row>
    <row r="16" spans="1:125" ht="15" x14ac:dyDescent="0.25">
      <c r="B16" s="162" t="s">
        <v>548</v>
      </c>
      <c r="C16" s="85"/>
      <c r="D16" s="7"/>
      <c r="E16" s="463">
        <f>E12*Assumptions!$C$27*Assumptions!$C$15</f>
        <v>0</v>
      </c>
      <c r="F16" s="463">
        <f>F12*Assumptions!$C$27*Assumptions!$C$15</f>
        <v>0</v>
      </c>
      <c r="G16" s="463">
        <f>G12*Assumptions!$C$27*Assumptions!$C$15</f>
        <v>0</v>
      </c>
      <c r="H16" s="463">
        <f>H12*Assumptions!$C$27*Assumptions!$C$15</f>
        <v>0</v>
      </c>
      <c r="I16" s="463">
        <f>I12*Assumptions!$C$27*Assumptions!$C$15</f>
        <v>0</v>
      </c>
      <c r="J16" s="463">
        <f>J12*Assumptions!$C$27*Assumptions!$C$15</f>
        <v>0</v>
      </c>
      <c r="K16" s="463">
        <f>K12*Assumptions!$C$27*Assumptions!$C$15</f>
        <v>0</v>
      </c>
      <c r="L16" s="463">
        <f>L12*Assumptions!$C$27*Assumptions!$C$15</f>
        <v>0</v>
      </c>
      <c r="M16" s="463">
        <f>M12*Assumptions!$C$27*Assumptions!$C$15</f>
        <v>0</v>
      </c>
      <c r="N16" s="463">
        <f>N12*Assumptions!$C$27*Assumptions!$C$15</f>
        <v>0</v>
      </c>
      <c r="O16" s="463">
        <f>O12*Assumptions!$C$27*Assumptions!$C$15</f>
        <v>0</v>
      </c>
      <c r="P16" s="487">
        <f>P12*Assumptions!$C$27*Assumptions!$C$15</f>
        <v>0</v>
      </c>
      <c r="Q16" s="687">
        <f>Q12*Assumptions!$C$27*Assumptions!$C$15</f>
        <v>0</v>
      </c>
      <c r="R16" s="110">
        <f>R12*Assumptions!$C$27*Assumptions!$C$15</f>
        <v>0</v>
      </c>
      <c r="S16" s="110">
        <f>S12*Assumptions!$C$27*Assumptions!$C$15</f>
        <v>0</v>
      </c>
      <c r="T16" s="110">
        <f>T12*Assumptions!$C$27*Assumptions!$C$15</f>
        <v>0</v>
      </c>
      <c r="U16" s="110">
        <f>U12*Assumptions!$C$27*Assumptions!$C$15</f>
        <v>0</v>
      </c>
      <c r="V16" s="110">
        <f>V12*Assumptions!$C$27*Assumptions!$C$15</f>
        <v>0</v>
      </c>
      <c r="W16" s="110">
        <f>W12*Assumptions!$C$27*Assumptions!$C$15</f>
        <v>0</v>
      </c>
      <c r="X16" s="110">
        <f>X12*Assumptions!$C$27*Assumptions!$C$15</f>
        <v>0</v>
      </c>
      <c r="Y16" s="110">
        <f>Y12*Assumptions!$C$27*Assumptions!$C$15</f>
        <v>0</v>
      </c>
      <c r="Z16" s="110">
        <f>Z12*Assumptions!$C$27*Assumptions!$C$15</f>
        <v>0</v>
      </c>
      <c r="AA16" s="110">
        <f>AA12*Assumptions!$C$27*Assumptions!$C$15</f>
        <v>0</v>
      </c>
      <c r="AB16" s="110">
        <f>AB12*Assumptions!$C$27*Assumptions!$C$15</f>
        <v>0</v>
      </c>
      <c r="AC16" s="695">
        <f>AC12*Assumptions!$C$27*Assumptions!$C$15</f>
        <v>0</v>
      </c>
      <c r="AD16" s="110">
        <f>AD12*Assumptions!$C$27*Assumptions!$C$15</f>
        <v>0</v>
      </c>
      <c r="AE16" s="110">
        <f>AE12*Assumptions!$C$27*Assumptions!$C$15</f>
        <v>0</v>
      </c>
      <c r="AF16" s="110">
        <f>AF12*Assumptions!$C$27*Assumptions!$C$15</f>
        <v>0</v>
      </c>
      <c r="AG16" s="110">
        <f>AG12*Assumptions!$C$27*Assumptions!$C$15</f>
        <v>0</v>
      </c>
      <c r="AH16" s="110">
        <f>AH12*Assumptions!$C$27*Assumptions!$C$15</f>
        <v>0</v>
      </c>
      <c r="AI16" s="110">
        <f>AI12*Assumptions!$C$27*Assumptions!$C$15</f>
        <v>0</v>
      </c>
      <c r="AJ16" s="110">
        <f>AJ12*Assumptions!$C$27*Assumptions!$C$15</f>
        <v>0</v>
      </c>
      <c r="AK16" s="110">
        <f>AK12*Assumptions!$C$27*Assumptions!$C$15</f>
        <v>0</v>
      </c>
      <c r="AL16" s="110">
        <f>AL12*Assumptions!$C$27*Assumptions!$C$15</f>
        <v>0</v>
      </c>
      <c r="AM16" s="110">
        <f>AM12*Assumptions!$C$27*Assumptions!$C$15</f>
        <v>0</v>
      </c>
      <c r="AN16" s="110">
        <f>AN12*Assumptions!$C$27*Assumptions!$C$15</f>
        <v>0</v>
      </c>
      <c r="AO16" s="687">
        <f>AO12*Assumptions!$C$27*Assumptions!$C$15</f>
        <v>0</v>
      </c>
      <c r="AP16" s="110">
        <f>AP9*Assumptions!$C$27*Assumptions!$C$16</f>
        <v>0</v>
      </c>
      <c r="AQ16" s="110">
        <f>AQ9*Assumptions!$C$27*Assumptions!$C$16</f>
        <v>0</v>
      </c>
      <c r="AR16" s="110">
        <f>AR9*Assumptions!$C$27*Assumptions!$C$16</f>
        <v>0</v>
      </c>
      <c r="AS16" s="110">
        <f>AS9*Assumptions!$C$27*Assumptions!$C$16</f>
        <v>0</v>
      </c>
      <c r="AT16" s="110">
        <f>AT9*Assumptions!$C$27*Assumptions!$C$16</f>
        <v>0</v>
      </c>
      <c r="AU16" s="110">
        <f>AU9*Assumptions!$C$27*Assumptions!$C$16</f>
        <v>0</v>
      </c>
      <c r="AV16" s="110">
        <f>AV9*Assumptions!$C$27*Assumptions!$C$16</f>
        <v>0</v>
      </c>
      <c r="AW16" s="110">
        <f>AW9*Assumptions!$C$27*Assumptions!$C$16</f>
        <v>0</v>
      </c>
      <c r="AX16" s="110">
        <f>AX9*Assumptions!$C$27*Assumptions!$C$16</f>
        <v>0</v>
      </c>
      <c r="AY16" s="110">
        <f>AY9*Assumptions!$C$27*Assumptions!$C$16</f>
        <v>0</v>
      </c>
      <c r="AZ16" s="110">
        <f>AZ9*Assumptions!$C$27*Assumptions!$C$16</f>
        <v>0</v>
      </c>
      <c r="BA16" s="695">
        <f>BA9*Assumptions!$C$27*Assumptions!$C$16</f>
        <v>0</v>
      </c>
      <c r="BB16" s="110">
        <f>BB9*Assumptions!$C$27*Assumptions!$C$16</f>
        <v>0</v>
      </c>
      <c r="BC16" s="110">
        <f>BC9*Assumptions!$C$27*Assumptions!$C$16</f>
        <v>0</v>
      </c>
      <c r="BD16" s="110">
        <f>BD9*Assumptions!$C$27*Assumptions!$C$16</f>
        <v>0</v>
      </c>
      <c r="BE16" s="110">
        <f>BE9*Assumptions!$C$27*Assumptions!$C$16</f>
        <v>0</v>
      </c>
      <c r="BF16" s="110">
        <f>BF9*Assumptions!$C$27*Assumptions!$C$16</f>
        <v>0</v>
      </c>
      <c r="BG16" s="110">
        <f>BG9*Assumptions!$C$27*Assumptions!$C$16</f>
        <v>0</v>
      </c>
      <c r="BH16" s="110">
        <f>BH9*Assumptions!$C$27*Assumptions!$C$16</f>
        <v>0</v>
      </c>
      <c r="BI16" s="110">
        <f>BI9*Assumptions!$C$27*Assumptions!$C$16</f>
        <v>0</v>
      </c>
      <c r="BJ16" s="110">
        <f>BJ9*Assumptions!$C$27*Assumptions!$C$16</f>
        <v>0</v>
      </c>
      <c r="BK16" s="110">
        <f>BK9*Assumptions!$C$27*Assumptions!$C$16</f>
        <v>0</v>
      </c>
      <c r="BL16" s="110">
        <f>BL9*Assumptions!$C$27*Assumptions!$C$16</f>
        <v>0</v>
      </c>
      <c r="BM16" s="695">
        <f>BM9*Assumptions!$C$27*Assumptions!$C$16</f>
        <v>0</v>
      </c>
      <c r="BN16" s="110">
        <f>BN9*Assumptions!$C$27*Assumptions!$C$16</f>
        <v>0</v>
      </c>
      <c r="BO16" s="110">
        <f>BO9*Assumptions!$C$27*Assumptions!$C$16</f>
        <v>0</v>
      </c>
      <c r="BP16" s="110">
        <f>BP9*Assumptions!$C$27*Assumptions!$C$16</f>
        <v>0</v>
      </c>
      <c r="BQ16" s="110">
        <f>BQ9*Assumptions!$C$27*Assumptions!$C$16</f>
        <v>0</v>
      </c>
      <c r="BR16" s="110">
        <f>BR9*Assumptions!$C$27*Assumptions!$C$16</f>
        <v>0</v>
      </c>
      <c r="BS16" s="110">
        <f>BS9*Assumptions!$C$27*Assumptions!$C$16</f>
        <v>0</v>
      </c>
      <c r="BT16" s="110">
        <f>BT9*Assumptions!$C$27*Assumptions!$C$16</f>
        <v>0</v>
      </c>
      <c r="BU16" s="110">
        <f>BU9*Assumptions!$C$27*Assumptions!$C$16</f>
        <v>0</v>
      </c>
      <c r="BV16" s="110">
        <f>BV9*Assumptions!$C$27*Assumptions!$C$16</f>
        <v>0</v>
      </c>
      <c r="BW16" s="110">
        <f>BW9*Assumptions!$C$27*Assumptions!$C$16</f>
        <v>0</v>
      </c>
      <c r="BX16" s="110">
        <f>BX9*Assumptions!$C$27*Assumptions!$C$16</f>
        <v>0</v>
      </c>
      <c r="BY16" s="695">
        <f>BY9*Assumptions!$C$27*Assumptions!$C$16</f>
        <v>0</v>
      </c>
      <c r="BZ16" s="110">
        <f>BZ9*Assumptions!$C$27*Assumptions!$C$16</f>
        <v>0</v>
      </c>
      <c r="CA16" s="110">
        <f>CA9*Assumptions!$C$27*Assumptions!$C$16</f>
        <v>0</v>
      </c>
      <c r="CB16" s="110">
        <f>CB9*Assumptions!$C$27*Assumptions!$C$16</f>
        <v>0</v>
      </c>
      <c r="CC16" s="110">
        <f>CC9*Assumptions!$C$27*Assumptions!$C$16</f>
        <v>0</v>
      </c>
      <c r="CD16" s="110">
        <f>CD9*Assumptions!$C$27*Assumptions!$C$16</f>
        <v>0</v>
      </c>
      <c r="CE16" s="110">
        <f>CE9*Assumptions!$C$27*Assumptions!$C$16</f>
        <v>0</v>
      </c>
      <c r="CF16" s="110">
        <f>CF9*Assumptions!$C$27*Assumptions!$C$16</f>
        <v>0</v>
      </c>
      <c r="CG16" s="110">
        <f>CG9*Assumptions!$C$27*Assumptions!$C$16</f>
        <v>0</v>
      </c>
      <c r="CH16" s="110">
        <f>CH9*Assumptions!$C$27*Assumptions!$C$16</f>
        <v>0</v>
      </c>
      <c r="CI16" s="110">
        <f>CI9*Assumptions!$C$27*Assumptions!$C$16</f>
        <v>0</v>
      </c>
      <c r="CJ16" s="110">
        <f>CJ9*Assumptions!$C$27*Assumptions!$C$16</f>
        <v>0</v>
      </c>
      <c r="CK16" s="695">
        <f>CK9*Assumptions!$C$27*Assumptions!$C$16</f>
        <v>0</v>
      </c>
      <c r="CL16" s="110">
        <f>CL9*Assumptions!$C$27*Assumptions!$C$16</f>
        <v>0</v>
      </c>
      <c r="CM16" s="110">
        <f>CM9*Assumptions!$C$27*Assumptions!$C$16</f>
        <v>0</v>
      </c>
      <c r="CN16" s="110">
        <f>CN9*Assumptions!$C$27*Assumptions!$C$16</f>
        <v>0</v>
      </c>
      <c r="CO16" s="110">
        <f>CO9*Assumptions!$C$27*Assumptions!$C$16</f>
        <v>0</v>
      </c>
      <c r="CP16" s="110">
        <f>CP9*Assumptions!$C$27*Assumptions!$C$16</f>
        <v>0</v>
      </c>
      <c r="CQ16" s="110">
        <f>CQ9*Assumptions!$C$27*Assumptions!$C$16</f>
        <v>0</v>
      </c>
      <c r="CR16" s="110">
        <f>CR9*Assumptions!$C$27*Assumptions!$C$16</f>
        <v>0</v>
      </c>
      <c r="CS16" s="110">
        <f>CS9*Assumptions!$C$27*Assumptions!$C$16</f>
        <v>0</v>
      </c>
      <c r="CT16" s="110">
        <f>CT9*Assumptions!$C$27*Assumptions!$C$16</f>
        <v>0</v>
      </c>
      <c r="CU16" s="110">
        <f>CU9*Assumptions!$C$27*Assumptions!$C$16</f>
        <v>0</v>
      </c>
      <c r="CV16" s="110">
        <f>CV9*Assumptions!$C$27*Assumptions!$C$16</f>
        <v>0</v>
      </c>
      <c r="CW16" s="695">
        <f>CW9*Assumptions!$C$27*Assumptions!$C$16</f>
        <v>0</v>
      </c>
      <c r="CX16" s="110">
        <f>CX9*Assumptions!$C$27*Assumptions!$C$16</f>
        <v>0</v>
      </c>
      <c r="CY16" s="110">
        <f>CY9*Assumptions!$C$27*Assumptions!$C$16</f>
        <v>0</v>
      </c>
      <c r="CZ16" s="110">
        <f>CZ9*Assumptions!$C$27*Assumptions!$C$16</f>
        <v>0</v>
      </c>
      <c r="DA16" s="110">
        <f>DA9*Assumptions!$C$27*Assumptions!$C$16</f>
        <v>0</v>
      </c>
      <c r="DB16" s="110">
        <f>DB9*Assumptions!$C$27*Assumptions!$C$16</f>
        <v>0</v>
      </c>
      <c r="DC16" s="110">
        <f>DC9*Assumptions!$C$27*Assumptions!$C$16</f>
        <v>0</v>
      </c>
      <c r="DD16" s="110">
        <f>DD9*Assumptions!$C$27*Assumptions!$C$16</f>
        <v>0</v>
      </c>
      <c r="DE16" s="110">
        <f>DE9*Assumptions!$C$27*Assumptions!$C$16</f>
        <v>0</v>
      </c>
      <c r="DF16" s="110">
        <f>DF9*Assumptions!$C$27*Assumptions!$C$16</f>
        <v>0</v>
      </c>
      <c r="DG16" s="110">
        <f>DG9*Assumptions!$C$27*Assumptions!$C$16</f>
        <v>0</v>
      </c>
      <c r="DH16" s="110">
        <f>DH9*Assumptions!$C$27*Assumptions!$C$16</f>
        <v>0</v>
      </c>
      <c r="DI16" s="695">
        <f>DI9*Assumptions!$C$27*Assumptions!$C$16</f>
        <v>0</v>
      </c>
      <c r="DJ16" s="110">
        <f>DJ9*Assumptions!$C$27*Assumptions!$C$16</f>
        <v>0</v>
      </c>
      <c r="DK16" s="110">
        <f>DK9*Assumptions!$C$27*Assumptions!$C$16</f>
        <v>0</v>
      </c>
      <c r="DL16" s="110">
        <f>DL9*Assumptions!$C$27*Assumptions!$C$16</f>
        <v>0</v>
      </c>
      <c r="DM16" s="110">
        <f>DM9*Assumptions!$C$27*Assumptions!$C$16</f>
        <v>0</v>
      </c>
      <c r="DN16" s="110">
        <f>DN9*Assumptions!$C$27*Assumptions!$C$16</f>
        <v>0</v>
      </c>
      <c r="DO16" s="110">
        <f>DO9*Assumptions!$C$27*Assumptions!$C$16</f>
        <v>0</v>
      </c>
      <c r="DP16" s="110">
        <f>DP9*Assumptions!$C$27*Assumptions!$C$16</f>
        <v>0</v>
      </c>
      <c r="DQ16" s="110">
        <f>DQ9*Assumptions!$C$27*Assumptions!$C$16</f>
        <v>0</v>
      </c>
      <c r="DR16" s="110">
        <f>DR9*Assumptions!$C$27*Assumptions!$C$16</f>
        <v>0</v>
      </c>
      <c r="DS16" s="110">
        <f>DS9*Assumptions!$C$27*Assumptions!$C$16</f>
        <v>0</v>
      </c>
      <c r="DT16" s="110">
        <f>DT9*Assumptions!$C$27*Assumptions!$C$16</f>
        <v>0</v>
      </c>
    </row>
    <row r="17" spans="1:124" ht="15" x14ac:dyDescent="0.25">
      <c r="B17" s="162" t="s">
        <v>1431</v>
      </c>
      <c r="C17" s="85"/>
      <c r="D17" s="7"/>
      <c r="E17" s="463">
        <f>E13*Assumptions!$C$27*Assumptions!$C$15</f>
        <v>0</v>
      </c>
      <c r="F17" s="463">
        <f>F13*Assumptions!$C$27*Assumptions!$C$15</f>
        <v>0</v>
      </c>
      <c r="G17" s="463">
        <f>G13*Assumptions!$C$27*Assumptions!$C$15</f>
        <v>0</v>
      </c>
      <c r="H17" s="463">
        <f>H13*Assumptions!$C$27*Assumptions!$C$15</f>
        <v>0</v>
      </c>
      <c r="I17" s="463">
        <f>I13*Assumptions!$C$27*Assumptions!$C$15</f>
        <v>0</v>
      </c>
      <c r="J17" s="463">
        <f>J13*Assumptions!$C$27*Assumptions!$C$15</f>
        <v>0</v>
      </c>
      <c r="K17" s="463">
        <f>K13*Assumptions!$C$27*Assumptions!$C$15</f>
        <v>0</v>
      </c>
      <c r="L17" s="463">
        <f>L13*Assumptions!$C$27*Assumptions!$C$15</f>
        <v>0</v>
      </c>
      <c r="M17" s="463">
        <f>M13*Assumptions!$C$27*Assumptions!$C$15</f>
        <v>0</v>
      </c>
      <c r="N17" s="463">
        <f>N13*Assumptions!$C$27*Assumptions!$C$15</f>
        <v>0</v>
      </c>
      <c r="O17" s="463">
        <f>O13*Assumptions!$C$27*Assumptions!$C$15</f>
        <v>0</v>
      </c>
      <c r="P17" s="487">
        <f>P13*Assumptions!$C$27*Assumptions!$C$15</f>
        <v>0</v>
      </c>
      <c r="Q17" s="687">
        <f>Q13*Assumptions!$C$27*Assumptions!$C$15</f>
        <v>0</v>
      </c>
      <c r="R17" s="110">
        <f>R13*Assumptions!$C$27*Assumptions!$C$15</f>
        <v>0</v>
      </c>
      <c r="S17" s="110">
        <f>S13*Assumptions!$C$27*Assumptions!$C$15</f>
        <v>0</v>
      </c>
      <c r="T17" s="110">
        <f>T13*Assumptions!$C$27*Assumptions!$C$15</f>
        <v>0</v>
      </c>
      <c r="U17" s="110">
        <f>U13*Assumptions!$C$27*Assumptions!$C$15</f>
        <v>0</v>
      </c>
      <c r="V17" s="110">
        <f>V13*Assumptions!$C$27*Assumptions!$C$15</f>
        <v>0</v>
      </c>
      <c r="W17" s="110">
        <f>W13*Assumptions!$C$27*Assumptions!$C$15</f>
        <v>0</v>
      </c>
      <c r="X17" s="110">
        <f>X13*Assumptions!$C$27*Assumptions!$C$15</f>
        <v>0</v>
      </c>
      <c r="Y17" s="110">
        <f>Y13*Assumptions!$C$27*Assumptions!$C$15</f>
        <v>0</v>
      </c>
      <c r="Z17" s="110">
        <f>Z13*Assumptions!$C$27*Assumptions!$C$15</f>
        <v>0</v>
      </c>
      <c r="AA17" s="110">
        <f>AA13*Assumptions!$C$27*Assumptions!$C$15</f>
        <v>0</v>
      </c>
      <c r="AB17" s="110">
        <f>AB13*Assumptions!$C$27*Assumptions!$C$15</f>
        <v>0</v>
      </c>
      <c r="AC17" s="695">
        <f>AC13*Assumptions!$C$27*Assumptions!$C$15</f>
        <v>0</v>
      </c>
      <c r="AD17" s="110">
        <f>AD13*Assumptions!$C$27*Assumptions!$C$15</f>
        <v>0</v>
      </c>
      <c r="AE17" s="110">
        <f>AE13*Assumptions!$C$27*Assumptions!$C$15</f>
        <v>0</v>
      </c>
      <c r="AF17" s="110">
        <f>AF13*Assumptions!$C$27*Assumptions!$C$15</f>
        <v>0</v>
      </c>
      <c r="AG17" s="110">
        <f>AG13*Assumptions!$C$27*Assumptions!$C$15</f>
        <v>0</v>
      </c>
      <c r="AH17" s="110">
        <f>AH13*Assumptions!$C$27*Assumptions!$C$15</f>
        <v>0</v>
      </c>
      <c r="AI17" s="110">
        <f>AI13*Assumptions!$C$27*Assumptions!$C$15</f>
        <v>0</v>
      </c>
      <c r="AJ17" s="110">
        <f>AJ13*Assumptions!$C$27*Assumptions!$C$15</f>
        <v>0</v>
      </c>
      <c r="AK17" s="110">
        <f>AK13*Assumptions!$C$27*Assumptions!$C$15</f>
        <v>0</v>
      </c>
      <c r="AL17" s="110">
        <f>AL13*Assumptions!$C$27*Assumptions!$C$15</f>
        <v>0</v>
      </c>
      <c r="AM17" s="110">
        <f>AM13*Assumptions!$C$27*Assumptions!$C$15</f>
        <v>0</v>
      </c>
      <c r="AN17" s="110">
        <f>AN13*Assumptions!$C$27*Assumptions!$C$15</f>
        <v>0</v>
      </c>
      <c r="AO17" s="687">
        <f>AO13*Assumptions!$C$27*Assumptions!$C$15</f>
        <v>0</v>
      </c>
      <c r="AP17" s="110">
        <f>SUM(AP11:AP16)</f>
        <v>81930.197441821627</v>
      </c>
      <c r="AQ17" s="110">
        <f t="shared" ref="AQ17:DB17" si="0">SUM(AQ11:AQ16)</f>
        <v>77629.077250575443</v>
      </c>
      <c r="AR17" s="110">
        <f t="shared" si="0"/>
        <v>218226.68973498879</v>
      </c>
      <c r="AS17" s="110">
        <f t="shared" si="0"/>
        <v>259571.3784763834</v>
      </c>
      <c r="AT17" s="110">
        <f t="shared" si="0"/>
        <v>103150.46860156802</v>
      </c>
      <c r="AU17" s="110">
        <f t="shared" si="0"/>
        <v>148601.53697891184</v>
      </c>
      <c r="AV17" s="110">
        <f t="shared" si="0"/>
        <v>173101.76295735914</v>
      </c>
      <c r="AW17" s="110">
        <f t="shared" si="0"/>
        <v>60935.250087405337</v>
      </c>
      <c r="AX17" s="110">
        <f t="shared" si="0"/>
        <v>159066.1839672809</v>
      </c>
      <c r="AY17" s="110">
        <f t="shared" si="0"/>
        <v>174544.74818385893</v>
      </c>
      <c r="AZ17" s="110">
        <f t="shared" si="0"/>
        <v>181328.37621795997</v>
      </c>
      <c r="BA17" s="695">
        <f t="shared" si="0"/>
        <v>80443.104057604651</v>
      </c>
      <c r="BB17" s="110">
        <f t="shared" si="0"/>
        <v>81930.197441821627</v>
      </c>
      <c r="BC17" s="110">
        <f t="shared" si="0"/>
        <v>77629.077250575443</v>
      </c>
      <c r="BD17" s="110">
        <f t="shared" si="0"/>
        <v>218226.68973498879</v>
      </c>
      <c r="BE17" s="110">
        <f t="shared" si="0"/>
        <v>259571.3784763834</v>
      </c>
      <c r="BF17" s="110">
        <f t="shared" si="0"/>
        <v>103150.46860156802</v>
      </c>
      <c r="BG17" s="110">
        <f t="shared" si="0"/>
        <v>148601.53697891184</v>
      </c>
      <c r="BH17" s="110">
        <f t="shared" si="0"/>
        <v>173101.76295735914</v>
      </c>
      <c r="BI17" s="110">
        <f t="shared" si="0"/>
        <v>60935.250087405337</v>
      </c>
      <c r="BJ17" s="110">
        <f t="shared" si="0"/>
        <v>159066.1839672809</v>
      </c>
      <c r="BK17" s="110">
        <f t="shared" si="0"/>
        <v>174544.74818385893</v>
      </c>
      <c r="BL17" s="110">
        <f t="shared" si="0"/>
        <v>181328.37621795997</v>
      </c>
      <c r="BM17" s="695">
        <f t="shared" si="0"/>
        <v>80443.104057604651</v>
      </c>
      <c r="BN17" s="110">
        <f t="shared" si="0"/>
        <v>81930.197441821627</v>
      </c>
      <c r="BO17" s="110">
        <f t="shared" si="0"/>
        <v>77629.077250575443</v>
      </c>
      <c r="BP17" s="110">
        <f t="shared" si="0"/>
        <v>218226.68973498879</v>
      </c>
      <c r="BQ17" s="110">
        <f t="shared" si="0"/>
        <v>259571.3784763834</v>
      </c>
      <c r="BR17" s="110">
        <f t="shared" si="0"/>
        <v>103150.46860156802</v>
      </c>
      <c r="BS17" s="110">
        <f t="shared" si="0"/>
        <v>148601.53697891184</v>
      </c>
      <c r="BT17" s="110">
        <f t="shared" si="0"/>
        <v>173101.76295735914</v>
      </c>
      <c r="BU17" s="110">
        <f t="shared" si="0"/>
        <v>60935.250087405337</v>
      </c>
      <c r="BV17" s="110">
        <f t="shared" si="0"/>
        <v>159066.1839672809</v>
      </c>
      <c r="BW17" s="110">
        <f t="shared" si="0"/>
        <v>174544.74818385893</v>
      </c>
      <c r="BX17" s="110">
        <f t="shared" si="0"/>
        <v>181328.37621795997</v>
      </c>
      <c r="BY17" s="695">
        <f t="shared" si="0"/>
        <v>80443.104057604651</v>
      </c>
      <c r="BZ17" s="110">
        <f t="shared" si="0"/>
        <v>81930.197441821627</v>
      </c>
      <c r="CA17" s="110">
        <f t="shared" si="0"/>
        <v>77629.077250575443</v>
      </c>
      <c r="CB17" s="110">
        <f t="shared" si="0"/>
        <v>218226.68973498879</v>
      </c>
      <c r="CC17" s="110">
        <f t="shared" si="0"/>
        <v>259571.3784763834</v>
      </c>
      <c r="CD17" s="110">
        <f t="shared" si="0"/>
        <v>103150.46860156802</v>
      </c>
      <c r="CE17" s="110">
        <f t="shared" si="0"/>
        <v>148601.53697891184</v>
      </c>
      <c r="CF17" s="110">
        <f t="shared" si="0"/>
        <v>173101.76295735914</v>
      </c>
      <c r="CG17" s="110">
        <f t="shared" si="0"/>
        <v>60935.250087405337</v>
      </c>
      <c r="CH17" s="110">
        <f t="shared" si="0"/>
        <v>159066.1839672809</v>
      </c>
      <c r="CI17" s="110">
        <f t="shared" si="0"/>
        <v>174544.74818385893</v>
      </c>
      <c r="CJ17" s="110">
        <f t="shared" si="0"/>
        <v>181328.37621795997</v>
      </c>
      <c r="CK17" s="695">
        <f t="shared" si="0"/>
        <v>80443.104057604651</v>
      </c>
      <c r="CL17" s="110">
        <f t="shared" si="0"/>
        <v>81930.197441821627</v>
      </c>
      <c r="CM17" s="110">
        <f t="shared" si="0"/>
        <v>77629.077250575443</v>
      </c>
      <c r="CN17" s="110">
        <f t="shared" si="0"/>
        <v>218226.68973498879</v>
      </c>
      <c r="CO17" s="110">
        <f t="shared" si="0"/>
        <v>259571.3784763834</v>
      </c>
      <c r="CP17" s="110">
        <f t="shared" si="0"/>
        <v>103150.46860156802</v>
      </c>
      <c r="CQ17" s="110">
        <f t="shared" si="0"/>
        <v>148601.53697891184</v>
      </c>
      <c r="CR17" s="110">
        <f t="shared" si="0"/>
        <v>173101.76295735914</v>
      </c>
      <c r="CS17" s="110">
        <f t="shared" si="0"/>
        <v>60935.250087405337</v>
      </c>
      <c r="CT17" s="110">
        <f t="shared" si="0"/>
        <v>159066.1839672809</v>
      </c>
      <c r="CU17" s="110">
        <f t="shared" si="0"/>
        <v>174544.74818385893</v>
      </c>
      <c r="CV17" s="110">
        <f t="shared" si="0"/>
        <v>181328.37621795997</v>
      </c>
      <c r="CW17" s="695">
        <f t="shared" si="0"/>
        <v>80443.104057604651</v>
      </c>
      <c r="CX17" s="110">
        <f t="shared" si="0"/>
        <v>81930.197441821627</v>
      </c>
      <c r="CY17" s="110">
        <f t="shared" si="0"/>
        <v>77629.077250575443</v>
      </c>
      <c r="CZ17" s="110">
        <f t="shared" si="0"/>
        <v>218226.68973498879</v>
      </c>
      <c r="DA17" s="110">
        <f t="shared" si="0"/>
        <v>259571.3784763834</v>
      </c>
      <c r="DB17" s="110">
        <f t="shared" si="0"/>
        <v>103150.46860156802</v>
      </c>
      <c r="DC17" s="110">
        <f t="shared" ref="DC17:DT17" si="1">SUM(DC11:DC16)</f>
        <v>148601.53697891184</v>
      </c>
      <c r="DD17" s="110">
        <f t="shared" si="1"/>
        <v>173101.76295735914</v>
      </c>
      <c r="DE17" s="110">
        <f t="shared" si="1"/>
        <v>60935.250087405337</v>
      </c>
      <c r="DF17" s="110">
        <f t="shared" si="1"/>
        <v>159066.1839672809</v>
      </c>
      <c r="DG17" s="110">
        <f t="shared" si="1"/>
        <v>174544.74818385893</v>
      </c>
      <c r="DH17" s="110">
        <f t="shared" si="1"/>
        <v>181328.37621795997</v>
      </c>
      <c r="DI17" s="695">
        <f t="shared" si="1"/>
        <v>80443.104057604651</v>
      </c>
      <c r="DJ17" s="110">
        <f t="shared" si="1"/>
        <v>81930.197441821627</v>
      </c>
      <c r="DK17" s="110">
        <f t="shared" si="1"/>
        <v>77629.077250575443</v>
      </c>
      <c r="DL17" s="110">
        <f t="shared" si="1"/>
        <v>218226.68973498879</v>
      </c>
      <c r="DM17" s="110">
        <f t="shared" si="1"/>
        <v>259571.3784763834</v>
      </c>
      <c r="DN17" s="110">
        <f t="shared" si="1"/>
        <v>103150.46860156802</v>
      </c>
      <c r="DO17" s="110">
        <f t="shared" si="1"/>
        <v>148601.53697891184</v>
      </c>
      <c r="DP17" s="110">
        <f t="shared" si="1"/>
        <v>173101.76295735914</v>
      </c>
      <c r="DQ17" s="110">
        <f t="shared" si="1"/>
        <v>60935.250087405337</v>
      </c>
      <c r="DR17" s="110">
        <f t="shared" si="1"/>
        <v>159066.1839672809</v>
      </c>
      <c r="DS17" s="110">
        <f t="shared" si="1"/>
        <v>174544.74818385893</v>
      </c>
      <c r="DT17" s="110">
        <f t="shared" si="1"/>
        <v>181328.37621795997</v>
      </c>
    </row>
    <row r="18" spans="1:124" s="482" customFormat="1" ht="22.5" customHeight="1" x14ac:dyDescent="0.2">
      <c r="B18" s="1439"/>
      <c r="C18" s="1439"/>
      <c r="E18" s="489"/>
      <c r="F18" s="489"/>
      <c r="G18" s="489"/>
      <c r="H18" s="489"/>
      <c r="I18" s="489"/>
      <c r="J18" s="489"/>
      <c r="K18" s="490"/>
      <c r="L18" s="489"/>
      <c r="M18" s="489"/>
      <c r="N18" s="489"/>
      <c r="O18" s="489"/>
      <c r="P18" s="732"/>
      <c r="Q18" s="1181"/>
      <c r="AB18" s="740"/>
      <c r="AN18" s="740"/>
      <c r="AO18" s="1181"/>
      <c r="AZ18" s="740"/>
      <c r="BL18" s="740"/>
      <c r="BX18" s="740"/>
      <c r="CJ18" s="740"/>
      <c r="CV18" s="740"/>
      <c r="DH18" s="740"/>
      <c r="DT18" s="740"/>
    </row>
    <row r="19" spans="1:124" s="468" customFormat="1" ht="22.5" customHeight="1" x14ac:dyDescent="0.2">
      <c r="B19" s="481"/>
      <c r="C19" s="481"/>
      <c r="E19" s="733"/>
      <c r="F19" s="733"/>
      <c r="G19" s="733"/>
      <c r="H19" s="733"/>
      <c r="I19" s="733"/>
      <c r="J19" s="733"/>
      <c r="K19" s="734"/>
      <c r="L19" s="733"/>
      <c r="M19" s="733"/>
      <c r="N19" s="733"/>
      <c r="O19" s="733"/>
      <c r="P19" s="735"/>
      <c r="Q19" s="1182"/>
      <c r="R19" s="542"/>
      <c r="S19" s="542"/>
      <c r="T19" s="542"/>
      <c r="U19" s="542"/>
      <c r="V19" s="542"/>
      <c r="W19" s="542"/>
      <c r="X19" s="542"/>
      <c r="Y19" s="542"/>
      <c r="Z19" s="542"/>
      <c r="AA19" s="542"/>
      <c r="AB19" s="741"/>
      <c r="AC19" s="542"/>
      <c r="AD19" s="542"/>
      <c r="AE19" s="542"/>
      <c r="AF19" s="542"/>
      <c r="AG19" s="542"/>
      <c r="AH19" s="542"/>
      <c r="AI19" s="542"/>
      <c r="AJ19" s="542"/>
      <c r="AK19" s="542"/>
      <c r="AL19" s="542"/>
      <c r="AM19" s="542"/>
      <c r="AN19" s="741"/>
      <c r="AO19" s="1182"/>
      <c r="AP19" s="542"/>
      <c r="AQ19" s="542"/>
      <c r="AR19" s="542"/>
      <c r="AS19" s="542"/>
      <c r="AT19" s="542"/>
      <c r="AU19" s="542"/>
      <c r="AV19" s="542"/>
      <c r="AW19" s="542"/>
      <c r="AX19" s="542"/>
      <c r="AY19" s="542"/>
      <c r="AZ19" s="741"/>
      <c r="BA19" s="542"/>
      <c r="BB19" s="542"/>
      <c r="BC19" s="542"/>
      <c r="BD19" s="542"/>
      <c r="BE19" s="542"/>
      <c r="BF19" s="542"/>
      <c r="BG19" s="542"/>
      <c r="BH19" s="542"/>
      <c r="BI19" s="542"/>
      <c r="BJ19" s="542"/>
      <c r="BK19" s="542"/>
      <c r="BL19" s="741"/>
      <c r="BM19" s="542"/>
      <c r="BN19" s="542"/>
      <c r="BO19" s="542"/>
      <c r="BP19" s="542"/>
      <c r="BQ19" s="542"/>
      <c r="BR19" s="542"/>
      <c r="BS19" s="542"/>
      <c r="BT19" s="542"/>
      <c r="BU19" s="542"/>
      <c r="BV19" s="542"/>
      <c r="BW19" s="542"/>
      <c r="BX19" s="741"/>
      <c r="BY19" s="542"/>
      <c r="BZ19" s="542"/>
      <c r="CA19" s="542"/>
      <c r="CB19" s="542"/>
      <c r="CC19" s="542"/>
      <c r="CD19" s="542"/>
      <c r="CE19" s="542"/>
      <c r="CF19" s="542"/>
      <c r="CG19" s="542"/>
      <c r="CH19" s="542"/>
      <c r="CI19" s="542"/>
      <c r="CJ19" s="741"/>
      <c r="CK19" s="542"/>
      <c r="CL19" s="542"/>
      <c r="CM19" s="542"/>
      <c r="CN19" s="542"/>
      <c r="CO19" s="542"/>
      <c r="CP19" s="542"/>
      <c r="CQ19" s="542"/>
      <c r="CR19" s="542"/>
      <c r="CS19" s="542"/>
      <c r="CT19" s="542"/>
      <c r="CU19" s="542"/>
      <c r="CV19" s="741"/>
      <c r="CW19" s="542"/>
      <c r="CX19" s="542"/>
      <c r="CY19" s="542"/>
      <c r="CZ19" s="542"/>
      <c r="DA19" s="542"/>
      <c r="DB19" s="542"/>
      <c r="DC19" s="542"/>
      <c r="DD19" s="542"/>
      <c r="DE19" s="542"/>
      <c r="DF19" s="542"/>
      <c r="DG19" s="542"/>
      <c r="DH19" s="741"/>
      <c r="DI19" s="542"/>
      <c r="DJ19" s="542"/>
      <c r="DK19" s="542"/>
      <c r="DL19" s="542"/>
      <c r="DM19" s="542"/>
      <c r="DN19" s="542"/>
      <c r="DO19" s="542"/>
      <c r="DP19" s="542"/>
      <c r="DQ19" s="542"/>
      <c r="DR19" s="542"/>
      <c r="DS19" s="542"/>
      <c r="DT19" s="741"/>
    </row>
    <row r="20" spans="1:124" ht="18.75" x14ac:dyDescent="0.3">
      <c r="B20" s="161" t="s">
        <v>396</v>
      </c>
      <c r="C20" s="129"/>
      <c r="E20" s="736"/>
      <c r="F20" s="736"/>
      <c r="G20" s="736"/>
      <c r="H20" s="736"/>
      <c r="I20" s="736"/>
      <c r="J20" s="736"/>
      <c r="K20" s="736"/>
      <c r="L20" s="736"/>
      <c r="M20" s="736"/>
      <c r="N20" s="736"/>
      <c r="O20" s="736"/>
      <c r="P20" s="737"/>
      <c r="Q20" s="788"/>
      <c r="R20" s="3"/>
      <c r="S20" s="3"/>
      <c r="T20" s="3"/>
      <c r="U20" s="3"/>
      <c r="V20" s="3"/>
      <c r="W20" s="3"/>
      <c r="X20" s="3"/>
      <c r="Y20" s="3"/>
      <c r="Z20" s="3"/>
      <c r="AA20" s="3"/>
      <c r="AB20" s="500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500"/>
      <c r="AO20" s="788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500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500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500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500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500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500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500"/>
    </row>
    <row r="21" spans="1:124" ht="15" x14ac:dyDescent="0.25">
      <c r="B21" s="162" t="s">
        <v>79</v>
      </c>
      <c r="C21" s="56"/>
      <c r="D21" s="7"/>
      <c r="E21" s="403">
        <v>0</v>
      </c>
      <c r="F21" s="403">
        <v>0</v>
      </c>
      <c r="G21" s="403">
        <v>0</v>
      </c>
      <c r="H21" s="403">
        <v>0</v>
      </c>
      <c r="I21" s="403">
        <v>0</v>
      </c>
      <c r="J21" s="403">
        <v>0</v>
      </c>
      <c r="K21" s="403">
        <v>0</v>
      </c>
      <c r="L21" s="403">
        <v>0</v>
      </c>
      <c r="M21" s="403">
        <v>0</v>
      </c>
      <c r="N21" s="403">
        <v>0</v>
      </c>
      <c r="O21" s="403">
        <v>0</v>
      </c>
      <c r="P21" s="486">
        <v>0</v>
      </c>
      <c r="Q21" s="1180">
        <v>0</v>
      </c>
      <c r="R21" s="108">
        <v>0</v>
      </c>
      <c r="S21" s="108">
        <v>0</v>
      </c>
      <c r="T21" s="108">
        <v>0</v>
      </c>
      <c r="U21" s="108">
        <v>0</v>
      </c>
      <c r="V21" s="108">
        <v>0</v>
      </c>
      <c r="W21" s="108">
        <v>0</v>
      </c>
      <c r="X21" s="108">
        <v>0</v>
      </c>
      <c r="Y21" s="108">
        <v>0</v>
      </c>
      <c r="Z21" s="108">
        <v>0</v>
      </c>
      <c r="AA21" s="108">
        <v>0</v>
      </c>
      <c r="AB21" s="110">
        <v>0</v>
      </c>
      <c r="AC21" s="109">
        <v>0</v>
      </c>
      <c r="AD21" s="108">
        <v>0</v>
      </c>
      <c r="AE21" s="108">
        <v>0</v>
      </c>
      <c r="AF21" s="108">
        <v>0</v>
      </c>
      <c r="AG21" s="108">
        <v>0</v>
      </c>
      <c r="AH21" s="108"/>
      <c r="AI21" s="108"/>
      <c r="AJ21" s="108"/>
      <c r="AK21" s="108"/>
      <c r="AL21" s="108"/>
      <c r="AM21" s="108"/>
      <c r="AN21" s="110"/>
      <c r="AO21" s="344"/>
      <c r="AP21" s="108">
        <f t="shared" ref="AP21:BU21" si="2">AO24</f>
        <v>0</v>
      </c>
      <c r="AQ21" s="108">
        <f t="shared" si="2"/>
        <v>7158.1184650929717</v>
      </c>
      <c r="AR21" s="108">
        <f t="shared" si="2"/>
        <v>11735.564815438236</v>
      </c>
      <c r="AS21" s="108">
        <f t="shared" si="2"/>
        <v>16671.57865643152</v>
      </c>
      <c r="AT21" s="108">
        <f t="shared" si="2"/>
        <v>4414.4057422615588</v>
      </c>
      <c r="AU21" s="108">
        <f t="shared" si="2"/>
        <v>3304.6869032023678</v>
      </c>
      <c r="AV21" s="108">
        <f t="shared" si="2"/>
        <v>8465.6090905494639</v>
      </c>
      <c r="AW21" s="108">
        <f t="shared" si="2"/>
        <v>7326.6668649649509</v>
      </c>
      <c r="AX21" s="108">
        <f t="shared" si="2"/>
        <v>1887.8169174081486</v>
      </c>
      <c r="AY21" s="108">
        <f t="shared" si="2"/>
        <v>13327.527297776687</v>
      </c>
      <c r="AZ21" s="110">
        <f t="shared" si="2"/>
        <v>13054.376208092042</v>
      </c>
      <c r="BA21" s="109">
        <f t="shared" si="2"/>
        <v>16851.401938868017</v>
      </c>
      <c r="BB21" s="108">
        <f t="shared" si="2"/>
        <v>2117.2643734308076</v>
      </c>
      <c r="BC21" s="108">
        <f t="shared" si="2"/>
        <v>9275.3828385237794</v>
      </c>
      <c r="BD21" s="108">
        <f t="shared" si="2"/>
        <v>13852.829188869044</v>
      </c>
      <c r="BE21" s="108">
        <f t="shared" si="2"/>
        <v>18788.843029862328</v>
      </c>
      <c r="BF21" s="108">
        <f t="shared" si="2"/>
        <v>6531.6701156923664</v>
      </c>
      <c r="BG21" s="108">
        <f t="shared" si="2"/>
        <v>5421.9512766331754</v>
      </c>
      <c r="BH21" s="108">
        <f t="shared" si="2"/>
        <v>10582.873463980271</v>
      </c>
      <c r="BI21" s="108">
        <f t="shared" si="2"/>
        <v>9443.9312383957586</v>
      </c>
      <c r="BJ21" s="108">
        <f t="shared" si="2"/>
        <v>4005.0812908389562</v>
      </c>
      <c r="BK21" s="108">
        <f t="shared" si="2"/>
        <v>15444.791671207495</v>
      </c>
      <c r="BL21" s="110">
        <f t="shared" si="2"/>
        <v>15171.64058152285</v>
      </c>
      <c r="BM21" s="109">
        <f t="shared" si="2"/>
        <v>18968.666312298825</v>
      </c>
      <c r="BN21" s="108">
        <f t="shared" si="2"/>
        <v>4234.5287468616152</v>
      </c>
      <c r="BO21" s="108">
        <f t="shared" si="2"/>
        <v>11392.647211954587</v>
      </c>
      <c r="BP21" s="108">
        <f t="shared" si="2"/>
        <v>15970.093562299851</v>
      </c>
      <c r="BQ21" s="108">
        <f t="shared" si="2"/>
        <v>20906.107403293136</v>
      </c>
      <c r="BR21" s="108">
        <f t="shared" si="2"/>
        <v>8648.934489123174</v>
      </c>
      <c r="BS21" s="108">
        <f t="shared" si="2"/>
        <v>7539.215650063983</v>
      </c>
      <c r="BT21" s="108">
        <f t="shared" si="2"/>
        <v>12700.137837411079</v>
      </c>
      <c r="BU21" s="108">
        <f t="shared" si="2"/>
        <v>11561.195611826566</v>
      </c>
      <c r="BV21" s="108">
        <f t="shared" ref="BV21:DA21" si="3">BU24</f>
        <v>6122.3456642697638</v>
      </c>
      <c r="BW21" s="108">
        <f t="shared" si="3"/>
        <v>17562.056044638302</v>
      </c>
      <c r="BX21" s="110">
        <f t="shared" si="3"/>
        <v>17288.904954953658</v>
      </c>
      <c r="BY21" s="109">
        <f t="shared" si="3"/>
        <v>85.930685729632387</v>
      </c>
      <c r="BZ21" s="108">
        <f t="shared" si="3"/>
        <v>6351.7931202924228</v>
      </c>
      <c r="CA21" s="108">
        <f t="shared" si="3"/>
        <v>13509.911585385395</v>
      </c>
      <c r="CB21" s="108">
        <f t="shared" si="3"/>
        <v>18087.357935730659</v>
      </c>
      <c r="CC21" s="108">
        <f t="shared" si="3"/>
        <v>2023.3717767239432</v>
      </c>
      <c r="CD21" s="108">
        <f t="shared" si="3"/>
        <v>10766.198862553982</v>
      </c>
      <c r="CE21" s="108">
        <f t="shared" si="3"/>
        <v>9656.4800234947907</v>
      </c>
      <c r="CF21" s="108">
        <f t="shared" si="3"/>
        <v>14817.402210841887</v>
      </c>
      <c r="CG21" s="108">
        <f t="shared" si="3"/>
        <v>13678.459985257374</v>
      </c>
      <c r="CH21" s="108">
        <f t="shared" si="3"/>
        <v>8239.6100377005714</v>
      </c>
      <c r="CI21" s="108">
        <f t="shared" si="3"/>
        <v>19679.32041806911</v>
      </c>
      <c r="CJ21" s="110">
        <f t="shared" si="3"/>
        <v>19406.169328384465</v>
      </c>
      <c r="CK21" s="109">
        <f t="shared" si="3"/>
        <v>2203.19505916044</v>
      </c>
      <c r="CL21" s="108">
        <f t="shared" si="3"/>
        <v>8469.0574937232304</v>
      </c>
      <c r="CM21" s="108">
        <f t="shared" si="3"/>
        <v>15627.175958816202</v>
      </c>
      <c r="CN21" s="108">
        <f t="shared" si="3"/>
        <v>20204.622309161467</v>
      </c>
      <c r="CO21" s="108">
        <f t="shared" si="3"/>
        <v>4140.6361501547508</v>
      </c>
      <c r="CP21" s="108">
        <f t="shared" si="3"/>
        <v>12883.463235984789</v>
      </c>
      <c r="CQ21" s="108">
        <f t="shared" si="3"/>
        <v>11773.744396925598</v>
      </c>
      <c r="CR21" s="108">
        <f t="shared" si="3"/>
        <v>16934.666584272694</v>
      </c>
      <c r="CS21" s="108">
        <f t="shared" si="3"/>
        <v>15795.724358688181</v>
      </c>
      <c r="CT21" s="108">
        <f t="shared" si="3"/>
        <v>10356.874411131379</v>
      </c>
      <c r="CU21" s="108">
        <f t="shared" si="3"/>
        <v>796.58479149991763</v>
      </c>
      <c r="CV21" s="110">
        <f t="shared" si="3"/>
        <v>523.4337018152728</v>
      </c>
      <c r="CW21" s="109">
        <f t="shared" si="3"/>
        <v>4320.4594325912476</v>
      </c>
      <c r="CX21" s="108">
        <f t="shared" si="3"/>
        <v>10586.321867154038</v>
      </c>
      <c r="CY21" s="108">
        <f t="shared" si="3"/>
        <v>17744.44033224701</v>
      </c>
      <c r="CZ21" s="108">
        <f t="shared" si="3"/>
        <v>1321.8866825922742</v>
      </c>
      <c r="DA21" s="108">
        <f t="shared" si="3"/>
        <v>6257.9005235855584</v>
      </c>
      <c r="DB21" s="108">
        <f t="shared" ref="DB21:DT21" si="4">DA24</f>
        <v>15000.727609415597</v>
      </c>
      <c r="DC21" s="108">
        <f t="shared" si="4"/>
        <v>13891.008770356406</v>
      </c>
      <c r="DD21" s="108">
        <f t="shared" si="4"/>
        <v>19051.930957703502</v>
      </c>
      <c r="DE21" s="108">
        <f t="shared" si="4"/>
        <v>17912.988732118989</v>
      </c>
      <c r="DF21" s="108">
        <f t="shared" si="4"/>
        <v>12474.138784562187</v>
      </c>
      <c r="DG21" s="108">
        <f t="shared" si="4"/>
        <v>2913.8491649307252</v>
      </c>
      <c r="DH21" s="110">
        <f t="shared" si="4"/>
        <v>2640.6980752460804</v>
      </c>
      <c r="DI21" s="109">
        <f t="shared" si="4"/>
        <v>6437.7238060220552</v>
      </c>
      <c r="DJ21" s="108">
        <f t="shared" si="4"/>
        <v>12703.586240584846</v>
      </c>
      <c r="DK21" s="108">
        <f t="shared" si="4"/>
        <v>19861.704705677817</v>
      </c>
      <c r="DL21" s="108">
        <f t="shared" si="4"/>
        <v>3439.1510560230818</v>
      </c>
      <c r="DM21" s="108">
        <f t="shared" si="4"/>
        <v>8375.164897016366</v>
      </c>
      <c r="DN21" s="108">
        <f t="shared" si="4"/>
        <v>17117.991982846404</v>
      </c>
      <c r="DO21" s="108">
        <f t="shared" si="4"/>
        <v>16008.273143787213</v>
      </c>
      <c r="DP21" s="108">
        <f t="shared" si="4"/>
        <v>169.19533113430953</v>
      </c>
      <c r="DQ21" s="108">
        <f t="shared" si="4"/>
        <v>20030.253105549797</v>
      </c>
      <c r="DR21" s="108">
        <f t="shared" si="4"/>
        <v>14591.403157992994</v>
      </c>
      <c r="DS21" s="108">
        <f t="shared" si="4"/>
        <v>5031.1135383615328</v>
      </c>
      <c r="DT21" s="110">
        <f t="shared" si="4"/>
        <v>4757.962448676888</v>
      </c>
    </row>
    <row r="22" spans="1:124" ht="15" x14ac:dyDescent="0.25">
      <c r="B22" s="162" t="s">
        <v>133</v>
      </c>
      <c r="C22" s="56"/>
      <c r="D22" s="7"/>
      <c r="E22" s="403">
        <v>0</v>
      </c>
      <c r="F22" s="403">
        <v>0</v>
      </c>
      <c r="G22" s="403">
        <v>0</v>
      </c>
      <c r="H22" s="403">
        <v>0</v>
      </c>
      <c r="I22" s="403">
        <v>0</v>
      </c>
      <c r="J22" s="403">
        <v>0</v>
      </c>
      <c r="K22" s="403">
        <v>0</v>
      </c>
      <c r="L22" s="403">
        <v>0</v>
      </c>
      <c r="M22" s="403">
        <v>0</v>
      </c>
      <c r="N22" s="403">
        <v>0</v>
      </c>
      <c r="O22" s="403">
        <v>0</v>
      </c>
      <c r="P22" s="486">
        <v>0</v>
      </c>
      <c r="Q22" s="687">
        <v>0</v>
      </c>
      <c r="R22" s="110">
        <v>0</v>
      </c>
      <c r="S22" s="110">
        <v>0</v>
      </c>
      <c r="T22" s="110">
        <v>0</v>
      </c>
      <c r="U22" s="110">
        <v>0</v>
      </c>
      <c r="V22" s="110">
        <v>0</v>
      </c>
      <c r="W22" s="110">
        <v>0</v>
      </c>
      <c r="X22" s="110">
        <v>0</v>
      </c>
      <c r="Y22" s="110">
        <v>0</v>
      </c>
      <c r="Z22" s="110">
        <v>0</v>
      </c>
      <c r="AA22" s="110">
        <v>0</v>
      </c>
      <c r="AB22" s="110">
        <v>0</v>
      </c>
      <c r="AC22" s="695">
        <v>0</v>
      </c>
      <c r="AD22" s="110">
        <v>0</v>
      </c>
      <c r="AE22" s="110">
        <v>0</v>
      </c>
      <c r="AF22" s="110">
        <v>0</v>
      </c>
      <c r="AG22" s="110">
        <v>0</v>
      </c>
      <c r="AH22" s="110"/>
      <c r="AI22" s="110"/>
      <c r="AJ22" s="110"/>
      <c r="AK22" s="110"/>
      <c r="AL22" s="110"/>
      <c r="AM22" s="110"/>
      <c r="AN22" s="110"/>
      <c r="AO22" s="687"/>
      <c r="AP22" s="110">
        <f>(SUM(AP11+AP12+AP13+AP14+AP15+AP16)*Assumptions!$G30)</f>
        <v>49158.118465092972</v>
      </c>
      <c r="AQ22" s="110">
        <f>(SUM(AQ11+AQ12+AQ13+AQ14+AQ15+AQ16)*Assumptions!$G30)</f>
        <v>46577.446350345264</v>
      </c>
      <c r="AR22" s="110">
        <f>(SUM(AR11+AR12+AR13+AR14+AR15+AR16)*Assumptions!$G30)</f>
        <v>130936.01384099327</v>
      </c>
      <c r="AS22" s="110">
        <f>(SUM(AS11+AS12+AS13+AS14+AS15+AS16)*Assumptions!$G30)</f>
        <v>155742.82708583004</v>
      </c>
      <c r="AT22" s="110">
        <f>(SUM(AT11+AT12+AT13+AT14+AT15+AT16)*Assumptions!$G30)</f>
        <v>61890.281160940809</v>
      </c>
      <c r="AU22" s="110">
        <f>(SUM(AU11+AU12+AU13+AU14+AU15+AU16)*Assumptions!$G30)</f>
        <v>89160.922187347096</v>
      </c>
      <c r="AV22" s="110">
        <f>(SUM(AV11+AV12+AV13+AV14+AV15+AV16)*Assumptions!$G30)</f>
        <v>103861.05777441549</v>
      </c>
      <c r="AW22" s="110">
        <f>(SUM(AW11+AW12+AW13+AW14+AW15+AW16)*Assumptions!$G30)</f>
        <v>36561.150052443198</v>
      </c>
      <c r="AX22" s="110">
        <f>(SUM(AX11+AX12+AX13+AX14+AX15+AX16)*Assumptions!$G30)</f>
        <v>95439.710380368531</v>
      </c>
      <c r="AY22" s="110">
        <f>(SUM(AY11+AY12+AY13+AY14+AY15+AY16)*Assumptions!$G30)</f>
        <v>104726.84891031536</v>
      </c>
      <c r="AZ22" s="110">
        <f>(SUM(AZ11+AZ12+AZ13+AZ14+AZ15+AZ16)*Assumptions!$G30)</f>
        <v>108797.02573077597</v>
      </c>
      <c r="BA22" s="695">
        <f>(SUM(BA11+BA12+BA13+BA14+BA15+BA16)*Assumptions!$G30)</f>
        <v>48265.86243456279</v>
      </c>
      <c r="BB22" s="110">
        <f>(SUM(BB11+BB12+BB13+BB14+BB15+BB16)*Assumptions!$G30)</f>
        <v>49158.118465092972</v>
      </c>
      <c r="BC22" s="110">
        <f>(SUM(BC11+BC12+BC13+BC14+BC15+BC16)*Assumptions!$G30)</f>
        <v>46577.446350345264</v>
      </c>
      <c r="BD22" s="110">
        <f>(SUM(BD11+BD12+BD13+BD14+BD15+BD16)*Assumptions!$G30)</f>
        <v>130936.01384099327</v>
      </c>
      <c r="BE22" s="110">
        <f>(SUM(BE11+BE12+BE13+BE14+BE15+BE16)*Assumptions!$G30)</f>
        <v>155742.82708583004</v>
      </c>
      <c r="BF22" s="110">
        <f>(SUM(BF11+BF12+BF13+BF14+BF15+BF16)*Assumptions!$G30)</f>
        <v>61890.281160940809</v>
      </c>
      <c r="BG22" s="110">
        <f>(SUM(BG11+BG12+BG13+BG14+BG15+BG16)*Assumptions!$G30)</f>
        <v>89160.922187347096</v>
      </c>
      <c r="BH22" s="110">
        <f>(SUM(BH11+BH12+BH13+BH14+BH15+BH16)*Assumptions!$G30)</f>
        <v>103861.05777441549</v>
      </c>
      <c r="BI22" s="110">
        <f>(SUM(BI11+BI12+BI13+BI14+BI15+BI16)*Assumptions!$G30)</f>
        <v>36561.150052443198</v>
      </c>
      <c r="BJ22" s="110">
        <f>(SUM(BJ11+BJ12+BJ13+BJ14+BJ15+BJ16)*Assumptions!$G30)</f>
        <v>95439.710380368531</v>
      </c>
      <c r="BK22" s="110">
        <f>(SUM(BK11+BK12+BK13+BK14+BK15+BK16)*Assumptions!$G30)</f>
        <v>104726.84891031536</v>
      </c>
      <c r="BL22" s="110">
        <f>(SUM(BL11+BL12+BL13+BL14+BL15+BL16)*Assumptions!$G30)</f>
        <v>108797.02573077597</v>
      </c>
      <c r="BM22" s="695">
        <f>(SUM(BM11+BM12+BM13+BM14+BM15+BM16)*Assumptions!$G30)</f>
        <v>48265.86243456279</v>
      </c>
      <c r="BN22" s="110">
        <f>(SUM(BN11+BN12+BN13+BN14+BN15+BN16)*Assumptions!$G30)</f>
        <v>49158.118465092972</v>
      </c>
      <c r="BO22" s="110">
        <f>(SUM(BO11+BO12+BO13+BO14+BO15+BO16)*Assumptions!$G30)</f>
        <v>46577.446350345264</v>
      </c>
      <c r="BP22" s="110">
        <f>(SUM(BP11+BP12+BP13+BP14+BP15+BP16)*Assumptions!$G30)</f>
        <v>130936.01384099327</v>
      </c>
      <c r="BQ22" s="110">
        <f>(SUM(BQ11+BQ12+BQ13+BQ14+BQ15+BQ16)*Assumptions!$G30)</f>
        <v>155742.82708583004</v>
      </c>
      <c r="BR22" s="110">
        <f>(SUM(BR11+BR12+BR13+BR14+BR15+BR16)*Assumptions!$G30)</f>
        <v>61890.281160940809</v>
      </c>
      <c r="BS22" s="110">
        <f>(SUM(BS11+BS12+BS13+BS14+BS15+BS16)*Assumptions!$G30)</f>
        <v>89160.922187347096</v>
      </c>
      <c r="BT22" s="110">
        <f>(SUM(BT11+BT12+BT13+BT14+BT15+BT16)*Assumptions!$G30)</f>
        <v>103861.05777441549</v>
      </c>
      <c r="BU22" s="110">
        <f>(SUM(BU11+BU12+BU13+BU14+BU15+BU16)*Assumptions!$G30)</f>
        <v>36561.150052443198</v>
      </c>
      <c r="BV22" s="110">
        <f>(SUM(BV11+BV12+BV13+BV14+BV15+BV16)*Assumptions!$G30)</f>
        <v>95439.710380368531</v>
      </c>
      <c r="BW22" s="110">
        <f>(SUM(BW11+BW12+BW13+BW14+BW15+BW16)*Assumptions!$G30)</f>
        <v>104726.84891031536</v>
      </c>
      <c r="BX22" s="110">
        <f>(SUM(BX11+BX12+BX13+BX14+BX15+BX16)*Assumptions!$G30)</f>
        <v>108797.02573077597</v>
      </c>
      <c r="BY22" s="695">
        <f>(SUM(BY11+BY12+BY13+BY14+BY15+BY16)*Assumptions!$G30)</f>
        <v>48265.86243456279</v>
      </c>
      <c r="BZ22" s="110">
        <f>(SUM(BZ11+BZ12+BZ13+BZ14+BZ15+BZ16)*Assumptions!$G30)</f>
        <v>49158.118465092972</v>
      </c>
      <c r="CA22" s="110">
        <f>(SUM(CA11+CA12+CA13+CA14+CA15+CA16)*Assumptions!$G30)</f>
        <v>46577.446350345264</v>
      </c>
      <c r="CB22" s="110">
        <f>(SUM(CB11+CB12+CB13+CB14+CB15+CB16)*Assumptions!$G30)</f>
        <v>130936.01384099327</v>
      </c>
      <c r="CC22" s="110">
        <f>(SUM(CC11+CC12+CC13+CC14+CC15+CC16)*Assumptions!$G30)</f>
        <v>155742.82708583004</v>
      </c>
      <c r="CD22" s="110">
        <f>(SUM(CD11+CD12+CD13+CD14+CD15+CD16)*Assumptions!$G30)</f>
        <v>61890.281160940809</v>
      </c>
      <c r="CE22" s="110">
        <f>(SUM(CE11+CE12+CE13+CE14+CE15+CE16)*Assumptions!$G30)</f>
        <v>89160.922187347096</v>
      </c>
      <c r="CF22" s="110">
        <f>(SUM(CF11+CF12+CF13+CF14+CF15+CF16)*Assumptions!$G30)</f>
        <v>103861.05777441549</v>
      </c>
      <c r="CG22" s="110">
        <f>(SUM(CG11+CG12+CG13+CG14+CG15+CG16)*Assumptions!$G30)</f>
        <v>36561.150052443198</v>
      </c>
      <c r="CH22" s="110">
        <f>(SUM(CH11+CH12+CH13+CH14+CH15+CH16)*Assumptions!$G30)</f>
        <v>95439.710380368531</v>
      </c>
      <c r="CI22" s="110">
        <f>(SUM(CI11+CI12+CI13+CI14+CI15+CI16)*Assumptions!$G30)</f>
        <v>104726.84891031536</v>
      </c>
      <c r="CJ22" s="110">
        <f>(SUM(CJ11+CJ12+CJ13+CJ14+CJ15+CJ16)*Assumptions!$G30)</f>
        <v>108797.02573077597</v>
      </c>
      <c r="CK22" s="695">
        <f>(SUM(CK11+CK12+CK13+CK14+CK15+CK16)*Assumptions!$G30)</f>
        <v>48265.86243456279</v>
      </c>
      <c r="CL22" s="110">
        <f>(SUM(CL11+CL12+CL13+CL14+CL15+CL16)*Assumptions!$G30)</f>
        <v>49158.118465092972</v>
      </c>
      <c r="CM22" s="110">
        <f>(SUM(CM11+CM12+CM13+CM14+CM15+CM16)*Assumptions!$G30)</f>
        <v>46577.446350345264</v>
      </c>
      <c r="CN22" s="110">
        <f>(SUM(CN11+CN12+CN13+CN14+CN15+CN16)*Assumptions!$G30)</f>
        <v>130936.01384099327</v>
      </c>
      <c r="CO22" s="110">
        <f>(SUM(CO11+CO12+CO13+CO14+CO15+CO16)*Assumptions!$G30)</f>
        <v>155742.82708583004</v>
      </c>
      <c r="CP22" s="110">
        <f>(SUM(CP11+CP12+CP13+CP14+CP15+CP16)*Assumptions!$G30)</f>
        <v>61890.281160940809</v>
      </c>
      <c r="CQ22" s="110">
        <f>(SUM(CQ11+CQ12+CQ13+CQ14+CQ15+CQ16)*Assumptions!$G30)</f>
        <v>89160.922187347096</v>
      </c>
      <c r="CR22" s="110">
        <f>(SUM(CR11+CR12+CR13+CR14+CR15+CR16)*Assumptions!$G30)</f>
        <v>103861.05777441549</v>
      </c>
      <c r="CS22" s="110">
        <f>(SUM(CS11+CS12+CS13+CS14+CS15+CS16)*Assumptions!$G30)</f>
        <v>36561.150052443198</v>
      </c>
      <c r="CT22" s="110">
        <f>(SUM(CT11+CT12+CT13+CT14+CT15+CT16)*Assumptions!$G30)</f>
        <v>95439.710380368531</v>
      </c>
      <c r="CU22" s="110">
        <f>(SUM(CU11+CU12+CU13+CU14+CU15+CU16)*Assumptions!$G30)</f>
        <v>104726.84891031536</v>
      </c>
      <c r="CV22" s="110">
        <f>(SUM(CV11+CV12+CV13+CV14+CV15+CV16)*Assumptions!$G30)</f>
        <v>108797.02573077597</v>
      </c>
      <c r="CW22" s="695">
        <f>(SUM(CW11+CW12+CW13+CW14+CW15+CW16)*Assumptions!$G30)</f>
        <v>48265.86243456279</v>
      </c>
      <c r="CX22" s="110">
        <f>(SUM(CX11+CX12+CX13+CX14+CX15+CX16)*Assumptions!$G30)</f>
        <v>49158.118465092972</v>
      </c>
      <c r="CY22" s="110">
        <f>(SUM(CY11+CY12+CY13+CY14+CY15+CY16)*Assumptions!$G30)</f>
        <v>46577.446350345264</v>
      </c>
      <c r="CZ22" s="110">
        <f>(SUM(CZ11+CZ12+CZ13+CZ14+CZ15+CZ16)*Assumptions!$G30)</f>
        <v>130936.01384099327</v>
      </c>
      <c r="DA22" s="110">
        <f>(SUM(DA11+DA12+DA13+DA14+DA15+DA16)*Assumptions!$G30)</f>
        <v>155742.82708583004</v>
      </c>
      <c r="DB22" s="110">
        <f>(SUM(DB11+DB12+DB13+DB14+DB15+DB16)*Assumptions!$G30)</f>
        <v>61890.281160940809</v>
      </c>
      <c r="DC22" s="110">
        <f>(SUM(DC11+DC12+DC13+DC14+DC15+DC16)*Assumptions!$G30)</f>
        <v>89160.922187347096</v>
      </c>
      <c r="DD22" s="110">
        <f>(SUM(DD11+DD12+DD13+DD14+DD15+DD16)*Assumptions!$G30)</f>
        <v>103861.05777441549</v>
      </c>
      <c r="DE22" s="110">
        <f>(SUM(DE11+DE12+DE13+DE14+DE15+DE16)*Assumptions!$G30)</f>
        <v>36561.150052443198</v>
      </c>
      <c r="DF22" s="110">
        <f>(SUM(DF11+DF12+DF13+DF14+DF15+DF16)*Assumptions!$G30)</f>
        <v>95439.710380368531</v>
      </c>
      <c r="DG22" s="110">
        <f>(SUM(DG11+DG12+DG13+DG14+DG15+DG16)*Assumptions!$G30)</f>
        <v>104726.84891031536</v>
      </c>
      <c r="DH22" s="110">
        <f>(SUM(DH11+DH12+DH13+DH14+DH15+DH16)*Assumptions!$G30)</f>
        <v>108797.02573077597</v>
      </c>
      <c r="DI22" s="695">
        <f>(SUM(DI11+DI12+DI13+DI14+DI15+DI16)*Assumptions!$G30)</f>
        <v>48265.86243456279</v>
      </c>
      <c r="DJ22" s="110">
        <f>(SUM(DJ11+DJ12+DJ13+DJ14+DJ15+DJ16)*Assumptions!$G30)</f>
        <v>49158.118465092972</v>
      </c>
      <c r="DK22" s="110">
        <f>(SUM(DK11+DK12+DK13+DK14+DK15+DK16)*Assumptions!$G30)</f>
        <v>46577.446350345264</v>
      </c>
      <c r="DL22" s="110">
        <f>(SUM(DL11+DL12+DL13+DL14+DL15+DL16)*Assumptions!$G30)</f>
        <v>130936.01384099327</v>
      </c>
      <c r="DM22" s="110">
        <f>(SUM(DM11+DM12+DM13+DM14+DM15+DM16)*Assumptions!$G30)</f>
        <v>155742.82708583004</v>
      </c>
      <c r="DN22" s="110">
        <f>(SUM(DN11+DN12+DN13+DN14+DN15+DN16)*Assumptions!$G30)</f>
        <v>61890.281160940809</v>
      </c>
      <c r="DO22" s="110">
        <f>(SUM(DO11+DO12+DO13+DO14+DO15+DO16)*Assumptions!$G30)</f>
        <v>89160.922187347096</v>
      </c>
      <c r="DP22" s="110">
        <f>(SUM(DP11+DP12+DP13+DP14+DP15+DP16)*Assumptions!$G30)</f>
        <v>103861.05777441549</v>
      </c>
      <c r="DQ22" s="110">
        <f>(SUM(DQ11+DQ12+DQ13+DQ14+DQ15+DQ16)*Assumptions!$G30)</f>
        <v>36561.150052443198</v>
      </c>
      <c r="DR22" s="110">
        <f>(SUM(DR11+DR12+DR13+DR14+DR15+DR16)*Assumptions!$G30)</f>
        <v>95439.710380368531</v>
      </c>
      <c r="DS22" s="110">
        <f>(SUM(DS11+DS12+DS13+DS14+DS15+DS16)*Assumptions!$G30)</f>
        <v>104726.84891031536</v>
      </c>
      <c r="DT22" s="110">
        <f>(SUM(DT11+DT12+DT13+DT14+DT15+DT16)*Assumptions!$G30)</f>
        <v>108797.02573077597</v>
      </c>
    </row>
    <row r="23" spans="1:124" ht="15" x14ac:dyDescent="0.25">
      <c r="B23" s="162" t="s">
        <v>161</v>
      </c>
      <c r="C23" s="56"/>
      <c r="D23" s="7"/>
      <c r="E23" s="403">
        <v>0</v>
      </c>
      <c r="F23" s="403">
        <v>0</v>
      </c>
      <c r="G23" s="403">
        <v>0</v>
      </c>
      <c r="H23" s="403">
        <v>0</v>
      </c>
      <c r="I23" s="403">
        <v>0</v>
      </c>
      <c r="J23" s="403">
        <v>0</v>
      </c>
      <c r="K23" s="403">
        <v>0</v>
      </c>
      <c r="L23" s="403">
        <v>0</v>
      </c>
      <c r="M23" s="403">
        <v>0</v>
      </c>
      <c r="N23" s="403">
        <v>0</v>
      </c>
      <c r="O23" s="403">
        <v>0</v>
      </c>
      <c r="P23" s="486">
        <v>0</v>
      </c>
      <c r="Q23" s="687">
        <v>0</v>
      </c>
      <c r="R23" s="110">
        <v>0</v>
      </c>
      <c r="S23" s="110">
        <v>0</v>
      </c>
      <c r="T23" s="110">
        <v>0</v>
      </c>
      <c r="U23" s="110">
        <v>0</v>
      </c>
      <c r="V23" s="110">
        <v>0</v>
      </c>
      <c r="W23" s="110">
        <v>0</v>
      </c>
      <c r="X23" s="110">
        <v>0</v>
      </c>
      <c r="Y23" s="110">
        <v>0</v>
      </c>
      <c r="Z23" s="110">
        <v>0</v>
      </c>
      <c r="AA23" s="110">
        <v>0</v>
      </c>
      <c r="AB23" s="110">
        <v>0</v>
      </c>
      <c r="AC23" s="695">
        <v>0</v>
      </c>
      <c r="AD23" s="110">
        <v>0</v>
      </c>
      <c r="AE23" s="110">
        <v>0</v>
      </c>
      <c r="AF23" s="110">
        <v>0</v>
      </c>
      <c r="AG23" s="110">
        <v>0</v>
      </c>
      <c r="AH23" s="110"/>
      <c r="AI23" s="110"/>
      <c r="AJ23" s="110"/>
      <c r="AK23" s="110"/>
      <c r="AL23" s="110"/>
      <c r="AM23" s="110"/>
      <c r="AN23" s="110"/>
      <c r="AO23" s="687"/>
      <c r="AP23" s="110">
        <f>ROUNDDOWN((AP21+AP22)/Assumptions!$C$48,0)</f>
        <v>2</v>
      </c>
      <c r="AQ23" s="110">
        <f>ROUNDDOWN((AQ21+AQ22)/Assumptions!$C$48,0)</f>
        <v>2</v>
      </c>
      <c r="AR23" s="110">
        <f>ROUNDDOWN((AR21+AR22)/Assumptions!$C$48,0)</f>
        <v>6</v>
      </c>
      <c r="AS23" s="110">
        <f>ROUNDDOWN((AS21+AS22)/Assumptions!$C$48,0)</f>
        <v>8</v>
      </c>
      <c r="AT23" s="110">
        <f>ROUNDDOWN((AT21+AT22)/Assumptions!$C$48,0)</f>
        <v>3</v>
      </c>
      <c r="AU23" s="110">
        <f>ROUNDDOWN((AU21+AU22)/Assumptions!$C$48,0)</f>
        <v>4</v>
      </c>
      <c r="AV23" s="110">
        <f>ROUNDDOWN((AV21+AV22)/Assumptions!$C$48,0)</f>
        <v>5</v>
      </c>
      <c r="AW23" s="110">
        <f>ROUNDDOWN((AW21+AW22)/Assumptions!$C$48,0)</f>
        <v>2</v>
      </c>
      <c r="AX23" s="110">
        <f>ROUNDDOWN((AX21+AX22)/Assumptions!$C$48,0)</f>
        <v>4</v>
      </c>
      <c r="AY23" s="110">
        <f>ROUNDDOWN((AY21+AY22)/Assumptions!$C$48,0)</f>
        <v>5</v>
      </c>
      <c r="AZ23" s="110">
        <f>ROUNDDOWN((AZ21+AZ22)/Assumptions!$C$48,0)</f>
        <v>5</v>
      </c>
      <c r="BA23" s="695">
        <f>ROUNDDOWN((BA21+BA22)/Assumptions!$C$48,0)</f>
        <v>3</v>
      </c>
      <c r="BB23" s="110">
        <f>ROUNDDOWN((BB21+BB22)/Assumptions!$C$48,0)</f>
        <v>2</v>
      </c>
      <c r="BC23" s="110">
        <f>ROUNDDOWN((BC21+BC22)/Assumptions!$C$48,0)</f>
        <v>2</v>
      </c>
      <c r="BD23" s="110">
        <f>ROUNDDOWN((BD21+BD22)/Assumptions!$C$48,0)</f>
        <v>6</v>
      </c>
      <c r="BE23" s="110">
        <f>ROUNDDOWN((BE21+BE22)/Assumptions!$C$48,0)</f>
        <v>8</v>
      </c>
      <c r="BF23" s="110">
        <f>ROUNDDOWN((BF21+BF22)/Assumptions!$C$48,0)</f>
        <v>3</v>
      </c>
      <c r="BG23" s="110">
        <f>ROUNDDOWN((BG21+BG22)/Assumptions!$C$48,0)</f>
        <v>4</v>
      </c>
      <c r="BH23" s="110">
        <f>ROUNDDOWN((BH21+BH22)/Assumptions!$C$48,0)</f>
        <v>5</v>
      </c>
      <c r="BI23" s="110">
        <f>ROUNDDOWN((BI21+BI22)/Assumptions!$C$48,0)</f>
        <v>2</v>
      </c>
      <c r="BJ23" s="110">
        <f>ROUNDDOWN((BJ21+BJ22)/Assumptions!$C$48,0)</f>
        <v>4</v>
      </c>
      <c r="BK23" s="110">
        <f>ROUNDDOWN((BK21+BK22)/Assumptions!$C$48,0)</f>
        <v>5</v>
      </c>
      <c r="BL23" s="110">
        <f>ROUNDDOWN((BL21+BL22)/Assumptions!$C$48,0)</f>
        <v>5</v>
      </c>
      <c r="BM23" s="695">
        <f>ROUNDDOWN((BM21+BM22)/Assumptions!$C$48,0)</f>
        <v>3</v>
      </c>
      <c r="BN23" s="110">
        <f>ROUNDDOWN((BN21+BN22)/Assumptions!$C$48,0)</f>
        <v>2</v>
      </c>
      <c r="BO23" s="110">
        <f>ROUNDDOWN((BO21+BO22)/Assumptions!$C$48,0)</f>
        <v>2</v>
      </c>
      <c r="BP23" s="110">
        <f>ROUNDDOWN((BP21+BP22)/Assumptions!$C$48,0)</f>
        <v>6</v>
      </c>
      <c r="BQ23" s="110">
        <f>ROUNDDOWN((BQ21+BQ22)/Assumptions!$C$48,0)</f>
        <v>8</v>
      </c>
      <c r="BR23" s="110">
        <f>ROUNDDOWN((BR21+BR22)/Assumptions!$C$48,0)</f>
        <v>3</v>
      </c>
      <c r="BS23" s="110">
        <f>ROUNDDOWN((BS21+BS22)/Assumptions!$C$48,0)</f>
        <v>4</v>
      </c>
      <c r="BT23" s="110">
        <f>ROUNDDOWN((BT21+BT22)/Assumptions!$C$48,0)</f>
        <v>5</v>
      </c>
      <c r="BU23" s="110">
        <f>ROUNDDOWN((BU21+BU22)/Assumptions!$C$48,0)</f>
        <v>2</v>
      </c>
      <c r="BV23" s="110">
        <f>ROUNDDOWN((BV21+BV22)/Assumptions!$C$48,0)</f>
        <v>4</v>
      </c>
      <c r="BW23" s="110">
        <f>ROUNDDOWN((BW21+BW22)/Assumptions!$C$48,0)</f>
        <v>5</v>
      </c>
      <c r="BX23" s="110">
        <f>ROUNDDOWN((BX21+BX22)/Assumptions!$C$48,0)</f>
        <v>6</v>
      </c>
      <c r="BY23" s="695">
        <f>ROUNDDOWN((BY21+BY22)/Assumptions!$C$48,0)</f>
        <v>2</v>
      </c>
      <c r="BZ23" s="110">
        <f>ROUNDDOWN((BZ21+BZ22)/Assumptions!$C$48,0)</f>
        <v>2</v>
      </c>
      <c r="CA23" s="110">
        <f>ROUNDDOWN((CA21+CA22)/Assumptions!$C$48,0)</f>
        <v>2</v>
      </c>
      <c r="CB23" s="110">
        <f>ROUNDDOWN((CB21+CB22)/Assumptions!$C$48,0)</f>
        <v>7</v>
      </c>
      <c r="CC23" s="110">
        <f>ROUNDDOWN((CC21+CC22)/Assumptions!$C$48,0)</f>
        <v>7</v>
      </c>
      <c r="CD23" s="110">
        <f>ROUNDDOWN((CD21+CD22)/Assumptions!$C$48,0)</f>
        <v>3</v>
      </c>
      <c r="CE23" s="110">
        <f>ROUNDDOWN((CE21+CE22)/Assumptions!$C$48,0)</f>
        <v>4</v>
      </c>
      <c r="CF23" s="110">
        <f>ROUNDDOWN((CF21+CF22)/Assumptions!$C$48,0)</f>
        <v>5</v>
      </c>
      <c r="CG23" s="110">
        <f>ROUNDDOWN((CG21+CG22)/Assumptions!$C$48,0)</f>
        <v>2</v>
      </c>
      <c r="CH23" s="110">
        <f>ROUNDDOWN((CH21+CH22)/Assumptions!$C$48,0)</f>
        <v>4</v>
      </c>
      <c r="CI23" s="110">
        <f>ROUNDDOWN((CI21+CI22)/Assumptions!$C$48,0)</f>
        <v>5</v>
      </c>
      <c r="CJ23" s="110">
        <f>ROUNDDOWN((CJ21+CJ22)/Assumptions!$C$48,0)</f>
        <v>6</v>
      </c>
      <c r="CK23" s="695">
        <f>ROUNDDOWN((CK21+CK22)/Assumptions!$C$48,0)</f>
        <v>2</v>
      </c>
      <c r="CL23" s="110">
        <f>ROUNDDOWN((CL21+CL22)/Assumptions!$C$48,0)</f>
        <v>2</v>
      </c>
      <c r="CM23" s="110">
        <f>ROUNDDOWN((CM21+CM22)/Assumptions!$C$48,0)</f>
        <v>2</v>
      </c>
      <c r="CN23" s="110">
        <f>ROUNDDOWN((CN21+CN22)/Assumptions!$C$48,0)</f>
        <v>7</v>
      </c>
      <c r="CO23" s="110">
        <f>ROUNDDOWN((CO21+CO22)/Assumptions!$C$48,0)</f>
        <v>7</v>
      </c>
      <c r="CP23" s="110">
        <f>ROUNDDOWN((CP21+CP22)/Assumptions!$C$48,0)</f>
        <v>3</v>
      </c>
      <c r="CQ23" s="110">
        <f>ROUNDDOWN((CQ21+CQ22)/Assumptions!$C$48,0)</f>
        <v>4</v>
      </c>
      <c r="CR23" s="110">
        <f>ROUNDDOWN((CR21+CR22)/Assumptions!$C$48,0)</f>
        <v>5</v>
      </c>
      <c r="CS23" s="110">
        <f>ROUNDDOWN((CS21+CS22)/Assumptions!$C$48,0)</f>
        <v>2</v>
      </c>
      <c r="CT23" s="110">
        <f>ROUNDDOWN((CT21+CT22)/Assumptions!$C$48,0)</f>
        <v>5</v>
      </c>
      <c r="CU23" s="110">
        <f>ROUNDDOWN((CU21+CU22)/Assumptions!$C$48,0)</f>
        <v>5</v>
      </c>
      <c r="CV23" s="110">
        <f>ROUNDDOWN((CV21+CV22)/Assumptions!$C$48,0)</f>
        <v>5</v>
      </c>
      <c r="CW23" s="695">
        <f>ROUNDDOWN((CW21+CW22)/Assumptions!$C$48,0)</f>
        <v>2</v>
      </c>
      <c r="CX23" s="110">
        <f>ROUNDDOWN((CX21+CX22)/Assumptions!$C$48,0)</f>
        <v>2</v>
      </c>
      <c r="CY23" s="110">
        <f>ROUNDDOWN((CY21+CY22)/Assumptions!$C$48,0)</f>
        <v>3</v>
      </c>
      <c r="CZ23" s="110">
        <f>ROUNDDOWN((CZ21+CZ22)/Assumptions!$C$48,0)</f>
        <v>6</v>
      </c>
      <c r="DA23" s="110">
        <f>ROUNDDOWN((DA21+DA22)/Assumptions!$C$48,0)</f>
        <v>7</v>
      </c>
      <c r="DB23" s="110">
        <f>ROUNDDOWN((DB21+DB22)/Assumptions!$C$48,0)</f>
        <v>3</v>
      </c>
      <c r="DC23" s="110">
        <f>ROUNDDOWN((DC21+DC22)/Assumptions!$C$48,0)</f>
        <v>4</v>
      </c>
      <c r="DD23" s="110">
        <f>ROUNDDOWN((DD21+DD22)/Assumptions!$C$48,0)</f>
        <v>5</v>
      </c>
      <c r="DE23" s="110">
        <f>ROUNDDOWN((DE21+DE22)/Assumptions!$C$48,0)</f>
        <v>2</v>
      </c>
      <c r="DF23" s="110">
        <f>ROUNDDOWN((DF21+DF22)/Assumptions!$C$48,0)</f>
        <v>5</v>
      </c>
      <c r="DG23" s="110">
        <f>ROUNDDOWN((DG21+DG22)/Assumptions!$C$48,0)</f>
        <v>5</v>
      </c>
      <c r="DH23" s="110">
        <f>ROUNDDOWN((DH21+DH22)/Assumptions!$C$48,0)</f>
        <v>5</v>
      </c>
      <c r="DI23" s="695">
        <f>ROUNDDOWN((DI21+DI22)/Assumptions!$C$48,0)</f>
        <v>2</v>
      </c>
      <c r="DJ23" s="110">
        <f>ROUNDDOWN((DJ21+DJ22)/Assumptions!$C$48,0)</f>
        <v>2</v>
      </c>
      <c r="DK23" s="110">
        <f>ROUNDDOWN((DK21+DK22)/Assumptions!$C$48,0)</f>
        <v>3</v>
      </c>
      <c r="DL23" s="110">
        <f>ROUNDDOWN((DL21+DL22)/Assumptions!$C$48,0)</f>
        <v>6</v>
      </c>
      <c r="DM23" s="110">
        <f>ROUNDDOWN((DM21+DM22)/Assumptions!$C$48,0)</f>
        <v>7</v>
      </c>
      <c r="DN23" s="110">
        <f>ROUNDDOWN((DN21+DN22)/Assumptions!$C$48,0)</f>
        <v>3</v>
      </c>
      <c r="DO23" s="110">
        <f>ROUNDDOWN((DO21+DO22)/Assumptions!$C$48,0)</f>
        <v>5</v>
      </c>
      <c r="DP23" s="110">
        <f>ROUNDDOWN((DP21+DP22)/Assumptions!$C$48,0)</f>
        <v>4</v>
      </c>
      <c r="DQ23" s="110">
        <f>ROUNDDOWN((DQ21+DQ22)/Assumptions!$C$48,0)</f>
        <v>2</v>
      </c>
      <c r="DR23" s="110">
        <f>ROUNDDOWN((DR21+DR22)/Assumptions!$C$48,0)</f>
        <v>5</v>
      </c>
      <c r="DS23" s="110">
        <f>ROUNDDOWN((DS21+DS22)/Assumptions!$C$48,0)</f>
        <v>5</v>
      </c>
      <c r="DT23" s="110">
        <f>ROUNDDOWN((DT21+DT22)/Assumptions!$C$48,0)</f>
        <v>5</v>
      </c>
    </row>
    <row r="24" spans="1:124" ht="15" x14ac:dyDescent="0.25">
      <c r="B24" s="162" t="s">
        <v>80</v>
      </c>
      <c r="C24" s="56"/>
      <c r="D24" s="7"/>
      <c r="E24" s="403">
        <v>0</v>
      </c>
      <c r="F24" s="403">
        <v>0</v>
      </c>
      <c r="G24" s="403">
        <v>0</v>
      </c>
      <c r="H24" s="403">
        <v>0</v>
      </c>
      <c r="I24" s="403">
        <v>0</v>
      </c>
      <c r="J24" s="403">
        <v>0</v>
      </c>
      <c r="K24" s="403">
        <v>0</v>
      </c>
      <c r="L24" s="403">
        <v>0</v>
      </c>
      <c r="M24" s="403">
        <v>0</v>
      </c>
      <c r="N24" s="403">
        <v>0</v>
      </c>
      <c r="O24" s="403">
        <v>0</v>
      </c>
      <c r="P24" s="486">
        <v>0</v>
      </c>
      <c r="Q24" s="687">
        <v>0</v>
      </c>
      <c r="R24" s="110">
        <v>0</v>
      </c>
      <c r="S24" s="110">
        <v>0</v>
      </c>
      <c r="T24" s="110">
        <v>0</v>
      </c>
      <c r="U24" s="110">
        <v>0</v>
      </c>
      <c r="V24" s="110">
        <v>0</v>
      </c>
      <c r="W24" s="110">
        <v>0</v>
      </c>
      <c r="X24" s="110">
        <v>0</v>
      </c>
      <c r="Y24" s="110">
        <v>0</v>
      </c>
      <c r="Z24" s="110">
        <v>0</v>
      </c>
      <c r="AA24" s="110">
        <v>0</v>
      </c>
      <c r="AB24" s="110">
        <v>0</v>
      </c>
      <c r="AC24" s="695">
        <v>0</v>
      </c>
      <c r="AD24" s="110">
        <v>0</v>
      </c>
      <c r="AE24" s="110">
        <v>0</v>
      </c>
      <c r="AF24" s="110">
        <v>0</v>
      </c>
      <c r="AG24" s="110">
        <v>0</v>
      </c>
      <c r="AH24" s="110"/>
      <c r="AI24" s="110"/>
      <c r="AJ24" s="110"/>
      <c r="AK24" s="110"/>
      <c r="AL24" s="110"/>
      <c r="AM24" s="110"/>
      <c r="AN24" s="110"/>
      <c r="AO24" s="687"/>
      <c r="AP24" s="110">
        <f>AP21+AP22-(AP23*Assumptions!$C$48)</f>
        <v>7158.1184650929717</v>
      </c>
      <c r="AQ24" s="110">
        <f>AQ21+AQ22-(AQ23*Assumptions!$C$48)</f>
        <v>11735.564815438236</v>
      </c>
      <c r="AR24" s="110">
        <f>AR21+AR22-(AR23*Assumptions!$C$48)</f>
        <v>16671.57865643152</v>
      </c>
      <c r="AS24" s="110">
        <f>AS21+AS22-(AS23*Assumptions!$C$48)</f>
        <v>4414.4057422615588</v>
      </c>
      <c r="AT24" s="110">
        <f>AT21+AT22-(AT23*Assumptions!$C$48)</f>
        <v>3304.6869032023678</v>
      </c>
      <c r="AU24" s="110">
        <f>AU21+AU22-(AU23*Assumptions!$C$48)</f>
        <v>8465.6090905494639</v>
      </c>
      <c r="AV24" s="110">
        <f>AV21+AV22-(AV23*Assumptions!$C$48)</f>
        <v>7326.6668649649509</v>
      </c>
      <c r="AW24" s="110">
        <f>AW21+AW22-(AW23*Assumptions!$C$48)</f>
        <v>1887.8169174081486</v>
      </c>
      <c r="AX24" s="110">
        <f>AX21+AX22-(AX23*Assumptions!$C$48)</f>
        <v>13327.527297776687</v>
      </c>
      <c r="AY24" s="110">
        <f>AY21+AY22-(AY23*Assumptions!$C$48)</f>
        <v>13054.376208092042</v>
      </c>
      <c r="AZ24" s="110">
        <f>AZ21+AZ22-(AZ23*Assumptions!$C$48)</f>
        <v>16851.401938868017</v>
      </c>
      <c r="BA24" s="695">
        <f>BA21+BA22-(BA23*Assumptions!$C$48)</f>
        <v>2117.2643734308076</v>
      </c>
      <c r="BB24" s="110">
        <f>BB21+BB22-(BB23*Assumptions!$C$48)</f>
        <v>9275.3828385237794</v>
      </c>
      <c r="BC24" s="110">
        <f>BC21+BC22-(BC23*Assumptions!$C$48)</f>
        <v>13852.829188869044</v>
      </c>
      <c r="BD24" s="110">
        <f>BD21+BD22-(BD23*Assumptions!$C$48)</f>
        <v>18788.843029862328</v>
      </c>
      <c r="BE24" s="110">
        <f>BE21+BE22-(BE23*Assumptions!$C$48)</f>
        <v>6531.6701156923664</v>
      </c>
      <c r="BF24" s="110">
        <f>BF21+BF22-(BF23*Assumptions!$C$48)</f>
        <v>5421.9512766331754</v>
      </c>
      <c r="BG24" s="110">
        <f>BG21+BG22-(BG23*Assumptions!$C$48)</f>
        <v>10582.873463980271</v>
      </c>
      <c r="BH24" s="110">
        <f>BH21+BH22-(BH23*Assumptions!$C$48)</f>
        <v>9443.9312383957586</v>
      </c>
      <c r="BI24" s="110">
        <f>BI21+BI22-(BI23*Assumptions!$C$48)</f>
        <v>4005.0812908389562</v>
      </c>
      <c r="BJ24" s="110">
        <f>BJ21+BJ22-(BJ23*Assumptions!$C$48)</f>
        <v>15444.791671207495</v>
      </c>
      <c r="BK24" s="110">
        <f>BK21+BK22-(BK23*Assumptions!$C$48)</f>
        <v>15171.64058152285</v>
      </c>
      <c r="BL24" s="110">
        <f>BL21+BL22-(BL23*Assumptions!$C$48)</f>
        <v>18968.666312298825</v>
      </c>
      <c r="BM24" s="695">
        <f>BM21+BM22-(BM23*Assumptions!$C$48)</f>
        <v>4234.5287468616152</v>
      </c>
      <c r="BN24" s="110">
        <f>BN21+BN22-(BN23*Assumptions!$C$48)</f>
        <v>11392.647211954587</v>
      </c>
      <c r="BO24" s="110">
        <f>BO21+BO22-(BO23*Assumptions!$C$48)</f>
        <v>15970.093562299851</v>
      </c>
      <c r="BP24" s="110">
        <f>BP21+BP22-(BP23*Assumptions!$C$48)</f>
        <v>20906.107403293136</v>
      </c>
      <c r="BQ24" s="110">
        <f>BQ21+BQ22-(BQ23*Assumptions!$C$48)</f>
        <v>8648.934489123174</v>
      </c>
      <c r="BR24" s="110">
        <f>BR21+BR22-(BR23*Assumptions!$C$48)</f>
        <v>7539.215650063983</v>
      </c>
      <c r="BS24" s="110">
        <f>BS21+BS22-(BS23*Assumptions!$C$48)</f>
        <v>12700.137837411079</v>
      </c>
      <c r="BT24" s="110">
        <f>BT21+BT22-(BT23*Assumptions!$C$48)</f>
        <v>11561.195611826566</v>
      </c>
      <c r="BU24" s="110">
        <f>BU21+BU22-(BU23*Assumptions!$C$48)</f>
        <v>6122.3456642697638</v>
      </c>
      <c r="BV24" s="110">
        <f>BV21+BV22-(BV23*Assumptions!$C$48)</f>
        <v>17562.056044638302</v>
      </c>
      <c r="BW24" s="110">
        <f>BW21+BW22-(BW23*Assumptions!$C$48)</f>
        <v>17288.904954953658</v>
      </c>
      <c r="BX24" s="110">
        <f>BX21+BX22-(BX23*Assumptions!$C$48)</f>
        <v>85.930685729632387</v>
      </c>
      <c r="BY24" s="695">
        <f>BY21+BY22-(BY23*Assumptions!$C$48)</f>
        <v>6351.7931202924228</v>
      </c>
      <c r="BZ24" s="110">
        <f>BZ21+BZ22-(BZ23*Assumptions!$C$48)</f>
        <v>13509.911585385395</v>
      </c>
      <c r="CA24" s="110">
        <f>CA21+CA22-(CA23*Assumptions!$C$48)</f>
        <v>18087.357935730659</v>
      </c>
      <c r="CB24" s="110">
        <f>CB21+CB22-(CB23*Assumptions!$C$48)</f>
        <v>2023.3717767239432</v>
      </c>
      <c r="CC24" s="110">
        <f>CC21+CC22-(CC23*Assumptions!$C$48)</f>
        <v>10766.198862553982</v>
      </c>
      <c r="CD24" s="110">
        <f>CD21+CD22-(CD23*Assumptions!$C$48)</f>
        <v>9656.4800234947907</v>
      </c>
      <c r="CE24" s="110">
        <f>CE21+CE22-(CE23*Assumptions!$C$48)</f>
        <v>14817.402210841887</v>
      </c>
      <c r="CF24" s="110">
        <f>CF21+CF22-(CF23*Assumptions!$C$48)</f>
        <v>13678.459985257374</v>
      </c>
      <c r="CG24" s="110">
        <f>CG21+CG22-(CG23*Assumptions!$C$48)</f>
        <v>8239.6100377005714</v>
      </c>
      <c r="CH24" s="110">
        <f>CH21+CH22-(CH23*Assumptions!$C$48)</f>
        <v>19679.32041806911</v>
      </c>
      <c r="CI24" s="110">
        <f>CI21+CI22-(CI23*Assumptions!$C$48)</f>
        <v>19406.169328384465</v>
      </c>
      <c r="CJ24" s="110">
        <f>CJ21+CJ22-(CJ23*Assumptions!$C$48)</f>
        <v>2203.19505916044</v>
      </c>
      <c r="CK24" s="695">
        <f>CK21+CK22-(CK23*Assumptions!$C$48)</f>
        <v>8469.0574937232304</v>
      </c>
      <c r="CL24" s="110">
        <f>CL21+CL22-(CL23*Assumptions!$C$48)</f>
        <v>15627.175958816202</v>
      </c>
      <c r="CM24" s="110">
        <f>CM21+CM22-(CM23*Assumptions!$C$48)</f>
        <v>20204.622309161467</v>
      </c>
      <c r="CN24" s="110">
        <f>CN21+CN22-(CN23*Assumptions!$C$48)</f>
        <v>4140.6361501547508</v>
      </c>
      <c r="CO24" s="110">
        <f>CO21+CO22-(CO23*Assumptions!$C$48)</f>
        <v>12883.463235984789</v>
      </c>
      <c r="CP24" s="110">
        <f>CP21+CP22-(CP23*Assumptions!$C$48)</f>
        <v>11773.744396925598</v>
      </c>
      <c r="CQ24" s="110">
        <f>CQ21+CQ22-(CQ23*Assumptions!$C$48)</f>
        <v>16934.666584272694</v>
      </c>
      <c r="CR24" s="110">
        <f>CR21+CR22-(CR23*Assumptions!$C$48)</f>
        <v>15795.724358688181</v>
      </c>
      <c r="CS24" s="110">
        <f>CS21+CS22-(CS23*Assumptions!$C$48)</f>
        <v>10356.874411131379</v>
      </c>
      <c r="CT24" s="110">
        <f>CT21+CT22-(CT23*Assumptions!$C$48)</f>
        <v>796.58479149991763</v>
      </c>
      <c r="CU24" s="110">
        <f>CU21+CU22-(CU23*Assumptions!$C$48)</f>
        <v>523.4337018152728</v>
      </c>
      <c r="CV24" s="110">
        <f>CV21+CV22-(CV23*Assumptions!$C$48)</f>
        <v>4320.4594325912476</v>
      </c>
      <c r="CW24" s="695">
        <f>CW21+CW22-(CW23*Assumptions!$C$48)</f>
        <v>10586.321867154038</v>
      </c>
      <c r="CX24" s="110">
        <f>CX21+CX22-(CX23*Assumptions!$C$48)</f>
        <v>17744.44033224701</v>
      </c>
      <c r="CY24" s="110">
        <f>CY21+CY22-(CY23*Assumptions!$C$48)</f>
        <v>1321.8866825922742</v>
      </c>
      <c r="CZ24" s="110">
        <f>CZ21+CZ22-(CZ23*Assumptions!$C$48)</f>
        <v>6257.9005235855584</v>
      </c>
      <c r="DA24" s="110">
        <f>DA21+DA22-(DA23*Assumptions!$C$48)</f>
        <v>15000.727609415597</v>
      </c>
      <c r="DB24" s="110">
        <f>DB21+DB22-(DB23*Assumptions!$C$48)</f>
        <v>13891.008770356406</v>
      </c>
      <c r="DC24" s="110">
        <f>DC21+DC22-(DC23*Assumptions!$C$48)</f>
        <v>19051.930957703502</v>
      </c>
      <c r="DD24" s="110">
        <f>DD21+DD22-(DD23*Assumptions!$C$48)</f>
        <v>17912.988732118989</v>
      </c>
      <c r="DE24" s="110">
        <f>DE21+DE22-(DE23*Assumptions!$C$48)</f>
        <v>12474.138784562187</v>
      </c>
      <c r="DF24" s="110">
        <f>DF21+DF22-(DF23*Assumptions!$C$48)</f>
        <v>2913.8491649307252</v>
      </c>
      <c r="DG24" s="110">
        <f>DG21+DG22-(DG23*Assumptions!$C$48)</f>
        <v>2640.6980752460804</v>
      </c>
      <c r="DH24" s="110">
        <f>DH21+DH22-(DH23*Assumptions!$C$48)</f>
        <v>6437.7238060220552</v>
      </c>
      <c r="DI24" s="695">
        <f>DI21+DI22-(DI23*Assumptions!$C$48)</f>
        <v>12703.586240584846</v>
      </c>
      <c r="DJ24" s="110">
        <f>DJ21+DJ22-(DJ23*Assumptions!$C$48)</f>
        <v>19861.704705677817</v>
      </c>
      <c r="DK24" s="110">
        <f>DK21+DK22-(DK23*Assumptions!$C$48)</f>
        <v>3439.1510560230818</v>
      </c>
      <c r="DL24" s="110">
        <f>DL21+DL22-(DL23*Assumptions!$C$48)</f>
        <v>8375.164897016366</v>
      </c>
      <c r="DM24" s="110">
        <f>DM21+DM22-(DM23*Assumptions!$C$48)</f>
        <v>17117.991982846404</v>
      </c>
      <c r="DN24" s="110">
        <f>DN21+DN22-(DN23*Assumptions!$C$48)</f>
        <v>16008.273143787213</v>
      </c>
      <c r="DO24" s="110">
        <f>DO21+DO22-(DO23*Assumptions!$C$48)</f>
        <v>169.19533113430953</v>
      </c>
      <c r="DP24" s="110">
        <f>DP21+DP22-(DP23*Assumptions!$C$48)</f>
        <v>20030.253105549797</v>
      </c>
      <c r="DQ24" s="110">
        <f>DQ21+DQ22-(DQ23*Assumptions!$C$48)</f>
        <v>14591.403157992994</v>
      </c>
      <c r="DR24" s="110">
        <f>DR21+DR22-(DR23*Assumptions!$C$48)</f>
        <v>5031.1135383615328</v>
      </c>
      <c r="DS24" s="110">
        <f>DS21+DS22-(DS23*Assumptions!$C$48)</f>
        <v>4757.962448676888</v>
      </c>
      <c r="DT24" s="110">
        <f>DT21+DT22-(DT23*Assumptions!$C$48)</f>
        <v>8554.9881794528628</v>
      </c>
    </row>
    <row r="25" spans="1:124" x14ac:dyDescent="0.2">
      <c r="B25" s="23"/>
      <c r="D25" s="7"/>
      <c r="E25" s="491"/>
      <c r="F25" s="491"/>
      <c r="G25" s="491"/>
      <c r="H25" s="491"/>
      <c r="I25" s="491"/>
      <c r="J25" s="491"/>
      <c r="K25" s="491"/>
      <c r="L25" s="491"/>
      <c r="M25" s="491"/>
      <c r="N25" s="491"/>
      <c r="O25" s="491"/>
      <c r="P25" s="738"/>
      <c r="Q25" s="116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76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76"/>
      <c r="AO25" s="116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76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76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76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76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76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76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76"/>
    </row>
    <row r="26" spans="1:124" ht="18.75" x14ac:dyDescent="0.3">
      <c r="B26" s="161" t="s">
        <v>397</v>
      </c>
      <c r="C26" s="129"/>
      <c r="E26" s="736"/>
      <c r="F26" s="736"/>
      <c r="G26" s="736"/>
      <c r="H26" s="736"/>
      <c r="I26" s="736"/>
      <c r="J26" s="736"/>
      <c r="K26" s="736"/>
      <c r="L26" s="736"/>
      <c r="M26" s="736"/>
      <c r="N26" s="736"/>
      <c r="O26" s="736"/>
      <c r="P26" s="737"/>
      <c r="Q26" s="788"/>
      <c r="R26" s="3"/>
      <c r="S26" s="3"/>
      <c r="T26" s="3"/>
      <c r="U26" s="3"/>
      <c r="V26" s="3"/>
      <c r="W26" s="3"/>
      <c r="X26" s="3"/>
      <c r="Y26" s="3"/>
      <c r="Z26" s="3"/>
      <c r="AA26" s="3"/>
      <c r="AB26" s="500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500"/>
      <c r="AO26" s="788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500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500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500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500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500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500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500"/>
    </row>
    <row r="27" spans="1:124" ht="15" x14ac:dyDescent="0.25">
      <c r="B27" s="162" t="s">
        <v>79</v>
      </c>
      <c r="C27" s="56"/>
      <c r="D27" s="7"/>
      <c r="E27" s="403">
        <v>0</v>
      </c>
      <c r="F27" s="403">
        <f t="shared" ref="F27:AK27" si="5">E30</f>
        <v>0</v>
      </c>
      <c r="G27" s="403">
        <f t="shared" si="5"/>
        <v>0</v>
      </c>
      <c r="H27" s="403">
        <f t="shared" si="5"/>
        <v>0</v>
      </c>
      <c r="I27" s="403">
        <f t="shared" si="5"/>
        <v>0</v>
      </c>
      <c r="J27" s="403">
        <f t="shared" si="5"/>
        <v>0</v>
      </c>
      <c r="K27" s="403">
        <f t="shared" si="5"/>
        <v>0</v>
      </c>
      <c r="L27" s="403">
        <f t="shared" si="5"/>
        <v>0</v>
      </c>
      <c r="M27" s="403">
        <f t="shared" si="5"/>
        <v>0</v>
      </c>
      <c r="N27" s="403">
        <f t="shared" si="5"/>
        <v>0</v>
      </c>
      <c r="O27" s="403">
        <f t="shared" si="5"/>
        <v>0</v>
      </c>
      <c r="P27" s="486">
        <f t="shared" si="5"/>
        <v>0</v>
      </c>
      <c r="Q27" s="1180">
        <v>0</v>
      </c>
      <c r="R27" s="108">
        <f t="shared" si="5"/>
        <v>0</v>
      </c>
      <c r="S27" s="108">
        <f t="shared" si="5"/>
        <v>0</v>
      </c>
      <c r="T27" s="108">
        <f t="shared" si="5"/>
        <v>0</v>
      </c>
      <c r="U27" s="108">
        <f t="shared" si="5"/>
        <v>0</v>
      </c>
      <c r="V27" s="108">
        <f t="shared" si="5"/>
        <v>0</v>
      </c>
      <c r="W27" s="108">
        <f t="shared" si="5"/>
        <v>0</v>
      </c>
      <c r="X27" s="108">
        <f t="shared" si="5"/>
        <v>0</v>
      </c>
      <c r="Y27" s="108">
        <f t="shared" si="5"/>
        <v>0</v>
      </c>
      <c r="Z27" s="108">
        <f t="shared" si="5"/>
        <v>0</v>
      </c>
      <c r="AA27" s="108">
        <f t="shared" si="5"/>
        <v>0</v>
      </c>
      <c r="AB27" s="110">
        <f t="shared" si="5"/>
        <v>0</v>
      </c>
      <c r="AC27" s="109">
        <f t="shared" si="5"/>
        <v>0</v>
      </c>
      <c r="AD27" s="108">
        <f t="shared" si="5"/>
        <v>0</v>
      </c>
      <c r="AE27" s="108">
        <f t="shared" si="5"/>
        <v>0</v>
      </c>
      <c r="AF27" s="108">
        <f t="shared" si="5"/>
        <v>0</v>
      </c>
      <c r="AG27" s="108">
        <f t="shared" si="5"/>
        <v>0</v>
      </c>
      <c r="AH27" s="108">
        <f t="shared" si="5"/>
        <v>0</v>
      </c>
      <c r="AI27" s="108">
        <f t="shared" si="5"/>
        <v>0</v>
      </c>
      <c r="AJ27" s="108">
        <f t="shared" si="5"/>
        <v>0</v>
      </c>
      <c r="AK27" s="108">
        <f t="shared" si="5"/>
        <v>0</v>
      </c>
      <c r="AL27" s="108">
        <f t="shared" ref="AL27:BA27" si="6">AK30</f>
        <v>0</v>
      </c>
      <c r="AM27" s="108">
        <f t="shared" si="6"/>
        <v>0</v>
      </c>
      <c r="AN27" s="110">
        <f t="shared" si="6"/>
        <v>0</v>
      </c>
      <c r="AO27" s="344">
        <f t="shared" si="6"/>
        <v>0</v>
      </c>
      <c r="AP27" s="108">
        <f t="shared" si="6"/>
        <v>0</v>
      </c>
      <c r="AQ27" s="108">
        <f t="shared" si="6"/>
        <v>11772.078976728655</v>
      </c>
      <c r="AR27" s="108">
        <f t="shared" si="6"/>
        <v>823.70987695883377</v>
      </c>
      <c r="AS27" s="108">
        <f t="shared" si="6"/>
        <v>4114.3857709543518</v>
      </c>
      <c r="AT27" s="108">
        <f t="shared" si="6"/>
        <v>2942.9371615077107</v>
      </c>
      <c r="AU27" s="108">
        <f t="shared" si="6"/>
        <v>2203.1246021349216</v>
      </c>
      <c r="AV27" s="108">
        <f t="shared" si="6"/>
        <v>19643.73939369966</v>
      </c>
      <c r="AW27" s="108">
        <f t="shared" si="6"/>
        <v>4884.44457664332</v>
      </c>
      <c r="AX27" s="108">
        <f t="shared" si="6"/>
        <v>8258.5446116054554</v>
      </c>
      <c r="AY27" s="108">
        <f t="shared" si="6"/>
        <v>8885.0181985178206</v>
      </c>
      <c r="AZ27" s="110">
        <f t="shared" si="6"/>
        <v>15702.917472061396</v>
      </c>
      <c r="BA27" s="109">
        <f t="shared" si="6"/>
        <v>4234.2679592453933</v>
      </c>
      <c r="BB27" s="108">
        <f t="shared" ref="BB27:CW27" si="7">BA30</f>
        <v>15411.509582287254</v>
      </c>
      <c r="BC27" s="108">
        <f t="shared" si="7"/>
        <v>6183.5885590159087</v>
      </c>
      <c r="BD27" s="108">
        <f t="shared" si="7"/>
        <v>16235.219459246087</v>
      </c>
      <c r="BE27" s="108">
        <f t="shared" si="7"/>
        <v>19525.895353241605</v>
      </c>
      <c r="BF27" s="108">
        <f t="shared" si="7"/>
        <v>18354.446743794964</v>
      </c>
      <c r="BG27" s="108">
        <f t="shared" si="7"/>
        <v>17614.634184422175</v>
      </c>
      <c r="BH27" s="108">
        <f t="shared" si="7"/>
        <v>14055.248975986906</v>
      </c>
      <c r="BI27" s="108">
        <f t="shared" si="7"/>
        <v>20295.954158930559</v>
      </c>
      <c r="BJ27" s="108">
        <f t="shared" si="7"/>
        <v>2670.0541938926908</v>
      </c>
      <c r="BK27" s="108">
        <f t="shared" si="7"/>
        <v>3296.527780805045</v>
      </c>
      <c r="BL27" s="110">
        <f t="shared" si="7"/>
        <v>10114.42705434862</v>
      </c>
      <c r="BM27" s="109">
        <f t="shared" si="7"/>
        <v>19645.777541532618</v>
      </c>
      <c r="BN27" s="108">
        <f t="shared" si="7"/>
        <v>9823.0191645744781</v>
      </c>
      <c r="BO27" s="108">
        <f t="shared" si="7"/>
        <v>595.09814130313316</v>
      </c>
      <c r="BP27" s="108">
        <f t="shared" si="7"/>
        <v>10646.729041533312</v>
      </c>
      <c r="BQ27" s="108">
        <f t="shared" si="7"/>
        <v>13937.40493552883</v>
      </c>
      <c r="BR27" s="108">
        <f t="shared" si="7"/>
        <v>12765.956326082189</v>
      </c>
      <c r="BS27" s="108">
        <f t="shared" si="7"/>
        <v>12026.1437667094</v>
      </c>
      <c r="BT27" s="108">
        <f t="shared" si="7"/>
        <v>8466.7585582741303</v>
      </c>
      <c r="BU27" s="108">
        <f t="shared" si="7"/>
        <v>14707.463741217784</v>
      </c>
      <c r="BV27" s="108">
        <f t="shared" si="7"/>
        <v>18081.563776179915</v>
      </c>
      <c r="BW27" s="108">
        <f t="shared" si="7"/>
        <v>18708.03736309227</v>
      </c>
      <c r="BX27" s="110">
        <f t="shared" si="7"/>
        <v>4525.9366366358445</v>
      </c>
      <c r="BY27" s="109">
        <f t="shared" si="7"/>
        <v>14057.287123819842</v>
      </c>
      <c r="BZ27" s="108">
        <f t="shared" si="7"/>
        <v>4234.5287468617025</v>
      </c>
      <c r="CA27" s="108">
        <f t="shared" si="7"/>
        <v>16006.607723590358</v>
      </c>
      <c r="CB27" s="108">
        <f t="shared" si="7"/>
        <v>5058.2386238205363</v>
      </c>
      <c r="CC27" s="108">
        <f t="shared" si="7"/>
        <v>8348.9145178160543</v>
      </c>
      <c r="CD27" s="108">
        <f t="shared" si="7"/>
        <v>7177.4659083694132</v>
      </c>
      <c r="CE27" s="108">
        <f t="shared" si="7"/>
        <v>6437.6533489966241</v>
      </c>
      <c r="CF27" s="108">
        <f t="shared" si="7"/>
        <v>2878.2681405613548</v>
      </c>
      <c r="CG27" s="108">
        <f t="shared" si="7"/>
        <v>9118.973323505008</v>
      </c>
      <c r="CH27" s="108">
        <f t="shared" si="7"/>
        <v>12493.07335846714</v>
      </c>
      <c r="CI27" s="108">
        <f t="shared" si="7"/>
        <v>13119.546945379494</v>
      </c>
      <c r="CJ27" s="110">
        <f t="shared" si="7"/>
        <v>19937.446218923069</v>
      </c>
      <c r="CK27" s="109">
        <f t="shared" si="7"/>
        <v>8468.7967061070667</v>
      </c>
      <c r="CL27" s="108">
        <f t="shared" si="7"/>
        <v>19646.038329148927</v>
      </c>
      <c r="CM27" s="108">
        <f t="shared" si="7"/>
        <v>10418.117305877582</v>
      </c>
      <c r="CN27" s="108">
        <f t="shared" si="7"/>
        <v>20469.748206107761</v>
      </c>
      <c r="CO27" s="108">
        <f t="shared" si="7"/>
        <v>2760.4241001032788</v>
      </c>
      <c r="CP27" s="108">
        <f t="shared" si="7"/>
        <v>1588.9754906566377</v>
      </c>
      <c r="CQ27" s="108">
        <f t="shared" si="7"/>
        <v>849.16293128384859</v>
      </c>
      <c r="CR27" s="108">
        <f t="shared" si="7"/>
        <v>18289.777722848587</v>
      </c>
      <c r="CS27" s="108">
        <f t="shared" si="7"/>
        <v>3530.482905792247</v>
      </c>
      <c r="CT27" s="108">
        <f t="shared" si="7"/>
        <v>6904.5829407543824</v>
      </c>
      <c r="CU27" s="108">
        <f t="shared" si="7"/>
        <v>7531.0565276667476</v>
      </c>
      <c r="CV27" s="110">
        <f t="shared" si="7"/>
        <v>14348.955801210323</v>
      </c>
      <c r="CW27" s="109">
        <f t="shared" si="7"/>
        <v>2880.3062883943203</v>
      </c>
      <c r="CX27" s="108">
        <f t="shared" ref="CX27:DT27" si="8">CW30</f>
        <v>14057.547911436181</v>
      </c>
      <c r="CY27" s="108">
        <f t="shared" si="8"/>
        <v>4829.6268881648357</v>
      </c>
      <c r="CZ27" s="108">
        <f t="shared" si="8"/>
        <v>14881.257788395014</v>
      </c>
      <c r="DA27" s="108">
        <f t="shared" si="8"/>
        <v>18171.933682390532</v>
      </c>
      <c r="DB27" s="108">
        <f t="shared" si="8"/>
        <v>17000.485072943891</v>
      </c>
      <c r="DC27" s="108">
        <f t="shared" si="8"/>
        <v>16260.672513571102</v>
      </c>
      <c r="DD27" s="108">
        <f t="shared" si="8"/>
        <v>12701.287305135833</v>
      </c>
      <c r="DE27" s="108">
        <f t="shared" si="8"/>
        <v>18941.992488079486</v>
      </c>
      <c r="DF27" s="108">
        <f t="shared" si="8"/>
        <v>1316.0925230416178</v>
      </c>
      <c r="DG27" s="108">
        <f t="shared" si="8"/>
        <v>1942.5661099539793</v>
      </c>
      <c r="DH27" s="110">
        <f t="shared" si="8"/>
        <v>8760.4653834975616</v>
      </c>
      <c r="DI27" s="109">
        <f t="shared" si="8"/>
        <v>18291.815870681559</v>
      </c>
      <c r="DJ27" s="108">
        <f t="shared" si="8"/>
        <v>8469.0574937234196</v>
      </c>
      <c r="DK27" s="108">
        <f t="shared" si="8"/>
        <v>20241.136470452075</v>
      </c>
      <c r="DL27" s="108">
        <f t="shared" si="8"/>
        <v>9292.7673706822534</v>
      </c>
      <c r="DM27" s="108">
        <f t="shared" si="8"/>
        <v>12583.443264677771</v>
      </c>
      <c r="DN27" s="108">
        <f t="shared" si="8"/>
        <v>11411.99465523113</v>
      </c>
      <c r="DO27" s="108">
        <f t="shared" si="8"/>
        <v>10672.182095858341</v>
      </c>
      <c r="DP27" s="108">
        <f t="shared" si="8"/>
        <v>7112.7968874230864</v>
      </c>
      <c r="DQ27" s="108">
        <f t="shared" si="8"/>
        <v>13353.50207036674</v>
      </c>
      <c r="DR27" s="108">
        <f t="shared" si="8"/>
        <v>16727.602105328871</v>
      </c>
      <c r="DS27" s="108">
        <f t="shared" si="8"/>
        <v>17354.075692241226</v>
      </c>
      <c r="DT27" s="110">
        <f t="shared" si="8"/>
        <v>3171.9749657848006</v>
      </c>
    </row>
    <row r="28" spans="1:124" ht="15" x14ac:dyDescent="0.25">
      <c r="B28" s="162" t="s">
        <v>133</v>
      </c>
      <c r="C28" s="56"/>
      <c r="D28" s="7"/>
      <c r="E28" s="463">
        <f>E11*Assumptions!$G31</f>
        <v>0</v>
      </c>
      <c r="F28" s="463">
        <f>F11*Assumptions!$G31</f>
        <v>0</v>
      </c>
      <c r="G28" s="463">
        <f>G11*Assumptions!$G31</f>
        <v>0</v>
      </c>
      <c r="H28" s="463">
        <f>H11*Assumptions!$G31</f>
        <v>0</v>
      </c>
      <c r="I28" s="463">
        <f>I11*Assumptions!$G31</f>
        <v>0</v>
      </c>
      <c r="J28" s="463">
        <f>J11*Assumptions!$G31</f>
        <v>0</v>
      </c>
      <c r="K28" s="463">
        <f>K11*Assumptions!$G31</f>
        <v>0</v>
      </c>
      <c r="L28" s="463">
        <f>L11*Assumptions!$G31</f>
        <v>0</v>
      </c>
      <c r="M28" s="463">
        <f>M11*Assumptions!$G31</f>
        <v>0</v>
      </c>
      <c r="N28" s="463">
        <f>N11*Assumptions!$G31</f>
        <v>0</v>
      </c>
      <c r="O28" s="463">
        <f>O11*Assumptions!$G31</f>
        <v>0</v>
      </c>
      <c r="P28" s="487">
        <f>P11*Assumptions!$G31</f>
        <v>0</v>
      </c>
      <c r="Q28" s="687">
        <f>Q11*Assumptions!$G31</f>
        <v>0</v>
      </c>
      <c r="R28" s="110">
        <f>R11*Assumptions!$G31</f>
        <v>0</v>
      </c>
      <c r="S28" s="110">
        <f>S11*Assumptions!$G31</f>
        <v>0</v>
      </c>
      <c r="T28" s="110">
        <f>T11*Assumptions!$G31</f>
        <v>0</v>
      </c>
      <c r="U28" s="110">
        <f>U11*Assumptions!$G31</f>
        <v>0</v>
      </c>
      <c r="V28" s="110">
        <f>V11*Assumptions!$G31</f>
        <v>0</v>
      </c>
      <c r="W28" s="110">
        <f>W11*Assumptions!$G31</f>
        <v>0</v>
      </c>
      <c r="X28" s="110">
        <f>X11*Assumptions!$G31</f>
        <v>0</v>
      </c>
      <c r="Y28" s="110">
        <f>Y11*Assumptions!$G31</f>
        <v>0</v>
      </c>
      <c r="Z28" s="110">
        <f>Z11*Assumptions!$G31</f>
        <v>0</v>
      </c>
      <c r="AA28" s="110">
        <f>AA11*Assumptions!$G31</f>
        <v>0</v>
      </c>
      <c r="AB28" s="110">
        <f>AB11*Assumptions!$G31</f>
        <v>0</v>
      </c>
      <c r="AC28" s="695">
        <f>AC11*Assumptions!$G31</f>
        <v>0</v>
      </c>
      <c r="AD28" s="110">
        <f>AD11*Assumptions!$G31</f>
        <v>0</v>
      </c>
      <c r="AE28" s="110">
        <f>AE11*Assumptions!$G31</f>
        <v>0</v>
      </c>
      <c r="AF28" s="110">
        <f>AF11*Assumptions!$G31</f>
        <v>0</v>
      </c>
      <c r="AG28" s="110">
        <f>AG11*Assumptions!$G31</f>
        <v>0</v>
      </c>
      <c r="AH28" s="110">
        <f>AH11*Assumptions!$G31</f>
        <v>0</v>
      </c>
      <c r="AI28" s="110">
        <f>AI11*Assumptions!$G31</f>
        <v>0</v>
      </c>
      <c r="AJ28" s="110">
        <f>AJ11*Assumptions!$G31</f>
        <v>0</v>
      </c>
      <c r="AK28" s="110">
        <f>AK11*Assumptions!$G31</f>
        <v>0</v>
      </c>
      <c r="AL28" s="110">
        <f>AL11*Assumptions!$G31</f>
        <v>0</v>
      </c>
      <c r="AM28" s="110">
        <f>AM11*Assumptions!$G31</f>
        <v>0</v>
      </c>
      <c r="AN28" s="110">
        <f>(SUM(AN11+AN12+AN13+AN14+AN15+AN17))*Assumptions!$G31</f>
        <v>0</v>
      </c>
      <c r="AO28" s="687">
        <f>(SUM(AO11+AO12+AO13+AO14+AO15+AO17))*Assumptions!$G31</f>
        <v>0</v>
      </c>
      <c r="AP28" s="110">
        <f>(SUM(AP11+AP12+AP13+AP14+AP15+AP16))*Assumptions!$G31</f>
        <v>32772.078976728655</v>
      </c>
      <c r="AQ28" s="110">
        <f>(SUM(AQ11+AQ12+AQ13+AQ14+AQ15+AQ16))*Assumptions!$G31</f>
        <v>31051.630900230179</v>
      </c>
      <c r="AR28" s="110">
        <f>(SUM(AR11+AR12+AR13+AR14+AR15+AR16))*Assumptions!$G31</f>
        <v>87290.675893995518</v>
      </c>
      <c r="AS28" s="110">
        <f>(SUM(AS11+AS12+AS13+AS14+AS15+AS16))*Assumptions!$G31</f>
        <v>103828.55139055336</v>
      </c>
      <c r="AT28" s="110">
        <f>(SUM(AT11+AT12+AT13+AT14+AT15+AT16))*Assumptions!$G31</f>
        <v>41260.187440627211</v>
      </c>
      <c r="AU28" s="110">
        <f>(SUM(AU11+AU12+AU13+AU14+AU15+AU16))*Assumptions!$G31</f>
        <v>59440.614791564738</v>
      </c>
      <c r="AV28" s="110">
        <f>(SUM(AV11+AV12+AV13+AV14+AV15+AV16))*Assumptions!$G31</f>
        <v>69240.705182943653</v>
      </c>
      <c r="AW28" s="110">
        <f>(SUM(AW11+AW12+AW13+AW14+AW15+AW16))*Assumptions!$G31</f>
        <v>24374.100034962135</v>
      </c>
      <c r="AX28" s="110">
        <f>(SUM(AX11+AX12+AX13+AX14+AX15+AX16))*Assumptions!$G31</f>
        <v>63626.473586912361</v>
      </c>
      <c r="AY28" s="110">
        <f>(SUM(AY11+AY12+AY13+AY14+AY15+AY16))*Assumptions!$G31</f>
        <v>69817.899273543575</v>
      </c>
      <c r="AZ28" s="110">
        <f>(SUM(AZ11+AZ12+AZ13+AZ14+AZ15+AZ16))*Assumptions!$G31</f>
        <v>72531.350487183998</v>
      </c>
      <c r="BA28" s="695">
        <f>(SUM(BA11+BA12+BA13+BA14+BA15+BA16))*Assumptions!$G31</f>
        <v>32177.24162304186</v>
      </c>
      <c r="BB28" s="110">
        <f>(SUM(BB11+BB12+BB13+BB14+BB15+BB16))*Assumptions!$G31</f>
        <v>32772.078976728655</v>
      </c>
      <c r="BC28" s="110">
        <f>(SUM(BC11+BC12+BC13+BC14+BC15+BC16))*Assumptions!$G31</f>
        <v>31051.630900230179</v>
      </c>
      <c r="BD28" s="110">
        <f>(SUM(BD11+BD12+BD13+BD14+BD15+BD16))*Assumptions!$G31</f>
        <v>87290.675893995518</v>
      </c>
      <c r="BE28" s="110">
        <f>(SUM(BE11+BE12+BE13+BE14+BE15+BE16))*Assumptions!$G31</f>
        <v>103828.55139055336</v>
      </c>
      <c r="BF28" s="110">
        <f>(SUM(BF11+BF12+BF13+BF14+BF15+BF16))*Assumptions!$G31</f>
        <v>41260.187440627211</v>
      </c>
      <c r="BG28" s="110">
        <f>(SUM(BG11+BG12+BG13+BG14+BG15+BG16))*Assumptions!$G31</f>
        <v>59440.614791564738</v>
      </c>
      <c r="BH28" s="110">
        <f>(SUM(BH11+BH12+BH13+BH14+BH15+BH16))*Assumptions!$G31</f>
        <v>69240.705182943653</v>
      </c>
      <c r="BI28" s="110">
        <f>(SUM(BI11+BI12+BI13+BI14+BI15+BI16))*Assumptions!$G31</f>
        <v>24374.100034962135</v>
      </c>
      <c r="BJ28" s="110">
        <f>(SUM(BJ11+BJ12+BJ13+BJ14+BJ15+BJ16))*Assumptions!$G31</f>
        <v>63626.473586912361</v>
      </c>
      <c r="BK28" s="110">
        <f>(SUM(BK11+BK12+BK13+BK14+BK15+BK16))*Assumptions!$G31</f>
        <v>69817.899273543575</v>
      </c>
      <c r="BL28" s="110">
        <f>(SUM(BL11+BL12+BL13+BL14+BL15+BL16))*Assumptions!$G31</f>
        <v>72531.350487183998</v>
      </c>
      <c r="BM28" s="695">
        <f>(SUM(BM11+BM12+BM13+BM14+BM15+BM16))*Assumptions!$G31</f>
        <v>32177.24162304186</v>
      </c>
      <c r="BN28" s="110">
        <f>(SUM(BN11+BN12+BN13+BN14+BN15+BN16))*Assumptions!$G31</f>
        <v>32772.078976728655</v>
      </c>
      <c r="BO28" s="110">
        <f>(SUM(BO11+BO12+BO13+BO14+BO15+BO16))*Assumptions!$G31</f>
        <v>31051.630900230179</v>
      </c>
      <c r="BP28" s="110">
        <f>(SUM(BP11+BP12+BP13+BP14+BP15+BP16))*Assumptions!$G31</f>
        <v>87290.675893995518</v>
      </c>
      <c r="BQ28" s="110">
        <f>(SUM(BQ11+BQ12+BQ13+BQ14+BQ15+BQ16))*Assumptions!$G31</f>
        <v>103828.55139055336</v>
      </c>
      <c r="BR28" s="110">
        <f>(SUM(BR11+BR12+BR13+BR14+BR15+BR16))*Assumptions!$G31</f>
        <v>41260.187440627211</v>
      </c>
      <c r="BS28" s="110">
        <f>(SUM(BS11+BS12+BS13+BS14+BS15+BS16))*Assumptions!$G31</f>
        <v>59440.614791564738</v>
      </c>
      <c r="BT28" s="110">
        <f>(SUM(BT11+BT12+BT13+BT14+BT15+BT16))*Assumptions!$G31</f>
        <v>69240.705182943653</v>
      </c>
      <c r="BU28" s="110">
        <f>(SUM(BU11+BU12+BU13+BU14+BU15+BU16))*Assumptions!$G31</f>
        <v>24374.100034962135</v>
      </c>
      <c r="BV28" s="110">
        <f>(SUM(BV11+BV12+BV13+BV14+BV15+BV16))*Assumptions!$G31</f>
        <v>63626.473586912361</v>
      </c>
      <c r="BW28" s="110">
        <f>(SUM(BW11+BW12+BW13+BW14+BW15+BW16))*Assumptions!$G31</f>
        <v>69817.899273543575</v>
      </c>
      <c r="BX28" s="110">
        <f>(SUM(BX11+BX12+BX13+BX14+BX15+BX16))*Assumptions!$G31</f>
        <v>72531.350487183998</v>
      </c>
      <c r="BY28" s="695">
        <f>(SUM(BY11+BY12+BY13+BY14+BY15+BY16))*Assumptions!$G31</f>
        <v>32177.24162304186</v>
      </c>
      <c r="BZ28" s="110">
        <f>(SUM(BZ11+BZ12+BZ13+BZ14+BZ15+BZ16))*Assumptions!$G31</f>
        <v>32772.078976728655</v>
      </c>
      <c r="CA28" s="110">
        <f>(SUM(CA11+CA12+CA13+CA14+CA15+CA16))*Assumptions!$G31</f>
        <v>31051.630900230179</v>
      </c>
      <c r="CB28" s="110">
        <f>(SUM(CB11+CB12+CB13+CB14+CB15+CB16))*Assumptions!$G31</f>
        <v>87290.675893995518</v>
      </c>
      <c r="CC28" s="110">
        <f>(SUM(CC11+CC12+CC13+CC14+CC15+CC16))*Assumptions!$G31</f>
        <v>103828.55139055336</v>
      </c>
      <c r="CD28" s="110">
        <f>(SUM(CD11+CD12+CD13+CD14+CD15+CD16))*Assumptions!$G31</f>
        <v>41260.187440627211</v>
      </c>
      <c r="CE28" s="110">
        <f>(SUM(CE11+CE12+CE13+CE14+CE15+CE16))*Assumptions!$G31</f>
        <v>59440.614791564738</v>
      </c>
      <c r="CF28" s="110">
        <f>(SUM(CF11+CF12+CF13+CF14+CF15+CF16))*Assumptions!$G31</f>
        <v>69240.705182943653</v>
      </c>
      <c r="CG28" s="110">
        <f>(SUM(CG11+CG12+CG13+CG14+CG15+CG16))*Assumptions!$G31</f>
        <v>24374.100034962135</v>
      </c>
      <c r="CH28" s="110">
        <f>(SUM(CH11+CH12+CH13+CH14+CH15+CH16))*Assumptions!$G31</f>
        <v>63626.473586912361</v>
      </c>
      <c r="CI28" s="110">
        <f>(SUM(CI11+CI12+CI13+CI14+CI15+CI16))*Assumptions!$G31</f>
        <v>69817.899273543575</v>
      </c>
      <c r="CJ28" s="110">
        <f>(SUM(CJ11+CJ12+CJ13+CJ14+CJ15+CJ16))*Assumptions!$G31</f>
        <v>72531.350487183998</v>
      </c>
      <c r="CK28" s="695">
        <f>(SUM(CK11+CK12+CK13+CK14+CK15+CK16))*Assumptions!$G31</f>
        <v>32177.24162304186</v>
      </c>
      <c r="CL28" s="110">
        <f>(SUM(CL11+CL12+CL13+CL14+CL15+CL16))*Assumptions!$G31</f>
        <v>32772.078976728655</v>
      </c>
      <c r="CM28" s="110">
        <f>(SUM(CM11+CM12+CM13+CM14+CM15+CM16))*Assumptions!$G31</f>
        <v>31051.630900230179</v>
      </c>
      <c r="CN28" s="110">
        <f>(SUM(CN11+CN12+CN13+CN14+CN15+CN16))*Assumptions!$G31</f>
        <v>87290.675893995518</v>
      </c>
      <c r="CO28" s="110">
        <f>(SUM(CO11+CO12+CO13+CO14+CO15+CO16))*Assumptions!$G31</f>
        <v>103828.55139055336</v>
      </c>
      <c r="CP28" s="110">
        <f>(SUM(CP11+CP12+CP13+CP14+CP15+CP16))*Assumptions!$G31</f>
        <v>41260.187440627211</v>
      </c>
      <c r="CQ28" s="110">
        <f>(SUM(CQ11+CQ12+CQ13+CQ14+CQ15+CQ16))*Assumptions!$G31</f>
        <v>59440.614791564738</v>
      </c>
      <c r="CR28" s="110">
        <f>(SUM(CR11+CR12+CR13+CR14+CR15+CR16))*Assumptions!$G31</f>
        <v>69240.705182943653</v>
      </c>
      <c r="CS28" s="110">
        <f>(SUM(CS11+CS12+CS13+CS14+CS15+CS16))*Assumptions!$G31</f>
        <v>24374.100034962135</v>
      </c>
      <c r="CT28" s="110">
        <f>(SUM(CT11+CT12+CT13+CT14+CT15+CT16))*Assumptions!$G31</f>
        <v>63626.473586912361</v>
      </c>
      <c r="CU28" s="110">
        <f>(SUM(CU11+CU12+CU13+CU14+CU15+CU16))*Assumptions!$G31</f>
        <v>69817.899273543575</v>
      </c>
      <c r="CV28" s="110">
        <f>(SUM(CV11+CV12+CV13+CV14+CV15+CV16))*Assumptions!$G31</f>
        <v>72531.350487183998</v>
      </c>
      <c r="CW28" s="695">
        <f>(SUM(CW11+CW12+CW13+CW14+CW15+CW16))*Assumptions!$G31</f>
        <v>32177.24162304186</v>
      </c>
      <c r="CX28" s="110">
        <f>(SUM(CX11+CX12+CX13+CX14+CX15+CX16))*Assumptions!$G31</f>
        <v>32772.078976728655</v>
      </c>
      <c r="CY28" s="110">
        <f>(SUM(CY11+CY12+CY13+CY14+CY15+CY16))*Assumptions!$G31</f>
        <v>31051.630900230179</v>
      </c>
      <c r="CZ28" s="110">
        <f>(SUM(CZ11+CZ12+CZ13+CZ14+CZ15+CZ16))*Assumptions!$G31</f>
        <v>87290.675893995518</v>
      </c>
      <c r="DA28" s="110">
        <f>(SUM(DA11+DA12+DA13+DA14+DA15+DA16))*Assumptions!$G31</f>
        <v>103828.55139055336</v>
      </c>
      <c r="DB28" s="110">
        <f>(SUM(DB11+DB12+DB13+DB14+DB15+DB16))*Assumptions!$G31</f>
        <v>41260.187440627211</v>
      </c>
      <c r="DC28" s="110">
        <f>(SUM(DC11+DC12+DC13+DC14+DC15+DC16))*Assumptions!$G31</f>
        <v>59440.614791564738</v>
      </c>
      <c r="DD28" s="110">
        <f>(SUM(DD11+DD12+DD13+DD14+DD15+DD16))*Assumptions!$G31</f>
        <v>69240.705182943653</v>
      </c>
      <c r="DE28" s="110">
        <f>(SUM(DE11+DE12+DE13+DE14+DE15+DE16))*Assumptions!$G31</f>
        <v>24374.100034962135</v>
      </c>
      <c r="DF28" s="110">
        <f>(SUM(DF11+DF12+DF13+DF14+DF15+DF16))*Assumptions!$G31</f>
        <v>63626.473586912361</v>
      </c>
      <c r="DG28" s="110">
        <f>(SUM(DG11+DG12+DG13+DG14+DG15+DG16))*Assumptions!$G31</f>
        <v>69817.899273543575</v>
      </c>
      <c r="DH28" s="110">
        <f>(SUM(DH11+DH12+DH13+DH14+DH15+DH16))*Assumptions!$G31</f>
        <v>72531.350487183998</v>
      </c>
      <c r="DI28" s="695">
        <f>(SUM(DI11+DI12+DI13+DI14+DI15+DI16))*Assumptions!$G31</f>
        <v>32177.24162304186</v>
      </c>
      <c r="DJ28" s="110">
        <f>(SUM(DJ11+DJ12+DJ13+DJ14+DJ15+DJ16))*Assumptions!$G31</f>
        <v>32772.078976728655</v>
      </c>
      <c r="DK28" s="110">
        <f>(SUM(DK11+DK12+DK13+DK14+DK15+DK16))*Assumptions!$G31</f>
        <v>31051.630900230179</v>
      </c>
      <c r="DL28" s="110">
        <f>(SUM(DL11+DL12+DL13+DL14+DL15+DL16))*Assumptions!$G31</f>
        <v>87290.675893995518</v>
      </c>
      <c r="DM28" s="110">
        <f>(SUM(DM11+DM12+DM13+DM14+DM15+DM16))*Assumptions!$G31</f>
        <v>103828.55139055336</v>
      </c>
      <c r="DN28" s="110">
        <f>(SUM(DN11+DN12+DN13+DN14+DN15+DN16))*Assumptions!$G31</f>
        <v>41260.187440627211</v>
      </c>
      <c r="DO28" s="110">
        <f>(SUM(DO11+DO12+DO13+DO14+DO15+DO16))*Assumptions!$G31</f>
        <v>59440.614791564738</v>
      </c>
      <c r="DP28" s="110">
        <f>(SUM(DP11+DP12+DP13+DP14+DP15+DP16))*Assumptions!$G31</f>
        <v>69240.705182943653</v>
      </c>
      <c r="DQ28" s="110">
        <f>(SUM(DQ11+DQ12+DQ13+DQ14+DQ15+DQ16))*Assumptions!$G31</f>
        <v>24374.100034962135</v>
      </c>
      <c r="DR28" s="110">
        <f>(SUM(DR11+DR12+DR13+DR14+DR15+DR16))*Assumptions!$G31</f>
        <v>63626.473586912361</v>
      </c>
      <c r="DS28" s="110">
        <f>(SUM(DS11+DS12+DS13+DS14+DS15+DS16))*Assumptions!$G31</f>
        <v>69817.899273543575</v>
      </c>
      <c r="DT28" s="110">
        <f>(SUM(DT11+DT12+DT13+DT14+DT15+DT16))*Assumptions!$G31</f>
        <v>72531.350487183998</v>
      </c>
    </row>
    <row r="29" spans="1:124" ht="15" x14ac:dyDescent="0.25">
      <c r="B29" s="162" t="s">
        <v>161</v>
      </c>
      <c r="C29" s="56"/>
      <c r="D29" s="7"/>
      <c r="E29" s="463">
        <f>ROUNDDOWN((E27+E28)/Assumptions!$C$49,0)</f>
        <v>0</v>
      </c>
      <c r="F29" s="463">
        <f>ROUNDDOWN((F27+F28)/Assumptions!$C$49,0)</f>
        <v>0</v>
      </c>
      <c r="G29" s="463">
        <f>ROUNDDOWN((G27+G28)/Assumptions!$C$49,0)</f>
        <v>0</v>
      </c>
      <c r="H29" s="463">
        <f>ROUNDDOWN((H27+H28)/Assumptions!$C$49,0)</f>
        <v>0</v>
      </c>
      <c r="I29" s="463">
        <f>ROUNDDOWN((I27+I28)/Assumptions!$C$49,0)</f>
        <v>0</v>
      </c>
      <c r="J29" s="463">
        <f>ROUNDDOWN((J27+J28)/Assumptions!$C$49,0)</f>
        <v>0</v>
      </c>
      <c r="K29" s="463">
        <f>ROUNDDOWN((K27+K28)/Assumptions!$C$49,0)</f>
        <v>0</v>
      </c>
      <c r="L29" s="463">
        <f>ROUNDDOWN((L27+L28)/Assumptions!$C$49,0)</f>
        <v>0</v>
      </c>
      <c r="M29" s="463">
        <f>ROUNDDOWN((M27+M28)/Assumptions!$C$49,0)</f>
        <v>0</v>
      </c>
      <c r="N29" s="463">
        <f>ROUNDDOWN((N27+N28)/Assumptions!$C$49,0)</f>
        <v>0</v>
      </c>
      <c r="O29" s="463">
        <f>ROUNDDOWN((O27+O28)/Assumptions!$C$49,0)</f>
        <v>0</v>
      </c>
      <c r="P29" s="487">
        <f>ROUNDDOWN((P27+P28)/Assumptions!$C$49,0)</f>
        <v>0</v>
      </c>
      <c r="Q29" s="687">
        <f>ROUNDDOWN((Q27+Q28)/Assumptions!$C$49,0)</f>
        <v>0</v>
      </c>
      <c r="R29" s="110">
        <f>ROUNDDOWN((R27+R28)/Assumptions!$C$49,0)</f>
        <v>0</v>
      </c>
      <c r="S29" s="110">
        <f>ROUNDDOWN((S27+S28)/Assumptions!$C$49,0)</f>
        <v>0</v>
      </c>
      <c r="T29" s="110">
        <f>ROUNDDOWN((T27+T28)/Assumptions!$C$49,0)</f>
        <v>0</v>
      </c>
      <c r="U29" s="110">
        <f>ROUNDDOWN((U27+U28)/Assumptions!$C$49,0)</f>
        <v>0</v>
      </c>
      <c r="V29" s="110">
        <f>ROUNDDOWN((V27+V28)/Assumptions!$C$49,0)</f>
        <v>0</v>
      </c>
      <c r="W29" s="110">
        <f>ROUNDDOWN((W27+W28)/Assumptions!$C$49,0)</f>
        <v>0</v>
      </c>
      <c r="X29" s="110">
        <f>ROUNDDOWN((X27+X28)/Assumptions!$C$49,0)</f>
        <v>0</v>
      </c>
      <c r="Y29" s="110">
        <f>ROUNDDOWN((Y27+Y28)/Assumptions!$C$49,0)</f>
        <v>0</v>
      </c>
      <c r="Z29" s="110">
        <f>ROUNDDOWN((Z27+Z28)/Assumptions!$C$49,0)</f>
        <v>0</v>
      </c>
      <c r="AA29" s="110">
        <f>ROUNDDOWN((AA27+AA28)/Assumptions!$C$49,0)</f>
        <v>0</v>
      </c>
      <c r="AB29" s="110">
        <f>ROUNDDOWN((AB27+AB28)/Assumptions!$C$49,0)</f>
        <v>0</v>
      </c>
      <c r="AC29" s="695">
        <f>ROUNDDOWN((AC27+AC28)/Assumptions!$C$49,0)</f>
        <v>0</v>
      </c>
      <c r="AD29" s="110">
        <f>ROUNDDOWN((AD27+AD28)/Assumptions!$C$49,0)</f>
        <v>0</v>
      </c>
      <c r="AE29" s="110">
        <f>ROUNDDOWN((AE27+AE28)/Assumptions!$C$49,0)</f>
        <v>0</v>
      </c>
      <c r="AF29" s="110">
        <f>ROUNDDOWN((AF27+AF28)/Assumptions!$C$49,0)</f>
        <v>0</v>
      </c>
      <c r="AG29" s="110">
        <f>ROUNDDOWN((AG27+AG28)/Assumptions!$C$49,0)</f>
        <v>0</v>
      </c>
      <c r="AH29" s="110">
        <f>ROUNDDOWN((AH27+AH28)/Assumptions!$C$49,0)</f>
        <v>0</v>
      </c>
      <c r="AI29" s="110">
        <f>ROUNDDOWN((AI27+AI28)/Assumptions!$C$49,0)</f>
        <v>0</v>
      </c>
      <c r="AJ29" s="110">
        <f>ROUNDDOWN((AJ27+AJ28)/Assumptions!$C$49,0)</f>
        <v>0</v>
      </c>
      <c r="AK29" s="110">
        <f>ROUNDDOWN((AK27+AK28)/Assumptions!$C$49,0)</f>
        <v>0</v>
      </c>
      <c r="AL29" s="110">
        <f>ROUNDDOWN((AL27+AL28)/Assumptions!$C$49,0)</f>
        <v>0</v>
      </c>
      <c r="AM29" s="110">
        <f>ROUNDDOWN((AM27+AM28)/Assumptions!$C$49,0)</f>
        <v>0</v>
      </c>
      <c r="AN29" s="110">
        <f>ROUNDDOWN((AN27+AN28)/Assumptions!$C$49,0)</f>
        <v>0</v>
      </c>
      <c r="AO29" s="687">
        <f>ROUNDDOWN((AO27+AO28)/Assumptions!$C$49,0)</f>
        <v>0</v>
      </c>
      <c r="AP29" s="110">
        <f>ROUNDDOWN((AP27+AP28)/Assumptions!$C$49,0)</f>
        <v>1</v>
      </c>
      <c r="AQ29" s="110">
        <f>ROUNDDOWN((AQ27+AQ28)/Assumptions!$C$49,0)</f>
        <v>2</v>
      </c>
      <c r="AR29" s="110">
        <f>ROUNDDOWN((AR27+AR28)/Assumptions!$C$49,0)</f>
        <v>4</v>
      </c>
      <c r="AS29" s="110">
        <f>ROUNDDOWN((AS27+AS28)/Assumptions!$C$49,0)</f>
        <v>5</v>
      </c>
      <c r="AT29" s="110">
        <f>ROUNDDOWN((AT27+AT28)/Assumptions!$C$49,0)</f>
        <v>2</v>
      </c>
      <c r="AU29" s="110">
        <f>ROUNDDOWN((AU27+AU28)/Assumptions!$C$49,0)</f>
        <v>2</v>
      </c>
      <c r="AV29" s="110">
        <f>ROUNDDOWN((AV27+AV28)/Assumptions!$C$49,0)</f>
        <v>4</v>
      </c>
      <c r="AW29" s="110">
        <f>ROUNDDOWN((AW27+AW28)/Assumptions!$C$49,0)</f>
        <v>1</v>
      </c>
      <c r="AX29" s="110">
        <f>ROUNDDOWN((AX27+AX28)/Assumptions!$C$49,0)</f>
        <v>3</v>
      </c>
      <c r="AY29" s="110">
        <f>ROUNDDOWN((AY27+AY28)/Assumptions!$C$49,0)</f>
        <v>3</v>
      </c>
      <c r="AZ29" s="110">
        <f>ROUNDDOWN((AZ27+AZ28)/Assumptions!$C$49,0)</f>
        <v>4</v>
      </c>
      <c r="BA29" s="695">
        <f>ROUNDDOWN((BA27+BA28)/Assumptions!$C$49,0)</f>
        <v>1</v>
      </c>
      <c r="BB29" s="110">
        <f>ROUNDDOWN((BB27+BB28)/Assumptions!$C$49,0)</f>
        <v>2</v>
      </c>
      <c r="BC29" s="110">
        <f>ROUNDDOWN((BC27+BC28)/Assumptions!$C$49,0)</f>
        <v>1</v>
      </c>
      <c r="BD29" s="110">
        <f>ROUNDDOWN((BD27+BD28)/Assumptions!$C$49,0)</f>
        <v>4</v>
      </c>
      <c r="BE29" s="110">
        <f>ROUNDDOWN((BE27+BE28)/Assumptions!$C$49,0)</f>
        <v>5</v>
      </c>
      <c r="BF29" s="110">
        <f>ROUNDDOWN((BF27+BF28)/Assumptions!$C$49,0)</f>
        <v>2</v>
      </c>
      <c r="BG29" s="110">
        <f>ROUNDDOWN((BG27+BG28)/Assumptions!$C$49,0)</f>
        <v>3</v>
      </c>
      <c r="BH29" s="110">
        <f>ROUNDDOWN((BH27+BH28)/Assumptions!$C$49,0)</f>
        <v>3</v>
      </c>
      <c r="BI29" s="110">
        <f>ROUNDDOWN((BI27+BI28)/Assumptions!$C$49,0)</f>
        <v>2</v>
      </c>
      <c r="BJ29" s="110">
        <f>ROUNDDOWN((BJ27+BJ28)/Assumptions!$C$49,0)</f>
        <v>3</v>
      </c>
      <c r="BK29" s="110">
        <f>ROUNDDOWN((BK27+BK28)/Assumptions!$C$49,0)</f>
        <v>3</v>
      </c>
      <c r="BL29" s="110">
        <f>ROUNDDOWN((BL27+BL28)/Assumptions!$C$49,0)</f>
        <v>3</v>
      </c>
      <c r="BM29" s="695">
        <f>ROUNDDOWN((BM27+BM28)/Assumptions!$C$49,0)</f>
        <v>2</v>
      </c>
      <c r="BN29" s="110">
        <f>ROUNDDOWN((BN27+BN28)/Assumptions!$C$49,0)</f>
        <v>2</v>
      </c>
      <c r="BO29" s="110">
        <f>ROUNDDOWN((BO27+BO28)/Assumptions!$C$49,0)</f>
        <v>1</v>
      </c>
      <c r="BP29" s="110">
        <f>ROUNDDOWN((BP27+BP28)/Assumptions!$C$49,0)</f>
        <v>4</v>
      </c>
      <c r="BQ29" s="110">
        <f>ROUNDDOWN((BQ27+BQ28)/Assumptions!$C$49,0)</f>
        <v>5</v>
      </c>
      <c r="BR29" s="110">
        <f>ROUNDDOWN((BR27+BR28)/Assumptions!$C$49,0)</f>
        <v>2</v>
      </c>
      <c r="BS29" s="110">
        <f>ROUNDDOWN((BS27+BS28)/Assumptions!$C$49,0)</f>
        <v>3</v>
      </c>
      <c r="BT29" s="110">
        <f>ROUNDDOWN((BT27+BT28)/Assumptions!$C$49,0)</f>
        <v>3</v>
      </c>
      <c r="BU29" s="110">
        <f>ROUNDDOWN((BU27+BU28)/Assumptions!$C$49,0)</f>
        <v>1</v>
      </c>
      <c r="BV29" s="110">
        <f>ROUNDDOWN((BV27+BV28)/Assumptions!$C$49,0)</f>
        <v>3</v>
      </c>
      <c r="BW29" s="110">
        <f>ROUNDDOWN((BW27+BW28)/Assumptions!$C$49,0)</f>
        <v>4</v>
      </c>
      <c r="BX29" s="110">
        <f>ROUNDDOWN((BX27+BX28)/Assumptions!$C$49,0)</f>
        <v>3</v>
      </c>
      <c r="BY29" s="695">
        <f>ROUNDDOWN((BY27+BY28)/Assumptions!$C$49,0)</f>
        <v>2</v>
      </c>
      <c r="BZ29" s="110">
        <f>ROUNDDOWN((BZ27+BZ28)/Assumptions!$C$49,0)</f>
        <v>1</v>
      </c>
      <c r="CA29" s="110">
        <f>ROUNDDOWN((CA27+CA28)/Assumptions!$C$49,0)</f>
        <v>2</v>
      </c>
      <c r="CB29" s="110">
        <f>ROUNDDOWN((CB27+CB28)/Assumptions!$C$49,0)</f>
        <v>4</v>
      </c>
      <c r="CC29" s="110">
        <f>ROUNDDOWN((CC27+CC28)/Assumptions!$C$49,0)</f>
        <v>5</v>
      </c>
      <c r="CD29" s="110">
        <f>ROUNDDOWN((CD27+CD28)/Assumptions!$C$49,0)</f>
        <v>2</v>
      </c>
      <c r="CE29" s="110">
        <f>ROUNDDOWN((CE27+CE28)/Assumptions!$C$49,0)</f>
        <v>3</v>
      </c>
      <c r="CF29" s="110">
        <f>ROUNDDOWN((CF27+CF28)/Assumptions!$C$49,0)</f>
        <v>3</v>
      </c>
      <c r="CG29" s="110">
        <f>ROUNDDOWN((CG27+CG28)/Assumptions!$C$49,0)</f>
        <v>1</v>
      </c>
      <c r="CH29" s="110">
        <f>ROUNDDOWN((CH27+CH28)/Assumptions!$C$49,0)</f>
        <v>3</v>
      </c>
      <c r="CI29" s="110">
        <f>ROUNDDOWN((CI27+CI28)/Assumptions!$C$49,0)</f>
        <v>3</v>
      </c>
      <c r="CJ29" s="110">
        <f>ROUNDDOWN((CJ27+CJ28)/Assumptions!$C$49,0)</f>
        <v>4</v>
      </c>
      <c r="CK29" s="695">
        <f>ROUNDDOWN((CK27+CK28)/Assumptions!$C$49,0)</f>
        <v>1</v>
      </c>
      <c r="CL29" s="110">
        <f>ROUNDDOWN((CL27+CL28)/Assumptions!$C$49,0)</f>
        <v>2</v>
      </c>
      <c r="CM29" s="110">
        <f>ROUNDDOWN((CM27+CM28)/Assumptions!$C$49,0)</f>
        <v>1</v>
      </c>
      <c r="CN29" s="110">
        <f>ROUNDDOWN((CN27+CN28)/Assumptions!$C$49,0)</f>
        <v>5</v>
      </c>
      <c r="CO29" s="110">
        <f>ROUNDDOWN((CO27+CO28)/Assumptions!$C$49,0)</f>
        <v>5</v>
      </c>
      <c r="CP29" s="110">
        <f>ROUNDDOWN((CP27+CP28)/Assumptions!$C$49,0)</f>
        <v>2</v>
      </c>
      <c r="CQ29" s="110">
        <f>ROUNDDOWN((CQ27+CQ28)/Assumptions!$C$49,0)</f>
        <v>2</v>
      </c>
      <c r="CR29" s="110">
        <f>ROUNDDOWN((CR27+CR28)/Assumptions!$C$49,0)</f>
        <v>4</v>
      </c>
      <c r="CS29" s="110">
        <f>ROUNDDOWN((CS27+CS28)/Assumptions!$C$49,0)</f>
        <v>1</v>
      </c>
      <c r="CT29" s="110">
        <f>ROUNDDOWN((CT27+CT28)/Assumptions!$C$49,0)</f>
        <v>3</v>
      </c>
      <c r="CU29" s="110">
        <f>ROUNDDOWN((CU27+CU28)/Assumptions!$C$49,0)</f>
        <v>3</v>
      </c>
      <c r="CV29" s="110">
        <f>ROUNDDOWN((CV27+CV28)/Assumptions!$C$49,0)</f>
        <v>4</v>
      </c>
      <c r="CW29" s="695">
        <f>ROUNDDOWN((CW27+CW28)/Assumptions!$C$49,0)</f>
        <v>1</v>
      </c>
      <c r="CX29" s="110">
        <f>ROUNDDOWN((CX27+CX28)/Assumptions!$C$49,0)</f>
        <v>2</v>
      </c>
      <c r="CY29" s="110">
        <f>ROUNDDOWN((CY27+CY28)/Assumptions!$C$49,0)</f>
        <v>1</v>
      </c>
      <c r="CZ29" s="110">
        <f>ROUNDDOWN((CZ27+CZ28)/Assumptions!$C$49,0)</f>
        <v>4</v>
      </c>
      <c r="DA29" s="110">
        <f>ROUNDDOWN((DA27+DA28)/Assumptions!$C$49,0)</f>
        <v>5</v>
      </c>
      <c r="DB29" s="110">
        <f>ROUNDDOWN((DB27+DB28)/Assumptions!$C$49,0)</f>
        <v>2</v>
      </c>
      <c r="DC29" s="110">
        <f>ROUNDDOWN((DC27+DC28)/Assumptions!$C$49,0)</f>
        <v>3</v>
      </c>
      <c r="DD29" s="110">
        <f>ROUNDDOWN((DD27+DD28)/Assumptions!$C$49,0)</f>
        <v>3</v>
      </c>
      <c r="DE29" s="110">
        <f>ROUNDDOWN((DE27+DE28)/Assumptions!$C$49,0)</f>
        <v>2</v>
      </c>
      <c r="DF29" s="110">
        <f>ROUNDDOWN((DF27+DF28)/Assumptions!$C$49,0)</f>
        <v>3</v>
      </c>
      <c r="DG29" s="110">
        <f>ROUNDDOWN((DG27+DG28)/Assumptions!$C$49,0)</f>
        <v>3</v>
      </c>
      <c r="DH29" s="110">
        <f>ROUNDDOWN((DH27+DH28)/Assumptions!$C$49,0)</f>
        <v>3</v>
      </c>
      <c r="DI29" s="695">
        <f>ROUNDDOWN((DI27+DI28)/Assumptions!$C$49,0)</f>
        <v>2</v>
      </c>
      <c r="DJ29" s="110">
        <f>ROUNDDOWN((DJ27+DJ28)/Assumptions!$C$49,0)</f>
        <v>1</v>
      </c>
      <c r="DK29" s="110">
        <f>ROUNDDOWN((DK27+DK28)/Assumptions!$C$49,0)</f>
        <v>2</v>
      </c>
      <c r="DL29" s="110">
        <f>ROUNDDOWN((DL27+DL28)/Assumptions!$C$49,0)</f>
        <v>4</v>
      </c>
      <c r="DM29" s="110">
        <f>ROUNDDOWN((DM27+DM28)/Assumptions!$C$49,0)</f>
        <v>5</v>
      </c>
      <c r="DN29" s="110">
        <f>ROUNDDOWN((DN27+DN28)/Assumptions!$C$49,0)</f>
        <v>2</v>
      </c>
      <c r="DO29" s="110">
        <f>ROUNDDOWN((DO27+DO28)/Assumptions!$C$49,0)</f>
        <v>3</v>
      </c>
      <c r="DP29" s="110">
        <f>ROUNDDOWN((DP27+DP28)/Assumptions!$C$49,0)</f>
        <v>3</v>
      </c>
      <c r="DQ29" s="110">
        <f>ROUNDDOWN((DQ27+DQ28)/Assumptions!$C$49,0)</f>
        <v>1</v>
      </c>
      <c r="DR29" s="110">
        <f>ROUNDDOWN((DR27+DR28)/Assumptions!$C$49,0)</f>
        <v>3</v>
      </c>
      <c r="DS29" s="110">
        <f>ROUNDDOWN((DS27+DS28)/Assumptions!$C$49,0)</f>
        <v>4</v>
      </c>
      <c r="DT29" s="110">
        <f>ROUNDDOWN((DT27+DT28)/Assumptions!$C$49,0)</f>
        <v>3</v>
      </c>
    </row>
    <row r="30" spans="1:124" ht="15" x14ac:dyDescent="0.25">
      <c r="B30" s="162" t="s">
        <v>80</v>
      </c>
      <c r="C30" s="56"/>
      <c r="D30" s="7"/>
      <c r="E30" s="463">
        <f>E27+E28-(E29*Assumptions!$C$49)</f>
        <v>0</v>
      </c>
      <c r="F30" s="463">
        <f>F27+F28-(F29*Assumptions!$C$49)</f>
        <v>0</v>
      </c>
      <c r="G30" s="463">
        <f>G27+G28-(G29*Assumptions!$C$49)</f>
        <v>0</v>
      </c>
      <c r="H30" s="463">
        <f>H27+H28-(H29*Assumptions!$C$49)</f>
        <v>0</v>
      </c>
      <c r="I30" s="463">
        <f>I27+I28-(I29*Assumptions!$C$49)</f>
        <v>0</v>
      </c>
      <c r="J30" s="463">
        <f>J27+J28-(J29*Assumptions!$C$49)</f>
        <v>0</v>
      </c>
      <c r="K30" s="463">
        <f>K27+K28-(K29*Assumptions!$C$49)</f>
        <v>0</v>
      </c>
      <c r="L30" s="463">
        <f>L27+L28-(L29*Assumptions!$C$49)</f>
        <v>0</v>
      </c>
      <c r="M30" s="463">
        <f>M27+M28-(M29*Assumptions!$C$49)</f>
        <v>0</v>
      </c>
      <c r="N30" s="463">
        <f>N27+N28-(N29*Assumptions!$C$49)</f>
        <v>0</v>
      </c>
      <c r="O30" s="463">
        <f>O27+O28-(O29*Assumptions!$C$49)</f>
        <v>0</v>
      </c>
      <c r="P30" s="487">
        <f>P27+P28-(P29*Assumptions!$C$49)</f>
        <v>0</v>
      </c>
      <c r="Q30" s="687">
        <f>Q27+Q28-(Q29*Assumptions!$C$49)</f>
        <v>0</v>
      </c>
      <c r="R30" s="110">
        <f>R27+R28-(R29*Assumptions!$C$49)</f>
        <v>0</v>
      </c>
      <c r="S30" s="110">
        <f>S27+S28-(S29*Assumptions!$C$49)</f>
        <v>0</v>
      </c>
      <c r="T30" s="110">
        <f>T27+T28-(T29*Assumptions!$C$49)</f>
        <v>0</v>
      </c>
      <c r="U30" s="110">
        <f>U27+U28-(U29*Assumptions!$C$49)</f>
        <v>0</v>
      </c>
      <c r="V30" s="110">
        <f>V27+V28-(V29*Assumptions!$C$49)</f>
        <v>0</v>
      </c>
      <c r="W30" s="110">
        <f>W27+W28-(W29*Assumptions!$C$49)</f>
        <v>0</v>
      </c>
      <c r="X30" s="110">
        <f>X27+X28-(X29*Assumptions!$C$49)</f>
        <v>0</v>
      </c>
      <c r="Y30" s="110">
        <f>Y27+Y28-(Y29*Assumptions!$C$49)</f>
        <v>0</v>
      </c>
      <c r="Z30" s="110">
        <f>Z27+Z28-(Z29*Assumptions!$C$49)</f>
        <v>0</v>
      </c>
      <c r="AA30" s="110">
        <f>AA27+AA28-(AA29*Assumptions!$C$49)</f>
        <v>0</v>
      </c>
      <c r="AB30" s="110">
        <f>AB27+AB28-(AB29*Assumptions!$C$49)</f>
        <v>0</v>
      </c>
      <c r="AC30" s="695">
        <f>AC27+AC28-(AC29*Assumptions!$C$49)</f>
        <v>0</v>
      </c>
      <c r="AD30" s="110">
        <f>AD27+AD28-(AD29*Assumptions!$C$49)</f>
        <v>0</v>
      </c>
      <c r="AE30" s="110">
        <f>AE27+AE28-(AE29*Assumptions!$C$49)</f>
        <v>0</v>
      </c>
      <c r="AF30" s="110">
        <f>AF27+AF28-(AF29*Assumptions!$C$49)</f>
        <v>0</v>
      </c>
      <c r="AG30" s="110">
        <f>AG27+AG28-(AG29*Assumptions!$C$49)</f>
        <v>0</v>
      </c>
      <c r="AH30" s="110">
        <f>AH27+AH28-(AH29*Assumptions!$C$49)</f>
        <v>0</v>
      </c>
      <c r="AI30" s="110">
        <f>AI27+AI28-(AI29*Assumptions!$C$49)</f>
        <v>0</v>
      </c>
      <c r="AJ30" s="110">
        <f>AJ27+AJ28-(AJ29*Assumptions!$C$49)</f>
        <v>0</v>
      </c>
      <c r="AK30" s="110">
        <f>AK27+AK28-(AK29*Assumptions!$C$49)</f>
        <v>0</v>
      </c>
      <c r="AL30" s="110">
        <f>AL27+AL28-(AL29*Assumptions!$C$49)</f>
        <v>0</v>
      </c>
      <c r="AM30" s="110">
        <f>AM27+AM28-(AM29*Assumptions!$C$49)</f>
        <v>0</v>
      </c>
      <c r="AN30" s="110">
        <f>AN27+AN28-(AN29*Assumptions!$C$49)</f>
        <v>0</v>
      </c>
      <c r="AO30" s="687">
        <f>AO27+AO28-(AO29*Assumptions!$C$49)</f>
        <v>0</v>
      </c>
      <c r="AP30" s="110">
        <f>AP27+AP28-(AP29*Assumptions!$C$49)</f>
        <v>11772.078976728655</v>
      </c>
      <c r="AQ30" s="110">
        <f>AQ27+AQ28-(AQ29*Assumptions!$C$49)</f>
        <v>823.70987695883377</v>
      </c>
      <c r="AR30" s="110">
        <f>AR27+AR28-(AR29*Assumptions!$C$49)</f>
        <v>4114.3857709543518</v>
      </c>
      <c r="AS30" s="110">
        <f>AS27+AS28-(AS29*Assumptions!$C$49)</f>
        <v>2942.9371615077107</v>
      </c>
      <c r="AT30" s="110">
        <f>AT27+AT28-(AT29*Assumptions!$C$49)</f>
        <v>2203.1246021349216</v>
      </c>
      <c r="AU30" s="110">
        <f>AU27+AU28-(AU29*Assumptions!$C$49)</f>
        <v>19643.73939369966</v>
      </c>
      <c r="AV30" s="110">
        <f>AV27+AV28-(AV29*Assumptions!$C$49)</f>
        <v>4884.44457664332</v>
      </c>
      <c r="AW30" s="110">
        <f>AW27+AW28-(AW29*Assumptions!$C$49)</f>
        <v>8258.5446116054554</v>
      </c>
      <c r="AX30" s="110">
        <f>AX27+AX28-(AX29*Assumptions!$C$49)</f>
        <v>8885.0181985178206</v>
      </c>
      <c r="AY30" s="110">
        <f>AY27+AY28-(AY29*Assumptions!$C$49)</f>
        <v>15702.917472061396</v>
      </c>
      <c r="AZ30" s="110">
        <f>AZ27+AZ28-(AZ29*Assumptions!$C$49)</f>
        <v>4234.2679592453933</v>
      </c>
      <c r="BA30" s="695">
        <f>BA27+BA28-(BA29*Assumptions!$C$49)</f>
        <v>15411.509582287254</v>
      </c>
      <c r="BB30" s="110">
        <f>BB27+BB28-(BB29*Assumptions!$C$49)</f>
        <v>6183.5885590159087</v>
      </c>
      <c r="BC30" s="110">
        <f>BC27+BC28-(BC29*Assumptions!$C$49)</f>
        <v>16235.219459246087</v>
      </c>
      <c r="BD30" s="110">
        <f>BD27+BD28-(BD29*Assumptions!$C$49)</f>
        <v>19525.895353241605</v>
      </c>
      <c r="BE30" s="110">
        <f>BE27+BE28-(BE29*Assumptions!$C$49)</f>
        <v>18354.446743794964</v>
      </c>
      <c r="BF30" s="110">
        <f>BF27+BF28-(BF29*Assumptions!$C$49)</f>
        <v>17614.634184422175</v>
      </c>
      <c r="BG30" s="110">
        <f>BG27+BG28-(BG29*Assumptions!$C$49)</f>
        <v>14055.248975986906</v>
      </c>
      <c r="BH30" s="110">
        <f>BH27+BH28-(BH29*Assumptions!$C$49)</f>
        <v>20295.954158930559</v>
      </c>
      <c r="BI30" s="110">
        <f>BI27+BI28-(BI29*Assumptions!$C$49)</f>
        <v>2670.0541938926908</v>
      </c>
      <c r="BJ30" s="110">
        <f>BJ27+BJ28-(BJ29*Assumptions!$C$49)</f>
        <v>3296.527780805045</v>
      </c>
      <c r="BK30" s="110">
        <f>BK27+BK28-(BK29*Assumptions!$C$49)</f>
        <v>10114.42705434862</v>
      </c>
      <c r="BL30" s="110">
        <f>BL27+BL28-(BL29*Assumptions!$C$49)</f>
        <v>19645.777541532618</v>
      </c>
      <c r="BM30" s="695">
        <f>BM27+BM28-(BM29*Assumptions!$C$49)</f>
        <v>9823.0191645744781</v>
      </c>
      <c r="BN30" s="110">
        <f>BN27+BN28-(BN29*Assumptions!$C$49)</f>
        <v>595.09814130313316</v>
      </c>
      <c r="BO30" s="110">
        <f>BO27+BO28-(BO29*Assumptions!$C$49)</f>
        <v>10646.729041533312</v>
      </c>
      <c r="BP30" s="110">
        <f>BP27+BP28-(BP29*Assumptions!$C$49)</f>
        <v>13937.40493552883</v>
      </c>
      <c r="BQ30" s="110">
        <f>BQ27+BQ28-(BQ29*Assumptions!$C$49)</f>
        <v>12765.956326082189</v>
      </c>
      <c r="BR30" s="110">
        <f>BR27+BR28-(BR29*Assumptions!$C$49)</f>
        <v>12026.1437667094</v>
      </c>
      <c r="BS30" s="110">
        <f>BS27+BS28-(BS29*Assumptions!$C$49)</f>
        <v>8466.7585582741303</v>
      </c>
      <c r="BT30" s="110">
        <f>BT27+BT28-(BT29*Assumptions!$C$49)</f>
        <v>14707.463741217784</v>
      </c>
      <c r="BU30" s="110">
        <f>BU27+BU28-(BU29*Assumptions!$C$49)</f>
        <v>18081.563776179915</v>
      </c>
      <c r="BV30" s="110">
        <f>BV27+BV28-(BV29*Assumptions!$C$49)</f>
        <v>18708.03736309227</v>
      </c>
      <c r="BW30" s="110">
        <f>BW27+BW28-(BW29*Assumptions!$C$49)</f>
        <v>4525.9366366358445</v>
      </c>
      <c r="BX30" s="110">
        <f>BX27+BX28-(BX29*Assumptions!$C$49)</f>
        <v>14057.287123819842</v>
      </c>
      <c r="BY30" s="695">
        <f>BY27+BY28-(BY29*Assumptions!$C$49)</f>
        <v>4234.5287468617025</v>
      </c>
      <c r="BZ30" s="110">
        <f>BZ27+BZ28-(BZ29*Assumptions!$C$49)</f>
        <v>16006.607723590358</v>
      </c>
      <c r="CA30" s="110">
        <f>CA27+CA28-(CA29*Assumptions!$C$49)</f>
        <v>5058.2386238205363</v>
      </c>
      <c r="CB30" s="110">
        <f>CB27+CB28-(CB29*Assumptions!$C$49)</f>
        <v>8348.9145178160543</v>
      </c>
      <c r="CC30" s="110">
        <f>CC27+CC28-(CC29*Assumptions!$C$49)</f>
        <v>7177.4659083694132</v>
      </c>
      <c r="CD30" s="110">
        <f>CD27+CD28-(CD29*Assumptions!$C$49)</f>
        <v>6437.6533489966241</v>
      </c>
      <c r="CE30" s="110">
        <f>CE27+CE28-(CE29*Assumptions!$C$49)</f>
        <v>2878.2681405613548</v>
      </c>
      <c r="CF30" s="110">
        <f>CF27+CF28-(CF29*Assumptions!$C$49)</f>
        <v>9118.973323505008</v>
      </c>
      <c r="CG30" s="110">
        <f>CG27+CG28-(CG29*Assumptions!$C$49)</f>
        <v>12493.07335846714</v>
      </c>
      <c r="CH30" s="110">
        <f>CH27+CH28-(CH29*Assumptions!$C$49)</f>
        <v>13119.546945379494</v>
      </c>
      <c r="CI30" s="110">
        <f>CI27+CI28-(CI29*Assumptions!$C$49)</f>
        <v>19937.446218923069</v>
      </c>
      <c r="CJ30" s="110">
        <f>CJ27+CJ28-(CJ29*Assumptions!$C$49)</f>
        <v>8468.7967061070667</v>
      </c>
      <c r="CK30" s="695">
        <f>CK27+CK28-(CK29*Assumptions!$C$49)</f>
        <v>19646.038329148927</v>
      </c>
      <c r="CL30" s="110">
        <f>CL27+CL28-(CL29*Assumptions!$C$49)</f>
        <v>10418.117305877582</v>
      </c>
      <c r="CM30" s="110">
        <f>CM27+CM28-(CM29*Assumptions!$C$49)</f>
        <v>20469.748206107761</v>
      </c>
      <c r="CN30" s="110">
        <f>CN27+CN28-(CN29*Assumptions!$C$49)</f>
        <v>2760.4241001032788</v>
      </c>
      <c r="CO30" s="110">
        <f>CO27+CO28-(CO29*Assumptions!$C$49)</f>
        <v>1588.9754906566377</v>
      </c>
      <c r="CP30" s="110">
        <f>CP27+CP28-(CP29*Assumptions!$C$49)</f>
        <v>849.16293128384859</v>
      </c>
      <c r="CQ30" s="110">
        <f>CQ27+CQ28-(CQ29*Assumptions!$C$49)</f>
        <v>18289.777722848587</v>
      </c>
      <c r="CR30" s="110">
        <f>CR27+CR28-(CR29*Assumptions!$C$49)</f>
        <v>3530.482905792247</v>
      </c>
      <c r="CS30" s="110">
        <f>CS27+CS28-(CS29*Assumptions!$C$49)</f>
        <v>6904.5829407543824</v>
      </c>
      <c r="CT30" s="110">
        <f>CT27+CT28-(CT29*Assumptions!$C$49)</f>
        <v>7531.0565276667476</v>
      </c>
      <c r="CU30" s="110">
        <f>CU27+CU28-(CU29*Assumptions!$C$49)</f>
        <v>14348.955801210323</v>
      </c>
      <c r="CV30" s="110">
        <f>CV27+CV28-(CV29*Assumptions!$C$49)</f>
        <v>2880.3062883943203</v>
      </c>
      <c r="CW30" s="695">
        <f>CW27+CW28-(CW29*Assumptions!$C$49)</f>
        <v>14057.547911436181</v>
      </c>
      <c r="CX30" s="110">
        <f>CX27+CX28-(CX29*Assumptions!$C$49)</f>
        <v>4829.6268881648357</v>
      </c>
      <c r="CY30" s="110">
        <f>CY27+CY28-(CY29*Assumptions!$C$49)</f>
        <v>14881.257788395014</v>
      </c>
      <c r="CZ30" s="110">
        <f>CZ27+CZ28-(CZ29*Assumptions!$C$49)</f>
        <v>18171.933682390532</v>
      </c>
      <c r="DA30" s="110">
        <f>DA27+DA28-(DA29*Assumptions!$C$49)</f>
        <v>17000.485072943891</v>
      </c>
      <c r="DB30" s="110">
        <f>DB27+DB28-(DB29*Assumptions!$C$49)</f>
        <v>16260.672513571102</v>
      </c>
      <c r="DC30" s="110">
        <f>DC27+DC28-(DC29*Assumptions!$C$49)</f>
        <v>12701.287305135833</v>
      </c>
      <c r="DD30" s="110">
        <f>DD27+DD28-(DD29*Assumptions!$C$49)</f>
        <v>18941.992488079486</v>
      </c>
      <c r="DE30" s="110">
        <f>DE27+DE28-(DE29*Assumptions!$C$49)</f>
        <v>1316.0925230416178</v>
      </c>
      <c r="DF30" s="110">
        <f>DF27+DF28-(DF29*Assumptions!$C$49)</f>
        <v>1942.5661099539793</v>
      </c>
      <c r="DG30" s="110">
        <f>DG27+DG28-(DG29*Assumptions!$C$49)</f>
        <v>8760.4653834975616</v>
      </c>
      <c r="DH30" s="110">
        <f>DH27+DH28-(DH29*Assumptions!$C$49)</f>
        <v>18291.815870681559</v>
      </c>
      <c r="DI30" s="695">
        <f>DI27+DI28-(DI29*Assumptions!$C$49)</f>
        <v>8469.0574937234196</v>
      </c>
      <c r="DJ30" s="110">
        <f>DJ27+DJ28-(DJ29*Assumptions!$C$49)</f>
        <v>20241.136470452075</v>
      </c>
      <c r="DK30" s="110">
        <f>DK27+DK28-(DK29*Assumptions!$C$49)</f>
        <v>9292.7673706822534</v>
      </c>
      <c r="DL30" s="110">
        <f>DL27+DL28-(DL29*Assumptions!$C$49)</f>
        <v>12583.443264677771</v>
      </c>
      <c r="DM30" s="110">
        <f>DM27+DM28-(DM29*Assumptions!$C$49)</f>
        <v>11411.99465523113</v>
      </c>
      <c r="DN30" s="110">
        <f>DN27+DN28-(DN29*Assumptions!$C$49)</f>
        <v>10672.182095858341</v>
      </c>
      <c r="DO30" s="110">
        <f>DO27+DO28-(DO29*Assumptions!$C$49)</f>
        <v>7112.7968874230864</v>
      </c>
      <c r="DP30" s="110">
        <f>DP27+DP28-(DP29*Assumptions!$C$49)</f>
        <v>13353.50207036674</v>
      </c>
      <c r="DQ30" s="110">
        <f>DQ27+DQ28-(DQ29*Assumptions!$C$49)</f>
        <v>16727.602105328871</v>
      </c>
      <c r="DR30" s="110">
        <f>DR27+DR28-(DR29*Assumptions!$C$49)</f>
        <v>17354.075692241226</v>
      </c>
      <c r="DS30" s="110">
        <f>DS27+DS28-(DS29*Assumptions!$C$49)</f>
        <v>3171.9749657848006</v>
      </c>
      <c r="DT30" s="110">
        <f>DT27+DT28-(DT29*Assumptions!$C$49)</f>
        <v>12703.325452968798</v>
      </c>
    </row>
    <row r="31" spans="1:124" s="3" customFormat="1" x14ac:dyDescent="0.2">
      <c r="A31" s="501"/>
      <c r="B31" s="501"/>
      <c r="C31" s="501"/>
      <c r="D31" s="501"/>
      <c r="E31" s="501"/>
      <c r="F31" s="501"/>
      <c r="G31" s="501"/>
      <c r="H31" s="501"/>
      <c r="I31" s="501"/>
      <c r="J31" s="501"/>
      <c r="K31" s="501"/>
      <c r="L31" s="501"/>
      <c r="M31" s="501"/>
      <c r="N31" s="501"/>
      <c r="O31" s="501"/>
      <c r="P31" s="502"/>
      <c r="Q31" s="1183"/>
      <c r="R31" s="501"/>
      <c r="S31" s="501"/>
      <c r="T31" s="501"/>
      <c r="U31" s="501"/>
      <c r="V31" s="501"/>
      <c r="W31" s="501"/>
      <c r="X31" s="501"/>
      <c r="Y31" s="501"/>
      <c r="Z31" s="501"/>
      <c r="AA31" s="501"/>
      <c r="AB31" s="502"/>
      <c r="AC31" s="501"/>
      <c r="AD31" s="501"/>
      <c r="AE31" s="501"/>
      <c r="AF31" s="501"/>
      <c r="AG31" s="501"/>
      <c r="AH31" s="501"/>
      <c r="AI31" s="501"/>
      <c r="AJ31" s="501"/>
      <c r="AK31" s="501"/>
      <c r="AL31" s="501"/>
      <c r="AM31" s="501"/>
      <c r="AN31" s="502"/>
      <c r="AO31" s="1183"/>
      <c r="AP31" s="501"/>
      <c r="AQ31" s="501"/>
      <c r="AR31" s="501"/>
      <c r="AS31" s="501"/>
      <c r="AT31" s="501"/>
      <c r="AU31" s="501"/>
      <c r="AV31" s="501"/>
      <c r="AW31" s="501"/>
      <c r="AX31" s="501"/>
      <c r="AY31" s="501"/>
      <c r="AZ31" s="502"/>
      <c r="BA31" s="501"/>
      <c r="BB31" s="501"/>
      <c r="BC31" s="501"/>
      <c r="BD31" s="501"/>
      <c r="BE31" s="501"/>
      <c r="BF31" s="501"/>
      <c r="BG31" s="501"/>
      <c r="BH31" s="501"/>
      <c r="BI31" s="501"/>
      <c r="BJ31" s="501"/>
      <c r="BK31" s="501"/>
      <c r="BL31" s="502"/>
      <c r="BM31" s="501"/>
      <c r="BN31" s="501"/>
      <c r="BO31" s="501"/>
      <c r="BP31" s="501"/>
      <c r="BQ31" s="501"/>
      <c r="BR31" s="501"/>
      <c r="BS31" s="501"/>
      <c r="BT31" s="501"/>
      <c r="BU31" s="501"/>
      <c r="BV31" s="501"/>
      <c r="BW31" s="501"/>
      <c r="BX31" s="502"/>
      <c r="BY31" s="501"/>
      <c r="BZ31" s="501"/>
      <c r="CA31" s="501"/>
      <c r="CB31" s="501"/>
      <c r="CC31" s="501"/>
      <c r="CD31" s="501"/>
      <c r="CE31" s="501"/>
      <c r="CF31" s="501"/>
      <c r="CG31" s="501"/>
      <c r="CH31" s="501"/>
      <c r="CI31" s="501"/>
      <c r="CJ31" s="502"/>
      <c r="CK31" s="501"/>
      <c r="CL31" s="501"/>
      <c r="CM31" s="501"/>
      <c r="CN31" s="501"/>
      <c r="CO31" s="501"/>
      <c r="CP31" s="501"/>
      <c r="CQ31" s="501"/>
      <c r="CR31" s="501"/>
      <c r="CS31" s="501"/>
      <c r="CT31" s="501"/>
      <c r="CU31" s="501"/>
      <c r="CV31" s="502"/>
      <c r="CW31" s="501"/>
      <c r="CX31" s="501"/>
      <c r="CY31" s="501"/>
      <c r="CZ31" s="501"/>
      <c r="DA31" s="501"/>
      <c r="DB31" s="501"/>
      <c r="DC31" s="501"/>
      <c r="DD31" s="501"/>
      <c r="DE31" s="501"/>
      <c r="DF31" s="501"/>
      <c r="DG31" s="501"/>
      <c r="DH31" s="502"/>
      <c r="DI31" s="501"/>
      <c r="DJ31" s="501"/>
      <c r="DK31" s="501"/>
      <c r="DL31" s="501"/>
      <c r="DM31" s="501"/>
      <c r="DN31" s="501"/>
      <c r="DO31" s="501"/>
      <c r="DP31" s="501"/>
      <c r="DQ31" s="501"/>
      <c r="DR31" s="501"/>
      <c r="DS31" s="501"/>
      <c r="DT31" s="502"/>
    </row>
    <row r="32" spans="1:124" s="3" customFormat="1" x14ac:dyDescent="0.2">
      <c r="A32" s="16"/>
      <c r="B32" s="16"/>
      <c r="C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</row>
    <row r="33" spans="1:124" s="3" customFormat="1" x14ac:dyDescent="0.2">
      <c r="A33" s="16"/>
      <c r="B33" s="16"/>
      <c r="C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</row>
    <row r="34" spans="1:124" s="3" customFormat="1" x14ac:dyDescent="0.2">
      <c r="A34" s="16"/>
      <c r="B34" s="16"/>
      <c r="C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</row>
    <row r="35" spans="1:124" s="3" customFormat="1" x14ac:dyDescent="0.2">
      <c r="A35" s="16"/>
      <c r="B35" s="16"/>
      <c r="C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</row>
    <row r="36" spans="1:124" s="3" customFormat="1" x14ac:dyDescent="0.2">
      <c r="A36" s="16"/>
      <c r="B36" s="16"/>
      <c r="C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</row>
    <row r="37" spans="1:124" s="3" customFormat="1" x14ac:dyDescent="0.2">
      <c r="A37" s="16"/>
      <c r="B37" s="16"/>
      <c r="C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</row>
    <row r="38" spans="1:124" s="3" customFormat="1" x14ac:dyDescent="0.2">
      <c r="A38" s="16"/>
      <c r="B38" s="16"/>
      <c r="C38" s="16"/>
      <c r="E38" s="16"/>
      <c r="F38" s="16"/>
      <c r="G38" s="16"/>
      <c r="H38" s="72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72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72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72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72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72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72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72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72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72"/>
      <c r="DM38" s="16"/>
      <c r="DN38" s="16"/>
      <c r="DO38" s="16"/>
      <c r="DP38" s="16"/>
      <c r="DQ38" s="16"/>
      <c r="DR38" s="16"/>
      <c r="DS38" s="16"/>
      <c r="DT38" s="16"/>
    </row>
    <row r="39" spans="1:124" s="3" customFormat="1" x14ac:dyDescent="0.2">
      <c r="A39" s="16"/>
      <c r="B39" s="72"/>
      <c r="C39" s="16"/>
      <c r="E39" s="16"/>
      <c r="F39" s="16"/>
      <c r="G39" s="72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72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72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72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72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72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72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72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72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72"/>
      <c r="DL39" s="16"/>
      <c r="DM39" s="16"/>
      <c r="DN39" s="16"/>
      <c r="DO39" s="16"/>
      <c r="DP39" s="16"/>
      <c r="DQ39" s="16"/>
      <c r="DR39" s="16"/>
      <c r="DS39" s="16"/>
      <c r="DT39" s="16"/>
    </row>
    <row r="40" spans="1:124" s="3" customFormat="1" x14ac:dyDescent="0.2">
      <c r="A40" s="16"/>
      <c r="B40" s="72"/>
      <c r="C40" s="16"/>
      <c r="E40" s="130"/>
      <c r="F40" s="16"/>
      <c r="G40" s="72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72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72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72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72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72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72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72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72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72"/>
      <c r="DL40" s="16"/>
      <c r="DM40" s="16"/>
      <c r="DN40" s="16"/>
      <c r="DO40" s="16"/>
      <c r="DP40" s="16"/>
      <c r="DQ40" s="16"/>
      <c r="DR40" s="16"/>
      <c r="DS40" s="16"/>
      <c r="DT40" s="16"/>
    </row>
    <row r="41" spans="1:124" s="3" customFormat="1" x14ac:dyDescent="0.2">
      <c r="A41" s="16"/>
      <c r="B41" s="72"/>
      <c r="C41" s="16"/>
      <c r="E41" s="130"/>
      <c r="F41" s="16"/>
      <c r="G41" s="72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72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72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72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72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72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72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72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72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72"/>
      <c r="DL41" s="16"/>
      <c r="DM41" s="16"/>
      <c r="DN41" s="16"/>
      <c r="DO41" s="16"/>
      <c r="DP41" s="16"/>
      <c r="DQ41" s="16"/>
      <c r="DR41" s="16"/>
      <c r="DS41" s="16"/>
      <c r="DT41" s="16"/>
    </row>
    <row r="42" spans="1:124" s="3" customFormat="1" x14ac:dyDescent="0.2">
      <c r="A42" s="16"/>
      <c r="B42" s="72"/>
      <c r="C42" s="16"/>
      <c r="E42" s="130"/>
      <c r="F42" s="16"/>
      <c r="G42" s="72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72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72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72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72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72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72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72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72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72"/>
      <c r="DL42" s="16"/>
      <c r="DM42" s="16"/>
      <c r="DN42" s="16"/>
      <c r="DO42" s="16"/>
      <c r="DP42" s="16"/>
      <c r="DQ42" s="16"/>
      <c r="DR42" s="16"/>
      <c r="DS42" s="16"/>
      <c r="DT42" s="16"/>
    </row>
    <row r="43" spans="1:124" s="3" customFormat="1" x14ac:dyDescent="0.2">
      <c r="A43" s="16"/>
      <c r="B43" s="72"/>
      <c r="C43" s="16"/>
      <c r="E43" s="16"/>
      <c r="F43" s="16"/>
      <c r="G43" s="72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72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72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72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72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72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72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72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72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72"/>
      <c r="DL43" s="16"/>
      <c r="DM43" s="16"/>
      <c r="DN43" s="16"/>
      <c r="DO43" s="16"/>
      <c r="DP43" s="16"/>
      <c r="DQ43" s="16"/>
      <c r="DR43" s="16"/>
      <c r="DS43" s="16"/>
      <c r="DT43" s="16"/>
    </row>
    <row r="44" spans="1:124" s="3" customFormat="1" x14ac:dyDescent="0.2">
      <c r="A44" s="16"/>
      <c r="B44" s="72"/>
      <c r="C44" s="16"/>
      <c r="E44" s="16"/>
      <c r="F44" s="16"/>
      <c r="G44" s="72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72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72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72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72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72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72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72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72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72"/>
      <c r="DL44" s="16"/>
      <c r="DM44" s="16"/>
      <c r="DN44" s="16"/>
      <c r="DO44" s="16"/>
      <c r="DP44" s="16"/>
      <c r="DQ44" s="16"/>
      <c r="DR44" s="16"/>
      <c r="DS44" s="16"/>
      <c r="DT44" s="16"/>
    </row>
    <row r="45" spans="1:124" s="3" customFormat="1" x14ac:dyDescent="0.2">
      <c r="A45" s="16"/>
      <c r="B45" s="72"/>
      <c r="C45" s="16"/>
      <c r="E45" s="16"/>
      <c r="F45" s="16"/>
      <c r="G45" s="72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72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72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72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72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72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72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72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72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72"/>
      <c r="DL45" s="16"/>
      <c r="DM45" s="16"/>
      <c r="DN45" s="16"/>
      <c r="DO45" s="16"/>
      <c r="DP45" s="16"/>
      <c r="DQ45" s="16"/>
      <c r="DR45" s="16"/>
      <c r="DS45" s="16"/>
      <c r="DT45" s="16"/>
    </row>
    <row r="46" spans="1:124" s="3" customFormat="1" x14ac:dyDescent="0.2">
      <c r="A46" s="16"/>
      <c r="B46" s="72"/>
      <c r="C46" s="16"/>
      <c r="E46" s="16"/>
      <c r="F46" s="16"/>
      <c r="G46" s="72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72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72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72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72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72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72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72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72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72"/>
      <c r="DL46" s="16"/>
      <c r="DM46" s="16"/>
      <c r="DN46" s="16"/>
      <c r="DO46" s="16"/>
      <c r="DP46" s="16"/>
      <c r="DQ46" s="16"/>
      <c r="DR46" s="16"/>
      <c r="DS46" s="16"/>
      <c r="DT46" s="16"/>
    </row>
    <row r="47" spans="1:124" s="3" customFormat="1" x14ac:dyDescent="0.2">
      <c r="A47" s="16"/>
      <c r="B47" s="72"/>
      <c r="C47" s="16"/>
      <c r="E47" s="16"/>
      <c r="F47" s="16"/>
      <c r="G47" s="72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72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72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72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72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72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72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72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72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72"/>
      <c r="DL47" s="16"/>
      <c r="DM47" s="16"/>
      <c r="DN47" s="16"/>
      <c r="DO47" s="16"/>
      <c r="DP47" s="16"/>
      <c r="DQ47" s="16"/>
      <c r="DR47" s="16"/>
      <c r="DS47" s="16"/>
      <c r="DT47" s="16"/>
    </row>
    <row r="48" spans="1:124" s="3" customFormat="1" x14ac:dyDescent="0.2">
      <c r="A48" s="16"/>
      <c r="B48" s="72"/>
      <c r="C48" s="16"/>
      <c r="E48" s="16"/>
      <c r="F48" s="16"/>
      <c r="G48" s="72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72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72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72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72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72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72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72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72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72"/>
      <c r="DL48" s="16"/>
      <c r="DM48" s="16"/>
      <c r="DN48" s="16"/>
      <c r="DO48" s="16"/>
      <c r="DP48" s="16"/>
      <c r="DQ48" s="16"/>
      <c r="DR48" s="16"/>
      <c r="DS48" s="16"/>
      <c r="DT48" s="16"/>
    </row>
    <row r="49" spans="1:124" s="3" customFormat="1" x14ac:dyDescent="0.2">
      <c r="A49" s="16"/>
      <c r="B49" s="72"/>
      <c r="C49" s="16"/>
      <c r="E49" s="16"/>
      <c r="F49" s="16"/>
      <c r="G49" s="72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72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72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72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72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72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72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72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72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72"/>
      <c r="DL49" s="16"/>
      <c r="DM49" s="16"/>
      <c r="DN49" s="16"/>
      <c r="DO49" s="16"/>
      <c r="DP49" s="16"/>
      <c r="DQ49" s="16"/>
      <c r="DR49" s="16"/>
      <c r="DS49" s="16"/>
      <c r="DT49" s="16"/>
    </row>
    <row r="50" spans="1:124" s="3" customFormat="1" x14ac:dyDescent="0.2">
      <c r="A50" s="16"/>
      <c r="B50" s="72"/>
      <c r="C50" s="16"/>
      <c r="E50" s="16"/>
      <c r="F50" s="16"/>
      <c r="G50" s="72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72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72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72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72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72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72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72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72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72"/>
      <c r="DL50" s="16"/>
      <c r="DM50" s="16"/>
      <c r="DN50" s="16"/>
      <c r="DO50" s="16"/>
      <c r="DP50" s="16"/>
      <c r="DQ50" s="16"/>
      <c r="DR50" s="16"/>
      <c r="DS50" s="16"/>
      <c r="DT50" s="16"/>
    </row>
    <row r="51" spans="1:124" s="3" customFormat="1" x14ac:dyDescent="0.2">
      <c r="A51" s="16"/>
      <c r="B51" s="72"/>
      <c r="C51" s="16"/>
      <c r="E51" s="16"/>
      <c r="F51" s="16"/>
      <c r="G51" s="72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72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72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72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72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72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72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72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72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72"/>
      <c r="DL51" s="16"/>
      <c r="DM51" s="16"/>
      <c r="DN51" s="16"/>
      <c r="DO51" s="16"/>
      <c r="DP51" s="16"/>
      <c r="DQ51" s="16"/>
      <c r="DR51" s="16"/>
      <c r="DS51" s="16"/>
      <c r="DT51" s="16"/>
    </row>
    <row r="52" spans="1:124" s="3" customFormat="1" x14ac:dyDescent="0.2">
      <c r="A52" s="16"/>
      <c r="B52" s="16"/>
      <c r="C52" s="16"/>
      <c r="E52" s="16"/>
      <c r="F52" s="16"/>
      <c r="G52" s="72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72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72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72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72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72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72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72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72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72"/>
      <c r="DL52" s="16"/>
      <c r="DM52" s="16"/>
      <c r="DN52" s="16"/>
      <c r="DO52" s="16"/>
      <c r="DP52" s="16"/>
      <c r="DQ52" s="16"/>
      <c r="DR52" s="16"/>
      <c r="DS52" s="16"/>
      <c r="DT52" s="16"/>
    </row>
    <row r="53" spans="1:124" s="16" customFormat="1" x14ac:dyDescent="0.2">
      <c r="D53" s="3"/>
    </row>
  </sheetData>
  <mergeCells count="12">
    <mergeCell ref="BM2:BX2"/>
    <mergeCell ref="BY2:CJ2"/>
    <mergeCell ref="CK2:CV2"/>
    <mergeCell ref="CW2:DH2"/>
    <mergeCell ref="DI2:DT2"/>
    <mergeCell ref="B18:C18"/>
    <mergeCell ref="E2:P2"/>
    <mergeCell ref="AC2:AN2"/>
    <mergeCell ref="AO2:AZ2"/>
    <mergeCell ref="BA2:BL2"/>
    <mergeCell ref="A1:C3"/>
    <mergeCell ref="Q2:AB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H30"/>
  <sheetViews>
    <sheetView topLeftCell="A16" zoomScale="110" zoomScaleNormal="110" workbookViewId="0">
      <selection activeCell="D28" sqref="D28"/>
    </sheetView>
  </sheetViews>
  <sheetFormatPr defaultRowHeight="12.75" x14ac:dyDescent="0.2"/>
  <cols>
    <col min="1" max="1" width="11" style="46" customWidth="1"/>
    <col min="2" max="2" width="47.7109375" style="46" customWidth="1"/>
    <col min="3" max="3" width="24.7109375" style="46" customWidth="1"/>
    <col min="4" max="4" width="13.42578125" style="46" customWidth="1"/>
    <col min="5" max="6" width="16.42578125" style="46" bestFit="1" customWidth="1"/>
    <col min="7" max="7" width="4.28515625" style="46" customWidth="1"/>
    <col min="8" max="8" width="17.42578125" style="46" bestFit="1" customWidth="1"/>
    <col min="9" max="44" width="16.42578125" style="46" bestFit="1" customWidth="1"/>
    <col min="45" max="45" width="17.85546875" style="46" bestFit="1" customWidth="1"/>
    <col min="46" max="47" width="16.42578125" style="46" bestFit="1" customWidth="1"/>
    <col min="48" max="48" width="17.85546875" style="46" bestFit="1" customWidth="1"/>
    <col min="49" max="66" width="16.42578125" style="46" bestFit="1" customWidth="1"/>
    <col min="67" max="244" width="9.140625" style="46"/>
    <col min="245" max="245" width="19.85546875" style="46" bestFit="1" customWidth="1"/>
    <col min="246" max="248" width="0" style="46" hidden="1" customWidth="1"/>
    <col min="249" max="261" width="13.42578125" style="46" customWidth="1"/>
    <col min="262" max="262" width="2.7109375" style="46" customWidth="1"/>
    <col min="263" max="275" width="13.42578125" style="46" customWidth="1"/>
    <col min="276" max="276" width="2.7109375" style="46" customWidth="1"/>
    <col min="277" max="289" width="13.42578125" style="46" customWidth="1"/>
    <col min="290" max="290" width="2.7109375" style="46" customWidth="1"/>
    <col min="291" max="303" width="13.42578125" style="46" customWidth="1"/>
    <col min="304" max="304" width="2.7109375" style="46" customWidth="1"/>
    <col min="305" max="317" width="13.42578125" style="46" customWidth="1"/>
    <col min="318" max="318" width="2.7109375" style="46" customWidth="1"/>
    <col min="319" max="500" width="9.140625" style="46"/>
    <col min="501" max="501" width="19.85546875" style="46" bestFit="1" customWidth="1"/>
    <col min="502" max="504" width="0" style="46" hidden="1" customWidth="1"/>
    <col min="505" max="517" width="13.42578125" style="46" customWidth="1"/>
    <col min="518" max="518" width="2.7109375" style="46" customWidth="1"/>
    <col min="519" max="531" width="13.42578125" style="46" customWidth="1"/>
    <col min="532" max="532" width="2.7109375" style="46" customWidth="1"/>
    <col min="533" max="545" width="13.42578125" style="46" customWidth="1"/>
    <col min="546" max="546" width="2.7109375" style="46" customWidth="1"/>
    <col min="547" max="559" width="13.42578125" style="46" customWidth="1"/>
    <col min="560" max="560" width="2.7109375" style="46" customWidth="1"/>
    <col min="561" max="573" width="13.42578125" style="46" customWidth="1"/>
    <col min="574" max="574" width="2.7109375" style="46" customWidth="1"/>
    <col min="575" max="756" width="9.140625" style="46"/>
    <col min="757" max="757" width="19.85546875" style="46" bestFit="1" customWidth="1"/>
    <col min="758" max="760" width="0" style="46" hidden="1" customWidth="1"/>
    <col min="761" max="773" width="13.42578125" style="46" customWidth="1"/>
    <col min="774" max="774" width="2.7109375" style="46" customWidth="1"/>
    <col min="775" max="787" width="13.42578125" style="46" customWidth="1"/>
    <col min="788" max="788" width="2.7109375" style="46" customWidth="1"/>
    <col min="789" max="801" width="13.42578125" style="46" customWidth="1"/>
    <col min="802" max="802" width="2.7109375" style="46" customWidth="1"/>
    <col min="803" max="815" width="13.42578125" style="46" customWidth="1"/>
    <col min="816" max="816" width="2.7109375" style="46" customWidth="1"/>
    <col min="817" max="829" width="13.42578125" style="46" customWidth="1"/>
    <col min="830" max="830" width="2.7109375" style="46" customWidth="1"/>
    <col min="831" max="1012" width="9.140625" style="46"/>
    <col min="1013" max="1013" width="19.85546875" style="46" bestFit="1" customWidth="1"/>
    <col min="1014" max="1016" width="0" style="46" hidden="1" customWidth="1"/>
    <col min="1017" max="1029" width="13.42578125" style="46" customWidth="1"/>
    <col min="1030" max="1030" width="2.7109375" style="46" customWidth="1"/>
    <col min="1031" max="1043" width="13.42578125" style="46" customWidth="1"/>
    <col min="1044" max="1044" width="2.7109375" style="46" customWidth="1"/>
    <col min="1045" max="1057" width="13.42578125" style="46" customWidth="1"/>
    <col min="1058" max="1058" width="2.7109375" style="46" customWidth="1"/>
    <col min="1059" max="1071" width="13.42578125" style="46" customWidth="1"/>
    <col min="1072" max="1072" width="2.7109375" style="46" customWidth="1"/>
    <col min="1073" max="1085" width="13.42578125" style="46" customWidth="1"/>
    <col min="1086" max="1086" width="2.7109375" style="46" customWidth="1"/>
    <col min="1087" max="1268" width="9.140625" style="46"/>
    <col min="1269" max="1269" width="19.85546875" style="46" bestFit="1" customWidth="1"/>
    <col min="1270" max="1272" width="0" style="46" hidden="1" customWidth="1"/>
    <col min="1273" max="1285" width="13.42578125" style="46" customWidth="1"/>
    <col min="1286" max="1286" width="2.7109375" style="46" customWidth="1"/>
    <col min="1287" max="1299" width="13.42578125" style="46" customWidth="1"/>
    <col min="1300" max="1300" width="2.7109375" style="46" customWidth="1"/>
    <col min="1301" max="1313" width="13.42578125" style="46" customWidth="1"/>
    <col min="1314" max="1314" width="2.7109375" style="46" customWidth="1"/>
    <col min="1315" max="1327" width="13.42578125" style="46" customWidth="1"/>
    <col min="1328" max="1328" width="2.7109375" style="46" customWidth="1"/>
    <col min="1329" max="1341" width="13.42578125" style="46" customWidth="1"/>
    <col min="1342" max="1342" width="2.7109375" style="46" customWidth="1"/>
    <col min="1343" max="1524" width="9.140625" style="46"/>
    <col min="1525" max="1525" width="19.85546875" style="46" bestFit="1" customWidth="1"/>
    <col min="1526" max="1528" width="0" style="46" hidden="1" customWidth="1"/>
    <col min="1529" max="1541" width="13.42578125" style="46" customWidth="1"/>
    <col min="1542" max="1542" width="2.7109375" style="46" customWidth="1"/>
    <col min="1543" max="1555" width="13.42578125" style="46" customWidth="1"/>
    <col min="1556" max="1556" width="2.7109375" style="46" customWidth="1"/>
    <col min="1557" max="1569" width="13.42578125" style="46" customWidth="1"/>
    <col min="1570" max="1570" width="2.7109375" style="46" customWidth="1"/>
    <col min="1571" max="1583" width="13.42578125" style="46" customWidth="1"/>
    <col min="1584" max="1584" width="2.7109375" style="46" customWidth="1"/>
    <col min="1585" max="1597" width="13.42578125" style="46" customWidth="1"/>
    <col min="1598" max="1598" width="2.7109375" style="46" customWidth="1"/>
    <col min="1599" max="1780" width="9.140625" style="46"/>
    <col min="1781" max="1781" width="19.85546875" style="46" bestFit="1" customWidth="1"/>
    <col min="1782" max="1784" width="0" style="46" hidden="1" customWidth="1"/>
    <col min="1785" max="1797" width="13.42578125" style="46" customWidth="1"/>
    <col min="1798" max="1798" width="2.7109375" style="46" customWidth="1"/>
    <col min="1799" max="1811" width="13.42578125" style="46" customWidth="1"/>
    <col min="1812" max="1812" width="2.7109375" style="46" customWidth="1"/>
    <col min="1813" max="1825" width="13.42578125" style="46" customWidth="1"/>
    <col min="1826" max="1826" width="2.7109375" style="46" customWidth="1"/>
    <col min="1827" max="1839" width="13.42578125" style="46" customWidth="1"/>
    <col min="1840" max="1840" width="2.7109375" style="46" customWidth="1"/>
    <col min="1841" max="1853" width="13.42578125" style="46" customWidth="1"/>
    <col min="1854" max="1854" width="2.7109375" style="46" customWidth="1"/>
    <col min="1855" max="2036" width="9.140625" style="46"/>
    <col min="2037" max="2037" width="19.85546875" style="46" bestFit="1" customWidth="1"/>
    <col min="2038" max="2040" width="0" style="46" hidden="1" customWidth="1"/>
    <col min="2041" max="2053" width="13.42578125" style="46" customWidth="1"/>
    <col min="2054" max="2054" width="2.7109375" style="46" customWidth="1"/>
    <col min="2055" max="2067" width="13.42578125" style="46" customWidth="1"/>
    <col min="2068" max="2068" width="2.7109375" style="46" customWidth="1"/>
    <col min="2069" max="2081" width="13.42578125" style="46" customWidth="1"/>
    <col min="2082" max="2082" width="2.7109375" style="46" customWidth="1"/>
    <col min="2083" max="2095" width="13.42578125" style="46" customWidth="1"/>
    <col min="2096" max="2096" width="2.7109375" style="46" customWidth="1"/>
    <col min="2097" max="2109" width="13.42578125" style="46" customWidth="1"/>
    <col min="2110" max="2110" width="2.7109375" style="46" customWidth="1"/>
    <col min="2111" max="2292" width="9.140625" style="46"/>
    <col min="2293" max="2293" width="19.85546875" style="46" bestFit="1" customWidth="1"/>
    <col min="2294" max="2296" width="0" style="46" hidden="1" customWidth="1"/>
    <col min="2297" max="2309" width="13.42578125" style="46" customWidth="1"/>
    <col min="2310" max="2310" width="2.7109375" style="46" customWidth="1"/>
    <col min="2311" max="2323" width="13.42578125" style="46" customWidth="1"/>
    <col min="2324" max="2324" width="2.7109375" style="46" customWidth="1"/>
    <col min="2325" max="2337" width="13.42578125" style="46" customWidth="1"/>
    <col min="2338" max="2338" width="2.7109375" style="46" customWidth="1"/>
    <col min="2339" max="2351" width="13.42578125" style="46" customWidth="1"/>
    <col min="2352" max="2352" width="2.7109375" style="46" customWidth="1"/>
    <col min="2353" max="2365" width="13.42578125" style="46" customWidth="1"/>
    <col min="2366" max="2366" width="2.7109375" style="46" customWidth="1"/>
    <col min="2367" max="2548" width="9.140625" style="46"/>
    <col min="2549" max="2549" width="19.85546875" style="46" bestFit="1" customWidth="1"/>
    <col min="2550" max="2552" width="0" style="46" hidden="1" customWidth="1"/>
    <col min="2553" max="2565" width="13.42578125" style="46" customWidth="1"/>
    <col min="2566" max="2566" width="2.7109375" style="46" customWidth="1"/>
    <col min="2567" max="2579" width="13.42578125" style="46" customWidth="1"/>
    <col min="2580" max="2580" width="2.7109375" style="46" customWidth="1"/>
    <col min="2581" max="2593" width="13.42578125" style="46" customWidth="1"/>
    <col min="2594" max="2594" width="2.7109375" style="46" customWidth="1"/>
    <col min="2595" max="2607" width="13.42578125" style="46" customWidth="1"/>
    <col min="2608" max="2608" width="2.7109375" style="46" customWidth="1"/>
    <col min="2609" max="2621" width="13.42578125" style="46" customWidth="1"/>
    <col min="2622" max="2622" width="2.7109375" style="46" customWidth="1"/>
    <col min="2623" max="2804" width="9.140625" style="46"/>
    <col min="2805" max="2805" width="19.85546875" style="46" bestFit="1" customWidth="1"/>
    <col min="2806" max="2808" width="0" style="46" hidden="1" customWidth="1"/>
    <col min="2809" max="2821" width="13.42578125" style="46" customWidth="1"/>
    <col min="2822" max="2822" width="2.7109375" style="46" customWidth="1"/>
    <col min="2823" max="2835" width="13.42578125" style="46" customWidth="1"/>
    <col min="2836" max="2836" width="2.7109375" style="46" customWidth="1"/>
    <col min="2837" max="2849" width="13.42578125" style="46" customWidth="1"/>
    <col min="2850" max="2850" width="2.7109375" style="46" customWidth="1"/>
    <col min="2851" max="2863" width="13.42578125" style="46" customWidth="1"/>
    <col min="2864" max="2864" width="2.7109375" style="46" customWidth="1"/>
    <col min="2865" max="2877" width="13.42578125" style="46" customWidth="1"/>
    <col min="2878" max="2878" width="2.7109375" style="46" customWidth="1"/>
    <col min="2879" max="3060" width="9.140625" style="46"/>
    <col min="3061" max="3061" width="19.85546875" style="46" bestFit="1" customWidth="1"/>
    <col min="3062" max="3064" width="0" style="46" hidden="1" customWidth="1"/>
    <col min="3065" max="3077" width="13.42578125" style="46" customWidth="1"/>
    <col min="3078" max="3078" width="2.7109375" style="46" customWidth="1"/>
    <col min="3079" max="3091" width="13.42578125" style="46" customWidth="1"/>
    <col min="3092" max="3092" width="2.7109375" style="46" customWidth="1"/>
    <col min="3093" max="3105" width="13.42578125" style="46" customWidth="1"/>
    <col min="3106" max="3106" width="2.7109375" style="46" customWidth="1"/>
    <col min="3107" max="3119" width="13.42578125" style="46" customWidth="1"/>
    <col min="3120" max="3120" width="2.7109375" style="46" customWidth="1"/>
    <col min="3121" max="3133" width="13.42578125" style="46" customWidth="1"/>
    <col min="3134" max="3134" width="2.7109375" style="46" customWidth="1"/>
    <col min="3135" max="3316" width="9.140625" style="46"/>
    <col min="3317" max="3317" width="19.85546875" style="46" bestFit="1" customWidth="1"/>
    <col min="3318" max="3320" width="0" style="46" hidden="1" customWidth="1"/>
    <col min="3321" max="3333" width="13.42578125" style="46" customWidth="1"/>
    <col min="3334" max="3334" width="2.7109375" style="46" customWidth="1"/>
    <col min="3335" max="3347" width="13.42578125" style="46" customWidth="1"/>
    <col min="3348" max="3348" width="2.7109375" style="46" customWidth="1"/>
    <col min="3349" max="3361" width="13.42578125" style="46" customWidth="1"/>
    <col min="3362" max="3362" width="2.7109375" style="46" customWidth="1"/>
    <col min="3363" max="3375" width="13.42578125" style="46" customWidth="1"/>
    <col min="3376" max="3376" width="2.7109375" style="46" customWidth="1"/>
    <col min="3377" max="3389" width="13.42578125" style="46" customWidth="1"/>
    <col min="3390" max="3390" width="2.7109375" style="46" customWidth="1"/>
    <col min="3391" max="3572" width="9.140625" style="46"/>
    <col min="3573" max="3573" width="19.85546875" style="46" bestFit="1" customWidth="1"/>
    <col min="3574" max="3576" width="0" style="46" hidden="1" customWidth="1"/>
    <col min="3577" max="3589" width="13.42578125" style="46" customWidth="1"/>
    <col min="3590" max="3590" width="2.7109375" style="46" customWidth="1"/>
    <col min="3591" max="3603" width="13.42578125" style="46" customWidth="1"/>
    <col min="3604" max="3604" width="2.7109375" style="46" customWidth="1"/>
    <col min="3605" max="3617" width="13.42578125" style="46" customWidth="1"/>
    <col min="3618" max="3618" width="2.7109375" style="46" customWidth="1"/>
    <col min="3619" max="3631" width="13.42578125" style="46" customWidth="1"/>
    <col min="3632" max="3632" width="2.7109375" style="46" customWidth="1"/>
    <col min="3633" max="3645" width="13.42578125" style="46" customWidth="1"/>
    <col min="3646" max="3646" width="2.7109375" style="46" customWidth="1"/>
    <col min="3647" max="3828" width="9.140625" style="46"/>
    <col min="3829" max="3829" width="19.85546875" style="46" bestFit="1" customWidth="1"/>
    <col min="3830" max="3832" width="0" style="46" hidden="1" customWidth="1"/>
    <col min="3833" max="3845" width="13.42578125" style="46" customWidth="1"/>
    <col min="3846" max="3846" width="2.7109375" style="46" customWidth="1"/>
    <col min="3847" max="3859" width="13.42578125" style="46" customWidth="1"/>
    <col min="3860" max="3860" width="2.7109375" style="46" customWidth="1"/>
    <col min="3861" max="3873" width="13.42578125" style="46" customWidth="1"/>
    <col min="3874" max="3874" width="2.7109375" style="46" customWidth="1"/>
    <col min="3875" max="3887" width="13.42578125" style="46" customWidth="1"/>
    <col min="3888" max="3888" width="2.7109375" style="46" customWidth="1"/>
    <col min="3889" max="3901" width="13.42578125" style="46" customWidth="1"/>
    <col min="3902" max="3902" width="2.7109375" style="46" customWidth="1"/>
    <col min="3903" max="4084" width="9.140625" style="46"/>
    <col min="4085" max="4085" width="19.85546875" style="46" bestFit="1" customWidth="1"/>
    <col min="4086" max="4088" width="0" style="46" hidden="1" customWidth="1"/>
    <col min="4089" max="4101" width="13.42578125" style="46" customWidth="1"/>
    <col min="4102" max="4102" width="2.7109375" style="46" customWidth="1"/>
    <col min="4103" max="4115" width="13.42578125" style="46" customWidth="1"/>
    <col min="4116" max="4116" width="2.7109375" style="46" customWidth="1"/>
    <col min="4117" max="4129" width="13.42578125" style="46" customWidth="1"/>
    <col min="4130" max="4130" width="2.7109375" style="46" customWidth="1"/>
    <col min="4131" max="4143" width="13.42578125" style="46" customWidth="1"/>
    <col min="4144" max="4144" width="2.7109375" style="46" customWidth="1"/>
    <col min="4145" max="4157" width="13.42578125" style="46" customWidth="1"/>
    <col min="4158" max="4158" width="2.7109375" style="46" customWidth="1"/>
    <col min="4159" max="4340" width="9.140625" style="46"/>
    <col min="4341" max="4341" width="19.85546875" style="46" bestFit="1" customWidth="1"/>
    <col min="4342" max="4344" width="0" style="46" hidden="1" customWidth="1"/>
    <col min="4345" max="4357" width="13.42578125" style="46" customWidth="1"/>
    <col min="4358" max="4358" width="2.7109375" style="46" customWidth="1"/>
    <col min="4359" max="4371" width="13.42578125" style="46" customWidth="1"/>
    <col min="4372" max="4372" width="2.7109375" style="46" customWidth="1"/>
    <col min="4373" max="4385" width="13.42578125" style="46" customWidth="1"/>
    <col min="4386" max="4386" width="2.7109375" style="46" customWidth="1"/>
    <col min="4387" max="4399" width="13.42578125" style="46" customWidth="1"/>
    <col min="4400" max="4400" width="2.7109375" style="46" customWidth="1"/>
    <col min="4401" max="4413" width="13.42578125" style="46" customWidth="1"/>
    <col min="4414" max="4414" width="2.7109375" style="46" customWidth="1"/>
    <col min="4415" max="4596" width="9.140625" style="46"/>
    <col min="4597" max="4597" width="19.85546875" style="46" bestFit="1" customWidth="1"/>
    <col min="4598" max="4600" width="0" style="46" hidden="1" customWidth="1"/>
    <col min="4601" max="4613" width="13.42578125" style="46" customWidth="1"/>
    <col min="4614" max="4614" width="2.7109375" style="46" customWidth="1"/>
    <col min="4615" max="4627" width="13.42578125" style="46" customWidth="1"/>
    <col min="4628" max="4628" width="2.7109375" style="46" customWidth="1"/>
    <col min="4629" max="4641" width="13.42578125" style="46" customWidth="1"/>
    <col min="4642" max="4642" width="2.7109375" style="46" customWidth="1"/>
    <col min="4643" max="4655" width="13.42578125" style="46" customWidth="1"/>
    <col min="4656" max="4656" width="2.7109375" style="46" customWidth="1"/>
    <col min="4657" max="4669" width="13.42578125" style="46" customWidth="1"/>
    <col min="4670" max="4670" width="2.7109375" style="46" customWidth="1"/>
    <col min="4671" max="4852" width="9.140625" style="46"/>
    <col min="4853" max="4853" width="19.85546875" style="46" bestFit="1" customWidth="1"/>
    <col min="4854" max="4856" width="0" style="46" hidden="1" customWidth="1"/>
    <col min="4857" max="4869" width="13.42578125" style="46" customWidth="1"/>
    <col min="4870" max="4870" width="2.7109375" style="46" customWidth="1"/>
    <col min="4871" max="4883" width="13.42578125" style="46" customWidth="1"/>
    <col min="4884" max="4884" width="2.7109375" style="46" customWidth="1"/>
    <col min="4885" max="4897" width="13.42578125" style="46" customWidth="1"/>
    <col min="4898" max="4898" width="2.7109375" style="46" customWidth="1"/>
    <col min="4899" max="4911" width="13.42578125" style="46" customWidth="1"/>
    <col min="4912" max="4912" width="2.7109375" style="46" customWidth="1"/>
    <col min="4913" max="4925" width="13.42578125" style="46" customWidth="1"/>
    <col min="4926" max="4926" width="2.7109375" style="46" customWidth="1"/>
    <col min="4927" max="5108" width="9.140625" style="46"/>
    <col min="5109" max="5109" width="19.85546875" style="46" bestFit="1" customWidth="1"/>
    <col min="5110" max="5112" width="0" style="46" hidden="1" customWidth="1"/>
    <col min="5113" max="5125" width="13.42578125" style="46" customWidth="1"/>
    <col min="5126" max="5126" width="2.7109375" style="46" customWidth="1"/>
    <col min="5127" max="5139" width="13.42578125" style="46" customWidth="1"/>
    <col min="5140" max="5140" width="2.7109375" style="46" customWidth="1"/>
    <col min="5141" max="5153" width="13.42578125" style="46" customWidth="1"/>
    <col min="5154" max="5154" width="2.7109375" style="46" customWidth="1"/>
    <col min="5155" max="5167" width="13.42578125" style="46" customWidth="1"/>
    <col min="5168" max="5168" width="2.7109375" style="46" customWidth="1"/>
    <col min="5169" max="5181" width="13.42578125" style="46" customWidth="1"/>
    <col min="5182" max="5182" width="2.7109375" style="46" customWidth="1"/>
    <col min="5183" max="5364" width="9.140625" style="46"/>
    <col min="5365" max="5365" width="19.85546875" style="46" bestFit="1" customWidth="1"/>
    <col min="5366" max="5368" width="0" style="46" hidden="1" customWidth="1"/>
    <col min="5369" max="5381" width="13.42578125" style="46" customWidth="1"/>
    <col min="5382" max="5382" width="2.7109375" style="46" customWidth="1"/>
    <col min="5383" max="5395" width="13.42578125" style="46" customWidth="1"/>
    <col min="5396" max="5396" width="2.7109375" style="46" customWidth="1"/>
    <col min="5397" max="5409" width="13.42578125" style="46" customWidth="1"/>
    <col min="5410" max="5410" width="2.7109375" style="46" customWidth="1"/>
    <col min="5411" max="5423" width="13.42578125" style="46" customWidth="1"/>
    <col min="5424" max="5424" width="2.7109375" style="46" customWidth="1"/>
    <col min="5425" max="5437" width="13.42578125" style="46" customWidth="1"/>
    <col min="5438" max="5438" width="2.7109375" style="46" customWidth="1"/>
    <col min="5439" max="5620" width="9.140625" style="46"/>
    <col min="5621" max="5621" width="19.85546875" style="46" bestFit="1" customWidth="1"/>
    <col min="5622" max="5624" width="0" style="46" hidden="1" customWidth="1"/>
    <col min="5625" max="5637" width="13.42578125" style="46" customWidth="1"/>
    <col min="5638" max="5638" width="2.7109375" style="46" customWidth="1"/>
    <col min="5639" max="5651" width="13.42578125" style="46" customWidth="1"/>
    <col min="5652" max="5652" width="2.7109375" style="46" customWidth="1"/>
    <col min="5653" max="5665" width="13.42578125" style="46" customWidth="1"/>
    <col min="5666" max="5666" width="2.7109375" style="46" customWidth="1"/>
    <col min="5667" max="5679" width="13.42578125" style="46" customWidth="1"/>
    <col min="5680" max="5680" width="2.7109375" style="46" customWidth="1"/>
    <col min="5681" max="5693" width="13.42578125" style="46" customWidth="1"/>
    <col min="5694" max="5694" width="2.7109375" style="46" customWidth="1"/>
    <col min="5695" max="5876" width="9.140625" style="46"/>
    <col min="5877" max="5877" width="19.85546875" style="46" bestFit="1" customWidth="1"/>
    <col min="5878" max="5880" width="0" style="46" hidden="1" customWidth="1"/>
    <col min="5881" max="5893" width="13.42578125" style="46" customWidth="1"/>
    <col min="5894" max="5894" width="2.7109375" style="46" customWidth="1"/>
    <col min="5895" max="5907" width="13.42578125" style="46" customWidth="1"/>
    <col min="5908" max="5908" width="2.7109375" style="46" customWidth="1"/>
    <col min="5909" max="5921" width="13.42578125" style="46" customWidth="1"/>
    <col min="5922" max="5922" width="2.7109375" style="46" customWidth="1"/>
    <col min="5923" max="5935" width="13.42578125" style="46" customWidth="1"/>
    <col min="5936" max="5936" width="2.7109375" style="46" customWidth="1"/>
    <col min="5937" max="5949" width="13.42578125" style="46" customWidth="1"/>
    <col min="5950" max="5950" width="2.7109375" style="46" customWidth="1"/>
    <col min="5951" max="6132" width="9.140625" style="46"/>
    <col min="6133" max="6133" width="19.85546875" style="46" bestFit="1" customWidth="1"/>
    <col min="6134" max="6136" width="0" style="46" hidden="1" customWidth="1"/>
    <col min="6137" max="6149" width="13.42578125" style="46" customWidth="1"/>
    <col min="6150" max="6150" width="2.7109375" style="46" customWidth="1"/>
    <col min="6151" max="6163" width="13.42578125" style="46" customWidth="1"/>
    <col min="6164" max="6164" width="2.7109375" style="46" customWidth="1"/>
    <col min="6165" max="6177" width="13.42578125" style="46" customWidth="1"/>
    <col min="6178" max="6178" width="2.7109375" style="46" customWidth="1"/>
    <col min="6179" max="6191" width="13.42578125" style="46" customWidth="1"/>
    <col min="6192" max="6192" width="2.7109375" style="46" customWidth="1"/>
    <col min="6193" max="6205" width="13.42578125" style="46" customWidth="1"/>
    <col min="6206" max="6206" width="2.7109375" style="46" customWidth="1"/>
    <col min="6207" max="6388" width="9.140625" style="46"/>
    <col min="6389" max="6389" width="19.85546875" style="46" bestFit="1" customWidth="1"/>
    <col min="6390" max="6392" width="0" style="46" hidden="1" customWidth="1"/>
    <col min="6393" max="6405" width="13.42578125" style="46" customWidth="1"/>
    <col min="6406" max="6406" width="2.7109375" style="46" customWidth="1"/>
    <col min="6407" max="6419" width="13.42578125" style="46" customWidth="1"/>
    <col min="6420" max="6420" width="2.7109375" style="46" customWidth="1"/>
    <col min="6421" max="6433" width="13.42578125" style="46" customWidth="1"/>
    <col min="6434" max="6434" width="2.7109375" style="46" customWidth="1"/>
    <col min="6435" max="6447" width="13.42578125" style="46" customWidth="1"/>
    <col min="6448" max="6448" width="2.7109375" style="46" customWidth="1"/>
    <col min="6449" max="6461" width="13.42578125" style="46" customWidth="1"/>
    <col min="6462" max="6462" width="2.7109375" style="46" customWidth="1"/>
    <col min="6463" max="6644" width="9.140625" style="46"/>
    <col min="6645" max="6645" width="19.85546875" style="46" bestFit="1" customWidth="1"/>
    <col min="6646" max="6648" width="0" style="46" hidden="1" customWidth="1"/>
    <col min="6649" max="6661" width="13.42578125" style="46" customWidth="1"/>
    <col min="6662" max="6662" width="2.7109375" style="46" customWidth="1"/>
    <col min="6663" max="6675" width="13.42578125" style="46" customWidth="1"/>
    <col min="6676" max="6676" width="2.7109375" style="46" customWidth="1"/>
    <col min="6677" max="6689" width="13.42578125" style="46" customWidth="1"/>
    <col min="6690" max="6690" width="2.7109375" style="46" customWidth="1"/>
    <col min="6691" max="6703" width="13.42578125" style="46" customWidth="1"/>
    <col min="6704" max="6704" width="2.7109375" style="46" customWidth="1"/>
    <col min="6705" max="6717" width="13.42578125" style="46" customWidth="1"/>
    <col min="6718" max="6718" width="2.7109375" style="46" customWidth="1"/>
    <col min="6719" max="6900" width="9.140625" style="46"/>
    <col min="6901" max="6901" width="19.85546875" style="46" bestFit="1" customWidth="1"/>
    <col min="6902" max="6904" width="0" style="46" hidden="1" customWidth="1"/>
    <col min="6905" max="6917" width="13.42578125" style="46" customWidth="1"/>
    <col min="6918" max="6918" width="2.7109375" style="46" customWidth="1"/>
    <col min="6919" max="6931" width="13.42578125" style="46" customWidth="1"/>
    <col min="6932" max="6932" width="2.7109375" style="46" customWidth="1"/>
    <col min="6933" max="6945" width="13.42578125" style="46" customWidth="1"/>
    <col min="6946" max="6946" width="2.7109375" style="46" customWidth="1"/>
    <col min="6947" max="6959" width="13.42578125" style="46" customWidth="1"/>
    <col min="6960" max="6960" width="2.7109375" style="46" customWidth="1"/>
    <col min="6961" max="6973" width="13.42578125" style="46" customWidth="1"/>
    <col min="6974" max="6974" width="2.7109375" style="46" customWidth="1"/>
    <col min="6975" max="7156" width="9.140625" style="46"/>
    <col min="7157" max="7157" width="19.85546875" style="46" bestFit="1" customWidth="1"/>
    <col min="7158" max="7160" width="0" style="46" hidden="1" customWidth="1"/>
    <col min="7161" max="7173" width="13.42578125" style="46" customWidth="1"/>
    <col min="7174" max="7174" width="2.7109375" style="46" customWidth="1"/>
    <col min="7175" max="7187" width="13.42578125" style="46" customWidth="1"/>
    <col min="7188" max="7188" width="2.7109375" style="46" customWidth="1"/>
    <col min="7189" max="7201" width="13.42578125" style="46" customWidth="1"/>
    <col min="7202" max="7202" width="2.7109375" style="46" customWidth="1"/>
    <col min="7203" max="7215" width="13.42578125" style="46" customWidth="1"/>
    <col min="7216" max="7216" width="2.7109375" style="46" customWidth="1"/>
    <col min="7217" max="7229" width="13.42578125" style="46" customWidth="1"/>
    <col min="7230" max="7230" width="2.7109375" style="46" customWidth="1"/>
    <col min="7231" max="7412" width="9.140625" style="46"/>
    <col min="7413" max="7413" width="19.85546875" style="46" bestFit="1" customWidth="1"/>
    <col min="7414" max="7416" width="0" style="46" hidden="1" customWidth="1"/>
    <col min="7417" max="7429" width="13.42578125" style="46" customWidth="1"/>
    <col min="7430" max="7430" width="2.7109375" style="46" customWidth="1"/>
    <col min="7431" max="7443" width="13.42578125" style="46" customWidth="1"/>
    <col min="7444" max="7444" width="2.7109375" style="46" customWidth="1"/>
    <col min="7445" max="7457" width="13.42578125" style="46" customWidth="1"/>
    <col min="7458" max="7458" width="2.7109375" style="46" customWidth="1"/>
    <col min="7459" max="7471" width="13.42578125" style="46" customWidth="1"/>
    <col min="7472" max="7472" width="2.7109375" style="46" customWidth="1"/>
    <col min="7473" max="7485" width="13.42578125" style="46" customWidth="1"/>
    <col min="7486" max="7486" width="2.7109375" style="46" customWidth="1"/>
    <col min="7487" max="7668" width="9.140625" style="46"/>
    <col min="7669" max="7669" width="19.85546875" style="46" bestFit="1" customWidth="1"/>
    <col min="7670" max="7672" width="0" style="46" hidden="1" customWidth="1"/>
    <col min="7673" max="7685" width="13.42578125" style="46" customWidth="1"/>
    <col min="7686" max="7686" width="2.7109375" style="46" customWidth="1"/>
    <col min="7687" max="7699" width="13.42578125" style="46" customWidth="1"/>
    <col min="7700" max="7700" width="2.7109375" style="46" customWidth="1"/>
    <col min="7701" max="7713" width="13.42578125" style="46" customWidth="1"/>
    <col min="7714" max="7714" width="2.7109375" style="46" customWidth="1"/>
    <col min="7715" max="7727" width="13.42578125" style="46" customWidth="1"/>
    <col min="7728" max="7728" width="2.7109375" style="46" customWidth="1"/>
    <col min="7729" max="7741" width="13.42578125" style="46" customWidth="1"/>
    <col min="7742" max="7742" width="2.7109375" style="46" customWidth="1"/>
    <col min="7743" max="7924" width="9.140625" style="46"/>
    <col min="7925" max="7925" width="19.85546875" style="46" bestFit="1" customWidth="1"/>
    <col min="7926" max="7928" width="0" style="46" hidden="1" customWidth="1"/>
    <col min="7929" max="7941" width="13.42578125" style="46" customWidth="1"/>
    <col min="7942" max="7942" width="2.7109375" style="46" customWidth="1"/>
    <col min="7943" max="7955" width="13.42578125" style="46" customWidth="1"/>
    <col min="7956" max="7956" width="2.7109375" style="46" customWidth="1"/>
    <col min="7957" max="7969" width="13.42578125" style="46" customWidth="1"/>
    <col min="7970" max="7970" width="2.7109375" style="46" customWidth="1"/>
    <col min="7971" max="7983" width="13.42578125" style="46" customWidth="1"/>
    <col min="7984" max="7984" width="2.7109375" style="46" customWidth="1"/>
    <col min="7985" max="7997" width="13.42578125" style="46" customWidth="1"/>
    <col min="7998" max="7998" width="2.7109375" style="46" customWidth="1"/>
    <col min="7999" max="8180" width="9.140625" style="46"/>
    <col min="8181" max="8181" width="19.85546875" style="46" bestFit="1" customWidth="1"/>
    <col min="8182" max="8184" width="0" style="46" hidden="1" customWidth="1"/>
    <col min="8185" max="8197" width="13.42578125" style="46" customWidth="1"/>
    <col min="8198" max="8198" width="2.7109375" style="46" customWidth="1"/>
    <col min="8199" max="8211" width="13.42578125" style="46" customWidth="1"/>
    <col min="8212" max="8212" width="2.7109375" style="46" customWidth="1"/>
    <col min="8213" max="8225" width="13.42578125" style="46" customWidth="1"/>
    <col min="8226" max="8226" width="2.7109375" style="46" customWidth="1"/>
    <col min="8227" max="8239" width="13.42578125" style="46" customWidth="1"/>
    <col min="8240" max="8240" width="2.7109375" style="46" customWidth="1"/>
    <col min="8241" max="8253" width="13.42578125" style="46" customWidth="1"/>
    <col min="8254" max="8254" width="2.7109375" style="46" customWidth="1"/>
    <col min="8255" max="8436" width="9.140625" style="46"/>
    <col min="8437" max="8437" width="19.85546875" style="46" bestFit="1" customWidth="1"/>
    <col min="8438" max="8440" width="0" style="46" hidden="1" customWidth="1"/>
    <col min="8441" max="8453" width="13.42578125" style="46" customWidth="1"/>
    <col min="8454" max="8454" width="2.7109375" style="46" customWidth="1"/>
    <col min="8455" max="8467" width="13.42578125" style="46" customWidth="1"/>
    <col min="8468" max="8468" width="2.7109375" style="46" customWidth="1"/>
    <col min="8469" max="8481" width="13.42578125" style="46" customWidth="1"/>
    <col min="8482" max="8482" width="2.7109375" style="46" customWidth="1"/>
    <col min="8483" max="8495" width="13.42578125" style="46" customWidth="1"/>
    <col min="8496" max="8496" width="2.7109375" style="46" customWidth="1"/>
    <col min="8497" max="8509" width="13.42578125" style="46" customWidth="1"/>
    <col min="8510" max="8510" width="2.7109375" style="46" customWidth="1"/>
    <col min="8511" max="8692" width="9.140625" style="46"/>
    <col min="8693" max="8693" width="19.85546875" style="46" bestFit="1" customWidth="1"/>
    <col min="8694" max="8696" width="0" style="46" hidden="1" customWidth="1"/>
    <col min="8697" max="8709" width="13.42578125" style="46" customWidth="1"/>
    <col min="8710" max="8710" width="2.7109375" style="46" customWidth="1"/>
    <col min="8711" max="8723" width="13.42578125" style="46" customWidth="1"/>
    <col min="8724" max="8724" width="2.7109375" style="46" customWidth="1"/>
    <col min="8725" max="8737" width="13.42578125" style="46" customWidth="1"/>
    <col min="8738" max="8738" width="2.7109375" style="46" customWidth="1"/>
    <col min="8739" max="8751" width="13.42578125" style="46" customWidth="1"/>
    <col min="8752" max="8752" width="2.7109375" style="46" customWidth="1"/>
    <col min="8753" max="8765" width="13.42578125" style="46" customWidth="1"/>
    <col min="8766" max="8766" width="2.7109375" style="46" customWidth="1"/>
    <col min="8767" max="8948" width="9.140625" style="46"/>
    <col min="8949" max="8949" width="19.85546875" style="46" bestFit="1" customWidth="1"/>
    <col min="8950" max="8952" width="0" style="46" hidden="1" customWidth="1"/>
    <col min="8953" max="8965" width="13.42578125" style="46" customWidth="1"/>
    <col min="8966" max="8966" width="2.7109375" style="46" customWidth="1"/>
    <col min="8967" max="8979" width="13.42578125" style="46" customWidth="1"/>
    <col min="8980" max="8980" width="2.7109375" style="46" customWidth="1"/>
    <col min="8981" max="8993" width="13.42578125" style="46" customWidth="1"/>
    <col min="8994" max="8994" width="2.7109375" style="46" customWidth="1"/>
    <col min="8995" max="9007" width="13.42578125" style="46" customWidth="1"/>
    <col min="9008" max="9008" width="2.7109375" style="46" customWidth="1"/>
    <col min="9009" max="9021" width="13.42578125" style="46" customWidth="1"/>
    <col min="9022" max="9022" width="2.7109375" style="46" customWidth="1"/>
    <col min="9023" max="9204" width="9.140625" style="46"/>
    <col min="9205" max="9205" width="19.85546875" style="46" bestFit="1" customWidth="1"/>
    <col min="9206" max="9208" width="0" style="46" hidden="1" customWidth="1"/>
    <col min="9209" max="9221" width="13.42578125" style="46" customWidth="1"/>
    <col min="9222" max="9222" width="2.7109375" style="46" customWidth="1"/>
    <col min="9223" max="9235" width="13.42578125" style="46" customWidth="1"/>
    <col min="9236" max="9236" width="2.7109375" style="46" customWidth="1"/>
    <col min="9237" max="9249" width="13.42578125" style="46" customWidth="1"/>
    <col min="9250" max="9250" width="2.7109375" style="46" customWidth="1"/>
    <col min="9251" max="9263" width="13.42578125" style="46" customWidth="1"/>
    <col min="9264" max="9264" width="2.7109375" style="46" customWidth="1"/>
    <col min="9265" max="9277" width="13.42578125" style="46" customWidth="1"/>
    <col min="9278" max="9278" width="2.7109375" style="46" customWidth="1"/>
    <col min="9279" max="9460" width="9.140625" style="46"/>
    <col min="9461" max="9461" width="19.85546875" style="46" bestFit="1" customWidth="1"/>
    <col min="9462" max="9464" width="0" style="46" hidden="1" customWidth="1"/>
    <col min="9465" max="9477" width="13.42578125" style="46" customWidth="1"/>
    <col min="9478" max="9478" width="2.7109375" style="46" customWidth="1"/>
    <col min="9479" max="9491" width="13.42578125" style="46" customWidth="1"/>
    <col min="9492" max="9492" width="2.7109375" style="46" customWidth="1"/>
    <col min="9493" max="9505" width="13.42578125" style="46" customWidth="1"/>
    <col min="9506" max="9506" width="2.7109375" style="46" customWidth="1"/>
    <col min="9507" max="9519" width="13.42578125" style="46" customWidth="1"/>
    <col min="9520" max="9520" width="2.7109375" style="46" customWidth="1"/>
    <col min="9521" max="9533" width="13.42578125" style="46" customWidth="1"/>
    <col min="9534" max="9534" width="2.7109375" style="46" customWidth="1"/>
    <col min="9535" max="9716" width="9.140625" style="46"/>
    <col min="9717" max="9717" width="19.85546875" style="46" bestFit="1" customWidth="1"/>
    <col min="9718" max="9720" width="0" style="46" hidden="1" customWidth="1"/>
    <col min="9721" max="9733" width="13.42578125" style="46" customWidth="1"/>
    <col min="9734" max="9734" width="2.7109375" style="46" customWidth="1"/>
    <col min="9735" max="9747" width="13.42578125" style="46" customWidth="1"/>
    <col min="9748" max="9748" width="2.7109375" style="46" customWidth="1"/>
    <col min="9749" max="9761" width="13.42578125" style="46" customWidth="1"/>
    <col min="9762" max="9762" width="2.7109375" style="46" customWidth="1"/>
    <col min="9763" max="9775" width="13.42578125" style="46" customWidth="1"/>
    <col min="9776" max="9776" width="2.7109375" style="46" customWidth="1"/>
    <col min="9777" max="9789" width="13.42578125" style="46" customWidth="1"/>
    <col min="9790" max="9790" width="2.7109375" style="46" customWidth="1"/>
    <col min="9791" max="9972" width="9.140625" style="46"/>
    <col min="9973" max="9973" width="19.85546875" style="46" bestFit="1" customWidth="1"/>
    <col min="9974" max="9976" width="0" style="46" hidden="1" customWidth="1"/>
    <col min="9977" max="9989" width="13.42578125" style="46" customWidth="1"/>
    <col min="9990" max="9990" width="2.7109375" style="46" customWidth="1"/>
    <col min="9991" max="10003" width="13.42578125" style="46" customWidth="1"/>
    <col min="10004" max="10004" width="2.7109375" style="46" customWidth="1"/>
    <col min="10005" max="10017" width="13.42578125" style="46" customWidth="1"/>
    <col min="10018" max="10018" width="2.7109375" style="46" customWidth="1"/>
    <col min="10019" max="10031" width="13.42578125" style="46" customWidth="1"/>
    <col min="10032" max="10032" width="2.7109375" style="46" customWidth="1"/>
    <col min="10033" max="10045" width="13.42578125" style="46" customWidth="1"/>
    <col min="10046" max="10046" width="2.7109375" style="46" customWidth="1"/>
    <col min="10047" max="10228" width="9.140625" style="46"/>
    <col min="10229" max="10229" width="19.85546875" style="46" bestFit="1" customWidth="1"/>
    <col min="10230" max="10232" width="0" style="46" hidden="1" customWidth="1"/>
    <col min="10233" max="10245" width="13.42578125" style="46" customWidth="1"/>
    <col min="10246" max="10246" width="2.7109375" style="46" customWidth="1"/>
    <col min="10247" max="10259" width="13.42578125" style="46" customWidth="1"/>
    <col min="10260" max="10260" width="2.7109375" style="46" customWidth="1"/>
    <col min="10261" max="10273" width="13.42578125" style="46" customWidth="1"/>
    <col min="10274" max="10274" width="2.7109375" style="46" customWidth="1"/>
    <col min="10275" max="10287" width="13.42578125" style="46" customWidth="1"/>
    <col min="10288" max="10288" width="2.7109375" style="46" customWidth="1"/>
    <col min="10289" max="10301" width="13.42578125" style="46" customWidth="1"/>
    <col min="10302" max="10302" width="2.7109375" style="46" customWidth="1"/>
    <col min="10303" max="10484" width="9.140625" style="46"/>
    <col min="10485" max="10485" width="19.85546875" style="46" bestFit="1" customWidth="1"/>
    <col min="10486" max="10488" width="0" style="46" hidden="1" customWidth="1"/>
    <col min="10489" max="10501" width="13.42578125" style="46" customWidth="1"/>
    <col min="10502" max="10502" width="2.7109375" style="46" customWidth="1"/>
    <col min="10503" max="10515" width="13.42578125" style="46" customWidth="1"/>
    <col min="10516" max="10516" width="2.7109375" style="46" customWidth="1"/>
    <col min="10517" max="10529" width="13.42578125" style="46" customWidth="1"/>
    <col min="10530" max="10530" width="2.7109375" style="46" customWidth="1"/>
    <col min="10531" max="10543" width="13.42578125" style="46" customWidth="1"/>
    <col min="10544" max="10544" width="2.7109375" style="46" customWidth="1"/>
    <col min="10545" max="10557" width="13.42578125" style="46" customWidth="1"/>
    <col min="10558" max="10558" width="2.7109375" style="46" customWidth="1"/>
    <col min="10559" max="10740" width="9.140625" style="46"/>
    <col min="10741" max="10741" width="19.85546875" style="46" bestFit="1" customWidth="1"/>
    <col min="10742" max="10744" width="0" style="46" hidden="1" customWidth="1"/>
    <col min="10745" max="10757" width="13.42578125" style="46" customWidth="1"/>
    <col min="10758" max="10758" width="2.7109375" style="46" customWidth="1"/>
    <col min="10759" max="10771" width="13.42578125" style="46" customWidth="1"/>
    <col min="10772" max="10772" width="2.7109375" style="46" customWidth="1"/>
    <col min="10773" max="10785" width="13.42578125" style="46" customWidth="1"/>
    <col min="10786" max="10786" width="2.7109375" style="46" customWidth="1"/>
    <col min="10787" max="10799" width="13.42578125" style="46" customWidth="1"/>
    <col min="10800" max="10800" width="2.7109375" style="46" customWidth="1"/>
    <col min="10801" max="10813" width="13.42578125" style="46" customWidth="1"/>
    <col min="10814" max="10814" width="2.7109375" style="46" customWidth="1"/>
    <col min="10815" max="10996" width="9.140625" style="46"/>
    <col min="10997" max="10997" width="19.85546875" style="46" bestFit="1" customWidth="1"/>
    <col min="10998" max="11000" width="0" style="46" hidden="1" customWidth="1"/>
    <col min="11001" max="11013" width="13.42578125" style="46" customWidth="1"/>
    <col min="11014" max="11014" width="2.7109375" style="46" customWidth="1"/>
    <col min="11015" max="11027" width="13.42578125" style="46" customWidth="1"/>
    <col min="11028" max="11028" width="2.7109375" style="46" customWidth="1"/>
    <col min="11029" max="11041" width="13.42578125" style="46" customWidth="1"/>
    <col min="11042" max="11042" width="2.7109375" style="46" customWidth="1"/>
    <col min="11043" max="11055" width="13.42578125" style="46" customWidth="1"/>
    <col min="11056" max="11056" width="2.7109375" style="46" customWidth="1"/>
    <col min="11057" max="11069" width="13.42578125" style="46" customWidth="1"/>
    <col min="11070" max="11070" width="2.7109375" style="46" customWidth="1"/>
    <col min="11071" max="11252" width="9.140625" style="46"/>
    <col min="11253" max="11253" width="19.85546875" style="46" bestFit="1" customWidth="1"/>
    <col min="11254" max="11256" width="0" style="46" hidden="1" customWidth="1"/>
    <col min="11257" max="11269" width="13.42578125" style="46" customWidth="1"/>
    <col min="11270" max="11270" width="2.7109375" style="46" customWidth="1"/>
    <col min="11271" max="11283" width="13.42578125" style="46" customWidth="1"/>
    <col min="11284" max="11284" width="2.7109375" style="46" customWidth="1"/>
    <col min="11285" max="11297" width="13.42578125" style="46" customWidth="1"/>
    <col min="11298" max="11298" width="2.7109375" style="46" customWidth="1"/>
    <col min="11299" max="11311" width="13.42578125" style="46" customWidth="1"/>
    <col min="11312" max="11312" width="2.7109375" style="46" customWidth="1"/>
    <col min="11313" max="11325" width="13.42578125" style="46" customWidth="1"/>
    <col min="11326" max="11326" width="2.7109375" style="46" customWidth="1"/>
    <col min="11327" max="11508" width="9.140625" style="46"/>
    <col min="11509" max="11509" width="19.85546875" style="46" bestFit="1" customWidth="1"/>
    <col min="11510" max="11512" width="0" style="46" hidden="1" customWidth="1"/>
    <col min="11513" max="11525" width="13.42578125" style="46" customWidth="1"/>
    <col min="11526" max="11526" width="2.7109375" style="46" customWidth="1"/>
    <col min="11527" max="11539" width="13.42578125" style="46" customWidth="1"/>
    <col min="11540" max="11540" width="2.7109375" style="46" customWidth="1"/>
    <col min="11541" max="11553" width="13.42578125" style="46" customWidth="1"/>
    <col min="11554" max="11554" width="2.7109375" style="46" customWidth="1"/>
    <col min="11555" max="11567" width="13.42578125" style="46" customWidth="1"/>
    <col min="11568" max="11568" width="2.7109375" style="46" customWidth="1"/>
    <col min="11569" max="11581" width="13.42578125" style="46" customWidth="1"/>
    <col min="11582" max="11582" width="2.7109375" style="46" customWidth="1"/>
    <col min="11583" max="11764" width="9.140625" style="46"/>
    <col min="11765" max="11765" width="19.85546875" style="46" bestFit="1" customWidth="1"/>
    <col min="11766" max="11768" width="0" style="46" hidden="1" customWidth="1"/>
    <col min="11769" max="11781" width="13.42578125" style="46" customWidth="1"/>
    <col min="11782" max="11782" width="2.7109375" style="46" customWidth="1"/>
    <col min="11783" max="11795" width="13.42578125" style="46" customWidth="1"/>
    <col min="11796" max="11796" width="2.7109375" style="46" customWidth="1"/>
    <col min="11797" max="11809" width="13.42578125" style="46" customWidth="1"/>
    <col min="11810" max="11810" width="2.7109375" style="46" customWidth="1"/>
    <col min="11811" max="11823" width="13.42578125" style="46" customWidth="1"/>
    <col min="11824" max="11824" width="2.7109375" style="46" customWidth="1"/>
    <col min="11825" max="11837" width="13.42578125" style="46" customWidth="1"/>
    <col min="11838" max="11838" width="2.7109375" style="46" customWidth="1"/>
    <col min="11839" max="12020" width="9.140625" style="46"/>
    <col min="12021" max="12021" width="19.85546875" style="46" bestFit="1" customWidth="1"/>
    <col min="12022" max="12024" width="0" style="46" hidden="1" customWidth="1"/>
    <col min="12025" max="12037" width="13.42578125" style="46" customWidth="1"/>
    <col min="12038" max="12038" width="2.7109375" style="46" customWidth="1"/>
    <col min="12039" max="12051" width="13.42578125" style="46" customWidth="1"/>
    <col min="12052" max="12052" width="2.7109375" style="46" customWidth="1"/>
    <col min="12053" max="12065" width="13.42578125" style="46" customWidth="1"/>
    <col min="12066" max="12066" width="2.7109375" style="46" customWidth="1"/>
    <col min="12067" max="12079" width="13.42578125" style="46" customWidth="1"/>
    <col min="12080" max="12080" width="2.7109375" style="46" customWidth="1"/>
    <col min="12081" max="12093" width="13.42578125" style="46" customWidth="1"/>
    <col min="12094" max="12094" width="2.7109375" style="46" customWidth="1"/>
    <col min="12095" max="12276" width="9.140625" style="46"/>
    <col min="12277" max="12277" width="19.85546875" style="46" bestFit="1" customWidth="1"/>
    <col min="12278" max="12280" width="0" style="46" hidden="1" customWidth="1"/>
    <col min="12281" max="12293" width="13.42578125" style="46" customWidth="1"/>
    <col min="12294" max="12294" width="2.7109375" style="46" customWidth="1"/>
    <col min="12295" max="12307" width="13.42578125" style="46" customWidth="1"/>
    <col min="12308" max="12308" width="2.7109375" style="46" customWidth="1"/>
    <col min="12309" max="12321" width="13.42578125" style="46" customWidth="1"/>
    <col min="12322" max="12322" width="2.7109375" style="46" customWidth="1"/>
    <col min="12323" max="12335" width="13.42578125" style="46" customWidth="1"/>
    <col min="12336" max="12336" width="2.7109375" style="46" customWidth="1"/>
    <col min="12337" max="12349" width="13.42578125" style="46" customWidth="1"/>
    <col min="12350" max="12350" width="2.7109375" style="46" customWidth="1"/>
    <col min="12351" max="12532" width="9.140625" style="46"/>
    <col min="12533" max="12533" width="19.85546875" style="46" bestFit="1" customWidth="1"/>
    <col min="12534" max="12536" width="0" style="46" hidden="1" customWidth="1"/>
    <col min="12537" max="12549" width="13.42578125" style="46" customWidth="1"/>
    <col min="12550" max="12550" width="2.7109375" style="46" customWidth="1"/>
    <col min="12551" max="12563" width="13.42578125" style="46" customWidth="1"/>
    <col min="12564" max="12564" width="2.7109375" style="46" customWidth="1"/>
    <col min="12565" max="12577" width="13.42578125" style="46" customWidth="1"/>
    <col min="12578" max="12578" width="2.7109375" style="46" customWidth="1"/>
    <col min="12579" max="12591" width="13.42578125" style="46" customWidth="1"/>
    <col min="12592" max="12592" width="2.7109375" style="46" customWidth="1"/>
    <col min="12593" max="12605" width="13.42578125" style="46" customWidth="1"/>
    <col min="12606" max="12606" width="2.7109375" style="46" customWidth="1"/>
    <col min="12607" max="12788" width="9.140625" style="46"/>
    <col min="12789" max="12789" width="19.85546875" style="46" bestFit="1" customWidth="1"/>
    <col min="12790" max="12792" width="0" style="46" hidden="1" customWidth="1"/>
    <col min="12793" max="12805" width="13.42578125" style="46" customWidth="1"/>
    <col min="12806" max="12806" width="2.7109375" style="46" customWidth="1"/>
    <col min="12807" max="12819" width="13.42578125" style="46" customWidth="1"/>
    <col min="12820" max="12820" width="2.7109375" style="46" customWidth="1"/>
    <col min="12821" max="12833" width="13.42578125" style="46" customWidth="1"/>
    <col min="12834" max="12834" width="2.7109375" style="46" customWidth="1"/>
    <col min="12835" max="12847" width="13.42578125" style="46" customWidth="1"/>
    <col min="12848" max="12848" width="2.7109375" style="46" customWidth="1"/>
    <col min="12849" max="12861" width="13.42578125" style="46" customWidth="1"/>
    <col min="12862" max="12862" width="2.7109375" style="46" customWidth="1"/>
    <col min="12863" max="13044" width="9.140625" style="46"/>
    <col min="13045" max="13045" width="19.85546875" style="46" bestFit="1" customWidth="1"/>
    <col min="13046" max="13048" width="0" style="46" hidden="1" customWidth="1"/>
    <col min="13049" max="13061" width="13.42578125" style="46" customWidth="1"/>
    <col min="13062" max="13062" width="2.7109375" style="46" customWidth="1"/>
    <col min="13063" max="13075" width="13.42578125" style="46" customWidth="1"/>
    <col min="13076" max="13076" width="2.7109375" style="46" customWidth="1"/>
    <col min="13077" max="13089" width="13.42578125" style="46" customWidth="1"/>
    <col min="13090" max="13090" width="2.7109375" style="46" customWidth="1"/>
    <col min="13091" max="13103" width="13.42578125" style="46" customWidth="1"/>
    <col min="13104" max="13104" width="2.7109375" style="46" customWidth="1"/>
    <col min="13105" max="13117" width="13.42578125" style="46" customWidth="1"/>
    <col min="13118" max="13118" width="2.7109375" style="46" customWidth="1"/>
    <col min="13119" max="13300" width="9.140625" style="46"/>
    <col min="13301" max="13301" width="19.85546875" style="46" bestFit="1" customWidth="1"/>
    <col min="13302" max="13304" width="0" style="46" hidden="1" customWidth="1"/>
    <col min="13305" max="13317" width="13.42578125" style="46" customWidth="1"/>
    <col min="13318" max="13318" width="2.7109375" style="46" customWidth="1"/>
    <col min="13319" max="13331" width="13.42578125" style="46" customWidth="1"/>
    <col min="13332" max="13332" width="2.7109375" style="46" customWidth="1"/>
    <col min="13333" max="13345" width="13.42578125" style="46" customWidth="1"/>
    <col min="13346" max="13346" width="2.7109375" style="46" customWidth="1"/>
    <col min="13347" max="13359" width="13.42578125" style="46" customWidth="1"/>
    <col min="13360" max="13360" width="2.7109375" style="46" customWidth="1"/>
    <col min="13361" max="13373" width="13.42578125" style="46" customWidth="1"/>
    <col min="13374" max="13374" width="2.7109375" style="46" customWidth="1"/>
    <col min="13375" max="13556" width="9.140625" style="46"/>
    <col min="13557" max="13557" width="19.85546875" style="46" bestFit="1" customWidth="1"/>
    <col min="13558" max="13560" width="0" style="46" hidden="1" customWidth="1"/>
    <col min="13561" max="13573" width="13.42578125" style="46" customWidth="1"/>
    <col min="13574" max="13574" width="2.7109375" style="46" customWidth="1"/>
    <col min="13575" max="13587" width="13.42578125" style="46" customWidth="1"/>
    <col min="13588" max="13588" width="2.7109375" style="46" customWidth="1"/>
    <col min="13589" max="13601" width="13.42578125" style="46" customWidth="1"/>
    <col min="13602" max="13602" width="2.7109375" style="46" customWidth="1"/>
    <col min="13603" max="13615" width="13.42578125" style="46" customWidth="1"/>
    <col min="13616" max="13616" width="2.7109375" style="46" customWidth="1"/>
    <col min="13617" max="13629" width="13.42578125" style="46" customWidth="1"/>
    <col min="13630" max="13630" width="2.7109375" style="46" customWidth="1"/>
    <col min="13631" max="13812" width="9.140625" style="46"/>
    <col min="13813" max="13813" width="19.85546875" style="46" bestFit="1" customWidth="1"/>
    <col min="13814" max="13816" width="0" style="46" hidden="1" customWidth="1"/>
    <col min="13817" max="13829" width="13.42578125" style="46" customWidth="1"/>
    <col min="13830" max="13830" width="2.7109375" style="46" customWidth="1"/>
    <col min="13831" max="13843" width="13.42578125" style="46" customWidth="1"/>
    <col min="13844" max="13844" width="2.7109375" style="46" customWidth="1"/>
    <col min="13845" max="13857" width="13.42578125" style="46" customWidth="1"/>
    <col min="13858" max="13858" width="2.7109375" style="46" customWidth="1"/>
    <col min="13859" max="13871" width="13.42578125" style="46" customWidth="1"/>
    <col min="13872" max="13872" width="2.7109375" style="46" customWidth="1"/>
    <col min="13873" max="13885" width="13.42578125" style="46" customWidth="1"/>
    <col min="13886" max="13886" width="2.7109375" style="46" customWidth="1"/>
    <col min="13887" max="14068" width="9.140625" style="46"/>
    <col min="14069" max="14069" width="19.85546875" style="46" bestFit="1" customWidth="1"/>
    <col min="14070" max="14072" width="0" style="46" hidden="1" customWidth="1"/>
    <col min="14073" max="14085" width="13.42578125" style="46" customWidth="1"/>
    <col min="14086" max="14086" width="2.7109375" style="46" customWidth="1"/>
    <col min="14087" max="14099" width="13.42578125" style="46" customWidth="1"/>
    <col min="14100" max="14100" width="2.7109375" style="46" customWidth="1"/>
    <col min="14101" max="14113" width="13.42578125" style="46" customWidth="1"/>
    <col min="14114" max="14114" width="2.7109375" style="46" customWidth="1"/>
    <col min="14115" max="14127" width="13.42578125" style="46" customWidth="1"/>
    <col min="14128" max="14128" width="2.7109375" style="46" customWidth="1"/>
    <col min="14129" max="14141" width="13.42578125" style="46" customWidth="1"/>
    <col min="14142" max="14142" width="2.7109375" style="46" customWidth="1"/>
    <col min="14143" max="14324" width="9.140625" style="46"/>
    <col min="14325" max="14325" width="19.85546875" style="46" bestFit="1" customWidth="1"/>
    <col min="14326" max="14328" width="0" style="46" hidden="1" customWidth="1"/>
    <col min="14329" max="14341" width="13.42578125" style="46" customWidth="1"/>
    <col min="14342" max="14342" width="2.7109375" style="46" customWidth="1"/>
    <col min="14343" max="14355" width="13.42578125" style="46" customWidth="1"/>
    <col min="14356" max="14356" width="2.7109375" style="46" customWidth="1"/>
    <col min="14357" max="14369" width="13.42578125" style="46" customWidth="1"/>
    <col min="14370" max="14370" width="2.7109375" style="46" customWidth="1"/>
    <col min="14371" max="14383" width="13.42578125" style="46" customWidth="1"/>
    <col min="14384" max="14384" width="2.7109375" style="46" customWidth="1"/>
    <col min="14385" max="14397" width="13.42578125" style="46" customWidth="1"/>
    <col min="14398" max="14398" width="2.7109375" style="46" customWidth="1"/>
    <col min="14399" max="14580" width="9.140625" style="46"/>
    <col min="14581" max="14581" width="19.85546875" style="46" bestFit="1" customWidth="1"/>
    <col min="14582" max="14584" width="0" style="46" hidden="1" customWidth="1"/>
    <col min="14585" max="14597" width="13.42578125" style="46" customWidth="1"/>
    <col min="14598" max="14598" width="2.7109375" style="46" customWidth="1"/>
    <col min="14599" max="14611" width="13.42578125" style="46" customWidth="1"/>
    <col min="14612" max="14612" width="2.7109375" style="46" customWidth="1"/>
    <col min="14613" max="14625" width="13.42578125" style="46" customWidth="1"/>
    <col min="14626" max="14626" width="2.7109375" style="46" customWidth="1"/>
    <col min="14627" max="14639" width="13.42578125" style="46" customWidth="1"/>
    <col min="14640" max="14640" width="2.7109375" style="46" customWidth="1"/>
    <col min="14641" max="14653" width="13.42578125" style="46" customWidth="1"/>
    <col min="14654" max="14654" width="2.7109375" style="46" customWidth="1"/>
    <col min="14655" max="14836" width="9.140625" style="46"/>
    <col min="14837" max="14837" width="19.85546875" style="46" bestFit="1" customWidth="1"/>
    <col min="14838" max="14840" width="0" style="46" hidden="1" customWidth="1"/>
    <col min="14841" max="14853" width="13.42578125" style="46" customWidth="1"/>
    <col min="14854" max="14854" width="2.7109375" style="46" customWidth="1"/>
    <col min="14855" max="14867" width="13.42578125" style="46" customWidth="1"/>
    <col min="14868" max="14868" width="2.7109375" style="46" customWidth="1"/>
    <col min="14869" max="14881" width="13.42578125" style="46" customWidth="1"/>
    <col min="14882" max="14882" width="2.7109375" style="46" customWidth="1"/>
    <col min="14883" max="14895" width="13.42578125" style="46" customWidth="1"/>
    <col min="14896" max="14896" width="2.7109375" style="46" customWidth="1"/>
    <col min="14897" max="14909" width="13.42578125" style="46" customWidth="1"/>
    <col min="14910" max="14910" width="2.7109375" style="46" customWidth="1"/>
    <col min="14911" max="15092" width="9.140625" style="46"/>
    <col min="15093" max="15093" width="19.85546875" style="46" bestFit="1" customWidth="1"/>
    <col min="15094" max="15096" width="0" style="46" hidden="1" customWidth="1"/>
    <col min="15097" max="15109" width="13.42578125" style="46" customWidth="1"/>
    <col min="15110" max="15110" width="2.7109375" style="46" customWidth="1"/>
    <col min="15111" max="15123" width="13.42578125" style="46" customWidth="1"/>
    <col min="15124" max="15124" width="2.7109375" style="46" customWidth="1"/>
    <col min="15125" max="15137" width="13.42578125" style="46" customWidth="1"/>
    <col min="15138" max="15138" width="2.7109375" style="46" customWidth="1"/>
    <col min="15139" max="15151" width="13.42578125" style="46" customWidth="1"/>
    <col min="15152" max="15152" width="2.7109375" style="46" customWidth="1"/>
    <col min="15153" max="15165" width="13.42578125" style="46" customWidth="1"/>
    <col min="15166" max="15166" width="2.7109375" style="46" customWidth="1"/>
    <col min="15167" max="15348" width="9.140625" style="46"/>
    <col min="15349" max="15349" width="19.85546875" style="46" bestFit="1" customWidth="1"/>
    <col min="15350" max="15352" width="0" style="46" hidden="1" customWidth="1"/>
    <col min="15353" max="15365" width="13.42578125" style="46" customWidth="1"/>
    <col min="15366" max="15366" width="2.7109375" style="46" customWidth="1"/>
    <col min="15367" max="15379" width="13.42578125" style="46" customWidth="1"/>
    <col min="15380" max="15380" width="2.7109375" style="46" customWidth="1"/>
    <col min="15381" max="15393" width="13.42578125" style="46" customWidth="1"/>
    <col min="15394" max="15394" width="2.7109375" style="46" customWidth="1"/>
    <col min="15395" max="15407" width="13.42578125" style="46" customWidth="1"/>
    <col min="15408" max="15408" width="2.7109375" style="46" customWidth="1"/>
    <col min="15409" max="15421" width="13.42578125" style="46" customWidth="1"/>
    <col min="15422" max="15422" width="2.7109375" style="46" customWidth="1"/>
    <col min="15423" max="15604" width="9.140625" style="46"/>
    <col min="15605" max="15605" width="19.85546875" style="46" bestFit="1" customWidth="1"/>
    <col min="15606" max="15608" width="0" style="46" hidden="1" customWidth="1"/>
    <col min="15609" max="15621" width="13.42578125" style="46" customWidth="1"/>
    <col min="15622" max="15622" width="2.7109375" style="46" customWidth="1"/>
    <col min="15623" max="15635" width="13.42578125" style="46" customWidth="1"/>
    <col min="15636" max="15636" width="2.7109375" style="46" customWidth="1"/>
    <col min="15637" max="15649" width="13.42578125" style="46" customWidth="1"/>
    <col min="15650" max="15650" width="2.7109375" style="46" customWidth="1"/>
    <col min="15651" max="15663" width="13.42578125" style="46" customWidth="1"/>
    <col min="15664" max="15664" width="2.7109375" style="46" customWidth="1"/>
    <col min="15665" max="15677" width="13.42578125" style="46" customWidth="1"/>
    <col min="15678" max="15678" width="2.7109375" style="46" customWidth="1"/>
    <col min="15679" max="15860" width="9.140625" style="46"/>
    <col min="15861" max="15861" width="19.85546875" style="46" bestFit="1" customWidth="1"/>
    <col min="15862" max="15864" width="0" style="46" hidden="1" customWidth="1"/>
    <col min="15865" max="15877" width="13.42578125" style="46" customWidth="1"/>
    <col min="15878" max="15878" width="2.7109375" style="46" customWidth="1"/>
    <col min="15879" max="15891" width="13.42578125" style="46" customWidth="1"/>
    <col min="15892" max="15892" width="2.7109375" style="46" customWidth="1"/>
    <col min="15893" max="15905" width="13.42578125" style="46" customWidth="1"/>
    <col min="15906" max="15906" width="2.7109375" style="46" customWidth="1"/>
    <col min="15907" max="15919" width="13.42578125" style="46" customWidth="1"/>
    <col min="15920" max="15920" width="2.7109375" style="46" customWidth="1"/>
    <col min="15921" max="15933" width="13.42578125" style="46" customWidth="1"/>
    <col min="15934" max="15934" width="2.7109375" style="46" customWidth="1"/>
    <col min="15935" max="16116" width="9.140625" style="46"/>
    <col min="16117" max="16117" width="19.85546875" style="46" bestFit="1" customWidth="1"/>
    <col min="16118" max="16120" width="0" style="46" hidden="1" customWidth="1"/>
    <col min="16121" max="16133" width="13.42578125" style="46" customWidth="1"/>
    <col min="16134" max="16134" width="2.7109375" style="46" customWidth="1"/>
    <col min="16135" max="16147" width="13.42578125" style="46" customWidth="1"/>
    <col min="16148" max="16148" width="2.7109375" style="46" customWidth="1"/>
    <col min="16149" max="16161" width="13.42578125" style="46" customWidth="1"/>
    <col min="16162" max="16162" width="2.7109375" style="46" customWidth="1"/>
    <col min="16163" max="16175" width="13.42578125" style="46" customWidth="1"/>
    <col min="16176" max="16176" width="2.7109375" style="46" customWidth="1"/>
    <col min="16177" max="16189" width="13.42578125" style="46" customWidth="1"/>
    <col min="16190" max="16190" width="2.7109375" style="46" customWidth="1"/>
    <col min="16191" max="16384" width="9.140625" style="46"/>
  </cols>
  <sheetData>
    <row r="1" spans="1:8" ht="12.75" customHeight="1" x14ac:dyDescent="0.2">
      <c r="A1" s="1441" t="s">
        <v>523</v>
      </c>
      <c r="B1" s="1441"/>
      <c r="C1" s="90"/>
    </row>
    <row r="2" spans="1:8" ht="12.75" customHeight="1" x14ac:dyDescent="0.2">
      <c r="A2" s="1441"/>
      <c r="B2" s="1441"/>
      <c r="C2" s="90"/>
    </row>
    <row r="3" spans="1:8" ht="12.75" customHeight="1" x14ac:dyDescent="0.2">
      <c r="A3" s="1441"/>
      <c r="B3" s="1441"/>
      <c r="C3" s="90"/>
    </row>
    <row r="4" spans="1:8" ht="12.75" customHeight="1" x14ac:dyDescent="0.2">
      <c r="A4" s="90"/>
      <c r="B4" s="90"/>
      <c r="C4" s="90"/>
    </row>
    <row r="5" spans="1:8" ht="21.75" thickBot="1" x14ac:dyDescent="0.25">
      <c r="A5" s="354"/>
      <c r="B5" s="380" t="s">
        <v>281</v>
      </c>
      <c r="C5" s="355"/>
      <c r="D5" s="355"/>
      <c r="E5" s="356"/>
      <c r="F5" s="356"/>
    </row>
    <row r="6" spans="1:8" ht="20.25" customHeight="1" x14ac:dyDescent="0.2">
      <c r="A6" s="357"/>
      <c r="B6" s="71"/>
      <c r="C6" s="71"/>
      <c r="D6" s="358" t="s">
        <v>282</v>
      </c>
      <c r="E6" s="359" t="s">
        <v>283</v>
      </c>
      <c r="F6" s="360" t="s">
        <v>284</v>
      </c>
    </row>
    <row r="7" spans="1:8" ht="22.5" customHeight="1" x14ac:dyDescent="0.2">
      <c r="A7" s="354"/>
      <c r="B7" s="381" t="s">
        <v>285</v>
      </c>
      <c r="C7" s="71"/>
      <c r="D7" s="361"/>
      <c r="E7" s="362"/>
      <c r="F7" s="354"/>
    </row>
    <row r="8" spans="1:8" s="368" customFormat="1" ht="15.75" x14ac:dyDescent="0.25">
      <c r="A8" s="363"/>
      <c r="B8" s="364" t="s">
        <v>366</v>
      </c>
      <c r="C8" s="365"/>
      <c r="D8" s="366">
        <v>7.0499999999999993E-2</v>
      </c>
      <c r="E8" s="366">
        <v>8.5900000000000004E-2</v>
      </c>
      <c r="F8" s="479">
        <f>(D8+E8)/2</f>
        <v>7.8199999999999992E-2</v>
      </c>
      <c r="H8" s="480"/>
    </row>
    <row r="9" spans="1:8" s="368" customFormat="1" ht="15.75" x14ac:dyDescent="0.25">
      <c r="B9" s="369" t="s">
        <v>286</v>
      </c>
      <c r="C9" s="369"/>
      <c r="D9" s="370">
        <v>0.03</v>
      </c>
      <c r="E9" s="370">
        <v>0.03</v>
      </c>
      <c r="F9" s="367">
        <v>0.03</v>
      </c>
      <c r="H9" s="46"/>
    </row>
    <row r="10" spans="1:8" s="368" customFormat="1" ht="15.75" x14ac:dyDescent="0.25">
      <c r="B10" s="368" t="s">
        <v>287</v>
      </c>
      <c r="D10" s="367">
        <v>5.3999999999999999E-2</v>
      </c>
      <c r="E10" s="367">
        <v>6.8000000000000005E-2</v>
      </c>
      <c r="F10" s="367">
        <f>(D10+E10)/2</f>
        <v>6.0999999999999999E-2</v>
      </c>
      <c r="H10" s="46"/>
    </row>
    <row r="11" spans="1:8" s="368" customFormat="1" ht="15.75" x14ac:dyDescent="0.25">
      <c r="B11" s="368" t="s">
        <v>288</v>
      </c>
      <c r="D11" s="371">
        <v>0.9</v>
      </c>
      <c r="E11" s="371">
        <v>0.9</v>
      </c>
      <c r="F11" s="372">
        <v>0.9</v>
      </c>
      <c r="H11" s="46"/>
    </row>
    <row r="12" spans="1:8" s="368" customFormat="1" ht="15.75" x14ac:dyDescent="0.25">
      <c r="B12" s="368" t="s">
        <v>289</v>
      </c>
      <c r="D12" s="367">
        <v>0</v>
      </c>
      <c r="E12" s="367">
        <v>0.03</v>
      </c>
      <c r="F12" s="367">
        <f>(D12+E12)/2</f>
        <v>1.4999999999999999E-2</v>
      </c>
      <c r="H12" s="46"/>
    </row>
    <row r="13" spans="1:8" s="368" customFormat="1" ht="15.75" x14ac:dyDescent="0.25">
      <c r="B13" s="368" t="s">
        <v>290</v>
      </c>
      <c r="D13" s="373">
        <v>0.01</v>
      </c>
      <c r="E13" s="373">
        <v>0.03</v>
      </c>
      <c r="F13" s="367">
        <v>0.02</v>
      </c>
      <c r="H13" s="46"/>
    </row>
    <row r="14" spans="1:8" s="368" customFormat="1" ht="15.75" x14ac:dyDescent="0.25">
      <c r="D14" s="371"/>
      <c r="E14" s="371"/>
      <c r="F14" s="371"/>
      <c r="H14" s="46"/>
    </row>
    <row r="15" spans="1:8" s="368" customFormat="1" ht="23.25" customHeight="1" thickBot="1" x14ac:dyDescent="0.3">
      <c r="B15" s="374" t="s">
        <v>291</v>
      </c>
      <c r="C15" s="375"/>
      <c r="D15" s="376">
        <f>((1+D8)*(1+D9)-1)+(D11*D10)+D12+D13</f>
        <v>0.16121500000000014</v>
      </c>
      <c r="E15" s="376">
        <f>((1+E8)*(1+E9)-1)+(E11*E10)+E12+E13</f>
        <v>0.23967700000000017</v>
      </c>
      <c r="F15" s="376">
        <f>((1+F8)*(1+F9)-1)+(F11*F10)+F12+F13</f>
        <v>0.20044600000000004</v>
      </c>
      <c r="H15" s="46"/>
    </row>
    <row r="16" spans="1:8" x14ac:dyDescent="0.2">
      <c r="D16" s="354"/>
      <c r="E16" s="354"/>
      <c r="F16" s="354"/>
    </row>
    <row r="17" spans="1:8" ht="22.5" customHeight="1" x14ac:dyDescent="0.2">
      <c r="A17" s="354"/>
      <c r="B17" s="381" t="s">
        <v>368</v>
      </c>
      <c r="C17" s="71"/>
      <c r="D17" s="361"/>
      <c r="E17" s="362"/>
      <c r="F17" s="354"/>
    </row>
    <row r="18" spans="1:8" ht="15.75" x14ac:dyDescent="0.25">
      <c r="B18" s="368" t="s">
        <v>369</v>
      </c>
      <c r="C18" s="368"/>
      <c r="D18" s="367">
        <v>0.105</v>
      </c>
      <c r="E18" s="367">
        <v>0.125</v>
      </c>
      <c r="F18" s="367">
        <f>(E18+D18)/2</f>
        <v>0.11499999999999999</v>
      </c>
    </row>
    <row r="19" spans="1:8" ht="15.75" x14ac:dyDescent="0.25">
      <c r="B19" s="368" t="s">
        <v>292</v>
      </c>
      <c r="C19" s="368"/>
      <c r="D19" s="373">
        <v>0.15</v>
      </c>
      <c r="E19" s="373">
        <v>0.15</v>
      </c>
      <c r="F19" s="373">
        <v>0.15</v>
      </c>
    </row>
    <row r="20" spans="1:8" s="368" customFormat="1" ht="23.25" customHeight="1" thickBot="1" x14ac:dyDescent="0.3">
      <c r="B20" s="374" t="s">
        <v>293</v>
      </c>
      <c r="C20" s="375"/>
      <c r="D20" s="377">
        <f>D18*(1-D19)</f>
        <v>8.9249999999999996E-2</v>
      </c>
      <c r="E20" s="377">
        <f>E18*(1-E19)</f>
        <v>0.10625</v>
      </c>
      <c r="F20" s="377">
        <f>F18*(1-F19)</f>
        <v>9.774999999999999E-2</v>
      </c>
      <c r="H20" s="46"/>
    </row>
    <row r="21" spans="1:8" x14ac:dyDescent="0.2">
      <c r="D21" s="354"/>
      <c r="E21" s="354"/>
      <c r="F21" s="354"/>
    </row>
    <row r="22" spans="1:8" ht="22.5" customHeight="1" x14ac:dyDescent="0.2">
      <c r="A22" s="354"/>
      <c r="B22" s="381" t="s">
        <v>294</v>
      </c>
      <c r="C22" s="71"/>
      <c r="D22" s="361"/>
      <c r="E22" s="362"/>
      <c r="F22" s="354"/>
    </row>
    <row r="23" spans="1:8" ht="15.75" x14ac:dyDescent="0.25">
      <c r="B23" s="368" t="s">
        <v>295</v>
      </c>
      <c r="C23" s="368"/>
      <c r="D23" s="373">
        <v>0.5</v>
      </c>
      <c r="E23" s="373">
        <v>0.5</v>
      </c>
      <c r="F23" s="367">
        <v>0.5</v>
      </c>
    </row>
    <row r="24" spans="1:8" ht="15.75" x14ac:dyDescent="0.25">
      <c r="B24" s="368" t="s">
        <v>296</v>
      </c>
      <c r="C24" s="368"/>
      <c r="D24" s="373">
        <v>0.5</v>
      </c>
      <c r="E24" s="373">
        <v>0.5</v>
      </c>
      <c r="F24" s="367">
        <v>0.5</v>
      </c>
    </row>
    <row r="25" spans="1:8" x14ac:dyDescent="0.2">
      <c r="D25" s="354"/>
      <c r="E25" s="354"/>
      <c r="F25" s="354"/>
    </row>
    <row r="26" spans="1:8" ht="22.5" customHeight="1" thickBot="1" x14ac:dyDescent="0.25">
      <c r="A26" s="354"/>
      <c r="B26" s="1440" t="s">
        <v>367</v>
      </c>
      <c r="C26" s="1440"/>
      <c r="D26" s="378"/>
      <c r="E26" s="379"/>
      <c r="F26" s="379"/>
    </row>
    <row r="27" spans="1:8" ht="23.25" customHeight="1" x14ac:dyDescent="0.2">
      <c r="D27" s="382">
        <f>(D15*D23)+(D20*D24)</f>
        <v>0.12523250000000008</v>
      </c>
      <c r="E27" s="382">
        <f>(E15*E23)+(E20*E24)</f>
        <v>0.17296350000000008</v>
      </c>
      <c r="F27" s="382">
        <f>(F15*F23)+(F20*F24)</f>
        <v>0.14909800000000001</v>
      </c>
    </row>
    <row r="28" spans="1:8" x14ac:dyDescent="0.2">
      <c r="D28" s="354"/>
      <c r="E28" s="354"/>
      <c r="F28" s="354"/>
    </row>
    <row r="29" spans="1:8" ht="7.5" customHeight="1" x14ac:dyDescent="0.2"/>
    <row r="30" spans="1:8" ht="24.75" customHeight="1" thickBot="1" x14ac:dyDescent="0.25">
      <c r="B30" s="1440" t="s">
        <v>297</v>
      </c>
      <c r="C30" s="1440"/>
      <c r="F30" s="383">
        <f>F27</f>
        <v>0.14909800000000001</v>
      </c>
    </row>
  </sheetData>
  <mergeCells count="3">
    <mergeCell ref="B26:C26"/>
    <mergeCell ref="A1:B3"/>
    <mergeCell ref="B30:C30"/>
  </mergeCells>
  <pageMargins left="0.7" right="0.7" top="0.75" bottom="0.75" header="0.3" footer="0.3"/>
  <pageSetup paperSize="9" scale="5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DU84"/>
  <sheetViews>
    <sheetView topLeftCell="A29" zoomScale="82" zoomScaleNormal="82" zoomScalePageLayoutView="65" workbookViewId="0">
      <selection activeCell="B8" sqref="B8:D45"/>
    </sheetView>
  </sheetViews>
  <sheetFormatPr defaultColWidth="8.85546875" defaultRowHeight="12.75" x14ac:dyDescent="0.2"/>
  <cols>
    <col min="1" max="1" width="1.28515625" style="65" customWidth="1"/>
    <col min="2" max="2" width="34.42578125" style="67" customWidth="1"/>
    <col min="3" max="3" width="9.7109375" style="67" customWidth="1"/>
    <col min="4" max="4" width="5.7109375" style="67" bestFit="1" customWidth="1"/>
    <col min="5" max="5" width="6.42578125" style="10" customWidth="1"/>
    <col min="6" max="6" width="12" style="65" bestFit="1" customWidth="1"/>
    <col min="7" max="7" width="10" style="65" bestFit="1" customWidth="1"/>
    <col min="8" max="8" width="8" style="74" bestFit="1" customWidth="1"/>
    <col min="9" max="9" width="12" style="68" bestFit="1" customWidth="1"/>
    <col min="10" max="11" width="10.5703125" style="68" bestFit="1" customWidth="1"/>
    <col min="12" max="17" width="9.5703125" style="68" bestFit="1" customWidth="1"/>
    <col min="18" max="19" width="11.85546875" style="65" customWidth="1"/>
    <col min="20" max="20" width="11.85546875" style="74" customWidth="1"/>
    <col min="21" max="125" width="11.85546875" style="68" customWidth="1"/>
    <col min="126" max="16384" width="8.85546875" style="68"/>
  </cols>
  <sheetData>
    <row r="1" spans="1:125" s="2" customFormat="1" ht="12.75" customHeight="1" x14ac:dyDescent="0.2">
      <c r="A1" s="58"/>
      <c r="B1" s="30"/>
      <c r="C1" s="30"/>
      <c r="D1" s="30"/>
      <c r="E1" s="10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500"/>
      <c r="R1" s="788"/>
      <c r="S1" s="3"/>
      <c r="T1" s="3"/>
      <c r="U1" s="3"/>
      <c r="V1" s="3"/>
      <c r="W1" s="3"/>
      <c r="X1" s="3"/>
      <c r="Y1" s="3"/>
      <c r="Z1" s="3"/>
      <c r="AA1" s="3"/>
      <c r="AB1" s="3"/>
      <c r="AC1" s="500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500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500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500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500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500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500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500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500"/>
    </row>
    <row r="2" spans="1:125" s="60" customFormat="1" ht="39" customHeight="1" x14ac:dyDescent="0.2">
      <c r="A2" s="90"/>
      <c r="B2" s="90" t="s">
        <v>206</v>
      </c>
      <c r="C2" s="90"/>
      <c r="D2" s="90"/>
      <c r="E2" s="600"/>
      <c r="F2" s="1420" t="s">
        <v>507</v>
      </c>
      <c r="G2" s="1420"/>
      <c r="H2" s="1420"/>
      <c r="I2" s="1420"/>
      <c r="J2" s="1420"/>
      <c r="K2" s="1420"/>
      <c r="L2" s="1420"/>
      <c r="M2" s="1420"/>
      <c r="N2" s="1420"/>
      <c r="O2" s="1420"/>
      <c r="P2" s="1420"/>
      <c r="Q2" s="1421"/>
      <c r="R2" s="1418" t="s">
        <v>508</v>
      </c>
      <c r="S2" s="1415"/>
      <c r="T2" s="1415"/>
      <c r="U2" s="1415"/>
      <c r="V2" s="1415"/>
      <c r="W2" s="1415"/>
      <c r="X2" s="1415"/>
      <c r="Y2" s="1415"/>
      <c r="Z2" s="1415"/>
      <c r="AA2" s="1415"/>
      <c r="AB2" s="1415"/>
      <c r="AC2" s="1416"/>
      <c r="AD2" s="1415" t="s">
        <v>509</v>
      </c>
      <c r="AE2" s="1415"/>
      <c r="AF2" s="1415"/>
      <c r="AG2" s="1415"/>
      <c r="AH2" s="1415"/>
      <c r="AI2" s="1415"/>
      <c r="AJ2" s="1415"/>
      <c r="AK2" s="1415"/>
      <c r="AL2" s="1415"/>
      <c r="AM2" s="1415"/>
      <c r="AN2" s="1415"/>
      <c r="AO2" s="1416"/>
      <c r="AP2" s="1415" t="s">
        <v>510</v>
      </c>
      <c r="AQ2" s="1415"/>
      <c r="AR2" s="1415"/>
      <c r="AS2" s="1415"/>
      <c r="AT2" s="1415"/>
      <c r="AU2" s="1415"/>
      <c r="AV2" s="1415"/>
      <c r="AW2" s="1415"/>
      <c r="AX2" s="1415"/>
      <c r="AY2" s="1415"/>
      <c r="AZ2" s="1415"/>
      <c r="BA2" s="1416"/>
      <c r="BB2" s="1415" t="s">
        <v>511</v>
      </c>
      <c r="BC2" s="1415"/>
      <c r="BD2" s="1415"/>
      <c r="BE2" s="1415"/>
      <c r="BF2" s="1415"/>
      <c r="BG2" s="1415"/>
      <c r="BH2" s="1415"/>
      <c r="BI2" s="1415"/>
      <c r="BJ2" s="1415"/>
      <c r="BK2" s="1415"/>
      <c r="BL2" s="1415"/>
      <c r="BM2" s="1416"/>
      <c r="BN2" s="1415" t="s">
        <v>512</v>
      </c>
      <c r="BO2" s="1415"/>
      <c r="BP2" s="1415"/>
      <c r="BQ2" s="1415"/>
      <c r="BR2" s="1415"/>
      <c r="BS2" s="1415"/>
      <c r="BT2" s="1415"/>
      <c r="BU2" s="1415"/>
      <c r="BV2" s="1415"/>
      <c r="BW2" s="1415"/>
      <c r="BX2" s="1415"/>
      <c r="BY2" s="1416"/>
      <c r="BZ2" s="1415" t="s">
        <v>513</v>
      </c>
      <c r="CA2" s="1415"/>
      <c r="CB2" s="1415"/>
      <c r="CC2" s="1415"/>
      <c r="CD2" s="1415"/>
      <c r="CE2" s="1415"/>
      <c r="CF2" s="1415"/>
      <c r="CG2" s="1415"/>
      <c r="CH2" s="1415"/>
      <c r="CI2" s="1415"/>
      <c r="CJ2" s="1415"/>
      <c r="CK2" s="1416"/>
      <c r="CL2" s="1415" t="s">
        <v>514</v>
      </c>
      <c r="CM2" s="1415"/>
      <c r="CN2" s="1415"/>
      <c r="CO2" s="1415"/>
      <c r="CP2" s="1415"/>
      <c r="CQ2" s="1415"/>
      <c r="CR2" s="1415"/>
      <c r="CS2" s="1415"/>
      <c r="CT2" s="1415"/>
      <c r="CU2" s="1415"/>
      <c r="CV2" s="1415"/>
      <c r="CW2" s="1416"/>
      <c r="CX2" s="1415" t="s">
        <v>515</v>
      </c>
      <c r="CY2" s="1415"/>
      <c r="CZ2" s="1415"/>
      <c r="DA2" s="1415"/>
      <c r="DB2" s="1415"/>
      <c r="DC2" s="1415"/>
      <c r="DD2" s="1415"/>
      <c r="DE2" s="1415"/>
      <c r="DF2" s="1415"/>
      <c r="DG2" s="1415"/>
      <c r="DH2" s="1415"/>
      <c r="DI2" s="1416"/>
      <c r="DJ2" s="1415" t="s">
        <v>516</v>
      </c>
      <c r="DK2" s="1415"/>
      <c r="DL2" s="1415"/>
      <c r="DM2" s="1415"/>
      <c r="DN2" s="1415"/>
      <c r="DO2" s="1415"/>
      <c r="DP2" s="1415"/>
      <c r="DQ2" s="1415"/>
      <c r="DR2" s="1415"/>
      <c r="DS2" s="1415"/>
      <c r="DT2" s="1415"/>
      <c r="DU2" s="1416"/>
    </row>
    <row r="3" spans="1:125" s="2" customFormat="1" ht="12.75" customHeight="1" x14ac:dyDescent="0.25">
      <c r="A3" s="58"/>
      <c r="B3" s="30"/>
      <c r="C3" s="30"/>
      <c r="D3" s="30"/>
      <c r="E3" s="12"/>
      <c r="F3" s="484" t="s">
        <v>175</v>
      </c>
      <c r="G3" s="484" t="s">
        <v>176</v>
      </c>
      <c r="H3" s="484" t="s">
        <v>177</v>
      </c>
      <c r="I3" s="484" t="s">
        <v>178</v>
      </c>
      <c r="J3" s="484" t="s">
        <v>167</v>
      </c>
      <c r="K3" s="484" t="s">
        <v>168</v>
      </c>
      <c r="L3" s="484" t="s">
        <v>169</v>
      </c>
      <c r="M3" s="484" t="s">
        <v>170</v>
      </c>
      <c r="N3" s="484" t="s">
        <v>171</v>
      </c>
      <c r="O3" s="484" t="s">
        <v>172</v>
      </c>
      <c r="P3" s="484" t="s">
        <v>173</v>
      </c>
      <c r="Q3" s="694" t="s">
        <v>174</v>
      </c>
      <c r="R3" s="541" t="s">
        <v>175</v>
      </c>
      <c r="S3" s="272" t="s">
        <v>176</v>
      </c>
      <c r="T3" s="272" t="s">
        <v>177</v>
      </c>
      <c r="U3" s="272" t="s">
        <v>178</v>
      </c>
      <c r="V3" s="272" t="s">
        <v>167</v>
      </c>
      <c r="W3" s="272" t="s">
        <v>168</v>
      </c>
      <c r="X3" s="272" t="s">
        <v>169</v>
      </c>
      <c r="Y3" s="272" t="s">
        <v>170</v>
      </c>
      <c r="Z3" s="272" t="s">
        <v>171</v>
      </c>
      <c r="AA3" s="272" t="s">
        <v>172</v>
      </c>
      <c r="AB3" s="272" t="s">
        <v>173</v>
      </c>
      <c r="AC3" s="603" t="s">
        <v>174</v>
      </c>
      <c r="AD3" s="272" t="s">
        <v>175</v>
      </c>
      <c r="AE3" s="272" t="s">
        <v>176</v>
      </c>
      <c r="AF3" s="272" t="s">
        <v>177</v>
      </c>
      <c r="AG3" s="272" t="s">
        <v>178</v>
      </c>
      <c r="AH3" s="272" t="s">
        <v>167</v>
      </c>
      <c r="AI3" s="272" t="s">
        <v>168</v>
      </c>
      <c r="AJ3" s="272" t="s">
        <v>169</v>
      </c>
      <c r="AK3" s="272" t="s">
        <v>170</v>
      </c>
      <c r="AL3" s="272" t="s">
        <v>171</v>
      </c>
      <c r="AM3" s="272" t="s">
        <v>172</v>
      </c>
      <c r="AN3" s="272" t="s">
        <v>173</v>
      </c>
      <c r="AO3" s="603" t="s">
        <v>174</v>
      </c>
      <c r="AP3" s="272" t="s">
        <v>175</v>
      </c>
      <c r="AQ3" s="272" t="s">
        <v>176</v>
      </c>
      <c r="AR3" s="272" t="s">
        <v>177</v>
      </c>
      <c r="AS3" s="272" t="s">
        <v>178</v>
      </c>
      <c r="AT3" s="272" t="s">
        <v>167</v>
      </c>
      <c r="AU3" s="272" t="s">
        <v>168</v>
      </c>
      <c r="AV3" s="272" t="s">
        <v>169</v>
      </c>
      <c r="AW3" s="272" t="s">
        <v>170</v>
      </c>
      <c r="AX3" s="272" t="s">
        <v>171</v>
      </c>
      <c r="AY3" s="272" t="s">
        <v>172</v>
      </c>
      <c r="AZ3" s="272" t="s">
        <v>173</v>
      </c>
      <c r="BA3" s="603" t="s">
        <v>174</v>
      </c>
      <c r="BB3" s="272" t="s">
        <v>175</v>
      </c>
      <c r="BC3" s="272" t="s">
        <v>176</v>
      </c>
      <c r="BD3" s="272" t="s">
        <v>177</v>
      </c>
      <c r="BE3" s="272" t="s">
        <v>178</v>
      </c>
      <c r="BF3" s="272" t="s">
        <v>167</v>
      </c>
      <c r="BG3" s="272" t="s">
        <v>168</v>
      </c>
      <c r="BH3" s="272" t="s">
        <v>169</v>
      </c>
      <c r="BI3" s="272" t="s">
        <v>170</v>
      </c>
      <c r="BJ3" s="272" t="s">
        <v>171</v>
      </c>
      <c r="BK3" s="272" t="s">
        <v>172</v>
      </c>
      <c r="BL3" s="272" t="s">
        <v>173</v>
      </c>
      <c r="BM3" s="603" t="s">
        <v>174</v>
      </c>
      <c r="BN3" s="272" t="s">
        <v>175</v>
      </c>
      <c r="BO3" s="272" t="s">
        <v>176</v>
      </c>
      <c r="BP3" s="272" t="s">
        <v>177</v>
      </c>
      <c r="BQ3" s="272" t="s">
        <v>178</v>
      </c>
      <c r="BR3" s="272" t="s">
        <v>167</v>
      </c>
      <c r="BS3" s="272" t="s">
        <v>168</v>
      </c>
      <c r="BT3" s="272" t="s">
        <v>169</v>
      </c>
      <c r="BU3" s="272" t="s">
        <v>170</v>
      </c>
      <c r="BV3" s="272" t="s">
        <v>171</v>
      </c>
      <c r="BW3" s="272" t="s">
        <v>172</v>
      </c>
      <c r="BX3" s="272" t="s">
        <v>173</v>
      </c>
      <c r="BY3" s="603" t="s">
        <v>174</v>
      </c>
      <c r="BZ3" s="272" t="s">
        <v>175</v>
      </c>
      <c r="CA3" s="272" t="s">
        <v>176</v>
      </c>
      <c r="CB3" s="272" t="s">
        <v>177</v>
      </c>
      <c r="CC3" s="272" t="s">
        <v>178</v>
      </c>
      <c r="CD3" s="272" t="s">
        <v>167</v>
      </c>
      <c r="CE3" s="272" t="s">
        <v>168</v>
      </c>
      <c r="CF3" s="272" t="s">
        <v>169</v>
      </c>
      <c r="CG3" s="272" t="s">
        <v>170</v>
      </c>
      <c r="CH3" s="272" t="s">
        <v>171</v>
      </c>
      <c r="CI3" s="272" t="s">
        <v>172</v>
      </c>
      <c r="CJ3" s="272" t="s">
        <v>173</v>
      </c>
      <c r="CK3" s="603" t="s">
        <v>174</v>
      </c>
      <c r="CL3" s="272" t="s">
        <v>175</v>
      </c>
      <c r="CM3" s="272" t="s">
        <v>176</v>
      </c>
      <c r="CN3" s="272" t="s">
        <v>177</v>
      </c>
      <c r="CO3" s="272" t="s">
        <v>178</v>
      </c>
      <c r="CP3" s="272" t="s">
        <v>167</v>
      </c>
      <c r="CQ3" s="272" t="s">
        <v>168</v>
      </c>
      <c r="CR3" s="272" t="s">
        <v>169</v>
      </c>
      <c r="CS3" s="272" t="s">
        <v>170</v>
      </c>
      <c r="CT3" s="272" t="s">
        <v>171</v>
      </c>
      <c r="CU3" s="272" t="s">
        <v>172</v>
      </c>
      <c r="CV3" s="272" t="s">
        <v>173</v>
      </c>
      <c r="CW3" s="603" t="s">
        <v>174</v>
      </c>
      <c r="CX3" s="272" t="s">
        <v>175</v>
      </c>
      <c r="CY3" s="272" t="s">
        <v>176</v>
      </c>
      <c r="CZ3" s="272" t="s">
        <v>177</v>
      </c>
      <c r="DA3" s="272" t="s">
        <v>178</v>
      </c>
      <c r="DB3" s="272" t="s">
        <v>167</v>
      </c>
      <c r="DC3" s="272" t="s">
        <v>168</v>
      </c>
      <c r="DD3" s="272" t="s">
        <v>169</v>
      </c>
      <c r="DE3" s="272" t="s">
        <v>170</v>
      </c>
      <c r="DF3" s="272" t="s">
        <v>171</v>
      </c>
      <c r="DG3" s="272" t="s">
        <v>172</v>
      </c>
      <c r="DH3" s="272" t="s">
        <v>173</v>
      </c>
      <c r="DI3" s="603" t="s">
        <v>174</v>
      </c>
      <c r="DJ3" s="272" t="s">
        <v>175</v>
      </c>
      <c r="DK3" s="272" t="s">
        <v>176</v>
      </c>
      <c r="DL3" s="272" t="s">
        <v>177</v>
      </c>
      <c r="DM3" s="272" t="s">
        <v>178</v>
      </c>
      <c r="DN3" s="272" t="s">
        <v>167</v>
      </c>
      <c r="DO3" s="272" t="s">
        <v>168</v>
      </c>
      <c r="DP3" s="272" t="s">
        <v>169</v>
      </c>
      <c r="DQ3" s="272" t="s">
        <v>170</v>
      </c>
      <c r="DR3" s="272" t="s">
        <v>171</v>
      </c>
      <c r="DS3" s="272" t="s">
        <v>172</v>
      </c>
      <c r="DT3" s="272" t="s">
        <v>173</v>
      </c>
      <c r="DU3" s="603" t="s">
        <v>174</v>
      </c>
    </row>
    <row r="4" spans="1:125" s="7" customFormat="1" ht="11.25" hidden="1" customHeight="1" x14ac:dyDescent="0.2">
      <c r="A4" s="1442"/>
      <c r="B4" s="1443"/>
      <c r="C4" s="287"/>
      <c r="D4" s="287"/>
      <c r="E4" s="601"/>
      <c r="F4" s="22">
        <f>Assumptions!$E5</f>
        <v>14</v>
      </c>
      <c r="G4" s="22">
        <f>Assumptions!$E5</f>
        <v>14</v>
      </c>
      <c r="H4" s="22">
        <f>Assumptions!$E5</f>
        <v>14</v>
      </c>
      <c r="I4" s="22">
        <f>Assumptions!$E5</f>
        <v>14</v>
      </c>
      <c r="J4" s="22">
        <f>Assumptions!$E5</f>
        <v>14</v>
      </c>
      <c r="K4" s="22">
        <f>Assumptions!$E5</f>
        <v>14</v>
      </c>
      <c r="L4" s="22">
        <f>Assumptions!$E5</f>
        <v>14</v>
      </c>
      <c r="M4" s="22">
        <f>Assumptions!$E5</f>
        <v>14</v>
      </c>
      <c r="N4" s="22">
        <f>Assumptions!$E5</f>
        <v>14</v>
      </c>
      <c r="O4" s="22">
        <f>Assumptions!$E5</f>
        <v>14</v>
      </c>
      <c r="P4" s="22">
        <f>Assumptions!$E5</f>
        <v>14</v>
      </c>
      <c r="Q4" s="604">
        <f>Assumptions!$E5</f>
        <v>14</v>
      </c>
      <c r="R4" s="1185">
        <f>Assumptions!$F5</f>
        <v>14.84</v>
      </c>
      <c r="S4" s="22">
        <f>Assumptions!$F5</f>
        <v>14.84</v>
      </c>
      <c r="T4" s="22">
        <f>Assumptions!$F5</f>
        <v>14.84</v>
      </c>
      <c r="U4" s="22">
        <f>Assumptions!$F5</f>
        <v>14.84</v>
      </c>
      <c r="V4" s="22">
        <f>Assumptions!$F5</f>
        <v>14.84</v>
      </c>
      <c r="W4" s="22">
        <f>Assumptions!$F5</f>
        <v>14.84</v>
      </c>
      <c r="X4" s="22">
        <f>Assumptions!$F5</f>
        <v>14.84</v>
      </c>
      <c r="Y4" s="22">
        <f>Assumptions!$F5</f>
        <v>14.84</v>
      </c>
      <c r="Z4" s="22">
        <f>Assumptions!$F5</f>
        <v>14.84</v>
      </c>
      <c r="AA4" s="22">
        <f>Assumptions!$F5</f>
        <v>14.84</v>
      </c>
      <c r="AB4" s="22">
        <f>Assumptions!$F5</f>
        <v>14.84</v>
      </c>
      <c r="AC4" s="604">
        <f>Assumptions!$F5</f>
        <v>14.84</v>
      </c>
      <c r="AD4" s="686">
        <f>Assumptions!$G5</f>
        <v>15.730400000000001</v>
      </c>
      <c r="AE4" s="22">
        <f>Assumptions!$G5</f>
        <v>15.730400000000001</v>
      </c>
      <c r="AF4" s="22">
        <f>Assumptions!$G5</f>
        <v>15.730400000000001</v>
      </c>
      <c r="AG4" s="22">
        <f>Assumptions!$G5</f>
        <v>15.730400000000001</v>
      </c>
      <c r="AH4" s="22">
        <f>Assumptions!$G5</f>
        <v>15.730400000000001</v>
      </c>
      <c r="AI4" s="22">
        <f>Assumptions!$G5</f>
        <v>15.730400000000001</v>
      </c>
      <c r="AJ4" s="22">
        <f>Assumptions!$G5</f>
        <v>15.730400000000001</v>
      </c>
      <c r="AK4" s="22">
        <f>Assumptions!$G5</f>
        <v>15.730400000000001</v>
      </c>
      <c r="AL4" s="22">
        <f>Assumptions!$G5</f>
        <v>15.730400000000001</v>
      </c>
      <c r="AM4" s="22">
        <f>Assumptions!$G5</f>
        <v>15.730400000000001</v>
      </c>
      <c r="AN4" s="22">
        <f>Assumptions!$G5</f>
        <v>15.730400000000001</v>
      </c>
      <c r="AO4" s="604">
        <f>Assumptions!$G5</f>
        <v>15.730400000000001</v>
      </c>
      <c r="AP4" s="686">
        <f>Assumptions!$H5</f>
        <v>16.674224000000002</v>
      </c>
      <c r="AQ4" s="22">
        <f>Assumptions!$H5</f>
        <v>16.674224000000002</v>
      </c>
      <c r="AR4" s="22">
        <f>Assumptions!$H5</f>
        <v>16.674224000000002</v>
      </c>
      <c r="AS4" s="22">
        <f>Assumptions!$H5</f>
        <v>16.674224000000002</v>
      </c>
      <c r="AT4" s="22">
        <f>Assumptions!$H5</f>
        <v>16.674224000000002</v>
      </c>
      <c r="AU4" s="22">
        <f>Assumptions!$H5</f>
        <v>16.674224000000002</v>
      </c>
      <c r="AV4" s="22">
        <f>Assumptions!$H5</f>
        <v>16.674224000000002</v>
      </c>
      <c r="AW4" s="22">
        <f>Assumptions!$H5</f>
        <v>16.674224000000002</v>
      </c>
      <c r="AX4" s="22">
        <f>Assumptions!$H5</f>
        <v>16.674224000000002</v>
      </c>
      <c r="AY4" s="22">
        <f>Assumptions!$H5</f>
        <v>16.674224000000002</v>
      </c>
      <c r="AZ4" s="22">
        <f>Assumptions!$H5</f>
        <v>16.674224000000002</v>
      </c>
      <c r="BA4" s="604">
        <f>Assumptions!$H5</f>
        <v>16.674224000000002</v>
      </c>
      <c r="BB4" s="686">
        <f>Assumptions!$I5</f>
        <v>17.674677440000004</v>
      </c>
      <c r="BC4" s="22">
        <f>Assumptions!$I5</f>
        <v>17.674677440000004</v>
      </c>
      <c r="BD4" s="22">
        <f>Assumptions!$I5</f>
        <v>17.674677440000004</v>
      </c>
      <c r="BE4" s="22">
        <f>Assumptions!$I5</f>
        <v>17.674677440000004</v>
      </c>
      <c r="BF4" s="22">
        <f>Assumptions!$I5</f>
        <v>17.674677440000004</v>
      </c>
      <c r="BG4" s="22">
        <f>Assumptions!$I5</f>
        <v>17.674677440000004</v>
      </c>
      <c r="BH4" s="22">
        <f>Assumptions!$I5</f>
        <v>17.674677440000004</v>
      </c>
      <c r="BI4" s="22">
        <f>Assumptions!$I5</f>
        <v>17.674677440000004</v>
      </c>
      <c r="BJ4" s="22">
        <f>Assumptions!$I5</f>
        <v>17.674677440000004</v>
      </c>
      <c r="BK4" s="22">
        <f>Assumptions!$I5</f>
        <v>17.674677440000004</v>
      </c>
      <c r="BL4" s="22">
        <f>Assumptions!$I5</f>
        <v>17.674677440000004</v>
      </c>
      <c r="BM4" s="604">
        <f>Assumptions!$I5</f>
        <v>17.674677440000004</v>
      </c>
      <c r="BN4" s="686">
        <f>Assumptions!$J5</f>
        <v>18.735158086400006</v>
      </c>
      <c r="BO4" s="22">
        <f>Assumptions!$J5</f>
        <v>18.735158086400006</v>
      </c>
      <c r="BP4" s="22">
        <f>Assumptions!$J5</f>
        <v>18.735158086400006</v>
      </c>
      <c r="BQ4" s="22">
        <f>Assumptions!$J5</f>
        <v>18.735158086400006</v>
      </c>
      <c r="BR4" s="22">
        <f>Assumptions!$J5</f>
        <v>18.735158086400006</v>
      </c>
      <c r="BS4" s="22">
        <f>Assumptions!$J5</f>
        <v>18.735158086400006</v>
      </c>
      <c r="BT4" s="22">
        <f>Assumptions!$J5</f>
        <v>18.735158086400006</v>
      </c>
      <c r="BU4" s="22">
        <f>Assumptions!$J5</f>
        <v>18.735158086400006</v>
      </c>
      <c r="BV4" s="22">
        <f>Assumptions!$J5</f>
        <v>18.735158086400006</v>
      </c>
      <c r="BW4" s="22">
        <f>Assumptions!$J5</f>
        <v>18.735158086400006</v>
      </c>
      <c r="BX4" s="22">
        <f>Assumptions!$J5</f>
        <v>18.735158086400006</v>
      </c>
      <c r="BY4" s="604">
        <f>Assumptions!$J5</f>
        <v>18.735158086400006</v>
      </c>
      <c r="BZ4" s="686">
        <f>Assumptions!$K5</f>
        <v>19.859267571584006</v>
      </c>
      <c r="CA4" s="22">
        <f>Assumptions!$K5</f>
        <v>19.859267571584006</v>
      </c>
      <c r="CB4" s="22">
        <f>Assumptions!$K5</f>
        <v>19.859267571584006</v>
      </c>
      <c r="CC4" s="22">
        <f>Assumptions!$K5</f>
        <v>19.859267571584006</v>
      </c>
      <c r="CD4" s="22">
        <f>Assumptions!$K5</f>
        <v>19.859267571584006</v>
      </c>
      <c r="CE4" s="22">
        <f>Assumptions!$K5</f>
        <v>19.859267571584006</v>
      </c>
      <c r="CF4" s="22">
        <f>Assumptions!$K5</f>
        <v>19.859267571584006</v>
      </c>
      <c r="CG4" s="22">
        <f>Assumptions!$K5</f>
        <v>19.859267571584006</v>
      </c>
      <c r="CH4" s="22">
        <f>Assumptions!$K5</f>
        <v>19.859267571584006</v>
      </c>
      <c r="CI4" s="22">
        <f>Assumptions!$K5</f>
        <v>19.859267571584006</v>
      </c>
      <c r="CJ4" s="22">
        <f>Assumptions!$K5</f>
        <v>19.859267571584006</v>
      </c>
      <c r="CK4" s="604">
        <f>Assumptions!$K5</f>
        <v>19.859267571584006</v>
      </c>
      <c r="CL4" s="686">
        <f>Assumptions!$L5</f>
        <v>21.050823625879048</v>
      </c>
      <c r="CM4" s="22">
        <f>Assumptions!$L5</f>
        <v>21.050823625879048</v>
      </c>
      <c r="CN4" s="22">
        <f>Assumptions!$L5</f>
        <v>21.050823625879048</v>
      </c>
      <c r="CO4" s="22">
        <f>Assumptions!$L5</f>
        <v>21.050823625879048</v>
      </c>
      <c r="CP4" s="22">
        <f>Assumptions!$L5</f>
        <v>21.050823625879048</v>
      </c>
      <c r="CQ4" s="22">
        <f>Assumptions!$L5</f>
        <v>21.050823625879048</v>
      </c>
      <c r="CR4" s="22">
        <f>Assumptions!$L5</f>
        <v>21.050823625879048</v>
      </c>
      <c r="CS4" s="22">
        <f>Assumptions!$L5</f>
        <v>21.050823625879048</v>
      </c>
      <c r="CT4" s="22">
        <f>Assumptions!$L5</f>
        <v>21.050823625879048</v>
      </c>
      <c r="CU4" s="22">
        <f>Assumptions!$L5</f>
        <v>21.050823625879048</v>
      </c>
      <c r="CV4" s="22">
        <f>Assumptions!$L5</f>
        <v>21.050823625879048</v>
      </c>
      <c r="CW4" s="604">
        <f>Assumptions!$L5</f>
        <v>21.050823625879048</v>
      </c>
      <c r="CX4" s="686">
        <f>Assumptions!$M5</f>
        <v>22.313873043431791</v>
      </c>
      <c r="CY4" s="22">
        <f>Assumptions!$M5</f>
        <v>22.313873043431791</v>
      </c>
      <c r="CZ4" s="22">
        <f>Assumptions!$M5</f>
        <v>22.313873043431791</v>
      </c>
      <c r="DA4" s="22">
        <f>Assumptions!$M5</f>
        <v>22.313873043431791</v>
      </c>
      <c r="DB4" s="22">
        <f>Assumptions!$M5</f>
        <v>22.313873043431791</v>
      </c>
      <c r="DC4" s="22">
        <f>Assumptions!$M5</f>
        <v>22.313873043431791</v>
      </c>
      <c r="DD4" s="22">
        <f>Assumptions!$M5</f>
        <v>22.313873043431791</v>
      </c>
      <c r="DE4" s="22">
        <f>Assumptions!$M5</f>
        <v>22.313873043431791</v>
      </c>
      <c r="DF4" s="22">
        <f>Assumptions!$M5</f>
        <v>22.313873043431791</v>
      </c>
      <c r="DG4" s="22">
        <f>Assumptions!$M5</f>
        <v>22.313873043431791</v>
      </c>
      <c r="DH4" s="22">
        <f>Assumptions!$M5</f>
        <v>22.313873043431791</v>
      </c>
      <c r="DI4" s="604">
        <f>Assumptions!$M5</f>
        <v>22.313873043431791</v>
      </c>
      <c r="DJ4" s="686">
        <f>Assumptions!$N5</f>
        <v>23.652705426037699</v>
      </c>
      <c r="DK4" s="22">
        <f>Assumptions!$N5</f>
        <v>23.652705426037699</v>
      </c>
      <c r="DL4" s="22">
        <f>Assumptions!$N5</f>
        <v>23.652705426037699</v>
      </c>
      <c r="DM4" s="22">
        <f>Assumptions!$N5</f>
        <v>23.652705426037699</v>
      </c>
      <c r="DN4" s="22">
        <f>Assumptions!$N5</f>
        <v>23.652705426037699</v>
      </c>
      <c r="DO4" s="22">
        <f>Assumptions!$N5</f>
        <v>23.652705426037699</v>
      </c>
      <c r="DP4" s="22">
        <f>Assumptions!$N5</f>
        <v>23.652705426037699</v>
      </c>
      <c r="DQ4" s="22">
        <f>Assumptions!$N5</f>
        <v>23.652705426037699</v>
      </c>
      <c r="DR4" s="22">
        <f>Assumptions!$N5</f>
        <v>23.652705426037699</v>
      </c>
      <c r="DS4" s="22">
        <f>Assumptions!$N5</f>
        <v>23.652705426037699</v>
      </c>
      <c r="DT4" s="22">
        <f>Assumptions!$N5</f>
        <v>23.652705426037699</v>
      </c>
      <c r="DU4" s="604">
        <f>Assumptions!$N5</f>
        <v>23.652705426037699</v>
      </c>
    </row>
    <row r="5" spans="1:125" s="7" customFormat="1" ht="12.75" hidden="1" customHeight="1" x14ac:dyDescent="0.2">
      <c r="A5" s="1442"/>
      <c r="B5" s="1443"/>
      <c r="C5" s="287"/>
      <c r="D5" s="287"/>
      <c r="E5" s="601"/>
      <c r="F5" s="22">
        <f>Assumptions!$E6</f>
        <v>16</v>
      </c>
      <c r="G5" s="22">
        <f>Assumptions!$E6</f>
        <v>16</v>
      </c>
      <c r="H5" s="22">
        <f>Assumptions!$E6</f>
        <v>16</v>
      </c>
      <c r="I5" s="22">
        <f>Assumptions!$E6</f>
        <v>16</v>
      </c>
      <c r="J5" s="22">
        <f>Assumptions!$E6</f>
        <v>16</v>
      </c>
      <c r="K5" s="22">
        <f>Assumptions!$E6</f>
        <v>16</v>
      </c>
      <c r="L5" s="22">
        <f>Assumptions!$E6</f>
        <v>16</v>
      </c>
      <c r="M5" s="22">
        <f>Assumptions!$E6</f>
        <v>16</v>
      </c>
      <c r="N5" s="22">
        <f>Assumptions!$E6</f>
        <v>16</v>
      </c>
      <c r="O5" s="22">
        <f>Assumptions!$E6</f>
        <v>16</v>
      </c>
      <c r="P5" s="22">
        <f>Assumptions!$E6</f>
        <v>16</v>
      </c>
      <c r="Q5" s="604">
        <f>Assumptions!$E6</f>
        <v>16</v>
      </c>
      <c r="R5" s="1185">
        <f>Assumptions!$F6</f>
        <v>16.96</v>
      </c>
      <c r="S5" s="22">
        <f>Assumptions!$F6</f>
        <v>16.96</v>
      </c>
      <c r="T5" s="22">
        <f>Assumptions!$F6</f>
        <v>16.96</v>
      </c>
      <c r="U5" s="22">
        <f>Assumptions!$F6</f>
        <v>16.96</v>
      </c>
      <c r="V5" s="22">
        <f>Assumptions!$F6</f>
        <v>16.96</v>
      </c>
      <c r="W5" s="22">
        <f>Assumptions!$F6</f>
        <v>16.96</v>
      </c>
      <c r="X5" s="22">
        <f>Assumptions!$F6</f>
        <v>16.96</v>
      </c>
      <c r="Y5" s="22">
        <f>Assumptions!$F6</f>
        <v>16.96</v>
      </c>
      <c r="Z5" s="22">
        <f>Assumptions!$F6</f>
        <v>16.96</v>
      </c>
      <c r="AA5" s="22">
        <f>Assumptions!$F6</f>
        <v>16.96</v>
      </c>
      <c r="AB5" s="22">
        <f>Assumptions!$F6</f>
        <v>16.96</v>
      </c>
      <c r="AC5" s="604">
        <f>Assumptions!$F6</f>
        <v>16.96</v>
      </c>
      <c r="AD5" s="686">
        <f>Assumptions!$G6</f>
        <v>17.977600000000002</v>
      </c>
      <c r="AE5" s="22">
        <f>Assumptions!$G6</f>
        <v>17.977600000000002</v>
      </c>
      <c r="AF5" s="22">
        <f>Assumptions!$G6</f>
        <v>17.977600000000002</v>
      </c>
      <c r="AG5" s="22">
        <f>Assumptions!$G6</f>
        <v>17.977600000000002</v>
      </c>
      <c r="AH5" s="22">
        <f>Assumptions!$G6</f>
        <v>17.977600000000002</v>
      </c>
      <c r="AI5" s="22">
        <f>Assumptions!$G6</f>
        <v>17.977600000000002</v>
      </c>
      <c r="AJ5" s="22">
        <f>Assumptions!$G6</f>
        <v>17.977600000000002</v>
      </c>
      <c r="AK5" s="22">
        <f>Assumptions!$G6</f>
        <v>17.977600000000002</v>
      </c>
      <c r="AL5" s="22">
        <f>Assumptions!$G6</f>
        <v>17.977600000000002</v>
      </c>
      <c r="AM5" s="22">
        <f>Assumptions!$G6</f>
        <v>17.977600000000002</v>
      </c>
      <c r="AN5" s="22">
        <f>Assumptions!$G6</f>
        <v>17.977600000000002</v>
      </c>
      <c r="AO5" s="604">
        <f>Assumptions!$G6</f>
        <v>17.977600000000002</v>
      </c>
      <c r="AP5" s="686">
        <f>Assumptions!$H6</f>
        <v>19.056256000000005</v>
      </c>
      <c r="AQ5" s="22">
        <f>Assumptions!$H6</f>
        <v>19.056256000000005</v>
      </c>
      <c r="AR5" s="22">
        <f>Assumptions!$H6</f>
        <v>19.056256000000005</v>
      </c>
      <c r="AS5" s="22">
        <f>Assumptions!$H6</f>
        <v>19.056256000000005</v>
      </c>
      <c r="AT5" s="22">
        <f>Assumptions!$H6</f>
        <v>19.056256000000005</v>
      </c>
      <c r="AU5" s="22">
        <f>Assumptions!$H6</f>
        <v>19.056256000000005</v>
      </c>
      <c r="AV5" s="22">
        <f>Assumptions!$H6</f>
        <v>19.056256000000005</v>
      </c>
      <c r="AW5" s="22">
        <f>Assumptions!$H6</f>
        <v>19.056256000000005</v>
      </c>
      <c r="AX5" s="22">
        <f>Assumptions!$H6</f>
        <v>19.056256000000005</v>
      </c>
      <c r="AY5" s="22">
        <f>Assumptions!$H6</f>
        <v>19.056256000000005</v>
      </c>
      <c r="AZ5" s="22">
        <f>Assumptions!$H6</f>
        <v>19.056256000000005</v>
      </c>
      <c r="BA5" s="604">
        <f>Assumptions!$H6</f>
        <v>19.056256000000005</v>
      </c>
      <c r="BB5" s="686">
        <f>Assumptions!$I6</f>
        <v>20.199631360000005</v>
      </c>
      <c r="BC5" s="22">
        <f>Assumptions!$I6</f>
        <v>20.199631360000005</v>
      </c>
      <c r="BD5" s="22">
        <f>Assumptions!$I6</f>
        <v>20.199631360000005</v>
      </c>
      <c r="BE5" s="22">
        <f>Assumptions!$I6</f>
        <v>20.199631360000005</v>
      </c>
      <c r="BF5" s="22">
        <f>Assumptions!$I6</f>
        <v>20.199631360000005</v>
      </c>
      <c r="BG5" s="22">
        <f>Assumptions!$I6</f>
        <v>20.199631360000005</v>
      </c>
      <c r="BH5" s="22">
        <f>Assumptions!$I6</f>
        <v>20.199631360000005</v>
      </c>
      <c r="BI5" s="22">
        <f>Assumptions!$I6</f>
        <v>20.199631360000005</v>
      </c>
      <c r="BJ5" s="22">
        <f>Assumptions!$I6</f>
        <v>20.199631360000005</v>
      </c>
      <c r="BK5" s="22">
        <f>Assumptions!$I6</f>
        <v>20.199631360000005</v>
      </c>
      <c r="BL5" s="22">
        <f>Assumptions!$I6</f>
        <v>20.199631360000005</v>
      </c>
      <c r="BM5" s="604">
        <f>Assumptions!$I6</f>
        <v>20.199631360000005</v>
      </c>
      <c r="BN5" s="686">
        <f>Assumptions!$J6</f>
        <v>21.411609241600008</v>
      </c>
      <c r="BO5" s="22">
        <f>Assumptions!$J6</f>
        <v>21.411609241600008</v>
      </c>
      <c r="BP5" s="22">
        <f>Assumptions!$J6</f>
        <v>21.411609241600008</v>
      </c>
      <c r="BQ5" s="22">
        <f>Assumptions!$J6</f>
        <v>21.411609241600008</v>
      </c>
      <c r="BR5" s="22">
        <f>Assumptions!$J6</f>
        <v>21.411609241600008</v>
      </c>
      <c r="BS5" s="22">
        <f>Assumptions!$J6</f>
        <v>21.411609241600008</v>
      </c>
      <c r="BT5" s="22">
        <f>Assumptions!$J6</f>
        <v>21.411609241600008</v>
      </c>
      <c r="BU5" s="22">
        <f>Assumptions!$J6</f>
        <v>21.411609241600008</v>
      </c>
      <c r="BV5" s="22">
        <f>Assumptions!$J6</f>
        <v>21.411609241600008</v>
      </c>
      <c r="BW5" s="22">
        <f>Assumptions!$J6</f>
        <v>21.411609241600008</v>
      </c>
      <c r="BX5" s="22">
        <f>Assumptions!$J6</f>
        <v>21.411609241600008</v>
      </c>
      <c r="BY5" s="604">
        <f>Assumptions!$J6</f>
        <v>21.411609241600008</v>
      </c>
      <c r="BZ5" s="686">
        <f>Assumptions!$K6</f>
        <v>22.696305796096009</v>
      </c>
      <c r="CA5" s="22">
        <f>Assumptions!$K6</f>
        <v>22.696305796096009</v>
      </c>
      <c r="CB5" s="22">
        <f>Assumptions!$K6</f>
        <v>22.696305796096009</v>
      </c>
      <c r="CC5" s="22">
        <f>Assumptions!$K6</f>
        <v>22.696305796096009</v>
      </c>
      <c r="CD5" s="22">
        <f>Assumptions!$K6</f>
        <v>22.696305796096009</v>
      </c>
      <c r="CE5" s="22">
        <f>Assumptions!$K6</f>
        <v>22.696305796096009</v>
      </c>
      <c r="CF5" s="22">
        <f>Assumptions!$K6</f>
        <v>22.696305796096009</v>
      </c>
      <c r="CG5" s="22">
        <f>Assumptions!$K6</f>
        <v>22.696305796096009</v>
      </c>
      <c r="CH5" s="22">
        <f>Assumptions!$K6</f>
        <v>22.696305796096009</v>
      </c>
      <c r="CI5" s="22">
        <f>Assumptions!$K6</f>
        <v>22.696305796096009</v>
      </c>
      <c r="CJ5" s="22">
        <f>Assumptions!$K6</f>
        <v>22.696305796096009</v>
      </c>
      <c r="CK5" s="604">
        <f>Assumptions!$K6</f>
        <v>22.696305796096009</v>
      </c>
      <c r="CL5" s="686">
        <f>Assumptions!$L6</f>
        <v>24.05808414386177</v>
      </c>
      <c r="CM5" s="22">
        <f>Assumptions!$L6</f>
        <v>24.05808414386177</v>
      </c>
      <c r="CN5" s="22">
        <f>Assumptions!$L6</f>
        <v>24.05808414386177</v>
      </c>
      <c r="CO5" s="22">
        <f>Assumptions!$L6</f>
        <v>24.05808414386177</v>
      </c>
      <c r="CP5" s="22">
        <f>Assumptions!$L6</f>
        <v>24.05808414386177</v>
      </c>
      <c r="CQ5" s="22">
        <f>Assumptions!$L6</f>
        <v>24.05808414386177</v>
      </c>
      <c r="CR5" s="22">
        <f>Assumptions!$L6</f>
        <v>24.05808414386177</v>
      </c>
      <c r="CS5" s="22">
        <f>Assumptions!$L6</f>
        <v>24.05808414386177</v>
      </c>
      <c r="CT5" s="22">
        <f>Assumptions!$L6</f>
        <v>24.05808414386177</v>
      </c>
      <c r="CU5" s="22">
        <f>Assumptions!$L6</f>
        <v>24.05808414386177</v>
      </c>
      <c r="CV5" s="22">
        <f>Assumptions!$L6</f>
        <v>24.05808414386177</v>
      </c>
      <c r="CW5" s="604">
        <f>Assumptions!$L6</f>
        <v>24.05808414386177</v>
      </c>
      <c r="CX5" s="686">
        <f>Assumptions!$M6</f>
        <v>25.501569192493477</v>
      </c>
      <c r="CY5" s="22">
        <f>Assumptions!$M6</f>
        <v>25.501569192493477</v>
      </c>
      <c r="CZ5" s="22">
        <f>Assumptions!$M6</f>
        <v>25.501569192493477</v>
      </c>
      <c r="DA5" s="22">
        <f>Assumptions!$M6</f>
        <v>25.501569192493477</v>
      </c>
      <c r="DB5" s="22">
        <f>Assumptions!$M6</f>
        <v>25.501569192493477</v>
      </c>
      <c r="DC5" s="22">
        <f>Assumptions!$M6</f>
        <v>25.501569192493477</v>
      </c>
      <c r="DD5" s="22">
        <f>Assumptions!$M6</f>
        <v>25.501569192493477</v>
      </c>
      <c r="DE5" s="22">
        <f>Assumptions!$M6</f>
        <v>25.501569192493477</v>
      </c>
      <c r="DF5" s="22">
        <f>Assumptions!$M6</f>
        <v>25.501569192493477</v>
      </c>
      <c r="DG5" s="22">
        <f>Assumptions!$M6</f>
        <v>25.501569192493477</v>
      </c>
      <c r="DH5" s="22">
        <f>Assumptions!$M6</f>
        <v>25.501569192493477</v>
      </c>
      <c r="DI5" s="604">
        <f>Assumptions!$M6</f>
        <v>25.501569192493477</v>
      </c>
      <c r="DJ5" s="686">
        <f>Assumptions!$N6</f>
        <v>27.031663344043086</v>
      </c>
      <c r="DK5" s="22">
        <f>Assumptions!$N6</f>
        <v>27.031663344043086</v>
      </c>
      <c r="DL5" s="22">
        <f>Assumptions!$N6</f>
        <v>27.031663344043086</v>
      </c>
      <c r="DM5" s="22">
        <f>Assumptions!$N6</f>
        <v>27.031663344043086</v>
      </c>
      <c r="DN5" s="22">
        <f>Assumptions!$N6</f>
        <v>27.031663344043086</v>
      </c>
      <c r="DO5" s="22">
        <f>Assumptions!$N6</f>
        <v>27.031663344043086</v>
      </c>
      <c r="DP5" s="22">
        <f>Assumptions!$N6</f>
        <v>27.031663344043086</v>
      </c>
      <c r="DQ5" s="22">
        <f>Assumptions!$N6</f>
        <v>27.031663344043086</v>
      </c>
      <c r="DR5" s="22">
        <f>Assumptions!$N6</f>
        <v>27.031663344043086</v>
      </c>
      <c r="DS5" s="22">
        <f>Assumptions!$N6</f>
        <v>27.031663344043086</v>
      </c>
      <c r="DT5" s="22">
        <f>Assumptions!$N6</f>
        <v>27.031663344043086</v>
      </c>
      <c r="DU5" s="604">
        <f>Assumptions!$N6</f>
        <v>27.031663344043086</v>
      </c>
    </row>
    <row r="6" spans="1:125" s="7" customFormat="1" ht="21" hidden="1" x14ac:dyDescent="0.2">
      <c r="A6" s="1442"/>
      <c r="B6" s="1443"/>
      <c r="C6" s="287"/>
      <c r="D6" s="287"/>
      <c r="E6" s="601"/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22">
        <f>Assumptions!$E7</f>
        <v>1</v>
      </c>
      <c r="P6" s="22">
        <f>Assumptions!$E7</f>
        <v>1</v>
      </c>
      <c r="Q6" s="604">
        <f>Assumptions!$E7</f>
        <v>1</v>
      </c>
      <c r="R6" s="1185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22">
        <f>Assumptions!$F7</f>
        <v>1.0629999999999999</v>
      </c>
      <c r="AB6" s="22">
        <f>Assumptions!$F7</f>
        <v>1.0629999999999999</v>
      </c>
      <c r="AC6" s="604">
        <f>Assumptions!$F7</f>
        <v>1.0629999999999999</v>
      </c>
      <c r="AD6" s="686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22">
        <f>Assumptions!$G7</f>
        <v>1.1299689999999998</v>
      </c>
      <c r="AN6" s="22">
        <f>Assumptions!$G7</f>
        <v>1.1299689999999998</v>
      </c>
      <c r="AO6" s="604">
        <f>Assumptions!$G7</f>
        <v>1.1299689999999998</v>
      </c>
      <c r="AP6" s="686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22">
        <f>Assumptions!$H7</f>
        <v>1.2011570469999997</v>
      </c>
      <c r="AZ6" s="22">
        <f>Assumptions!$H7</f>
        <v>1.2011570469999997</v>
      </c>
      <c r="BA6" s="604">
        <f>Assumptions!$H7</f>
        <v>1.2011570469999997</v>
      </c>
      <c r="BB6" s="686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22">
        <f>Assumptions!$I7</f>
        <v>1.2768299409609996</v>
      </c>
      <c r="BL6" s="22">
        <f>Assumptions!$I7</f>
        <v>1.2768299409609996</v>
      </c>
      <c r="BM6" s="604">
        <f>Assumptions!$I7</f>
        <v>1.2768299409609996</v>
      </c>
      <c r="BN6" s="686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22">
        <f>Assumptions!$J7</f>
        <v>1.3572702272415424</v>
      </c>
      <c r="BX6" s="22">
        <f>Assumptions!$J7</f>
        <v>1.3572702272415424</v>
      </c>
      <c r="BY6" s="604">
        <f>Assumptions!$J7</f>
        <v>1.3572702272415424</v>
      </c>
      <c r="BZ6" s="686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22">
        <f>Assumptions!$K7</f>
        <v>1.4427782515577596</v>
      </c>
      <c r="CJ6" s="22">
        <f>Assumptions!$K7</f>
        <v>1.4427782515577596</v>
      </c>
      <c r="CK6" s="604">
        <f>Assumptions!$K7</f>
        <v>1.4427782515577596</v>
      </c>
      <c r="CL6" s="686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22">
        <f>Assumptions!$L7</f>
        <v>1.5336732814058984</v>
      </c>
      <c r="CV6" s="22">
        <f>Assumptions!$L7</f>
        <v>1.5336732814058984</v>
      </c>
      <c r="CW6" s="604">
        <f>Assumptions!$L7</f>
        <v>1.5336732814058984</v>
      </c>
      <c r="CX6" s="686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22">
        <f>Assumptions!$M7</f>
        <v>1.6302946981344699</v>
      </c>
      <c r="DH6" s="22">
        <f>Assumptions!$M7</f>
        <v>1.6302946981344699</v>
      </c>
      <c r="DI6" s="604">
        <f>Assumptions!$M7</f>
        <v>1.6302946981344699</v>
      </c>
      <c r="DJ6" s="686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22">
        <f>Assumptions!$N7</f>
        <v>1.7330032641169415</v>
      </c>
      <c r="DT6" s="22">
        <f>Assumptions!$N7</f>
        <v>1.7330032641169415</v>
      </c>
      <c r="DU6" s="604">
        <f>Assumptions!$N7</f>
        <v>1.7330032641169415</v>
      </c>
    </row>
    <row r="7" spans="1:125" s="7" customFormat="1" ht="12.75" customHeight="1" x14ac:dyDescent="0.2">
      <c r="A7" s="61"/>
      <c r="B7" s="62"/>
      <c r="C7" s="62"/>
      <c r="D7" s="62"/>
      <c r="E7" s="601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05"/>
      <c r="R7" s="1321"/>
      <c r="S7" s="63"/>
      <c r="T7" s="63"/>
      <c r="U7" s="63"/>
      <c r="V7" s="63"/>
      <c r="W7" s="63"/>
      <c r="X7" s="63"/>
      <c r="Y7" s="63"/>
      <c r="Z7" s="63"/>
      <c r="AA7" s="63"/>
      <c r="AB7" s="63"/>
      <c r="AC7" s="605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7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7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7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7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7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7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7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764"/>
    </row>
    <row r="8" spans="1:125" s="2" customFormat="1" ht="18.75" customHeight="1" x14ac:dyDescent="0.3">
      <c r="A8" s="245" t="s">
        <v>158</v>
      </c>
      <c r="B8" s="274" t="s">
        <v>159</v>
      </c>
      <c r="C8" s="288" t="s">
        <v>208</v>
      </c>
      <c r="D8" s="288" t="s">
        <v>212</v>
      </c>
      <c r="E8" s="10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606"/>
      <c r="R8" s="1322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606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606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606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606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606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606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606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606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606"/>
    </row>
    <row r="9" spans="1:125" s="2" customFormat="1" ht="18.75" customHeight="1" x14ac:dyDescent="0.25">
      <c r="A9" s="253"/>
      <c r="B9" s="273" t="s">
        <v>298</v>
      </c>
      <c r="C9" s="273" t="s">
        <v>209</v>
      </c>
      <c r="D9" s="273">
        <v>1</v>
      </c>
      <c r="E9" s="10">
        <f>-VLOOKUP(C9,$C$51:$W$59,8,FALSE)</f>
        <v>-81250</v>
      </c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86"/>
      <c r="R9" s="344"/>
      <c r="S9" s="108">
        <f t="shared" ref="S9:CD10" si="0">$E9*$D9*S$6</f>
        <v>-86368.75</v>
      </c>
      <c r="T9" s="108">
        <f t="shared" si="0"/>
        <v>-86368.75</v>
      </c>
      <c r="U9" s="108">
        <f t="shared" si="0"/>
        <v>-86368.75</v>
      </c>
      <c r="V9" s="108">
        <f t="shared" si="0"/>
        <v>-86368.75</v>
      </c>
      <c r="W9" s="108">
        <f t="shared" si="0"/>
        <v>-86368.75</v>
      </c>
      <c r="X9" s="108">
        <f t="shared" si="0"/>
        <v>-86368.75</v>
      </c>
      <c r="Y9" s="108">
        <f t="shared" si="0"/>
        <v>-86368.75</v>
      </c>
      <c r="Z9" s="108">
        <f t="shared" si="0"/>
        <v>-86368.75</v>
      </c>
      <c r="AA9" s="108">
        <f t="shared" si="0"/>
        <v>-86368.75</v>
      </c>
      <c r="AB9" s="108">
        <f t="shared" si="0"/>
        <v>-86368.75</v>
      </c>
      <c r="AC9" s="110">
        <f t="shared" si="0"/>
        <v>-86368.75</v>
      </c>
      <c r="AD9" s="109">
        <f t="shared" si="0"/>
        <v>-91809.981249999983</v>
      </c>
      <c r="AE9" s="108">
        <f t="shared" si="0"/>
        <v>-91809.981249999983</v>
      </c>
      <c r="AF9" s="108">
        <f t="shared" si="0"/>
        <v>-91809.981249999983</v>
      </c>
      <c r="AG9" s="108">
        <f t="shared" si="0"/>
        <v>-91809.981249999983</v>
      </c>
      <c r="AH9" s="108">
        <f t="shared" si="0"/>
        <v>-91809.981249999983</v>
      </c>
      <c r="AI9" s="108">
        <f t="shared" si="0"/>
        <v>-91809.981249999983</v>
      </c>
      <c r="AJ9" s="108">
        <f t="shared" si="0"/>
        <v>-91809.981249999983</v>
      </c>
      <c r="AK9" s="108">
        <f t="shared" si="0"/>
        <v>-91809.981249999983</v>
      </c>
      <c r="AL9" s="108">
        <f t="shared" si="0"/>
        <v>-91809.981249999983</v>
      </c>
      <c r="AM9" s="108">
        <f t="shared" si="0"/>
        <v>-91809.981249999983</v>
      </c>
      <c r="AN9" s="108">
        <f t="shared" si="0"/>
        <v>-91809.981249999983</v>
      </c>
      <c r="AO9" s="110">
        <f t="shared" si="0"/>
        <v>-91809.981249999983</v>
      </c>
      <c r="AP9" s="109">
        <f t="shared" si="0"/>
        <v>-97594.01006874998</v>
      </c>
      <c r="AQ9" s="108">
        <f t="shared" si="0"/>
        <v>-97594.01006874998</v>
      </c>
      <c r="AR9" s="108">
        <f t="shared" si="0"/>
        <v>-97594.01006874998</v>
      </c>
      <c r="AS9" s="108">
        <f t="shared" si="0"/>
        <v>-97594.01006874998</v>
      </c>
      <c r="AT9" s="108">
        <f t="shared" si="0"/>
        <v>-97594.01006874998</v>
      </c>
      <c r="AU9" s="108">
        <f t="shared" si="0"/>
        <v>-97594.01006874998</v>
      </c>
      <c r="AV9" s="108">
        <f t="shared" si="0"/>
        <v>-97594.01006874998</v>
      </c>
      <c r="AW9" s="108">
        <f t="shared" si="0"/>
        <v>-97594.01006874998</v>
      </c>
      <c r="AX9" s="108">
        <f t="shared" si="0"/>
        <v>-97594.01006874998</v>
      </c>
      <c r="AY9" s="108">
        <f t="shared" si="0"/>
        <v>-97594.01006874998</v>
      </c>
      <c r="AZ9" s="108">
        <f t="shared" si="0"/>
        <v>-97594.01006874998</v>
      </c>
      <c r="BA9" s="110">
        <f t="shared" si="0"/>
        <v>-97594.01006874998</v>
      </c>
      <c r="BB9" s="109">
        <f t="shared" si="0"/>
        <v>-103742.43270308121</v>
      </c>
      <c r="BC9" s="108">
        <f t="shared" si="0"/>
        <v>-103742.43270308121</v>
      </c>
      <c r="BD9" s="108">
        <f t="shared" si="0"/>
        <v>-103742.43270308121</v>
      </c>
      <c r="BE9" s="108">
        <f t="shared" si="0"/>
        <v>-103742.43270308121</v>
      </c>
      <c r="BF9" s="108">
        <f t="shared" si="0"/>
        <v>-103742.43270308121</v>
      </c>
      <c r="BG9" s="108">
        <f t="shared" si="0"/>
        <v>-103742.43270308121</v>
      </c>
      <c r="BH9" s="108">
        <f t="shared" si="0"/>
        <v>-103742.43270308121</v>
      </c>
      <c r="BI9" s="108">
        <f t="shared" si="0"/>
        <v>-103742.43270308121</v>
      </c>
      <c r="BJ9" s="108">
        <f t="shared" si="0"/>
        <v>-103742.43270308121</v>
      </c>
      <c r="BK9" s="108">
        <f t="shared" si="0"/>
        <v>-103742.43270308121</v>
      </c>
      <c r="BL9" s="108">
        <f t="shared" si="0"/>
        <v>-103742.43270308121</v>
      </c>
      <c r="BM9" s="110">
        <f t="shared" si="0"/>
        <v>-103742.43270308121</v>
      </c>
      <c r="BN9" s="109">
        <f t="shared" si="0"/>
        <v>-110278.20596337532</v>
      </c>
      <c r="BO9" s="108">
        <f t="shared" si="0"/>
        <v>-110278.20596337532</v>
      </c>
      <c r="BP9" s="108">
        <f t="shared" si="0"/>
        <v>-110278.20596337532</v>
      </c>
      <c r="BQ9" s="108">
        <f t="shared" si="0"/>
        <v>-110278.20596337532</v>
      </c>
      <c r="BR9" s="108">
        <f t="shared" si="0"/>
        <v>-110278.20596337532</v>
      </c>
      <c r="BS9" s="108">
        <f t="shared" si="0"/>
        <v>-110278.20596337532</v>
      </c>
      <c r="BT9" s="108">
        <f t="shared" si="0"/>
        <v>-110278.20596337532</v>
      </c>
      <c r="BU9" s="108">
        <f t="shared" si="0"/>
        <v>-110278.20596337532</v>
      </c>
      <c r="BV9" s="108">
        <f t="shared" si="0"/>
        <v>-110278.20596337532</v>
      </c>
      <c r="BW9" s="108">
        <f t="shared" si="0"/>
        <v>-110278.20596337532</v>
      </c>
      <c r="BX9" s="108">
        <f t="shared" si="0"/>
        <v>-110278.20596337532</v>
      </c>
      <c r="BY9" s="110">
        <f t="shared" si="0"/>
        <v>-110278.20596337532</v>
      </c>
      <c r="BZ9" s="109">
        <f t="shared" si="0"/>
        <v>-117225.73293906797</v>
      </c>
      <c r="CA9" s="108">
        <f t="shared" si="0"/>
        <v>-117225.73293906797</v>
      </c>
      <c r="CB9" s="108">
        <f t="shared" si="0"/>
        <v>-117225.73293906797</v>
      </c>
      <c r="CC9" s="108">
        <f t="shared" si="0"/>
        <v>-117225.73293906797</v>
      </c>
      <c r="CD9" s="108">
        <f t="shared" si="0"/>
        <v>-117225.73293906797</v>
      </c>
      <c r="CE9" s="108">
        <f t="shared" ref="CE9:DU12" si="1">$E9*$D9*CE$6</f>
        <v>-117225.73293906797</v>
      </c>
      <c r="CF9" s="108">
        <f t="shared" si="1"/>
        <v>-117225.73293906797</v>
      </c>
      <c r="CG9" s="108">
        <f t="shared" si="1"/>
        <v>-117225.73293906797</v>
      </c>
      <c r="CH9" s="108">
        <f t="shared" si="1"/>
        <v>-117225.73293906797</v>
      </c>
      <c r="CI9" s="108">
        <f t="shared" si="1"/>
        <v>-117225.73293906797</v>
      </c>
      <c r="CJ9" s="108">
        <f t="shared" si="1"/>
        <v>-117225.73293906797</v>
      </c>
      <c r="CK9" s="110">
        <f t="shared" si="1"/>
        <v>-117225.73293906797</v>
      </c>
      <c r="CL9" s="109">
        <f t="shared" si="1"/>
        <v>-124610.95411422924</v>
      </c>
      <c r="CM9" s="108">
        <f t="shared" si="1"/>
        <v>-124610.95411422924</v>
      </c>
      <c r="CN9" s="108">
        <f t="shared" si="1"/>
        <v>-124610.95411422924</v>
      </c>
      <c r="CO9" s="108">
        <f t="shared" si="1"/>
        <v>-124610.95411422924</v>
      </c>
      <c r="CP9" s="108">
        <f t="shared" si="1"/>
        <v>-124610.95411422924</v>
      </c>
      <c r="CQ9" s="108">
        <f t="shared" si="1"/>
        <v>-124610.95411422924</v>
      </c>
      <c r="CR9" s="108">
        <f t="shared" si="1"/>
        <v>-124610.95411422924</v>
      </c>
      <c r="CS9" s="108">
        <f t="shared" si="1"/>
        <v>-124610.95411422924</v>
      </c>
      <c r="CT9" s="108">
        <f t="shared" si="1"/>
        <v>-124610.95411422924</v>
      </c>
      <c r="CU9" s="108">
        <f t="shared" si="1"/>
        <v>-124610.95411422924</v>
      </c>
      <c r="CV9" s="108">
        <f t="shared" si="1"/>
        <v>-124610.95411422924</v>
      </c>
      <c r="CW9" s="110">
        <f t="shared" si="1"/>
        <v>-124610.95411422924</v>
      </c>
      <c r="CX9" s="109">
        <f t="shared" si="1"/>
        <v>-132461.44422342567</v>
      </c>
      <c r="CY9" s="108">
        <f t="shared" si="1"/>
        <v>-132461.44422342567</v>
      </c>
      <c r="CZ9" s="108">
        <f t="shared" si="1"/>
        <v>-132461.44422342567</v>
      </c>
      <c r="DA9" s="108">
        <f t="shared" si="1"/>
        <v>-132461.44422342567</v>
      </c>
      <c r="DB9" s="108">
        <f t="shared" si="1"/>
        <v>-132461.44422342567</v>
      </c>
      <c r="DC9" s="108">
        <f t="shared" si="1"/>
        <v>-132461.44422342567</v>
      </c>
      <c r="DD9" s="108">
        <f t="shared" si="1"/>
        <v>-132461.44422342567</v>
      </c>
      <c r="DE9" s="108">
        <f t="shared" si="1"/>
        <v>-132461.44422342567</v>
      </c>
      <c r="DF9" s="108">
        <f t="shared" si="1"/>
        <v>-132461.44422342567</v>
      </c>
      <c r="DG9" s="108">
        <f t="shared" si="1"/>
        <v>-132461.44422342567</v>
      </c>
      <c r="DH9" s="108">
        <f t="shared" si="1"/>
        <v>-132461.44422342567</v>
      </c>
      <c r="DI9" s="110">
        <f t="shared" si="1"/>
        <v>-132461.44422342567</v>
      </c>
      <c r="DJ9" s="109">
        <f t="shared" si="1"/>
        <v>-140806.51520950149</v>
      </c>
      <c r="DK9" s="108">
        <f t="shared" si="1"/>
        <v>-140806.51520950149</v>
      </c>
      <c r="DL9" s="108">
        <f t="shared" si="1"/>
        <v>-140806.51520950149</v>
      </c>
      <c r="DM9" s="108">
        <f t="shared" si="1"/>
        <v>-140806.51520950149</v>
      </c>
      <c r="DN9" s="108">
        <f t="shared" si="1"/>
        <v>-140806.51520950149</v>
      </c>
      <c r="DO9" s="108">
        <f t="shared" si="1"/>
        <v>-140806.51520950149</v>
      </c>
      <c r="DP9" s="108">
        <f t="shared" si="1"/>
        <v>-140806.51520950149</v>
      </c>
      <c r="DQ9" s="108">
        <f t="shared" si="1"/>
        <v>-140806.51520950149</v>
      </c>
      <c r="DR9" s="108">
        <f t="shared" si="1"/>
        <v>-140806.51520950149</v>
      </c>
      <c r="DS9" s="108">
        <f t="shared" si="1"/>
        <v>-140806.51520950149</v>
      </c>
      <c r="DT9" s="108">
        <f t="shared" si="1"/>
        <v>-140806.51520950149</v>
      </c>
      <c r="DU9" s="110">
        <f t="shared" si="1"/>
        <v>-140806.51520950149</v>
      </c>
    </row>
    <row r="10" spans="1:125" s="2" customFormat="1" ht="18.75" customHeight="1" x14ac:dyDescent="0.25">
      <c r="A10" s="253"/>
      <c r="B10" s="273" t="s">
        <v>299</v>
      </c>
      <c r="C10" s="273" t="s">
        <v>231</v>
      </c>
      <c r="D10" s="273">
        <v>1</v>
      </c>
      <c r="E10" s="10">
        <f>-VLOOKUP(C10,$C$51:$W$59,8,FALSE)</f>
        <v>-65000</v>
      </c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86"/>
      <c r="R10" s="344"/>
      <c r="S10" s="108">
        <f t="shared" ref="S10:AG10" si="2">$E10*$D10*S$6</f>
        <v>-69095</v>
      </c>
      <c r="T10" s="108">
        <f t="shared" si="2"/>
        <v>-69095</v>
      </c>
      <c r="U10" s="108">
        <f t="shared" si="2"/>
        <v>-69095</v>
      </c>
      <c r="V10" s="108">
        <f t="shared" si="2"/>
        <v>-69095</v>
      </c>
      <c r="W10" s="108">
        <f t="shared" si="2"/>
        <v>-69095</v>
      </c>
      <c r="X10" s="108">
        <f t="shared" si="2"/>
        <v>-69095</v>
      </c>
      <c r="Y10" s="108">
        <f t="shared" si="2"/>
        <v>-69095</v>
      </c>
      <c r="Z10" s="108">
        <f t="shared" si="2"/>
        <v>-69095</v>
      </c>
      <c r="AA10" s="108">
        <f t="shared" si="2"/>
        <v>-69095</v>
      </c>
      <c r="AB10" s="108">
        <f t="shared" si="2"/>
        <v>-69095</v>
      </c>
      <c r="AC10" s="110">
        <f t="shared" si="2"/>
        <v>-69095</v>
      </c>
      <c r="AD10" s="109">
        <f t="shared" si="2"/>
        <v>-73447.984999999986</v>
      </c>
      <c r="AE10" s="108">
        <f t="shared" si="2"/>
        <v>-73447.984999999986</v>
      </c>
      <c r="AF10" s="108">
        <f t="shared" si="2"/>
        <v>-73447.984999999986</v>
      </c>
      <c r="AG10" s="108">
        <f t="shared" si="2"/>
        <v>-73447.984999999986</v>
      </c>
      <c r="AH10" s="108">
        <f t="shared" si="0"/>
        <v>-73447.984999999986</v>
      </c>
      <c r="AI10" s="108">
        <f t="shared" si="0"/>
        <v>-73447.984999999986</v>
      </c>
      <c r="AJ10" s="108">
        <f t="shared" si="0"/>
        <v>-73447.984999999986</v>
      </c>
      <c r="AK10" s="108">
        <f t="shared" si="0"/>
        <v>-73447.984999999986</v>
      </c>
      <c r="AL10" s="108">
        <f t="shared" si="0"/>
        <v>-73447.984999999986</v>
      </c>
      <c r="AM10" s="108">
        <f t="shared" si="0"/>
        <v>-73447.984999999986</v>
      </c>
      <c r="AN10" s="108">
        <f t="shared" si="0"/>
        <v>-73447.984999999986</v>
      </c>
      <c r="AO10" s="110">
        <f t="shared" si="0"/>
        <v>-73447.984999999986</v>
      </c>
      <c r="AP10" s="109">
        <f t="shared" si="0"/>
        <v>-78075.208054999981</v>
      </c>
      <c r="AQ10" s="108">
        <f t="shared" si="0"/>
        <v>-78075.208054999981</v>
      </c>
      <c r="AR10" s="108">
        <f t="shared" si="0"/>
        <v>-78075.208054999981</v>
      </c>
      <c r="AS10" s="108">
        <f t="shared" si="0"/>
        <v>-78075.208054999981</v>
      </c>
      <c r="AT10" s="108">
        <f t="shared" si="0"/>
        <v>-78075.208054999981</v>
      </c>
      <c r="AU10" s="108">
        <f t="shared" si="0"/>
        <v>-78075.208054999981</v>
      </c>
      <c r="AV10" s="108">
        <f t="shared" si="0"/>
        <v>-78075.208054999981</v>
      </c>
      <c r="AW10" s="108">
        <f t="shared" si="0"/>
        <v>-78075.208054999981</v>
      </c>
      <c r="AX10" s="108">
        <f t="shared" si="0"/>
        <v>-78075.208054999981</v>
      </c>
      <c r="AY10" s="108">
        <f t="shared" si="0"/>
        <v>-78075.208054999981</v>
      </c>
      <c r="AZ10" s="108">
        <f t="shared" si="0"/>
        <v>-78075.208054999981</v>
      </c>
      <c r="BA10" s="110">
        <f t="shared" si="0"/>
        <v>-78075.208054999981</v>
      </c>
      <c r="BB10" s="109">
        <f t="shared" si="0"/>
        <v>-82993.94616246497</v>
      </c>
      <c r="BC10" s="108">
        <f t="shared" si="0"/>
        <v>-82993.94616246497</v>
      </c>
      <c r="BD10" s="108">
        <f t="shared" si="0"/>
        <v>-82993.94616246497</v>
      </c>
      <c r="BE10" s="108">
        <f t="shared" si="0"/>
        <v>-82993.94616246497</v>
      </c>
      <c r="BF10" s="108">
        <f t="shared" si="0"/>
        <v>-82993.94616246497</v>
      </c>
      <c r="BG10" s="108">
        <f t="shared" si="0"/>
        <v>-82993.94616246497</v>
      </c>
      <c r="BH10" s="108">
        <f t="shared" si="0"/>
        <v>-82993.94616246497</v>
      </c>
      <c r="BI10" s="108">
        <f t="shared" si="0"/>
        <v>-82993.94616246497</v>
      </c>
      <c r="BJ10" s="108">
        <f t="shared" si="0"/>
        <v>-82993.94616246497</v>
      </c>
      <c r="BK10" s="108">
        <f t="shared" si="0"/>
        <v>-82993.94616246497</v>
      </c>
      <c r="BL10" s="108">
        <f t="shared" si="0"/>
        <v>-82993.94616246497</v>
      </c>
      <c r="BM10" s="110">
        <f t="shared" si="0"/>
        <v>-82993.94616246497</v>
      </c>
      <c r="BN10" s="109">
        <f t="shared" si="0"/>
        <v>-88222.564770700264</v>
      </c>
      <c r="BO10" s="108">
        <f t="shared" si="0"/>
        <v>-88222.564770700264</v>
      </c>
      <c r="BP10" s="108">
        <f t="shared" si="0"/>
        <v>-88222.564770700264</v>
      </c>
      <c r="BQ10" s="108">
        <f t="shared" si="0"/>
        <v>-88222.564770700264</v>
      </c>
      <c r="BR10" s="108">
        <f t="shared" si="0"/>
        <v>-88222.564770700264</v>
      </c>
      <c r="BS10" s="108">
        <f t="shared" si="0"/>
        <v>-88222.564770700264</v>
      </c>
      <c r="BT10" s="108">
        <f t="shared" si="0"/>
        <v>-88222.564770700264</v>
      </c>
      <c r="BU10" s="108">
        <f t="shared" si="0"/>
        <v>-88222.564770700264</v>
      </c>
      <c r="BV10" s="108">
        <f t="shared" si="0"/>
        <v>-88222.564770700264</v>
      </c>
      <c r="BW10" s="108">
        <f t="shared" si="0"/>
        <v>-88222.564770700264</v>
      </c>
      <c r="BX10" s="108">
        <f t="shared" si="0"/>
        <v>-88222.564770700264</v>
      </c>
      <c r="BY10" s="110">
        <f t="shared" si="0"/>
        <v>-88222.564770700264</v>
      </c>
      <c r="BZ10" s="109">
        <f t="shared" si="0"/>
        <v>-93780.586351254373</v>
      </c>
      <c r="CA10" s="108">
        <f t="shared" si="0"/>
        <v>-93780.586351254373</v>
      </c>
      <c r="CB10" s="108">
        <f t="shared" si="0"/>
        <v>-93780.586351254373</v>
      </c>
      <c r="CC10" s="108">
        <f t="shared" si="0"/>
        <v>-93780.586351254373</v>
      </c>
      <c r="CD10" s="108">
        <f t="shared" si="0"/>
        <v>-93780.586351254373</v>
      </c>
      <c r="CE10" s="108">
        <f t="shared" si="1"/>
        <v>-93780.586351254373</v>
      </c>
      <c r="CF10" s="108">
        <f t="shared" si="1"/>
        <v>-93780.586351254373</v>
      </c>
      <c r="CG10" s="108">
        <f t="shared" si="1"/>
        <v>-93780.586351254373</v>
      </c>
      <c r="CH10" s="108">
        <f t="shared" si="1"/>
        <v>-93780.586351254373</v>
      </c>
      <c r="CI10" s="108">
        <f t="shared" si="1"/>
        <v>-93780.586351254373</v>
      </c>
      <c r="CJ10" s="108">
        <f t="shared" si="1"/>
        <v>-93780.586351254373</v>
      </c>
      <c r="CK10" s="110">
        <f t="shared" si="1"/>
        <v>-93780.586351254373</v>
      </c>
      <c r="CL10" s="109">
        <f t="shared" si="1"/>
        <v>-99688.763291383395</v>
      </c>
      <c r="CM10" s="108">
        <f t="shared" si="1"/>
        <v>-99688.763291383395</v>
      </c>
      <c r="CN10" s="108">
        <f t="shared" si="1"/>
        <v>-99688.763291383395</v>
      </c>
      <c r="CO10" s="108">
        <f t="shared" si="1"/>
        <v>-99688.763291383395</v>
      </c>
      <c r="CP10" s="108">
        <f t="shared" si="1"/>
        <v>-99688.763291383395</v>
      </c>
      <c r="CQ10" s="108">
        <f t="shared" si="1"/>
        <v>-99688.763291383395</v>
      </c>
      <c r="CR10" s="108">
        <f t="shared" si="1"/>
        <v>-99688.763291383395</v>
      </c>
      <c r="CS10" s="108">
        <f t="shared" si="1"/>
        <v>-99688.763291383395</v>
      </c>
      <c r="CT10" s="108">
        <f t="shared" si="1"/>
        <v>-99688.763291383395</v>
      </c>
      <c r="CU10" s="108">
        <f t="shared" si="1"/>
        <v>-99688.763291383395</v>
      </c>
      <c r="CV10" s="108">
        <f t="shared" si="1"/>
        <v>-99688.763291383395</v>
      </c>
      <c r="CW10" s="110">
        <f t="shared" si="1"/>
        <v>-99688.763291383395</v>
      </c>
      <c r="CX10" s="109">
        <f t="shared" si="1"/>
        <v>-105969.15537874054</v>
      </c>
      <c r="CY10" s="108">
        <f t="shared" si="1"/>
        <v>-105969.15537874054</v>
      </c>
      <c r="CZ10" s="108">
        <f t="shared" si="1"/>
        <v>-105969.15537874054</v>
      </c>
      <c r="DA10" s="108">
        <f t="shared" si="1"/>
        <v>-105969.15537874054</v>
      </c>
      <c r="DB10" s="108">
        <f t="shared" si="1"/>
        <v>-105969.15537874054</v>
      </c>
      <c r="DC10" s="108">
        <f t="shared" si="1"/>
        <v>-105969.15537874054</v>
      </c>
      <c r="DD10" s="108">
        <f t="shared" si="1"/>
        <v>-105969.15537874054</v>
      </c>
      <c r="DE10" s="108">
        <f t="shared" si="1"/>
        <v>-105969.15537874054</v>
      </c>
      <c r="DF10" s="108">
        <f t="shared" si="1"/>
        <v>-105969.15537874054</v>
      </c>
      <c r="DG10" s="108">
        <f t="shared" si="1"/>
        <v>-105969.15537874054</v>
      </c>
      <c r="DH10" s="108">
        <f t="shared" si="1"/>
        <v>-105969.15537874054</v>
      </c>
      <c r="DI10" s="110">
        <f t="shared" si="1"/>
        <v>-105969.15537874054</v>
      </c>
      <c r="DJ10" s="109">
        <f t="shared" si="1"/>
        <v>-112645.2121676012</v>
      </c>
      <c r="DK10" s="108">
        <f t="shared" si="1"/>
        <v>-112645.2121676012</v>
      </c>
      <c r="DL10" s="108">
        <f t="shared" si="1"/>
        <v>-112645.2121676012</v>
      </c>
      <c r="DM10" s="108">
        <f t="shared" si="1"/>
        <v>-112645.2121676012</v>
      </c>
      <c r="DN10" s="108">
        <f t="shared" si="1"/>
        <v>-112645.2121676012</v>
      </c>
      <c r="DO10" s="108">
        <f t="shared" si="1"/>
        <v>-112645.2121676012</v>
      </c>
      <c r="DP10" s="108">
        <f t="shared" si="1"/>
        <v>-112645.2121676012</v>
      </c>
      <c r="DQ10" s="108">
        <f t="shared" si="1"/>
        <v>-112645.2121676012</v>
      </c>
      <c r="DR10" s="108">
        <f t="shared" si="1"/>
        <v>-112645.2121676012</v>
      </c>
      <c r="DS10" s="108">
        <f t="shared" si="1"/>
        <v>-112645.2121676012</v>
      </c>
      <c r="DT10" s="108">
        <f t="shared" si="1"/>
        <v>-112645.2121676012</v>
      </c>
      <c r="DU10" s="110">
        <f t="shared" si="1"/>
        <v>-112645.2121676012</v>
      </c>
    </row>
    <row r="11" spans="1:125" s="2" customFormat="1" ht="18.75" customHeight="1" x14ac:dyDescent="0.25">
      <c r="A11" s="253"/>
      <c r="B11" s="273" t="s">
        <v>1307</v>
      </c>
      <c r="C11" s="273" t="s">
        <v>231</v>
      </c>
      <c r="D11" s="273">
        <v>1</v>
      </c>
      <c r="E11" s="10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86"/>
      <c r="R11" s="344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10"/>
      <c r="AD11" s="109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10"/>
      <c r="AP11" s="109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10"/>
      <c r="BB11" s="109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10"/>
      <c r="BN11" s="109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10"/>
      <c r="BZ11" s="109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10"/>
      <c r="CL11" s="109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10"/>
      <c r="CX11" s="109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10"/>
      <c r="DJ11" s="109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10"/>
    </row>
    <row r="12" spans="1:125" s="2" customFormat="1" ht="18.75" customHeight="1" x14ac:dyDescent="0.25">
      <c r="A12" s="246"/>
      <c r="B12" s="273" t="s">
        <v>379</v>
      </c>
      <c r="C12" s="273" t="s">
        <v>231</v>
      </c>
      <c r="D12" s="273">
        <v>1</v>
      </c>
      <c r="E12" s="10">
        <f>-VLOOKUP(C12,$C$51:$W$59,8,FALSE)</f>
        <v>-65000</v>
      </c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86"/>
      <c r="R12" s="344"/>
      <c r="S12" s="108">
        <f t="shared" ref="S12:CD12" si="3">$E12*$D12*S$6</f>
        <v>-69095</v>
      </c>
      <c r="T12" s="108">
        <f t="shared" si="3"/>
        <v>-69095</v>
      </c>
      <c r="U12" s="108">
        <f t="shared" si="3"/>
        <v>-69095</v>
      </c>
      <c r="V12" s="108">
        <f t="shared" si="3"/>
        <v>-69095</v>
      </c>
      <c r="W12" s="108">
        <f t="shared" si="3"/>
        <v>-69095</v>
      </c>
      <c r="X12" s="108">
        <f t="shared" si="3"/>
        <v>-69095</v>
      </c>
      <c r="Y12" s="108">
        <f t="shared" si="3"/>
        <v>-69095</v>
      </c>
      <c r="Z12" s="108">
        <f t="shared" si="3"/>
        <v>-69095</v>
      </c>
      <c r="AA12" s="108">
        <f t="shared" si="3"/>
        <v>-69095</v>
      </c>
      <c r="AB12" s="108">
        <f t="shared" si="3"/>
        <v>-69095</v>
      </c>
      <c r="AC12" s="110">
        <f t="shared" si="3"/>
        <v>-69095</v>
      </c>
      <c r="AD12" s="109">
        <f t="shared" si="3"/>
        <v>-73447.984999999986</v>
      </c>
      <c r="AE12" s="108">
        <f t="shared" si="3"/>
        <v>-73447.984999999986</v>
      </c>
      <c r="AF12" s="108">
        <f t="shared" si="3"/>
        <v>-73447.984999999986</v>
      </c>
      <c r="AG12" s="108">
        <f t="shared" si="3"/>
        <v>-73447.984999999986</v>
      </c>
      <c r="AH12" s="108">
        <f t="shared" si="3"/>
        <v>-73447.984999999986</v>
      </c>
      <c r="AI12" s="108">
        <f t="shared" si="3"/>
        <v>-73447.984999999986</v>
      </c>
      <c r="AJ12" s="108">
        <f t="shared" si="3"/>
        <v>-73447.984999999986</v>
      </c>
      <c r="AK12" s="108">
        <f t="shared" si="3"/>
        <v>-73447.984999999986</v>
      </c>
      <c r="AL12" s="108">
        <f t="shared" si="3"/>
        <v>-73447.984999999986</v>
      </c>
      <c r="AM12" s="108">
        <f t="shared" si="3"/>
        <v>-73447.984999999986</v>
      </c>
      <c r="AN12" s="108">
        <f t="shared" si="3"/>
        <v>-73447.984999999986</v>
      </c>
      <c r="AO12" s="110">
        <f t="shared" si="3"/>
        <v>-73447.984999999986</v>
      </c>
      <c r="AP12" s="109">
        <f t="shared" si="3"/>
        <v>-78075.208054999981</v>
      </c>
      <c r="AQ12" s="108">
        <f t="shared" si="3"/>
        <v>-78075.208054999981</v>
      </c>
      <c r="AR12" s="108">
        <f t="shared" si="3"/>
        <v>-78075.208054999981</v>
      </c>
      <c r="AS12" s="108">
        <f t="shared" si="3"/>
        <v>-78075.208054999981</v>
      </c>
      <c r="AT12" s="108">
        <f t="shared" si="3"/>
        <v>-78075.208054999981</v>
      </c>
      <c r="AU12" s="108">
        <f t="shared" si="3"/>
        <v>-78075.208054999981</v>
      </c>
      <c r="AV12" s="108">
        <f t="shared" si="3"/>
        <v>-78075.208054999981</v>
      </c>
      <c r="AW12" s="108">
        <f t="shared" si="3"/>
        <v>-78075.208054999981</v>
      </c>
      <c r="AX12" s="108">
        <f t="shared" si="3"/>
        <v>-78075.208054999981</v>
      </c>
      <c r="AY12" s="108">
        <f t="shared" si="3"/>
        <v>-78075.208054999981</v>
      </c>
      <c r="AZ12" s="108">
        <f t="shared" si="3"/>
        <v>-78075.208054999981</v>
      </c>
      <c r="BA12" s="110">
        <f t="shared" si="3"/>
        <v>-78075.208054999981</v>
      </c>
      <c r="BB12" s="109">
        <f t="shared" si="3"/>
        <v>-82993.94616246497</v>
      </c>
      <c r="BC12" s="108">
        <f t="shared" si="3"/>
        <v>-82993.94616246497</v>
      </c>
      <c r="BD12" s="108">
        <f t="shared" si="3"/>
        <v>-82993.94616246497</v>
      </c>
      <c r="BE12" s="108">
        <f t="shared" si="3"/>
        <v>-82993.94616246497</v>
      </c>
      <c r="BF12" s="108">
        <f t="shared" si="3"/>
        <v>-82993.94616246497</v>
      </c>
      <c r="BG12" s="108">
        <f t="shared" si="3"/>
        <v>-82993.94616246497</v>
      </c>
      <c r="BH12" s="108">
        <f t="shared" si="3"/>
        <v>-82993.94616246497</v>
      </c>
      <c r="BI12" s="108">
        <f t="shared" si="3"/>
        <v>-82993.94616246497</v>
      </c>
      <c r="BJ12" s="108">
        <f t="shared" si="3"/>
        <v>-82993.94616246497</v>
      </c>
      <c r="BK12" s="108">
        <f t="shared" si="3"/>
        <v>-82993.94616246497</v>
      </c>
      <c r="BL12" s="108">
        <f t="shared" si="3"/>
        <v>-82993.94616246497</v>
      </c>
      <c r="BM12" s="110">
        <f t="shared" si="3"/>
        <v>-82993.94616246497</v>
      </c>
      <c r="BN12" s="109">
        <f t="shared" si="3"/>
        <v>-88222.564770700264</v>
      </c>
      <c r="BO12" s="108">
        <f t="shared" si="3"/>
        <v>-88222.564770700264</v>
      </c>
      <c r="BP12" s="108">
        <f t="shared" si="3"/>
        <v>-88222.564770700264</v>
      </c>
      <c r="BQ12" s="108">
        <f t="shared" si="3"/>
        <v>-88222.564770700264</v>
      </c>
      <c r="BR12" s="108">
        <f t="shared" si="3"/>
        <v>-88222.564770700264</v>
      </c>
      <c r="BS12" s="108">
        <f t="shared" si="3"/>
        <v>-88222.564770700264</v>
      </c>
      <c r="BT12" s="108">
        <f t="shared" si="3"/>
        <v>-88222.564770700264</v>
      </c>
      <c r="BU12" s="108">
        <f t="shared" si="3"/>
        <v>-88222.564770700264</v>
      </c>
      <c r="BV12" s="108">
        <f t="shared" si="3"/>
        <v>-88222.564770700264</v>
      </c>
      <c r="BW12" s="108">
        <f t="shared" si="3"/>
        <v>-88222.564770700264</v>
      </c>
      <c r="BX12" s="108">
        <f t="shared" si="3"/>
        <v>-88222.564770700264</v>
      </c>
      <c r="BY12" s="110">
        <f t="shared" si="3"/>
        <v>-88222.564770700264</v>
      </c>
      <c r="BZ12" s="109">
        <f t="shared" si="3"/>
        <v>-93780.586351254373</v>
      </c>
      <c r="CA12" s="108">
        <f t="shared" si="3"/>
        <v>-93780.586351254373</v>
      </c>
      <c r="CB12" s="108">
        <f t="shared" si="3"/>
        <v>-93780.586351254373</v>
      </c>
      <c r="CC12" s="108">
        <f t="shared" si="3"/>
        <v>-93780.586351254373</v>
      </c>
      <c r="CD12" s="108">
        <f t="shared" si="3"/>
        <v>-93780.586351254373</v>
      </c>
      <c r="CE12" s="108">
        <f t="shared" si="1"/>
        <v>-93780.586351254373</v>
      </c>
      <c r="CF12" s="108">
        <f t="shared" si="1"/>
        <v>-93780.586351254373</v>
      </c>
      <c r="CG12" s="108">
        <f t="shared" si="1"/>
        <v>-93780.586351254373</v>
      </c>
      <c r="CH12" s="108">
        <f t="shared" si="1"/>
        <v>-93780.586351254373</v>
      </c>
      <c r="CI12" s="108">
        <f t="shared" si="1"/>
        <v>-93780.586351254373</v>
      </c>
      <c r="CJ12" s="108">
        <f t="shared" si="1"/>
        <v>-93780.586351254373</v>
      </c>
      <c r="CK12" s="110">
        <f t="shared" si="1"/>
        <v>-93780.586351254373</v>
      </c>
      <c r="CL12" s="109">
        <f t="shared" si="1"/>
        <v>-99688.763291383395</v>
      </c>
      <c r="CM12" s="108">
        <f t="shared" si="1"/>
        <v>-99688.763291383395</v>
      </c>
      <c r="CN12" s="108">
        <f t="shared" si="1"/>
        <v>-99688.763291383395</v>
      </c>
      <c r="CO12" s="108">
        <f t="shared" si="1"/>
        <v>-99688.763291383395</v>
      </c>
      <c r="CP12" s="108">
        <f t="shared" si="1"/>
        <v>-99688.763291383395</v>
      </c>
      <c r="CQ12" s="108">
        <f t="shared" si="1"/>
        <v>-99688.763291383395</v>
      </c>
      <c r="CR12" s="108">
        <f t="shared" si="1"/>
        <v>-99688.763291383395</v>
      </c>
      <c r="CS12" s="108">
        <f t="shared" si="1"/>
        <v>-99688.763291383395</v>
      </c>
      <c r="CT12" s="108">
        <f t="shared" si="1"/>
        <v>-99688.763291383395</v>
      </c>
      <c r="CU12" s="108">
        <f t="shared" si="1"/>
        <v>-99688.763291383395</v>
      </c>
      <c r="CV12" s="108">
        <f t="shared" si="1"/>
        <v>-99688.763291383395</v>
      </c>
      <c r="CW12" s="110">
        <f t="shared" si="1"/>
        <v>-99688.763291383395</v>
      </c>
      <c r="CX12" s="109">
        <f t="shared" si="1"/>
        <v>-105969.15537874054</v>
      </c>
      <c r="CY12" s="108">
        <f t="shared" si="1"/>
        <v>-105969.15537874054</v>
      </c>
      <c r="CZ12" s="108">
        <f t="shared" si="1"/>
        <v>-105969.15537874054</v>
      </c>
      <c r="DA12" s="108">
        <f t="shared" si="1"/>
        <v>-105969.15537874054</v>
      </c>
      <c r="DB12" s="108">
        <f t="shared" si="1"/>
        <v>-105969.15537874054</v>
      </c>
      <c r="DC12" s="108">
        <f t="shared" si="1"/>
        <v>-105969.15537874054</v>
      </c>
      <c r="DD12" s="108">
        <f t="shared" si="1"/>
        <v>-105969.15537874054</v>
      </c>
      <c r="DE12" s="108">
        <f t="shared" si="1"/>
        <v>-105969.15537874054</v>
      </c>
      <c r="DF12" s="108">
        <f t="shared" si="1"/>
        <v>-105969.15537874054</v>
      </c>
      <c r="DG12" s="108">
        <f t="shared" si="1"/>
        <v>-105969.15537874054</v>
      </c>
      <c r="DH12" s="108">
        <f t="shared" si="1"/>
        <v>-105969.15537874054</v>
      </c>
      <c r="DI12" s="110">
        <f t="shared" si="1"/>
        <v>-105969.15537874054</v>
      </c>
      <c r="DJ12" s="109">
        <f t="shared" si="1"/>
        <v>-112645.2121676012</v>
      </c>
      <c r="DK12" s="108">
        <f t="shared" si="1"/>
        <v>-112645.2121676012</v>
      </c>
      <c r="DL12" s="108">
        <f t="shared" si="1"/>
        <v>-112645.2121676012</v>
      </c>
      <c r="DM12" s="108">
        <f t="shared" si="1"/>
        <v>-112645.2121676012</v>
      </c>
      <c r="DN12" s="108">
        <f t="shared" si="1"/>
        <v>-112645.2121676012</v>
      </c>
      <c r="DO12" s="108">
        <f t="shared" si="1"/>
        <v>-112645.2121676012</v>
      </c>
      <c r="DP12" s="108">
        <f t="shared" si="1"/>
        <v>-112645.2121676012</v>
      </c>
      <c r="DQ12" s="108">
        <f t="shared" si="1"/>
        <v>-112645.2121676012</v>
      </c>
      <c r="DR12" s="108">
        <f t="shared" si="1"/>
        <v>-112645.2121676012</v>
      </c>
      <c r="DS12" s="108">
        <f t="shared" si="1"/>
        <v>-112645.2121676012</v>
      </c>
      <c r="DT12" s="108">
        <f t="shared" si="1"/>
        <v>-112645.2121676012</v>
      </c>
      <c r="DU12" s="110">
        <f t="shared" si="1"/>
        <v>-112645.2121676012</v>
      </c>
    </row>
    <row r="13" spans="1:125" s="2" customFormat="1" ht="18.75" customHeight="1" x14ac:dyDescent="0.3">
      <c r="A13" s="245"/>
      <c r="B13" s="274" t="s">
        <v>238</v>
      </c>
      <c r="C13" s="274"/>
      <c r="D13" s="274"/>
      <c r="E13" s="10"/>
      <c r="F13" s="403"/>
      <c r="G13" s="745"/>
      <c r="H13" s="745"/>
      <c r="I13" s="745"/>
      <c r="J13" s="745"/>
      <c r="K13" s="745"/>
      <c r="L13" s="745"/>
      <c r="M13" s="745"/>
      <c r="N13" s="745"/>
      <c r="O13" s="745"/>
      <c r="P13" s="745"/>
      <c r="Q13" s="688"/>
      <c r="R13" s="344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606">
        <v>0</v>
      </c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606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606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606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606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606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606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606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606"/>
    </row>
    <row r="14" spans="1:125" s="2" customFormat="1" ht="18.75" customHeight="1" x14ac:dyDescent="0.25">
      <c r="A14" s="246"/>
      <c r="B14" s="273" t="s">
        <v>207</v>
      </c>
      <c r="C14" s="273" t="s">
        <v>222</v>
      </c>
      <c r="D14" s="273">
        <v>1</v>
      </c>
      <c r="E14" s="10">
        <f t="shared" ref="E14:E20" si="4">-VLOOKUP(C14,$C$51:$W$59,8,FALSE)</f>
        <v>-55500</v>
      </c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86"/>
      <c r="R14" s="344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687">
        <v>0</v>
      </c>
      <c r="AD14" s="109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10">
        <v>0</v>
      </c>
      <c r="AP14" s="109">
        <v>0</v>
      </c>
      <c r="AQ14" s="108">
        <f t="shared" ref="AQ14:CD17" si="5">$E14*$D14*AQ$6</f>
        <v>-66664.216108499983</v>
      </c>
      <c r="AR14" s="108">
        <f t="shared" si="5"/>
        <v>-66664.216108499983</v>
      </c>
      <c r="AS14" s="108">
        <f t="shared" si="5"/>
        <v>-66664.216108499983</v>
      </c>
      <c r="AT14" s="108">
        <f t="shared" si="5"/>
        <v>-66664.216108499983</v>
      </c>
      <c r="AU14" s="108">
        <f t="shared" si="5"/>
        <v>-66664.216108499983</v>
      </c>
      <c r="AV14" s="108">
        <f t="shared" si="5"/>
        <v>-66664.216108499983</v>
      </c>
      <c r="AW14" s="108">
        <f t="shared" si="5"/>
        <v>-66664.216108499983</v>
      </c>
      <c r="AX14" s="108">
        <f t="shared" si="5"/>
        <v>-66664.216108499983</v>
      </c>
      <c r="AY14" s="108">
        <f t="shared" si="5"/>
        <v>-66664.216108499983</v>
      </c>
      <c r="AZ14" s="108">
        <f t="shared" si="5"/>
        <v>-66664.216108499983</v>
      </c>
      <c r="BA14" s="110">
        <f t="shared" si="5"/>
        <v>-66664.216108499983</v>
      </c>
      <c r="BB14" s="109">
        <f t="shared" si="5"/>
        <v>-70864.061723335471</v>
      </c>
      <c r="BC14" s="108">
        <f t="shared" si="5"/>
        <v>-70864.061723335471</v>
      </c>
      <c r="BD14" s="108">
        <f t="shared" si="5"/>
        <v>-70864.061723335471</v>
      </c>
      <c r="BE14" s="108">
        <f t="shared" si="5"/>
        <v>-70864.061723335471</v>
      </c>
      <c r="BF14" s="108">
        <f t="shared" si="5"/>
        <v>-70864.061723335471</v>
      </c>
      <c r="BG14" s="108">
        <f t="shared" si="5"/>
        <v>-70864.061723335471</v>
      </c>
      <c r="BH14" s="108">
        <f t="shared" si="5"/>
        <v>-70864.061723335471</v>
      </c>
      <c r="BI14" s="108">
        <f t="shared" si="5"/>
        <v>-70864.061723335471</v>
      </c>
      <c r="BJ14" s="108">
        <f t="shared" si="5"/>
        <v>-70864.061723335471</v>
      </c>
      <c r="BK14" s="108">
        <f t="shared" si="5"/>
        <v>-70864.061723335471</v>
      </c>
      <c r="BL14" s="108">
        <f t="shared" si="5"/>
        <v>-70864.061723335471</v>
      </c>
      <c r="BM14" s="110">
        <f t="shared" si="5"/>
        <v>-70864.061723335471</v>
      </c>
      <c r="BN14" s="109">
        <f t="shared" si="5"/>
        <v>-75328.497611905608</v>
      </c>
      <c r="BO14" s="108">
        <f t="shared" si="5"/>
        <v>-75328.497611905608</v>
      </c>
      <c r="BP14" s="108">
        <f t="shared" si="5"/>
        <v>-75328.497611905608</v>
      </c>
      <c r="BQ14" s="108">
        <f t="shared" si="5"/>
        <v>-75328.497611905608</v>
      </c>
      <c r="BR14" s="108">
        <f t="shared" si="5"/>
        <v>-75328.497611905608</v>
      </c>
      <c r="BS14" s="108">
        <f t="shared" si="5"/>
        <v>-75328.497611905608</v>
      </c>
      <c r="BT14" s="108">
        <f t="shared" si="5"/>
        <v>-75328.497611905608</v>
      </c>
      <c r="BU14" s="108">
        <f t="shared" si="5"/>
        <v>-75328.497611905608</v>
      </c>
      <c r="BV14" s="108">
        <f t="shared" si="5"/>
        <v>-75328.497611905608</v>
      </c>
      <c r="BW14" s="108">
        <f t="shared" si="5"/>
        <v>-75328.497611905608</v>
      </c>
      <c r="BX14" s="108">
        <f t="shared" si="5"/>
        <v>-75328.497611905608</v>
      </c>
      <c r="BY14" s="110">
        <f t="shared" si="5"/>
        <v>-75328.497611905608</v>
      </c>
      <c r="BZ14" s="109">
        <f t="shared" si="5"/>
        <v>-80074.192961455657</v>
      </c>
      <c r="CA14" s="108">
        <f t="shared" si="5"/>
        <v>-80074.192961455657</v>
      </c>
      <c r="CB14" s="108">
        <f t="shared" si="5"/>
        <v>-80074.192961455657</v>
      </c>
      <c r="CC14" s="108">
        <f t="shared" si="5"/>
        <v>-80074.192961455657</v>
      </c>
      <c r="CD14" s="108">
        <f t="shared" si="5"/>
        <v>-80074.192961455657</v>
      </c>
      <c r="CE14" s="108">
        <f t="shared" ref="CE14:DU16" si="6">$E14*$D14*CE$6</f>
        <v>-80074.192961455657</v>
      </c>
      <c r="CF14" s="108">
        <f t="shared" si="6"/>
        <v>-80074.192961455657</v>
      </c>
      <c r="CG14" s="108">
        <f t="shared" si="6"/>
        <v>-80074.192961455657</v>
      </c>
      <c r="CH14" s="108">
        <f t="shared" si="6"/>
        <v>-80074.192961455657</v>
      </c>
      <c r="CI14" s="108">
        <f t="shared" si="6"/>
        <v>-80074.192961455657</v>
      </c>
      <c r="CJ14" s="108">
        <f t="shared" si="6"/>
        <v>-80074.192961455657</v>
      </c>
      <c r="CK14" s="110">
        <f t="shared" si="6"/>
        <v>-80074.192961455657</v>
      </c>
      <c r="CL14" s="109">
        <f t="shared" si="6"/>
        <v>-85118.867118027367</v>
      </c>
      <c r="CM14" s="108">
        <f t="shared" si="6"/>
        <v>-85118.867118027367</v>
      </c>
      <c r="CN14" s="108">
        <f t="shared" si="6"/>
        <v>-85118.867118027367</v>
      </c>
      <c r="CO14" s="108">
        <f t="shared" si="6"/>
        <v>-85118.867118027367</v>
      </c>
      <c r="CP14" s="108">
        <f t="shared" si="6"/>
        <v>-85118.867118027367</v>
      </c>
      <c r="CQ14" s="108">
        <f t="shared" si="6"/>
        <v>-85118.867118027367</v>
      </c>
      <c r="CR14" s="108">
        <f t="shared" si="6"/>
        <v>-85118.867118027367</v>
      </c>
      <c r="CS14" s="108">
        <f t="shared" si="6"/>
        <v>-85118.867118027367</v>
      </c>
      <c r="CT14" s="108">
        <f t="shared" si="6"/>
        <v>-85118.867118027367</v>
      </c>
      <c r="CU14" s="108">
        <f t="shared" si="6"/>
        <v>-85118.867118027367</v>
      </c>
      <c r="CV14" s="108">
        <f t="shared" si="6"/>
        <v>-85118.867118027367</v>
      </c>
      <c r="CW14" s="110">
        <f t="shared" si="6"/>
        <v>-85118.867118027367</v>
      </c>
      <c r="CX14" s="109">
        <f t="shared" si="6"/>
        <v>-90481.355746463087</v>
      </c>
      <c r="CY14" s="108">
        <f t="shared" si="6"/>
        <v>-90481.355746463087</v>
      </c>
      <c r="CZ14" s="108">
        <f t="shared" si="6"/>
        <v>-90481.355746463087</v>
      </c>
      <c r="DA14" s="108">
        <f t="shared" si="6"/>
        <v>-90481.355746463087</v>
      </c>
      <c r="DB14" s="108">
        <f t="shared" si="6"/>
        <v>-90481.355746463087</v>
      </c>
      <c r="DC14" s="108">
        <f t="shared" si="6"/>
        <v>-90481.355746463087</v>
      </c>
      <c r="DD14" s="108">
        <f t="shared" si="6"/>
        <v>-90481.355746463087</v>
      </c>
      <c r="DE14" s="108">
        <f t="shared" si="6"/>
        <v>-90481.355746463087</v>
      </c>
      <c r="DF14" s="108">
        <f t="shared" si="6"/>
        <v>-90481.355746463087</v>
      </c>
      <c r="DG14" s="108">
        <f t="shared" si="6"/>
        <v>-90481.355746463087</v>
      </c>
      <c r="DH14" s="108">
        <f t="shared" si="6"/>
        <v>-90481.355746463087</v>
      </c>
      <c r="DI14" s="110">
        <f t="shared" si="6"/>
        <v>-90481.355746463087</v>
      </c>
      <c r="DJ14" s="109">
        <f t="shared" si="6"/>
        <v>-96181.681158490246</v>
      </c>
      <c r="DK14" s="108">
        <f t="shared" si="6"/>
        <v>-96181.681158490246</v>
      </c>
      <c r="DL14" s="108">
        <f t="shared" si="6"/>
        <v>-96181.681158490246</v>
      </c>
      <c r="DM14" s="108">
        <f t="shared" si="6"/>
        <v>-96181.681158490246</v>
      </c>
      <c r="DN14" s="108">
        <f t="shared" si="6"/>
        <v>-96181.681158490246</v>
      </c>
      <c r="DO14" s="108">
        <f t="shared" si="6"/>
        <v>-96181.681158490246</v>
      </c>
      <c r="DP14" s="108">
        <f t="shared" si="6"/>
        <v>-96181.681158490246</v>
      </c>
      <c r="DQ14" s="108">
        <f t="shared" si="6"/>
        <v>-96181.681158490246</v>
      </c>
      <c r="DR14" s="108">
        <f t="shared" si="6"/>
        <v>-96181.681158490246</v>
      </c>
      <c r="DS14" s="108">
        <f t="shared" si="6"/>
        <v>-96181.681158490246</v>
      </c>
      <c r="DT14" s="108">
        <f t="shared" si="6"/>
        <v>-96181.681158490246</v>
      </c>
      <c r="DU14" s="110">
        <f t="shared" si="6"/>
        <v>-96181.681158490246</v>
      </c>
    </row>
    <row r="15" spans="1:125" s="2" customFormat="1" ht="18.75" customHeight="1" x14ac:dyDescent="0.25">
      <c r="A15" s="246"/>
      <c r="B15" s="273" t="s">
        <v>210</v>
      </c>
      <c r="C15" s="273" t="s">
        <v>217</v>
      </c>
      <c r="D15" s="273">
        <v>1</v>
      </c>
      <c r="E15" s="10">
        <f t="shared" si="4"/>
        <v>-4750</v>
      </c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86"/>
      <c r="R15" s="344"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687">
        <v>0</v>
      </c>
      <c r="AD15" s="109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10">
        <v>0</v>
      </c>
      <c r="AP15" s="109">
        <v>0</v>
      </c>
      <c r="AQ15" s="108">
        <f t="shared" si="5"/>
        <v>-5705.4959732499983</v>
      </c>
      <c r="AR15" s="108">
        <f t="shared" si="5"/>
        <v>-5705.4959732499983</v>
      </c>
      <c r="AS15" s="108">
        <f t="shared" si="5"/>
        <v>-5705.4959732499983</v>
      </c>
      <c r="AT15" s="108">
        <f t="shared" si="5"/>
        <v>-5705.4959732499983</v>
      </c>
      <c r="AU15" s="108">
        <f t="shared" si="5"/>
        <v>-5705.4959732499983</v>
      </c>
      <c r="AV15" s="108">
        <f t="shared" si="5"/>
        <v>-5705.4959732499983</v>
      </c>
      <c r="AW15" s="108">
        <f t="shared" si="5"/>
        <v>-5705.4959732499983</v>
      </c>
      <c r="AX15" s="108">
        <f t="shared" si="5"/>
        <v>-5705.4959732499983</v>
      </c>
      <c r="AY15" s="108">
        <f t="shared" si="5"/>
        <v>-5705.4959732499983</v>
      </c>
      <c r="AZ15" s="108">
        <f t="shared" si="5"/>
        <v>-5705.4959732499983</v>
      </c>
      <c r="BA15" s="110">
        <f t="shared" si="5"/>
        <v>-5705.4959732499983</v>
      </c>
      <c r="BB15" s="109">
        <f t="shared" si="5"/>
        <v>-6064.9422195647476</v>
      </c>
      <c r="BC15" s="108">
        <f t="shared" si="5"/>
        <v>-6064.9422195647476</v>
      </c>
      <c r="BD15" s="108">
        <f t="shared" si="5"/>
        <v>-6064.9422195647476</v>
      </c>
      <c r="BE15" s="108">
        <f t="shared" si="5"/>
        <v>-6064.9422195647476</v>
      </c>
      <c r="BF15" s="108">
        <f t="shared" si="5"/>
        <v>-6064.9422195647476</v>
      </c>
      <c r="BG15" s="108">
        <f t="shared" si="5"/>
        <v>-6064.9422195647476</v>
      </c>
      <c r="BH15" s="108">
        <f t="shared" si="5"/>
        <v>-6064.9422195647476</v>
      </c>
      <c r="BI15" s="108">
        <f t="shared" si="5"/>
        <v>-6064.9422195647476</v>
      </c>
      <c r="BJ15" s="108">
        <f t="shared" si="5"/>
        <v>-6064.9422195647476</v>
      </c>
      <c r="BK15" s="108">
        <f t="shared" si="5"/>
        <v>-6064.9422195647476</v>
      </c>
      <c r="BL15" s="108">
        <f t="shared" si="5"/>
        <v>-6064.9422195647476</v>
      </c>
      <c r="BM15" s="110">
        <f t="shared" si="5"/>
        <v>-6064.9422195647476</v>
      </c>
      <c r="BN15" s="109">
        <f t="shared" si="5"/>
        <v>-6447.0335793973263</v>
      </c>
      <c r="BO15" s="108">
        <f t="shared" si="5"/>
        <v>-6447.0335793973263</v>
      </c>
      <c r="BP15" s="108">
        <f t="shared" si="5"/>
        <v>-6447.0335793973263</v>
      </c>
      <c r="BQ15" s="108">
        <f t="shared" si="5"/>
        <v>-6447.0335793973263</v>
      </c>
      <c r="BR15" s="108">
        <f t="shared" si="5"/>
        <v>-6447.0335793973263</v>
      </c>
      <c r="BS15" s="108">
        <f t="shared" si="5"/>
        <v>-6447.0335793973263</v>
      </c>
      <c r="BT15" s="108">
        <f t="shared" si="5"/>
        <v>-6447.0335793973263</v>
      </c>
      <c r="BU15" s="108">
        <f t="shared" si="5"/>
        <v>-6447.0335793973263</v>
      </c>
      <c r="BV15" s="108">
        <f t="shared" si="5"/>
        <v>-6447.0335793973263</v>
      </c>
      <c r="BW15" s="108">
        <f t="shared" si="5"/>
        <v>-6447.0335793973263</v>
      </c>
      <c r="BX15" s="108">
        <f t="shared" si="5"/>
        <v>-6447.0335793973263</v>
      </c>
      <c r="BY15" s="110">
        <f t="shared" si="5"/>
        <v>-6447.0335793973263</v>
      </c>
      <c r="BZ15" s="109">
        <f t="shared" si="5"/>
        <v>-6853.1966948993586</v>
      </c>
      <c r="CA15" s="108">
        <f t="shared" si="5"/>
        <v>-6853.1966948993586</v>
      </c>
      <c r="CB15" s="108">
        <f t="shared" si="5"/>
        <v>-6853.1966948993586</v>
      </c>
      <c r="CC15" s="108">
        <f t="shared" si="5"/>
        <v>-6853.1966948993586</v>
      </c>
      <c r="CD15" s="108">
        <f t="shared" si="5"/>
        <v>-6853.1966948993586</v>
      </c>
      <c r="CE15" s="108">
        <f t="shared" si="6"/>
        <v>-6853.1966948993586</v>
      </c>
      <c r="CF15" s="108">
        <f t="shared" si="6"/>
        <v>-6853.1966948993586</v>
      </c>
      <c r="CG15" s="108">
        <f t="shared" si="6"/>
        <v>-6853.1966948993586</v>
      </c>
      <c r="CH15" s="108">
        <f t="shared" si="6"/>
        <v>-6853.1966948993586</v>
      </c>
      <c r="CI15" s="108">
        <f t="shared" si="6"/>
        <v>-6853.1966948993586</v>
      </c>
      <c r="CJ15" s="108">
        <f t="shared" si="6"/>
        <v>-6853.1966948993586</v>
      </c>
      <c r="CK15" s="110">
        <f t="shared" si="6"/>
        <v>-6853.1966948993586</v>
      </c>
      <c r="CL15" s="109">
        <f t="shared" si="6"/>
        <v>-7284.9480866780177</v>
      </c>
      <c r="CM15" s="108">
        <f t="shared" si="6"/>
        <v>-7284.9480866780177</v>
      </c>
      <c r="CN15" s="108">
        <f t="shared" si="6"/>
        <v>-7284.9480866780177</v>
      </c>
      <c r="CO15" s="108">
        <f t="shared" si="6"/>
        <v>-7284.9480866780177</v>
      </c>
      <c r="CP15" s="108">
        <f t="shared" si="6"/>
        <v>-7284.9480866780177</v>
      </c>
      <c r="CQ15" s="108">
        <f t="shared" si="6"/>
        <v>-7284.9480866780177</v>
      </c>
      <c r="CR15" s="108">
        <f t="shared" si="6"/>
        <v>-7284.9480866780177</v>
      </c>
      <c r="CS15" s="108">
        <f t="shared" si="6"/>
        <v>-7284.9480866780177</v>
      </c>
      <c r="CT15" s="108">
        <f t="shared" si="6"/>
        <v>-7284.9480866780177</v>
      </c>
      <c r="CU15" s="108">
        <f t="shared" si="6"/>
        <v>-7284.9480866780177</v>
      </c>
      <c r="CV15" s="108">
        <f t="shared" si="6"/>
        <v>-7284.9480866780177</v>
      </c>
      <c r="CW15" s="110">
        <f t="shared" si="6"/>
        <v>-7284.9480866780177</v>
      </c>
      <c r="CX15" s="109">
        <f t="shared" si="6"/>
        <v>-7743.8998161387317</v>
      </c>
      <c r="CY15" s="108">
        <f t="shared" si="6"/>
        <v>-7743.8998161387317</v>
      </c>
      <c r="CZ15" s="108">
        <f t="shared" si="6"/>
        <v>-7743.8998161387317</v>
      </c>
      <c r="DA15" s="108">
        <f t="shared" si="6"/>
        <v>-7743.8998161387317</v>
      </c>
      <c r="DB15" s="108">
        <f t="shared" si="6"/>
        <v>-7743.8998161387317</v>
      </c>
      <c r="DC15" s="108">
        <f t="shared" si="6"/>
        <v>-7743.8998161387317</v>
      </c>
      <c r="DD15" s="108">
        <f t="shared" si="6"/>
        <v>-7743.8998161387317</v>
      </c>
      <c r="DE15" s="108">
        <f t="shared" si="6"/>
        <v>-7743.8998161387317</v>
      </c>
      <c r="DF15" s="108">
        <f t="shared" si="6"/>
        <v>-7743.8998161387317</v>
      </c>
      <c r="DG15" s="108">
        <f t="shared" si="6"/>
        <v>-7743.8998161387317</v>
      </c>
      <c r="DH15" s="108">
        <f t="shared" si="6"/>
        <v>-7743.8998161387317</v>
      </c>
      <c r="DI15" s="110">
        <f t="shared" si="6"/>
        <v>-7743.8998161387317</v>
      </c>
      <c r="DJ15" s="109">
        <f t="shared" si="6"/>
        <v>-8231.7655045554729</v>
      </c>
      <c r="DK15" s="108">
        <f t="shared" si="6"/>
        <v>-8231.7655045554729</v>
      </c>
      <c r="DL15" s="108">
        <f t="shared" si="6"/>
        <v>-8231.7655045554729</v>
      </c>
      <c r="DM15" s="108">
        <f t="shared" si="6"/>
        <v>-8231.7655045554729</v>
      </c>
      <c r="DN15" s="108">
        <f t="shared" si="6"/>
        <v>-8231.7655045554729</v>
      </c>
      <c r="DO15" s="108">
        <f t="shared" si="6"/>
        <v>-8231.7655045554729</v>
      </c>
      <c r="DP15" s="108">
        <f t="shared" si="6"/>
        <v>-8231.7655045554729</v>
      </c>
      <c r="DQ15" s="108">
        <f t="shared" si="6"/>
        <v>-8231.7655045554729</v>
      </c>
      <c r="DR15" s="108">
        <f t="shared" si="6"/>
        <v>-8231.7655045554729</v>
      </c>
      <c r="DS15" s="108">
        <f t="shared" si="6"/>
        <v>-8231.7655045554729</v>
      </c>
      <c r="DT15" s="108">
        <f t="shared" si="6"/>
        <v>-8231.7655045554729</v>
      </c>
      <c r="DU15" s="110">
        <f t="shared" si="6"/>
        <v>-8231.7655045554729</v>
      </c>
    </row>
    <row r="16" spans="1:125" s="2" customFormat="1" ht="18.75" customHeight="1" x14ac:dyDescent="0.25">
      <c r="A16" s="246"/>
      <c r="B16" s="273" t="s">
        <v>380</v>
      </c>
      <c r="C16" s="273" t="s">
        <v>218</v>
      </c>
      <c r="D16" s="273">
        <v>1</v>
      </c>
      <c r="E16" s="10">
        <f t="shared" si="4"/>
        <v>-6375</v>
      </c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86"/>
      <c r="R16" s="344">
        <v>0</v>
      </c>
      <c r="S16" s="108">
        <v>0</v>
      </c>
      <c r="T16" s="108">
        <v>0</v>
      </c>
      <c r="U16" s="108">
        <v>0</v>
      </c>
      <c r="V16" s="108">
        <v>0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687">
        <v>0</v>
      </c>
      <c r="AD16" s="109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10">
        <v>0</v>
      </c>
      <c r="AP16" s="109">
        <v>0</v>
      </c>
      <c r="AQ16" s="108">
        <f t="shared" si="5"/>
        <v>-7657.3761746249984</v>
      </c>
      <c r="AR16" s="108">
        <f t="shared" si="5"/>
        <v>-7657.3761746249984</v>
      </c>
      <c r="AS16" s="108">
        <f t="shared" si="5"/>
        <v>-7657.3761746249984</v>
      </c>
      <c r="AT16" s="108">
        <f t="shared" si="5"/>
        <v>-7657.3761746249984</v>
      </c>
      <c r="AU16" s="108">
        <f t="shared" si="5"/>
        <v>-7657.3761746249984</v>
      </c>
      <c r="AV16" s="108">
        <f t="shared" si="5"/>
        <v>-7657.3761746249984</v>
      </c>
      <c r="AW16" s="108">
        <f t="shared" si="5"/>
        <v>-7657.3761746249984</v>
      </c>
      <c r="AX16" s="108">
        <f t="shared" si="5"/>
        <v>-7657.3761746249984</v>
      </c>
      <c r="AY16" s="108">
        <f t="shared" si="5"/>
        <v>-7657.3761746249984</v>
      </c>
      <c r="AZ16" s="108">
        <f t="shared" si="5"/>
        <v>-7657.3761746249984</v>
      </c>
      <c r="BA16" s="110">
        <f t="shared" si="5"/>
        <v>-7657.3761746249984</v>
      </c>
      <c r="BB16" s="109">
        <f t="shared" si="5"/>
        <v>-8139.7908736263726</v>
      </c>
      <c r="BC16" s="108">
        <f t="shared" si="5"/>
        <v>-8139.7908736263726</v>
      </c>
      <c r="BD16" s="108">
        <f t="shared" si="5"/>
        <v>-8139.7908736263726</v>
      </c>
      <c r="BE16" s="108">
        <f t="shared" si="5"/>
        <v>-8139.7908736263726</v>
      </c>
      <c r="BF16" s="108">
        <f t="shared" si="5"/>
        <v>-8139.7908736263726</v>
      </c>
      <c r="BG16" s="108">
        <f t="shared" si="5"/>
        <v>-8139.7908736263726</v>
      </c>
      <c r="BH16" s="108">
        <f t="shared" si="5"/>
        <v>-8139.7908736263726</v>
      </c>
      <c r="BI16" s="108">
        <f t="shared" si="5"/>
        <v>-8139.7908736263726</v>
      </c>
      <c r="BJ16" s="108">
        <f t="shared" si="5"/>
        <v>-8139.7908736263726</v>
      </c>
      <c r="BK16" s="108">
        <f t="shared" si="5"/>
        <v>-8139.7908736263726</v>
      </c>
      <c r="BL16" s="108">
        <f t="shared" si="5"/>
        <v>-8139.7908736263726</v>
      </c>
      <c r="BM16" s="110">
        <f t="shared" si="5"/>
        <v>-8139.7908736263726</v>
      </c>
      <c r="BN16" s="109">
        <f t="shared" si="5"/>
        <v>-8652.5976986648329</v>
      </c>
      <c r="BO16" s="108">
        <f t="shared" si="5"/>
        <v>-8652.5976986648329</v>
      </c>
      <c r="BP16" s="108">
        <f t="shared" si="5"/>
        <v>-8652.5976986648329</v>
      </c>
      <c r="BQ16" s="108">
        <f t="shared" si="5"/>
        <v>-8652.5976986648329</v>
      </c>
      <c r="BR16" s="108">
        <f t="shared" si="5"/>
        <v>-8652.5976986648329</v>
      </c>
      <c r="BS16" s="108">
        <f t="shared" si="5"/>
        <v>-8652.5976986648329</v>
      </c>
      <c r="BT16" s="108">
        <f t="shared" si="5"/>
        <v>-8652.5976986648329</v>
      </c>
      <c r="BU16" s="108">
        <f t="shared" si="5"/>
        <v>-8652.5976986648329</v>
      </c>
      <c r="BV16" s="108">
        <f t="shared" si="5"/>
        <v>-8652.5976986648329</v>
      </c>
      <c r="BW16" s="108">
        <f t="shared" si="5"/>
        <v>-8652.5976986648329</v>
      </c>
      <c r="BX16" s="108">
        <f t="shared" si="5"/>
        <v>-8652.5976986648329</v>
      </c>
      <c r="BY16" s="110">
        <f t="shared" si="5"/>
        <v>-8652.5976986648329</v>
      </c>
      <c r="BZ16" s="109">
        <f t="shared" si="5"/>
        <v>-9197.7113536807174</v>
      </c>
      <c r="CA16" s="108">
        <f t="shared" si="5"/>
        <v>-9197.7113536807174</v>
      </c>
      <c r="CB16" s="108">
        <f t="shared" si="5"/>
        <v>-9197.7113536807174</v>
      </c>
      <c r="CC16" s="108">
        <f t="shared" si="5"/>
        <v>-9197.7113536807174</v>
      </c>
      <c r="CD16" s="108">
        <f t="shared" si="5"/>
        <v>-9197.7113536807174</v>
      </c>
      <c r="CE16" s="108">
        <f t="shared" si="6"/>
        <v>-9197.7113536807174</v>
      </c>
      <c r="CF16" s="108">
        <f t="shared" si="6"/>
        <v>-9197.7113536807174</v>
      </c>
      <c r="CG16" s="108">
        <f t="shared" si="6"/>
        <v>-9197.7113536807174</v>
      </c>
      <c r="CH16" s="108">
        <f t="shared" si="6"/>
        <v>-9197.7113536807174</v>
      </c>
      <c r="CI16" s="108">
        <f t="shared" si="6"/>
        <v>-9197.7113536807174</v>
      </c>
      <c r="CJ16" s="108">
        <f t="shared" si="6"/>
        <v>-9197.7113536807174</v>
      </c>
      <c r="CK16" s="110">
        <f t="shared" si="6"/>
        <v>-9197.7113536807174</v>
      </c>
      <c r="CL16" s="109">
        <f t="shared" si="6"/>
        <v>-9777.1671689626019</v>
      </c>
      <c r="CM16" s="108">
        <f t="shared" si="6"/>
        <v>-9777.1671689626019</v>
      </c>
      <c r="CN16" s="108">
        <f t="shared" si="6"/>
        <v>-9777.1671689626019</v>
      </c>
      <c r="CO16" s="108">
        <f t="shared" si="6"/>
        <v>-9777.1671689626019</v>
      </c>
      <c r="CP16" s="108">
        <f t="shared" si="6"/>
        <v>-9777.1671689626019</v>
      </c>
      <c r="CQ16" s="108">
        <f t="shared" si="6"/>
        <v>-9777.1671689626019</v>
      </c>
      <c r="CR16" s="108">
        <f t="shared" si="6"/>
        <v>-9777.1671689626019</v>
      </c>
      <c r="CS16" s="108">
        <f t="shared" si="6"/>
        <v>-9777.1671689626019</v>
      </c>
      <c r="CT16" s="108">
        <f t="shared" si="6"/>
        <v>-9777.1671689626019</v>
      </c>
      <c r="CU16" s="108">
        <f t="shared" si="6"/>
        <v>-9777.1671689626019</v>
      </c>
      <c r="CV16" s="108">
        <f t="shared" si="6"/>
        <v>-9777.1671689626019</v>
      </c>
      <c r="CW16" s="110">
        <f t="shared" si="6"/>
        <v>-9777.1671689626019</v>
      </c>
      <c r="CX16" s="109">
        <f t="shared" si="6"/>
        <v>-10393.128700607245</v>
      </c>
      <c r="CY16" s="108">
        <f t="shared" si="6"/>
        <v>-10393.128700607245</v>
      </c>
      <c r="CZ16" s="108">
        <f t="shared" si="6"/>
        <v>-10393.128700607245</v>
      </c>
      <c r="DA16" s="108">
        <f t="shared" si="6"/>
        <v>-10393.128700607245</v>
      </c>
      <c r="DB16" s="108">
        <f t="shared" si="6"/>
        <v>-10393.128700607245</v>
      </c>
      <c r="DC16" s="108">
        <f t="shared" si="6"/>
        <v>-10393.128700607245</v>
      </c>
      <c r="DD16" s="108">
        <f t="shared" si="6"/>
        <v>-10393.128700607245</v>
      </c>
      <c r="DE16" s="108">
        <f t="shared" si="6"/>
        <v>-10393.128700607245</v>
      </c>
      <c r="DF16" s="108">
        <f t="shared" si="6"/>
        <v>-10393.128700607245</v>
      </c>
      <c r="DG16" s="108">
        <f t="shared" si="6"/>
        <v>-10393.128700607245</v>
      </c>
      <c r="DH16" s="108">
        <f t="shared" si="6"/>
        <v>-10393.128700607245</v>
      </c>
      <c r="DI16" s="110">
        <f t="shared" si="6"/>
        <v>-10393.128700607245</v>
      </c>
      <c r="DJ16" s="109">
        <f t="shared" si="6"/>
        <v>-11047.895808745501</v>
      </c>
      <c r="DK16" s="108">
        <f t="shared" si="6"/>
        <v>-11047.895808745501</v>
      </c>
      <c r="DL16" s="108">
        <f t="shared" si="6"/>
        <v>-11047.895808745501</v>
      </c>
      <c r="DM16" s="108">
        <f t="shared" si="6"/>
        <v>-11047.895808745501</v>
      </c>
      <c r="DN16" s="108">
        <f t="shared" si="6"/>
        <v>-11047.895808745501</v>
      </c>
      <c r="DO16" s="108">
        <f t="shared" si="6"/>
        <v>-11047.895808745501</v>
      </c>
      <c r="DP16" s="108">
        <f t="shared" si="6"/>
        <v>-11047.895808745501</v>
      </c>
      <c r="DQ16" s="108">
        <f t="shared" si="6"/>
        <v>-11047.895808745501</v>
      </c>
      <c r="DR16" s="108">
        <f t="shared" si="6"/>
        <v>-11047.895808745501</v>
      </c>
      <c r="DS16" s="108">
        <f t="shared" si="6"/>
        <v>-11047.895808745501</v>
      </c>
      <c r="DT16" s="108">
        <f t="shared" si="6"/>
        <v>-11047.895808745501</v>
      </c>
      <c r="DU16" s="110">
        <f t="shared" si="6"/>
        <v>-11047.895808745501</v>
      </c>
    </row>
    <row r="17" spans="1:125" s="2" customFormat="1" ht="18.75" customHeight="1" x14ac:dyDescent="0.25">
      <c r="A17" s="246"/>
      <c r="B17" s="273" t="s">
        <v>211</v>
      </c>
      <c r="C17" s="273" t="s">
        <v>217</v>
      </c>
      <c r="D17" s="273">
        <v>1</v>
      </c>
      <c r="E17" s="10">
        <f t="shared" si="4"/>
        <v>-4750</v>
      </c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86"/>
      <c r="R17" s="344">
        <v>0</v>
      </c>
      <c r="S17" s="108">
        <v>0</v>
      </c>
      <c r="T17" s="108">
        <v>0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687">
        <v>0</v>
      </c>
      <c r="AD17" s="109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10">
        <v>0</v>
      </c>
      <c r="AP17" s="109">
        <v>0</v>
      </c>
      <c r="AQ17" s="108">
        <f t="shared" si="5"/>
        <v>-5705.4959732499983</v>
      </c>
      <c r="AR17" s="108">
        <f t="shared" si="5"/>
        <v>-5705.4959732499983</v>
      </c>
      <c r="AS17" s="108">
        <f t="shared" si="5"/>
        <v>-5705.4959732499983</v>
      </c>
      <c r="AT17" s="108">
        <f t="shared" si="5"/>
        <v>-5705.4959732499983</v>
      </c>
      <c r="AU17" s="108">
        <f t="shared" si="5"/>
        <v>-5705.4959732499983</v>
      </c>
      <c r="AV17" s="108">
        <f t="shared" si="5"/>
        <v>-5705.4959732499983</v>
      </c>
      <c r="AW17" s="108">
        <f t="shared" si="5"/>
        <v>-5705.4959732499983</v>
      </c>
      <c r="AX17" s="108">
        <f t="shared" si="5"/>
        <v>-5705.4959732499983</v>
      </c>
      <c r="AY17" s="108">
        <f t="shared" si="5"/>
        <v>-5705.4959732499983</v>
      </c>
      <c r="AZ17" s="108">
        <f t="shared" si="5"/>
        <v>-5705.4959732499983</v>
      </c>
      <c r="BA17" s="110">
        <f t="shared" si="5"/>
        <v>-5705.4959732499983</v>
      </c>
      <c r="BB17" s="109">
        <f t="shared" si="5"/>
        <v>-6064.9422195647476</v>
      </c>
      <c r="BC17" s="108">
        <f t="shared" si="5"/>
        <v>-6064.9422195647476</v>
      </c>
      <c r="BD17" s="108">
        <f t="shared" si="5"/>
        <v>-6064.9422195647476</v>
      </c>
      <c r="BE17" s="108">
        <f t="shared" si="5"/>
        <v>-6064.9422195647476</v>
      </c>
      <c r="BF17" s="108">
        <f t="shared" si="5"/>
        <v>-6064.9422195647476</v>
      </c>
      <c r="BG17" s="108">
        <f t="shared" si="5"/>
        <v>-6064.9422195647476</v>
      </c>
      <c r="BH17" s="108">
        <f t="shared" si="5"/>
        <v>-6064.9422195647476</v>
      </c>
      <c r="BI17" s="108">
        <f t="shared" si="5"/>
        <v>-6064.9422195647476</v>
      </c>
      <c r="BJ17" s="108">
        <f t="shared" si="5"/>
        <v>-6064.9422195647476</v>
      </c>
      <c r="BK17" s="108">
        <f t="shared" si="5"/>
        <v>-6064.9422195647476</v>
      </c>
      <c r="BL17" s="108">
        <f t="shared" si="5"/>
        <v>-6064.9422195647476</v>
      </c>
      <c r="BM17" s="110">
        <f t="shared" si="5"/>
        <v>-6064.9422195647476</v>
      </c>
      <c r="BN17" s="109">
        <f t="shared" si="5"/>
        <v>-6447.0335793973263</v>
      </c>
      <c r="BO17" s="108">
        <f t="shared" si="5"/>
        <v>-6447.0335793973263</v>
      </c>
      <c r="BP17" s="108">
        <f t="shared" si="5"/>
        <v>-6447.0335793973263</v>
      </c>
      <c r="BQ17" s="108">
        <f t="shared" si="5"/>
        <v>-6447.0335793973263</v>
      </c>
      <c r="BR17" s="108">
        <f t="shared" si="5"/>
        <v>-6447.0335793973263</v>
      </c>
      <c r="BS17" s="108">
        <f t="shared" si="5"/>
        <v>-6447.0335793973263</v>
      </c>
      <c r="BT17" s="108">
        <f t="shared" si="5"/>
        <v>-6447.0335793973263</v>
      </c>
      <c r="BU17" s="108">
        <f t="shared" si="5"/>
        <v>-6447.0335793973263</v>
      </c>
      <c r="BV17" s="108">
        <f t="shared" si="5"/>
        <v>-6447.0335793973263</v>
      </c>
      <c r="BW17" s="108">
        <f t="shared" si="5"/>
        <v>-6447.0335793973263</v>
      </c>
      <c r="BX17" s="108">
        <f t="shared" si="5"/>
        <v>-6447.0335793973263</v>
      </c>
      <c r="BY17" s="110">
        <f t="shared" si="5"/>
        <v>-6447.0335793973263</v>
      </c>
      <c r="BZ17" s="109">
        <f t="shared" si="5"/>
        <v>-6853.1966948993586</v>
      </c>
      <c r="CA17" s="108">
        <f t="shared" si="5"/>
        <v>-6853.1966948993586</v>
      </c>
      <c r="CB17" s="108">
        <f t="shared" si="5"/>
        <v>-6853.1966948993586</v>
      </c>
      <c r="CC17" s="108">
        <f t="shared" si="5"/>
        <v>-6853.1966948993586</v>
      </c>
      <c r="CD17" s="108">
        <f t="shared" ref="CD17:DU18" si="7">$E17*$D17*CD$6</f>
        <v>-6853.1966948993586</v>
      </c>
      <c r="CE17" s="108">
        <f t="shared" si="7"/>
        <v>-6853.1966948993586</v>
      </c>
      <c r="CF17" s="108">
        <f t="shared" si="7"/>
        <v>-6853.1966948993586</v>
      </c>
      <c r="CG17" s="108">
        <f t="shared" si="7"/>
        <v>-6853.1966948993586</v>
      </c>
      <c r="CH17" s="108">
        <f t="shared" si="7"/>
        <v>-6853.1966948993586</v>
      </c>
      <c r="CI17" s="108">
        <f t="shared" si="7"/>
        <v>-6853.1966948993586</v>
      </c>
      <c r="CJ17" s="108">
        <f t="shared" si="7"/>
        <v>-6853.1966948993586</v>
      </c>
      <c r="CK17" s="110">
        <f t="shared" si="7"/>
        <v>-6853.1966948993586</v>
      </c>
      <c r="CL17" s="109">
        <f t="shared" si="7"/>
        <v>-7284.9480866780177</v>
      </c>
      <c r="CM17" s="108">
        <f t="shared" si="7"/>
        <v>-7284.9480866780177</v>
      </c>
      <c r="CN17" s="108">
        <f t="shared" si="7"/>
        <v>-7284.9480866780177</v>
      </c>
      <c r="CO17" s="108">
        <f t="shared" si="7"/>
        <v>-7284.9480866780177</v>
      </c>
      <c r="CP17" s="108">
        <f t="shared" si="7"/>
        <v>-7284.9480866780177</v>
      </c>
      <c r="CQ17" s="108">
        <f t="shared" si="7"/>
        <v>-7284.9480866780177</v>
      </c>
      <c r="CR17" s="108">
        <f t="shared" si="7"/>
        <v>-7284.9480866780177</v>
      </c>
      <c r="CS17" s="108">
        <f t="shared" si="7"/>
        <v>-7284.9480866780177</v>
      </c>
      <c r="CT17" s="108">
        <f t="shared" si="7"/>
        <v>-7284.9480866780177</v>
      </c>
      <c r="CU17" s="108">
        <f t="shared" si="7"/>
        <v>-7284.9480866780177</v>
      </c>
      <c r="CV17" s="108">
        <f t="shared" si="7"/>
        <v>-7284.9480866780177</v>
      </c>
      <c r="CW17" s="110">
        <f t="shared" si="7"/>
        <v>-7284.9480866780177</v>
      </c>
      <c r="CX17" s="109">
        <f t="shared" si="7"/>
        <v>-7743.8998161387317</v>
      </c>
      <c r="CY17" s="108">
        <f t="shared" si="7"/>
        <v>-7743.8998161387317</v>
      </c>
      <c r="CZ17" s="108">
        <f t="shared" si="7"/>
        <v>-7743.8998161387317</v>
      </c>
      <c r="DA17" s="108">
        <f t="shared" si="7"/>
        <v>-7743.8998161387317</v>
      </c>
      <c r="DB17" s="108">
        <f t="shared" si="7"/>
        <v>-7743.8998161387317</v>
      </c>
      <c r="DC17" s="108">
        <f t="shared" si="7"/>
        <v>-7743.8998161387317</v>
      </c>
      <c r="DD17" s="108">
        <f t="shared" si="7"/>
        <v>-7743.8998161387317</v>
      </c>
      <c r="DE17" s="108">
        <f t="shared" si="7"/>
        <v>-7743.8998161387317</v>
      </c>
      <c r="DF17" s="108">
        <f t="shared" si="7"/>
        <v>-7743.8998161387317</v>
      </c>
      <c r="DG17" s="108">
        <f t="shared" si="7"/>
        <v>-7743.8998161387317</v>
      </c>
      <c r="DH17" s="108">
        <f t="shared" si="7"/>
        <v>-7743.8998161387317</v>
      </c>
      <c r="DI17" s="110">
        <f t="shared" si="7"/>
        <v>-7743.8998161387317</v>
      </c>
      <c r="DJ17" s="109">
        <f t="shared" si="7"/>
        <v>-8231.7655045554729</v>
      </c>
      <c r="DK17" s="108">
        <f t="shared" si="7"/>
        <v>-8231.7655045554729</v>
      </c>
      <c r="DL17" s="108">
        <f t="shared" si="7"/>
        <v>-8231.7655045554729</v>
      </c>
      <c r="DM17" s="108">
        <f t="shared" si="7"/>
        <v>-8231.7655045554729</v>
      </c>
      <c r="DN17" s="108">
        <f t="shared" si="7"/>
        <v>-8231.7655045554729</v>
      </c>
      <c r="DO17" s="108">
        <f t="shared" si="7"/>
        <v>-8231.7655045554729</v>
      </c>
      <c r="DP17" s="108">
        <f t="shared" si="7"/>
        <v>-8231.7655045554729</v>
      </c>
      <c r="DQ17" s="108">
        <f t="shared" si="7"/>
        <v>-8231.7655045554729</v>
      </c>
      <c r="DR17" s="108">
        <f t="shared" si="7"/>
        <v>-8231.7655045554729</v>
      </c>
      <c r="DS17" s="108">
        <f t="shared" si="7"/>
        <v>-8231.7655045554729</v>
      </c>
      <c r="DT17" s="108">
        <f t="shared" si="7"/>
        <v>-8231.7655045554729</v>
      </c>
      <c r="DU17" s="110">
        <f t="shared" si="7"/>
        <v>-8231.7655045554729</v>
      </c>
    </row>
    <row r="18" spans="1:125" s="2" customFormat="1" ht="18.75" customHeight="1" x14ac:dyDescent="0.3">
      <c r="A18" s="245"/>
      <c r="B18" s="273" t="s">
        <v>213</v>
      </c>
      <c r="C18" s="273" t="s">
        <v>217</v>
      </c>
      <c r="D18" s="273">
        <v>3</v>
      </c>
      <c r="E18" s="10">
        <f t="shared" si="4"/>
        <v>-4750</v>
      </c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86"/>
      <c r="R18" s="344">
        <v>0</v>
      </c>
      <c r="S18" s="108">
        <v>0</v>
      </c>
      <c r="T18" s="108">
        <v>0</v>
      </c>
      <c r="U18" s="108">
        <v>0</v>
      </c>
      <c r="V18" s="108">
        <v>0</v>
      </c>
      <c r="W18" s="108">
        <v>0</v>
      </c>
      <c r="X18" s="108">
        <v>0</v>
      </c>
      <c r="Y18" s="108">
        <v>0</v>
      </c>
      <c r="Z18" s="108">
        <v>0</v>
      </c>
      <c r="AA18" s="108">
        <v>0</v>
      </c>
      <c r="AB18" s="108">
        <v>0</v>
      </c>
      <c r="AC18" s="687">
        <v>0</v>
      </c>
      <c r="AD18" s="109">
        <v>0</v>
      </c>
      <c r="AE18" s="108">
        <v>0</v>
      </c>
      <c r="AF18" s="108">
        <v>0</v>
      </c>
      <c r="AG18" s="108">
        <v>0</v>
      </c>
      <c r="AH18" s="108">
        <v>0</v>
      </c>
      <c r="AI18" s="108">
        <v>0</v>
      </c>
      <c r="AJ18" s="108">
        <v>0</v>
      </c>
      <c r="AK18" s="108">
        <v>0</v>
      </c>
      <c r="AL18" s="108">
        <v>0</v>
      </c>
      <c r="AM18" s="108">
        <v>0</v>
      </c>
      <c r="AN18" s="108">
        <v>0</v>
      </c>
      <c r="AO18" s="110">
        <v>0</v>
      </c>
      <c r="AP18" s="109">
        <v>0</v>
      </c>
      <c r="AQ18" s="108">
        <f t="shared" ref="AQ18:CD18" si="8">$E18*$D18*AQ$6</f>
        <v>-17116.487919749994</v>
      </c>
      <c r="AR18" s="108">
        <f t="shared" si="8"/>
        <v>-17116.487919749994</v>
      </c>
      <c r="AS18" s="108">
        <f t="shared" si="8"/>
        <v>-17116.487919749994</v>
      </c>
      <c r="AT18" s="108">
        <f t="shared" si="8"/>
        <v>-17116.487919749994</v>
      </c>
      <c r="AU18" s="108">
        <f t="shared" si="8"/>
        <v>-17116.487919749994</v>
      </c>
      <c r="AV18" s="108">
        <f t="shared" si="8"/>
        <v>-17116.487919749994</v>
      </c>
      <c r="AW18" s="108">
        <f t="shared" si="8"/>
        <v>-17116.487919749994</v>
      </c>
      <c r="AX18" s="108">
        <f t="shared" si="8"/>
        <v>-17116.487919749994</v>
      </c>
      <c r="AY18" s="108">
        <f t="shared" si="8"/>
        <v>-17116.487919749994</v>
      </c>
      <c r="AZ18" s="108">
        <f t="shared" si="8"/>
        <v>-17116.487919749994</v>
      </c>
      <c r="BA18" s="110">
        <f t="shared" si="8"/>
        <v>-17116.487919749994</v>
      </c>
      <c r="BB18" s="109">
        <f t="shared" si="8"/>
        <v>-18194.826658694245</v>
      </c>
      <c r="BC18" s="108">
        <f t="shared" si="8"/>
        <v>-18194.826658694245</v>
      </c>
      <c r="BD18" s="108">
        <f t="shared" si="8"/>
        <v>-18194.826658694245</v>
      </c>
      <c r="BE18" s="108">
        <f t="shared" si="8"/>
        <v>-18194.826658694245</v>
      </c>
      <c r="BF18" s="108">
        <f t="shared" si="8"/>
        <v>-18194.826658694245</v>
      </c>
      <c r="BG18" s="108">
        <f t="shared" si="8"/>
        <v>-18194.826658694245</v>
      </c>
      <c r="BH18" s="108">
        <f t="shared" si="8"/>
        <v>-18194.826658694245</v>
      </c>
      <c r="BI18" s="108">
        <f t="shared" si="8"/>
        <v>-18194.826658694245</v>
      </c>
      <c r="BJ18" s="108">
        <f t="shared" si="8"/>
        <v>-18194.826658694245</v>
      </c>
      <c r="BK18" s="108">
        <f t="shared" si="8"/>
        <v>-18194.826658694245</v>
      </c>
      <c r="BL18" s="108">
        <f t="shared" si="8"/>
        <v>-18194.826658694245</v>
      </c>
      <c r="BM18" s="110">
        <f t="shared" si="8"/>
        <v>-18194.826658694245</v>
      </c>
      <c r="BN18" s="109">
        <f t="shared" si="8"/>
        <v>-19341.100738191981</v>
      </c>
      <c r="BO18" s="108">
        <f t="shared" si="8"/>
        <v>-19341.100738191981</v>
      </c>
      <c r="BP18" s="108">
        <f t="shared" si="8"/>
        <v>-19341.100738191981</v>
      </c>
      <c r="BQ18" s="108">
        <f t="shared" si="8"/>
        <v>-19341.100738191981</v>
      </c>
      <c r="BR18" s="108">
        <f t="shared" si="8"/>
        <v>-19341.100738191981</v>
      </c>
      <c r="BS18" s="108">
        <f t="shared" si="8"/>
        <v>-19341.100738191981</v>
      </c>
      <c r="BT18" s="108">
        <f t="shared" si="8"/>
        <v>-19341.100738191981</v>
      </c>
      <c r="BU18" s="108">
        <f t="shared" si="8"/>
        <v>-19341.100738191981</v>
      </c>
      <c r="BV18" s="108">
        <f t="shared" si="8"/>
        <v>-19341.100738191981</v>
      </c>
      <c r="BW18" s="108">
        <f t="shared" si="8"/>
        <v>-19341.100738191981</v>
      </c>
      <c r="BX18" s="108">
        <f t="shared" si="8"/>
        <v>-19341.100738191981</v>
      </c>
      <c r="BY18" s="110">
        <f t="shared" si="8"/>
        <v>-19341.100738191981</v>
      </c>
      <c r="BZ18" s="109">
        <f t="shared" si="8"/>
        <v>-20559.590084698073</v>
      </c>
      <c r="CA18" s="108">
        <f t="shared" si="8"/>
        <v>-20559.590084698073</v>
      </c>
      <c r="CB18" s="108">
        <f t="shared" si="8"/>
        <v>-20559.590084698073</v>
      </c>
      <c r="CC18" s="108">
        <f t="shared" si="8"/>
        <v>-20559.590084698073</v>
      </c>
      <c r="CD18" s="108">
        <f t="shared" si="8"/>
        <v>-20559.590084698073</v>
      </c>
      <c r="CE18" s="108">
        <f t="shared" si="7"/>
        <v>-20559.590084698073</v>
      </c>
      <c r="CF18" s="108">
        <f t="shared" si="7"/>
        <v>-20559.590084698073</v>
      </c>
      <c r="CG18" s="108">
        <f t="shared" si="7"/>
        <v>-20559.590084698073</v>
      </c>
      <c r="CH18" s="108">
        <f t="shared" si="7"/>
        <v>-20559.590084698073</v>
      </c>
      <c r="CI18" s="108">
        <f t="shared" si="7"/>
        <v>-20559.590084698073</v>
      </c>
      <c r="CJ18" s="108">
        <f t="shared" si="7"/>
        <v>-20559.590084698073</v>
      </c>
      <c r="CK18" s="110">
        <f t="shared" si="7"/>
        <v>-20559.590084698073</v>
      </c>
      <c r="CL18" s="109">
        <f t="shared" si="7"/>
        <v>-21854.844260034053</v>
      </c>
      <c r="CM18" s="108">
        <f t="shared" si="7"/>
        <v>-21854.844260034053</v>
      </c>
      <c r="CN18" s="108">
        <f t="shared" si="7"/>
        <v>-21854.844260034053</v>
      </c>
      <c r="CO18" s="108">
        <f t="shared" si="7"/>
        <v>-21854.844260034053</v>
      </c>
      <c r="CP18" s="108">
        <f t="shared" si="7"/>
        <v>-21854.844260034053</v>
      </c>
      <c r="CQ18" s="108">
        <f t="shared" si="7"/>
        <v>-21854.844260034053</v>
      </c>
      <c r="CR18" s="108">
        <f t="shared" si="7"/>
        <v>-21854.844260034053</v>
      </c>
      <c r="CS18" s="108">
        <f t="shared" si="7"/>
        <v>-21854.844260034053</v>
      </c>
      <c r="CT18" s="108">
        <f t="shared" si="7"/>
        <v>-21854.844260034053</v>
      </c>
      <c r="CU18" s="108">
        <f t="shared" si="7"/>
        <v>-21854.844260034053</v>
      </c>
      <c r="CV18" s="108">
        <f t="shared" si="7"/>
        <v>-21854.844260034053</v>
      </c>
      <c r="CW18" s="110">
        <f t="shared" si="7"/>
        <v>-21854.844260034053</v>
      </c>
      <c r="CX18" s="109">
        <f t="shared" si="7"/>
        <v>-23231.699448416195</v>
      </c>
      <c r="CY18" s="108">
        <f t="shared" si="7"/>
        <v>-23231.699448416195</v>
      </c>
      <c r="CZ18" s="108">
        <f t="shared" si="7"/>
        <v>-23231.699448416195</v>
      </c>
      <c r="DA18" s="108">
        <f t="shared" si="7"/>
        <v>-23231.699448416195</v>
      </c>
      <c r="DB18" s="108">
        <f t="shared" si="7"/>
        <v>-23231.699448416195</v>
      </c>
      <c r="DC18" s="108">
        <f t="shared" si="7"/>
        <v>-23231.699448416195</v>
      </c>
      <c r="DD18" s="108">
        <f t="shared" si="7"/>
        <v>-23231.699448416195</v>
      </c>
      <c r="DE18" s="108">
        <f t="shared" si="7"/>
        <v>-23231.699448416195</v>
      </c>
      <c r="DF18" s="108">
        <f t="shared" si="7"/>
        <v>-23231.699448416195</v>
      </c>
      <c r="DG18" s="108">
        <f t="shared" si="7"/>
        <v>-23231.699448416195</v>
      </c>
      <c r="DH18" s="108">
        <f t="shared" si="7"/>
        <v>-23231.699448416195</v>
      </c>
      <c r="DI18" s="110">
        <f t="shared" si="7"/>
        <v>-23231.699448416195</v>
      </c>
      <c r="DJ18" s="109">
        <f t="shared" si="7"/>
        <v>-24695.296513666417</v>
      </c>
      <c r="DK18" s="108">
        <f t="shared" si="7"/>
        <v>-24695.296513666417</v>
      </c>
      <c r="DL18" s="108">
        <f t="shared" si="7"/>
        <v>-24695.296513666417</v>
      </c>
      <c r="DM18" s="108">
        <f t="shared" si="7"/>
        <v>-24695.296513666417</v>
      </c>
      <c r="DN18" s="108">
        <f t="shared" si="7"/>
        <v>-24695.296513666417</v>
      </c>
      <c r="DO18" s="108">
        <f t="shared" si="7"/>
        <v>-24695.296513666417</v>
      </c>
      <c r="DP18" s="108">
        <f t="shared" si="7"/>
        <v>-24695.296513666417</v>
      </c>
      <c r="DQ18" s="108">
        <f t="shared" si="7"/>
        <v>-24695.296513666417</v>
      </c>
      <c r="DR18" s="108">
        <f t="shared" si="7"/>
        <v>-24695.296513666417</v>
      </c>
      <c r="DS18" s="108">
        <f t="shared" si="7"/>
        <v>-24695.296513666417</v>
      </c>
      <c r="DT18" s="108">
        <f t="shared" si="7"/>
        <v>-24695.296513666417</v>
      </c>
      <c r="DU18" s="110">
        <f t="shared" si="7"/>
        <v>-24695.296513666417</v>
      </c>
    </row>
    <row r="19" spans="1:125" s="2" customFormat="1" ht="18.75" customHeight="1" x14ac:dyDescent="0.25">
      <c r="A19" s="246"/>
      <c r="B19" s="273" t="s">
        <v>238</v>
      </c>
      <c r="C19" s="273" t="s">
        <v>216</v>
      </c>
      <c r="D19" s="273">
        <f>_xlfn.CEILING.MATH(Production!BO9/22/8/60*(1/2),2)</f>
        <v>14</v>
      </c>
      <c r="E19" s="10">
        <f t="shared" si="4"/>
        <v>-4208.333333333333</v>
      </c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86"/>
      <c r="R19" s="344">
        <v>0</v>
      </c>
      <c r="S19" s="108">
        <v>0</v>
      </c>
      <c r="T19" s="108">
        <v>0</v>
      </c>
      <c r="U19" s="108">
        <v>0</v>
      </c>
      <c r="V19" s="108">
        <v>0</v>
      </c>
      <c r="W19" s="108">
        <v>0</v>
      </c>
      <c r="X19" s="108">
        <v>0</v>
      </c>
      <c r="Y19" s="108">
        <v>0</v>
      </c>
      <c r="Z19" s="108">
        <v>0</v>
      </c>
      <c r="AA19" s="108">
        <v>0</v>
      </c>
      <c r="AB19" s="108">
        <v>0</v>
      </c>
      <c r="AC19" s="687">
        <v>0</v>
      </c>
      <c r="AD19" s="109">
        <v>0</v>
      </c>
      <c r="AE19" s="109">
        <v>0</v>
      </c>
      <c r="AF19" s="109">
        <v>0</v>
      </c>
      <c r="AG19" s="109">
        <v>0</v>
      </c>
      <c r="AH19" s="109">
        <v>0</v>
      </c>
      <c r="AI19" s="109">
        <v>0</v>
      </c>
      <c r="AJ19" s="109">
        <v>0</v>
      </c>
      <c r="AK19" s="109">
        <v>0</v>
      </c>
      <c r="AL19" s="109">
        <v>0</v>
      </c>
      <c r="AM19" s="109">
        <v>0</v>
      </c>
      <c r="AN19" s="109">
        <v>0</v>
      </c>
      <c r="AO19" s="695">
        <v>0</v>
      </c>
      <c r="AP19" s="109">
        <v>0</v>
      </c>
      <c r="AQ19" s="108">
        <f t="shared" ref="AQ19:BA19" si="9">$E19*($D19+10)*AQ$6</f>
        <v>-121316.86174699997</v>
      </c>
      <c r="AR19" s="108">
        <f t="shared" si="9"/>
        <v>-121316.86174699997</v>
      </c>
      <c r="AS19" s="108">
        <f t="shared" si="9"/>
        <v>-121316.86174699997</v>
      </c>
      <c r="AT19" s="108">
        <f t="shared" si="9"/>
        <v>-121316.86174699997</v>
      </c>
      <c r="AU19" s="108">
        <f t="shared" si="9"/>
        <v>-121316.86174699997</v>
      </c>
      <c r="AV19" s="108">
        <f t="shared" si="9"/>
        <v>-121316.86174699997</v>
      </c>
      <c r="AW19" s="108">
        <f t="shared" si="9"/>
        <v>-121316.86174699997</v>
      </c>
      <c r="AX19" s="108">
        <f t="shared" si="9"/>
        <v>-121316.86174699997</v>
      </c>
      <c r="AY19" s="108">
        <f t="shared" si="9"/>
        <v>-121316.86174699997</v>
      </c>
      <c r="AZ19" s="108">
        <f t="shared" si="9"/>
        <v>-121316.86174699997</v>
      </c>
      <c r="BA19" s="110">
        <f t="shared" si="9"/>
        <v>-121316.86174699997</v>
      </c>
      <c r="BB19" s="109">
        <f>$E19*($D19+20)*BB$6</f>
        <v>-182693.08405250299</v>
      </c>
      <c r="BC19" s="109">
        <f t="shared" ref="BC19:DN19" si="10">$E19*($D19+20)*BC$6</f>
        <v>-182693.08405250299</v>
      </c>
      <c r="BD19" s="109">
        <f t="shared" si="10"/>
        <v>-182693.08405250299</v>
      </c>
      <c r="BE19" s="109">
        <f t="shared" si="10"/>
        <v>-182693.08405250299</v>
      </c>
      <c r="BF19" s="109">
        <f t="shared" si="10"/>
        <v>-182693.08405250299</v>
      </c>
      <c r="BG19" s="109">
        <f t="shared" si="10"/>
        <v>-182693.08405250299</v>
      </c>
      <c r="BH19" s="109">
        <f t="shared" si="10"/>
        <v>-182693.08405250299</v>
      </c>
      <c r="BI19" s="109">
        <f t="shared" si="10"/>
        <v>-182693.08405250299</v>
      </c>
      <c r="BJ19" s="109">
        <f t="shared" si="10"/>
        <v>-182693.08405250299</v>
      </c>
      <c r="BK19" s="109">
        <f t="shared" si="10"/>
        <v>-182693.08405250299</v>
      </c>
      <c r="BL19" s="109">
        <f t="shared" si="10"/>
        <v>-182693.08405250299</v>
      </c>
      <c r="BM19" s="695">
        <f t="shared" si="10"/>
        <v>-182693.08405250299</v>
      </c>
      <c r="BN19" s="109">
        <f t="shared" si="10"/>
        <v>-194202.74834781067</v>
      </c>
      <c r="BO19" s="109">
        <f t="shared" si="10"/>
        <v>-194202.74834781067</v>
      </c>
      <c r="BP19" s="109">
        <f t="shared" si="10"/>
        <v>-194202.74834781067</v>
      </c>
      <c r="BQ19" s="109">
        <f t="shared" si="10"/>
        <v>-194202.74834781067</v>
      </c>
      <c r="BR19" s="109">
        <f t="shared" si="10"/>
        <v>-194202.74834781067</v>
      </c>
      <c r="BS19" s="109">
        <f t="shared" si="10"/>
        <v>-194202.74834781067</v>
      </c>
      <c r="BT19" s="109">
        <f t="shared" si="10"/>
        <v>-194202.74834781067</v>
      </c>
      <c r="BU19" s="109">
        <f t="shared" si="10"/>
        <v>-194202.74834781067</v>
      </c>
      <c r="BV19" s="109">
        <f t="shared" si="10"/>
        <v>-194202.74834781067</v>
      </c>
      <c r="BW19" s="109">
        <f t="shared" si="10"/>
        <v>-194202.74834781067</v>
      </c>
      <c r="BX19" s="109">
        <f t="shared" si="10"/>
        <v>-194202.74834781067</v>
      </c>
      <c r="BY19" s="695">
        <f t="shared" si="10"/>
        <v>-194202.74834781067</v>
      </c>
      <c r="BZ19" s="109">
        <f t="shared" si="10"/>
        <v>-206437.52149372274</v>
      </c>
      <c r="CA19" s="109">
        <f t="shared" si="10"/>
        <v>-206437.52149372274</v>
      </c>
      <c r="CB19" s="109">
        <f t="shared" si="10"/>
        <v>-206437.52149372274</v>
      </c>
      <c r="CC19" s="109">
        <f t="shared" si="10"/>
        <v>-206437.52149372274</v>
      </c>
      <c r="CD19" s="109">
        <f t="shared" si="10"/>
        <v>-206437.52149372274</v>
      </c>
      <c r="CE19" s="109">
        <f t="shared" si="10"/>
        <v>-206437.52149372274</v>
      </c>
      <c r="CF19" s="109">
        <f t="shared" si="10"/>
        <v>-206437.52149372274</v>
      </c>
      <c r="CG19" s="109">
        <f t="shared" si="10"/>
        <v>-206437.52149372274</v>
      </c>
      <c r="CH19" s="109">
        <f t="shared" si="10"/>
        <v>-206437.52149372274</v>
      </c>
      <c r="CI19" s="109">
        <f t="shared" si="10"/>
        <v>-206437.52149372274</v>
      </c>
      <c r="CJ19" s="109">
        <f t="shared" si="10"/>
        <v>-206437.52149372274</v>
      </c>
      <c r="CK19" s="695">
        <f t="shared" si="10"/>
        <v>-206437.52149372274</v>
      </c>
      <c r="CL19" s="109">
        <f t="shared" si="10"/>
        <v>-219443.08534782726</v>
      </c>
      <c r="CM19" s="109">
        <f t="shared" si="10"/>
        <v>-219443.08534782726</v>
      </c>
      <c r="CN19" s="109">
        <f t="shared" si="10"/>
        <v>-219443.08534782726</v>
      </c>
      <c r="CO19" s="109">
        <f t="shared" si="10"/>
        <v>-219443.08534782726</v>
      </c>
      <c r="CP19" s="109">
        <f t="shared" si="10"/>
        <v>-219443.08534782726</v>
      </c>
      <c r="CQ19" s="109">
        <f t="shared" si="10"/>
        <v>-219443.08534782726</v>
      </c>
      <c r="CR19" s="109">
        <f t="shared" si="10"/>
        <v>-219443.08534782726</v>
      </c>
      <c r="CS19" s="109">
        <f t="shared" si="10"/>
        <v>-219443.08534782726</v>
      </c>
      <c r="CT19" s="109">
        <f t="shared" si="10"/>
        <v>-219443.08534782726</v>
      </c>
      <c r="CU19" s="109">
        <f t="shared" si="10"/>
        <v>-219443.08534782726</v>
      </c>
      <c r="CV19" s="109">
        <f t="shared" si="10"/>
        <v>-219443.08534782726</v>
      </c>
      <c r="CW19" s="695">
        <f t="shared" si="10"/>
        <v>-219443.08534782726</v>
      </c>
      <c r="CX19" s="109">
        <f t="shared" si="10"/>
        <v>-233267.99972474037</v>
      </c>
      <c r="CY19" s="109">
        <f t="shared" si="10"/>
        <v>-233267.99972474037</v>
      </c>
      <c r="CZ19" s="109">
        <f t="shared" si="10"/>
        <v>-233267.99972474037</v>
      </c>
      <c r="DA19" s="109">
        <f t="shared" si="10"/>
        <v>-233267.99972474037</v>
      </c>
      <c r="DB19" s="109">
        <f t="shared" si="10"/>
        <v>-233267.99972474037</v>
      </c>
      <c r="DC19" s="109">
        <f t="shared" si="10"/>
        <v>-233267.99972474037</v>
      </c>
      <c r="DD19" s="109">
        <f t="shared" si="10"/>
        <v>-233267.99972474037</v>
      </c>
      <c r="DE19" s="109">
        <f t="shared" si="10"/>
        <v>-233267.99972474037</v>
      </c>
      <c r="DF19" s="109">
        <f t="shared" si="10"/>
        <v>-233267.99972474037</v>
      </c>
      <c r="DG19" s="109">
        <f t="shared" si="10"/>
        <v>-233267.99972474037</v>
      </c>
      <c r="DH19" s="109">
        <f t="shared" si="10"/>
        <v>-233267.99972474037</v>
      </c>
      <c r="DI19" s="695">
        <f t="shared" si="10"/>
        <v>-233267.99972474037</v>
      </c>
      <c r="DJ19" s="109">
        <f t="shared" si="10"/>
        <v>-247963.88370739901</v>
      </c>
      <c r="DK19" s="109">
        <f t="shared" si="10"/>
        <v>-247963.88370739901</v>
      </c>
      <c r="DL19" s="109">
        <f t="shared" si="10"/>
        <v>-247963.88370739901</v>
      </c>
      <c r="DM19" s="109">
        <f t="shared" si="10"/>
        <v>-247963.88370739901</v>
      </c>
      <c r="DN19" s="109">
        <f t="shared" si="10"/>
        <v>-247963.88370739901</v>
      </c>
      <c r="DO19" s="109">
        <f t="shared" ref="DO19:DU19" si="11">$E19*($D19+20)*DO$6</f>
        <v>-247963.88370739901</v>
      </c>
      <c r="DP19" s="109">
        <f t="shared" si="11"/>
        <v>-247963.88370739901</v>
      </c>
      <c r="DQ19" s="109">
        <f t="shared" si="11"/>
        <v>-247963.88370739901</v>
      </c>
      <c r="DR19" s="109">
        <f t="shared" si="11"/>
        <v>-247963.88370739901</v>
      </c>
      <c r="DS19" s="109">
        <f t="shared" si="11"/>
        <v>-247963.88370739901</v>
      </c>
      <c r="DT19" s="109">
        <f t="shared" si="11"/>
        <v>-247963.88370739901</v>
      </c>
      <c r="DU19" s="695">
        <f t="shared" si="11"/>
        <v>-247963.88370739901</v>
      </c>
    </row>
    <row r="20" spans="1:125" s="2" customFormat="1" ht="18.75" customHeight="1" x14ac:dyDescent="0.25">
      <c r="A20" s="246"/>
      <c r="B20" s="273" t="s">
        <v>189</v>
      </c>
      <c r="C20" s="273" t="s">
        <v>216</v>
      </c>
      <c r="D20" s="273">
        <f>D19*0.6</f>
        <v>8.4</v>
      </c>
      <c r="E20" s="10">
        <f t="shared" si="4"/>
        <v>-4208.333333333333</v>
      </c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86"/>
      <c r="R20" s="344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</row>
    <row r="21" spans="1:125" s="2" customFormat="1" ht="18.75" customHeight="1" x14ac:dyDescent="0.3">
      <c r="A21" s="245"/>
      <c r="B21" s="274" t="s">
        <v>194</v>
      </c>
      <c r="C21" s="274"/>
      <c r="D21" s="274"/>
      <c r="E21" s="10"/>
      <c r="F21" s="403"/>
      <c r="G21" s="745"/>
      <c r="H21" s="745"/>
      <c r="I21" s="745"/>
      <c r="J21" s="745"/>
      <c r="K21" s="745"/>
      <c r="L21" s="745"/>
      <c r="M21" s="745"/>
      <c r="N21" s="745"/>
      <c r="O21" s="745"/>
      <c r="P21" s="745"/>
      <c r="Q21" s="688"/>
      <c r="R21" s="344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606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606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606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606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606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606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606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606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606"/>
    </row>
    <row r="22" spans="1:125" s="2" customFormat="1" ht="18.75" customHeight="1" x14ac:dyDescent="0.25">
      <c r="A22" s="246"/>
      <c r="B22" s="273" t="s">
        <v>239</v>
      </c>
      <c r="C22" s="273" t="s">
        <v>222</v>
      </c>
      <c r="D22" s="273">
        <v>1</v>
      </c>
      <c r="E22" s="10">
        <f t="shared" ref="E22:E27" si="12">-VLOOKUP(C22,$C$51:$W$59,8,FALSE)</f>
        <v>-55500</v>
      </c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86"/>
      <c r="R22" s="344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10"/>
      <c r="AD22" s="109"/>
      <c r="AE22" s="108">
        <f t="shared" ref="AE22:CD25" si="13">$E22*$D22*AE$6</f>
        <v>-62713.27949999999</v>
      </c>
      <c r="AF22" s="108">
        <f t="shared" si="13"/>
        <v>-62713.27949999999</v>
      </c>
      <c r="AG22" s="108">
        <f t="shared" si="13"/>
        <v>-62713.27949999999</v>
      </c>
      <c r="AH22" s="108">
        <f t="shared" si="13"/>
        <v>-62713.27949999999</v>
      </c>
      <c r="AI22" s="108">
        <f t="shared" si="13"/>
        <v>-62713.27949999999</v>
      </c>
      <c r="AJ22" s="108">
        <f t="shared" si="13"/>
        <v>-62713.27949999999</v>
      </c>
      <c r="AK22" s="108">
        <f t="shared" si="13"/>
        <v>-62713.27949999999</v>
      </c>
      <c r="AL22" s="108">
        <f t="shared" si="13"/>
        <v>-62713.27949999999</v>
      </c>
      <c r="AM22" s="108">
        <f t="shared" si="13"/>
        <v>-62713.27949999999</v>
      </c>
      <c r="AN22" s="108">
        <f t="shared" si="13"/>
        <v>-62713.27949999999</v>
      </c>
      <c r="AO22" s="110">
        <f t="shared" si="13"/>
        <v>-62713.27949999999</v>
      </c>
      <c r="AP22" s="109">
        <f t="shared" si="13"/>
        <v>-66664.216108499983</v>
      </c>
      <c r="AQ22" s="108">
        <f t="shared" si="13"/>
        <v>-66664.216108499983</v>
      </c>
      <c r="AR22" s="108">
        <f t="shared" si="13"/>
        <v>-66664.216108499983</v>
      </c>
      <c r="AS22" s="108">
        <f t="shared" si="13"/>
        <v>-66664.216108499983</v>
      </c>
      <c r="AT22" s="108">
        <f t="shared" si="13"/>
        <v>-66664.216108499983</v>
      </c>
      <c r="AU22" s="108">
        <f t="shared" si="13"/>
        <v>-66664.216108499983</v>
      </c>
      <c r="AV22" s="108">
        <f t="shared" si="13"/>
        <v>-66664.216108499983</v>
      </c>
      <c r="AW22" s="108">
        <f t="shared" si="13"/>
        <v>-66664.216108499983</v>
      </c>
      <c r="AX22" s="108">
        <f t="shared" si="13"/>
        <v>-66664.216108499983</v>
      </c>
      <c r="AY22" s="108">
        <f t="shared" si="13"/>
        <v>-66664.216108499983</v>
      </c>
      <c r="AZ22" s="108">
        <f t="shared" si="13"/>
        <v>-66664.216108499983</v>
      </c>
      <c r="BA22" s="110">
        <f t="shared" si="13"/>
        <v>-66664.216108499983</v>
      </c>
      <c r="BB22" s="109">
        <f t="shared" si="13"/>
        <v>-70864.061723335471</v>
      </c>
      <c r="BC22" s="108">
        <f t="shared" si="13"/>
        <v>-70864.061723335471</v>
      </c>
      <c r="BD22" s="108">
        <f t="shared" si="13"/>
        <v>-70864.061723335471</v>
      </c>
      <c r="BE22" s="108">
        <f t="shared" si="13"/>
        <v>-70864.061723335471</v>
      </c>
      <c r="BF22" s="108">
        <f t="shared" si="13"/>
        <v>-70864.061723335471</v>
      </c>
      <c r="BG22" s="108">
        <f t="shared" si="13"/>
        <v>-70864.061723335471</v>
      </c>
      <c r="BH22" s="108">
        <f t="shared" si="13"/>
        <v>-70864.061723335471</v>
      </c>
      <c r="BI22" s="108">
        <f t="shared" si="13"/>
        <v>-70864.061723335471</v>
      </c>
      <c r="BJ22" s="108">
        <f t="shared" si="13"/>
        <v>-70864.061723335471</v>
      </c>
      <c r="BK22" s="108">
        <f t="shared" si="13"/>
        <v>-70864.061723335471</v>
      </c>
      <c r="BL22" s="108">
        <f t="shared" si="13"/>
        <v>-70864.061723335471</v>
      </c>
      <c r="BM22" s="110">
        <f t="shared" si="13"/>
        <v>-70864.061723335471</v>
      </c>
      <c r="BN22" s="109">
        <f t="shared" si="13"/>
        <v>-75328.497611905608</v>
      </c>
      <c r="BO22" s="108">
        <f t="shared" si="13"/>
        <v>-75328.497611905608</v>
      </c>
      <c r="BP22" s="108">
        <f t="shared" si="13"/>
        <v>-75328.497611905608</v>
      </c>
      <c r="BQ22" s="108">
        <f t="shared" si="13"/>
        <v>-75328.497611905608</v>
      </c>
      <c r="BR22" s="108">
        <f t="shared" si="13"/>
        <v>-75328.497611905608</v>
      </c>
      <c r="BS22" s="108">
        <f t="shared" si="13"/>
        <v>-75328.497611905608</v>
      </c>
      <c r="BT22" s="108">
        <f t="shared" si="13"/>
        <v>-75328.497611905608</v>
      </c>
      <c r="BU22" s="108">
        <f t="shared" si="13"/>
        <v>-75328.497611905608</v>
      </c>
      <c r="BV22" s="108">
        <f t="shared" si="13"/>
        <v>-75328.497611905608</v>
      </c>
      <c r="BW22" s="108">
        <f t="shared" si="13"/>
        <v>-75328.497611905608</v>
      </c>
      <c r="BX22" s="108">
        <f t="shared" si="13"/>
        <v>-75328.497611905608</v>
      </c>
      <c r="BY22" s="110">
        <f t="shared" si="13"/>
        <v>-75328.497611905608</v>
      </c>
      <c r="BZ22" s="109">
        <f t="shared" si="13"/>
        <v>-80074.192961455657</v>
      </c>
      <c r="CA22" s="108">
        <f t="shared" si="13"/>
        <v>-80074.192961455657</v>
      </c>
      <c r="CB22" s="108">
        <f t="shared" si="13"/>
        <v>-80074.192961455657</v>
      </c>
      <c r="CC22" s="108">
        <f t="shared" si="13"/>
        <v>-80074.192961455657</v>
      </c>
      <c r="CD22" s="108">
        <f t="shared" si="13"/>
        <v>-80074.192961455657</v>
      </c>
      <c r="CE22" s="108">
        <f t="shared" ref="CE22:DU24" si="14">$E22*$D22*CE$6</f>
        <v>-80074.192961455657</v>
      </c>
      <c r="CF22" s="108">
        <f t="shared" si="14"/>
        <v>-80074.192961455657</v>
      </c>
      <c r="CG22" s="108">
        <f t="shared" si="14"/>
        <v>-80074.192961455657</v>
      </c>
      <c r="CH22" s="108">
        <f t="shared" si="14"/>
        <v>-80074.192961455657</v>
      </c>
      <c r="CI22" s="108">
        <f t="shared" si="14"/>
        <v>-80074.192961455657</v>
      </c>
      <c r="CJ22" s="108">
        <f t="shared" si="14"/>
        <v>-80074.192961455657</v>
      </c>
      <c r="CK22" s="110">
        <f t="shared" si="14"/>
        <v>-80074.192961455657</v>
      </c>
      <c r="CL22" s="109">
        <f t="shared" si="14"/>
        <v>-85118.867118027367</v>
      </c>
      <c r="CM22" s="108">
        <f t="shared" si="14"/>
        <v>-85118.867118027367</v>
      </c>
      <c r="CN22" s="108">
        <f t="shared" si="14"/>
        <v>-85118.867118027367</v>
      </c>
      <c r="CO22" s="108">
        <f t="shared" si="14"/>
        <v>-85118.867118027367</v>
      </c>
      <c r="CP22" s="108">
        <f t="shared" si="14"/>
        <v>-85118.867118027367</v>
      </c>
      <c r="CQ22" s="108">
        <f t="shared" si="14"/>
        <v>-85118.867118027367</v>
      </c>
      <c r="CR22" s="108">
        <f t="shared" si="14"/>
        <v>-85118.867118027367</v>
      </c>
      <c r="CS22" s="108">
        <f t="shared" si="14"/>
        <v>-85118.867118027367</v>
      </c>
      <c r="CT22" s="108">
        <f t="shared" si="14"/>
        <v>-85118.867118027367</v>
      </c>
      <c r="CU22" s="108">
        <f t="shared" si="14"/>
        <v>-85118.867118027367</v>
      </c>
      <c r="CV22" s="108">
        <f t="shared" si="14"/>
        <v>-85118.867118027367</v>
      </c>
      <c r="CW22" s="110">
        <f t="shared" si="14"/>
        <v>-85118.867118027367</v>
      </c>
      <c r="CX22" s="109">
        <f t="shared" si="14"/>
        <v>-90481.355746463087</v>
      </c>
      <c r="CY22" s="108">
        <f t="shared" si="14"/>
        <v>-90481.355746463087</v>
      </c>
      <c r="CZ22" s="108">
        <f t="shared" si="14"/>
        <v>-90481.355746463087</v>
      </c>
      <c r="DA22" s="108">
        <f t="shared" si="14"/>
        <v>-90481.355746463087</v>
      </c>
      <c r="DB22" s="108">
        <f t="shared" si="14"/>
        <v>-90481.355746463087</v>
      </c>
      <c r="DC22" s="108">
        <f t="shared" si="14"/>
        <v>-90481.355746463087</v>
      </c>
      <c r="DD22" s="108">
        <f t="shared" si="14"/>
        <v>-90481.355746463087</v>
      </c>
      <c r="DE22" s="108">
        <f t="shared" si="14"/>
        <v>-90481.355746463087</v>
      </c>
      <c r="DF22" s="108">
        <f t="shared" si="14"/>
        <v>-90481.355746463087</v>
      </c>
      <c r="DG22" s="108">
        <f t="shared" si="14"/>
        <v>-90481.355746463087</v>
      </c>
      <c r="DH22" s="108">
        <f t="shared" si="14"/>
        <v>-90481.355746463087</v>
      </c>
      <c r="DI22" s="110">
        <f t="shared" si="14"/>
        <v>-90481.355746463087</v>
      </c>
      <c r="DJ22" s="109">
        <f t="shared" si="14"/>
        <v>-96181.681158490246</v>
      </c>
      <c r="DK22" s="108">
        <f t="shared" si="14"/>
        <v>-96181.681158490246</v>
      </c>
      <c r="DL22" s="108">
        <f t="shared" si="14"/>
        <v>-96181.681158490246</v>
      </c>
      <c r="DM22" s="108">
        <f t="shared" si="14"/>
        <v>-96181.681158490246</v>
      </c>
      <c r="DN22" s="108">
        <f t="shared" si="14"/>
        <v>-96181.681158490246</v>
      </c>
      <c r="DO22" s="108">
        <f t="shared" si="14"/>
        <v>-96181.681158490246</v>
      </c>
      <c r="DP22" s="108">
        <f t="shared" si="14"/>
        <v>-96181.681158490246</v>
      </c>
      <c r="DQ22" s="108">
        <f t="shared" si="14"/>
        <v>-96181.681158490246</v>
      </c>
      <c r="DR22" s="108">
        <f t="shared" si="14"/>
        <v>-96181.681158490246</v>
      </c>
      <c r="DS22" s="108">
        <f t="shared" si="14"/>
        <v>-96181.681158490246</v>
      </c>
      <c r="DT22" s="108">
        <f t="shared" si="14"/>
        <v>-96181.681158490246</v>
      </c>
      <c r="DU22" s="110">
        <f t="shared" si="14"/>
        <v>-96181.681158490246</v>
      </c>
    </row>
    <row r="23" spans="1:125" s="2" customFormat="1" ht="18.75" customHeight="1" x14ac:dyDescent="0.25">
      <c r="A23" s="246"/>
      <c r="B23" s="273" t="s">
        <v>240</v>
      </c>
      <c r="C23" s="273" t="s">
        <v>219</v>
      </c>
      <c r="D23" s="273">
        <v>2</v>
      </c>
      <c r="E23" s="10">
        <f t="shared" si="12"/>
        <v>-8541.6666666666661</v>
      </c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86"/>
      <c r="R23" s="344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10"/>
      <c r="AD23" s="109"/>
      <c r="AE23" s="108">
        <f t="shared" si="13"/>
        <v>-19303.637083333328</v>
      </c>
      <c r="AF23" s="108">
        <f t="shared" si="13"/>
        <v>-19303.637083333328</v>
      </c>
      <c r="AG23" s="108">
        <f t="shared" si="13"/>
        <v>-19303.637083333328</v>
      </c>
      <c r="AH23" s="108">
        <f t="shared" si="13"/>
        <v>-19303.637083333328</v>
      </c>
      <c r="AI23" s="108">
        <f t="shared" si="13"/>
        <v>-19303.637083333328</v>
      </c>
      <c r="AJ23" s="108">
        <f t="shared" si="13"/>
        <v>-19303.637083333328</v>
      </c>
      <c r="AK23" s="108">
        <f t="shared" si="13"/>
        <v>-19303.637083333328</v>
      </c>
      <c r="AL23" s="108">
        <f t="shared" si="13"/>
        <v>-19303.637083333328</v>
      </c>
      <c r="AM23" s="108">
        <f t="shared" si="13"/>
        <v>-19303.637083333328</v>
      </c>
      <c r="AN23" s="108">
        <f t="shared" si="13"/>
        <v>-19303.637083333328</v>
      </c>
      <c r="AO23" s="110">
        <f t="shared" si="13"/>
        <v>-19303.637083333328</v>
      </c>
      <c r="AP23" s="109">
        <f t="shared" si="13"/>
        <v>-20519.766219583325</v>
      </c>
      <c r="AQ23" s="108">
        <f t="shared" si="13"/>
        <v>-20519.766219583325</v>
      </c>
      <c r="AR23" s="108">
        <f t="shared" si="13"/>
        <v>-20519.766219583325</v>
      </c>
      <c r="AS23" s="108">
        <f t="shared" si="13"/>
        <v>-20519.766219583325</v>
      </c>
      <c r="AT23" s="108">
        <f t="shared" si="13"/>
        <v>-20519.766219583325</v>
      </c>
      <c r="AU23" s="108">
        <f t="shared" si="13"/>
        <v>-20519.766219583325</v>
      </c>
      <c r="AV23" s="108">
        <f t="shared" si="13"/>
        <v>-20519.766219583325</v>
      </c>
      <c r="AW23" s="108">
        <f t="shared" si="13"/>
        <v>-20519.766219583325</v>
      </c>
      <c r="AX23" s="108">
        <f t="shared" si="13"/>
        <v>-20519.766219583325</v>
      </c>
      <c r="AY23" s="108">
        <f t="shared" si="13"/>
        <v>-20519.766219583325</v>
      </c>
      <c r="AZ23" s="108">
        <f t="shared" si="13"/>
        <v>-20519.766219583325</v>
      </c>
      <c r="BA23" s="110">
        <f t="shared" si="13"/>
        <v>-20519.766219583325</v>
      </c>
      <c r="BB23" s="109">
        <f t="shared" si="13"/>
        <v>-21812.511491417074</v>
      </c>
      <c r="BC23" s="108">
        <f t="shared" si="13"/>
        <v>-21812.511491417074</v>
      </c>
      <c r="BD23" s="108">
        <f t="shared" si="13"/>
        <v>-21812.511491417074</v>
      </c>
      <c r="BE23" s="108">
        <f t="shared" si="13"/>
        <v>-21812.511491417074</v>
      </c>
      <c r="BF23" s="108">
        <f t="shared" si="13"/>
        <v>-21812.511491417074</v>
      </c>
      <c r="BG23" s="108">
        <f t="shared" si="13"/>
        <v>-21812.511491417074</v>
      </c>
      <c r="BH23" s="108">
        <f t="shared" si="13"/>
        <v>-21812.511491417074</v>
      </c>
      <c r="BI23" s="108">
        <f t="shared" si="13"/>
        <v>-21812.511491417074</v>
      </c>
      <c r="BJ23" s="108">
        <f t="shared" si="13"/>
        <v>-21812.511491417074</v>
      </c>
      <c r="BK23" s="108">
        <f t="shared" si="13"/>
        <v>-21812.511491417074</v>
      </c>
      <c r="BL23" s="108">
        <f t="shared" si="13"/>
        <v>-21812.511491417074</v>
      </c>
      <c r="BM23" s="110">
        <f t="shared" si="13"/>
        <v>-21812.511491417074</v>
      </c>
      <c r="BN23" s="109">
        <f t="shared" si="13"/>
        <v>-23186.699715376348</v>
      </c>
      <c r="BO23" s="108">
        <f t="shared" si="13"/>
        <v>-23186.699715376348</v>
      </c>
      <c r="BP23" s="108">
        <f t="shared" si="13"/>
        <v>-23186.699715376348</v>
      </c>
      <c r="BQ23" s="108">
        <f t="shared" si="13"/>
        <v>-23186.699715376348</v>
      </c>
      <c r="BR23" s="108">
        <f t="shared" si="13"/>
        <v>-23186.699715376348</v>
      </c>
      <c r="BS23" s="108">
        <f t="shared" si="13"/>
        <v>-23186.699715376348</v>
      </c>
      <c r="BT23" s="108">
        <f t="shared" si="13"/>
        <v>-23186.699715376348</v>
      </c>
      <c r="BU23" s="108">
        <f t="shared" si="13"/>
        <v>-23186.699715376348</v>
      </c>
      <c r="BV23" s="108">
        <f t="shared" si="13"/>
        <v>-23186.699715376348</v>
      </c>
      <c r="BW23" s="108">
        <f t="shared" si="13"/>
        <v>-23186.699715376348</v>
      </c>
      <c r="BX23" s="108">
        <f t="shared" si="13"/>
        <v>-23186.699715376348</v>
      </c>
      <c r="BY23" s="110">
        <f t="shared" si="13"/>
        <v>-23186.699715376348</v>
      </c>
      <c r="BZ23" s="109">
        <f t="shared" si="13"/>
        <v>-24647.461797445059</v>
      </c>
      <c r="CA23" s="108">
        <f t="shared" si="13"/>
        <v>-24647.461797445059</v>
      </c>
      <c r="CB23" s="108">
        <f t="shared" si="13"/>
        <v>-24647.461797445059</v>
      </c>
      <c r="CC23" s="108">
        <f t="shared" si="13"/>
        <v>-24647.461797445059</v>
      </c>
      <c r="CD23" s="108">
        <f t="shared" si="13"/>
        <v>-24647.461797445059</v>
      </c>
      <c r="CE23" s="108">
        <f t="shared" si="14"/>
        <v>-24647.461797445059</v>
      </c>
      <c r="CF23" s="108">
        <f t="shared" si="14"/>
        <v>-24647.461797445059</v>
      </c>
      <c r="CG23" s="108">
        <f t="shared" si="14"/>
        <v>-24647.461797445059</v>
      </c>
      <c r="CH23" s="108">
        <f t="shared" si="14"/>
        <v>-24647.461797445059</v>
      </c>
      <c r="CI23" s="108">
        <f t="shared" si="14"/>
        <v>-24647.461797445059</v>
      </c>
      <c r="CJ23" s="108">
        <f t="shared" si="14"/>
        <v>-24647.461797445059</v>
      </c>
      <c r="CK23" s="110">
        <f t="shared" si="14"/>
        <v>-24647.461797445059</v>
      </c>
      <c r="CL23" s="109">
        <f t="shared" si="14"/>
        <v>-26200.251890684096</v>
      </c>
      <c r="CM23" s="108">
        <f t="shared" si="14"/>
        <v>-26200.251890684096</v>
      </c>
      <c r="CN23" s="108">
        <f t="shared" si="14"/>
        <v>-26200.251890684096</v>
      </c>
      <c r="CO23" s="108">
        <f t="shared" si="14"/>
        <v>-26200.251890684096</v>
      </c>
      <c r="CP23" s="108">
        <f t="shared" si="14"/>
        <v>-26200.251890684096</v>
      </c>
      <c r="CQ23" s="108">
        <f t="shared" si="14"/>
        <v>-26200.251890684096</v>
      </c>
      <c r="CR23" s="108">
        <f t="shared" si="14"/>
        <v>-26200.251890684096</v>
      </c>
      <c r="CS23" s="108">
        <f t="shared" si="14"/>
        <v>-26200.251890684096</v>
      </c>
      <c r="CT23" s="108">
        <f t="shared" si="14"/>
        <v>-26200.251890684096</v>
      </c>
      <c r="CU23" s="108">
        <f t="shared" si="14"/>
        <v>-26200.251890684096</v>
      </c>
      <c r="CV23" s="108">
        <f t="shared" si="14"/>
        <v>-26200.251890684096</v>
      </c>
      <c r="CW23" s="110">
        <f t="shared" si="14"/>
        <v>-26200.251890684096</v>
      </c>
      <c r="CX23" s="109">
        <f t="shared" si="14"/>
        <v>-27850.867759797191</v>
      </c>
      <c r="CY23" s="108">
        <f t="shared" si="14"/>
        <v>-27850.867759797191</v>
      </c>
      <c r="CZ23" s="108">
        <f t="shared" si="14"/>
        <v>-27850.867759797191</v>
      </c>
      <c r="DA23" s="108">
        <f t="shared" si="14"/>
        <v>-27850.867759797191</v>
      </c>
      <c r="DB23" s="108">
        <f t="shared" si="14"/>
        <v>-27850.867759797191</v>
      </c>
      <c r="DC23" s="108">
        <f t="shared" si="14"/>
        <v>-27850.867759797191</v>
      </c>
      <c r="DD23" s="108">
        <f t="shared" si="14"/>
        <v>-27850.867759797191</v>
      </c>
      <c r="DE23" s="108">
        <f t="shared" si="14"/>
        <v>-27850.867759797191</v>
      </c>
      <c r="DF23" s="108">
        <f t="shared" si="14"/>
        <v>-27850.867759797191</v>
      </c>
      <c r="DG23" s="108">
        <f t="shared" si="14"/>
        <v>-27850.867759797191</v>
      </c>
      <c r="DH23" s="108">
        <f t="shared" si="14"/>
        <v>-27850.867759797191</v>
      </c>
      <c r="DI23" s="110">
        <f t="shared" si="14"/>
        <v>-27850.867759797191</v>
      </c>
      <c r="DJ23" s="109">
        <f t="shared" si="14"/>
        <v>-29605.472428664416</v>
      </c>
      <c r="DK23" s="108">
        <f t="shared" si="14"/>
        <v>-29605.472428664416</v>
      </c>
      <c r="DL23" s="108">
        <f t="shared" si="14"/>
        <v>-29605.472428664416</v>
      </c>
      <c r="DM23" s="108">
        <f t="shared" si="14"/>
        <v>-29605.472428664416</v>
      </c>
      <c r="DN23" s="108">
        <f t="shared" si="14"/>
        <v>-29605.472428664416</v>
      </c>
      <c r="DO23" s="108">
        <f t="shared" si="14"/>
        <v>-29605.472428664416</v>
      </c>
      <c r="DP23" s="108">
        <f t="shared" si="14"/>
        <v>-29605.472428664416</v>
      </c>
      <c r="DQ23" s="108">
        <f t="shared" si="14"/>
        <v>-29605.472428664416</v>
      </c>
      <c r="DR23" s="108">
        <f t="shared" si="14"/>
        <v>-29605.472428664416</v>
      </c>
      <c r="DS23" s="108">
        <f t="shared" si="14"/>
        <v>-29605.472428664416</v>
      </c>
      <c r="DT23" s="108">
        <f t="shared" si="14"/>
        <v>-29605.472428664416</v>
      </c>
      <c r="DU23" s="110">
        <f t="shared" si="14"/>
        <v>-29605.472428664416</v>
      </c>
    </row>
    <row r="24" spans="1:125" s="2" customFormat="1" ht="18.75" customHeight="1" x14ac:dyDescent="0.25">
      <c r="A24" s="246"/>
      <c r="B24" s="273" t="s">
        <v>243</v>
      </c>
      <c r="C24" s="273" t="s">
        <v>219</v>
      </c>
      <c r="D24" s="273">
        <v>2</v>
      </c>
      <c r="E24" s="10">
        <f t="shared" si="12"/>
        <v>-8541.6666666666661</v>
      </c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86"/>
      <c r="R24" s="344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10"/>
      <c r="AD24" s="109"/>
      <c r="AE24" s="108">
        <f t="shared" si="13"/>
        <v>-19303.637083333328</v>
      </c>
      <c r="AF24" s="108">
        <f t="shared" si="13"/>
        <v>-19303.637083333328</v>
      </c>
      <c r="AG24" s="108">
        <f t="shared" si="13"/>
        <v>-19303.637083333328</v>
      </c>
      <c r="AH24" s="108">
        <f t="shared" si="13"/>
        <v>-19303.637083333328</v>
      </c>
      <c r="AI24" s="108">
        <f t="shared" si="13"/>
        <v>-19303.637083333328</v>
      </c>
      <c r="AJ24" s="108">
        <f t="shared" si="13"/>
        <v>-19303.637083333328</v>
      </c>
      <c r="AK24" s="108">
        <f t="shared" si="13"/>
        <v>-19303.637083333328</v>
      </c>
      <c r="AL24" s="108">
        <f t="shared" si="13"/>
        <v>-19303.637083333328</v>
      </c>
      <c r="AM24" s="108">
        <f t="shared" si="13"/>
        <v>-19303.637083333328</v>
      </c>
      <c r="AN24" s="108">
        <f t="shared" si="13"/>
        <v>-19303.637083333328</v>
      </c>
      <c r="AO24" s="110">
        <f t="shared" si="13"/>
        <v>-19303.637083333328</v>
      </c>
      <c r="AP24" s="109">
        <f t="shared" si="13"/>
        <v>-20519.766219583325</v>
      </c>
      <c r="AQ24" s="108">
        <f t="shared" si="13"/>
        <v>-20519.766219583325</v>
      </c>
      <c r="AR24" s="108">
        <f t="shared" si="13"/>
        <v>-20519.766219583325</v>
      </c>
      <c r="AS24" s="108">
        <f t="shared" si="13"/>
        <v>-20519.766219583325</v>
      </c>
      <c r="AT24" s="108">
        <f t="shared" si="13"/>
        <v>-20519.766219583325</v>
      </c>
      <c r="AU24" s="108">
        <f t="shared" si="13"/>
        <v>-20519.766219583325</v>
      </c>
      <c r="AV24" s="108">
        <f t="shared" si="13"/>
        <v>-20519.766219583325</v>
      </c>
      <c r="AW24" s="108">
        <f t="shared" si="13"/>
        <v>-20519.766219583325</v>
      </c>
      <c r="AX24" s="108">
        <f t="shared" si="13"/>
        <v>-20519.766219583325</v>
      </c>
      <c r="AY24" s="108">
        <f t="shared" si="13"/>
        <v>-20519.766219583325</v>
      </c>
      <c r="AZ24" s="108">
        <f t="shared" si="13"/>
        <v>-20519.766219583325</v>
      </c>
      <c r="BA24" s="110">
        <f t="shared" si="13"/>
        <v>-20519.766219583325</v>
      </c>
      <c r="BB24" s="109">
        <f t="shared" si="13"/>
        <v>-21812.511491417074</v>
      </c>
      <c r="BC24" s="108">
        <f t="shared" si="13"/>
        <v>-21812.511491417074</v>
      </c>
      <c r="BD24" s="108">
        <f t="shared" si="13"/>
        <v>-21812.511491417074</v>
      </c>
      <c r="BE24" s="108">
        <f t="shared" si="13"/>
        <v>-21812.511491417074</v>
      </c>
      <c r="BF24" s="108">
        <f t="shared" si="13"/>
        <v>-21812.511491417074</v>
      </c>
      <c r="BG24" s="108">
        <f t="shared" si="13"/>
        <v>-21812.511491417074</v>
      </c>
      <c r="BH24" s="108">
        <f t="shared" si="13"/>
        <v>-21812.511491417074</v>
      </c>
      <c r="BI24" s="108">
        <f t="shared" si="13"/>
        <v>-21812.511491417074</v>
      </c>
      <c r="BJ24" s="108">
        <f t="shared" si="13"/>
        <v>-21812.511491417074</v>
      </c>
      <c r="BK24" s="108">
        <f t="shared" si="13"/>
        <v>-21812.511491417074</v>
      </c>
      <c r="BL24" s="108">
        <f t="shared" si="13"/>
        <v>-21812.511491417074</v>
      </c>
      <c r="BM24" s="110">
        <f t="shared" si="13"/>
        <v>-21812.511491417074</v>
      </c>
      <c r="BN24" s="109">
        <f t="shared" si="13"/>
        <v>-23186.699715376348</v>
      </c>
      <c r="BO24" s="108">
        <f t="shared" si="13"/>
        <v>-23186.699715376348</v>
      </c>
      <c r="BP24" s="108">
        <f t="shared" si="13"/>
        <v>-23186.699715376348</v>
      </c>
      <c r="BQ24" s="108">
        <f t="shared" si="13"/>
        <v>-23186.699715376348</v>
      </c>
      <c r="BR24" s="108">
        <f t="shared" si="13"/>
        <v>-23186.699715376348</v>
      </c>
      <c r="BS24" s="108">
        <f t="shared" si="13"/>
        <v>-23186.699715376348</v>
      </c>
      <c r="BT24" s="108">
        <f t="shared" si="13"/>
        <v>-23186.699715376348</v>
      </c>
      <c r="BU24" s="108">
        <f t="shared" si="13"/>
        <v>-23186.699715376348</v>
      </c>
      <c r="BV24" s="108">
        <f t="shared" si="13"/>
        <v>-23186.699715376348</v>
      </c>
      <c r="BW24" s="108">
        <f t="shared" si="13"/>
        <v>-23186.699715376348</v>
      </c>
      <c r="BX24" s="108">
        <f t="shared" si="13"/>
        <v>-23186.699715376348</v>
      </c>
      <c r="BY24" s="110">
        <f t="shared" si="13"/>
        <v>-23186.699715376348</v>
      </c>
      <c r="BZ24" s="109">
        <f t="shared" si="13"/>
        <v>-24647.461797445059</v>
      </c>
      <c r="CA24" s="108">
        <f t="shared" si="13"/>
        <v>-24647.461797445059</v>
      </c>
      <c r="CB24" s="108">
        <f t="shared" si="13"/>
        <v>-24647.461797445059</v>
      </c>
      <c r="CC24" s="108">
        <f t="shared" si="13"/>
        <v>-24647.461797445059</v>
      </c>
      <c r="CD24" s="108">
        <f t="shared" si="13"/>
        <v>-24647.461797445059</v>
      </c>
      <c r="CE24" s="108">
        <f t="shared" si="14"/>
        <v>-24647.461797445059</v>
      </c>
      <c r="CF24" s="108">
        <f t="shared" si="14"/>
        <v>-24647.461797445059</v>
      </c>
      <c r="CG24" s="108">
        <f t="shared" si="14"/>
        <v>-24647.461797445059</v>
      </c>
      <c r="CH24" s="108">
        <f t="shared" si="14"/>
        <v>-24647.461797445059</v>
      </c>
      <c r="CI24" s="108">
        <f t="shared" si="14"/>
        <v>-24647.461797445059</v>
      </c>
      <c r="CJ24" s="108">
        <f t="shared" si="14"/>
        <v>-24647.461797445059</v>
      </c>
      <c r="CK24" s="110">
        <f t="shared" si="14"/>
        <v>-24647.461797445059</v>
      </c>
      <c r="CL24" s="109">
        <f t="shared" si="14"/>
        <v>-26200.251890684096</v>
      </c>
      <c r="CM24" s="108">
        <f t="shared" si="14"/>
        <v>-26200.251890684096</v>
      </c>
      <c r="CN24" s="108">
        <f t="shared" si="14"/>
        <v>-26200.251890684096</v>
      </c>
      <c r="CO24" s="108">
        <f t="shared" si="14"/>
        <v>-26200.251890684096</v>
      </c>
      <c r="CP24" s="108">
        <f t="shared" si="14"/>
        <v>-26200.251890684096</v>
      </c>
      <c r="CQ24" s="108">
        <f t="shared" si="14"/>
        <v>-26200.251890684096</v>
      </c>
      <c r="CR24" s="108">
        <f t="shared" si="14"/>
        <v>-26200.251890684096</v>
      </c>
      <c r="CS24" s="108">
        <f t="shared" si="14"/>
        <v>-26200.251890684096</v>
      </c>
      <c r="CT24" s="108">
        <f t="shared" si="14"/>
        <v>-26200.251890684096</v>
      </c>
      <c r="CU24" s="108">
        <f t="shared" si="14"/>
        <v>-26200.251890684096</v>
      </c>
      <c r="CV24" s="108">
        <f t="shared" si="14"/>
        <v>-26200.251890684096</v>
      </c>
      <c r="CW24" s="110">
        <f t="shared" si="14"/>
        <v>-26200.251890684096</v>
      </c>
      <c r="CX24" s="109">
        <f t="shared" si="14"/>
        <v>-27850.867759797191</v>
      </c>
      <c r="CY24" s="108">
        <f t="shared" si="14"/>
        <v>-27850.867759797191</v>
      </c>
      <c r="CZ24" s="108">
        <f t="shared" si="14"/>
        <v>-27850.867759797191</v>
      </c>
      <c r="DA24" s="108">
        <f t="shared" si="14"/>
        <v>-27850.867759797191</v>
      </c>
      <c r="DB24" s="108">
        <f t="shared" si="14"/>
        <v>-27850.867759797191</v>
      </c>
      <c r="DC24" s="108">
        <f t="shared" si="14"/>
        <v>-27850.867759797191</v>
      </c>
      <c r="DD24" s="108">
        <f t="shared" si="14"/>
        <v>-27850.867759797191</v>
      </c>
      <c r="DE24" s="108">
        <f t="shared" si="14"/>
        <v>-27850.867759797191</v>
      </c>
      <c r="DF24" s="108">
        <f t="shared" si="14"/>
        <v>-27850.867759797191</v>
      </c>
      <c r="DG24" s="108">
        <f t="shared" si="14"/>
        <v>-27850.867759797191</v>
      </c>
      <c r="DH24" s="108">
        <f t="shared" si="14"/>
        <v>-27850.867759797191</v>
      </c>
      <c r="DI24" s="110">
        <f t="shared" si="14"/>
        <v>-27850.867759797191</v>
      </c>
      <c r="DJ24" s="109">
        <f t="shared" si="14"/>
        <v>-29605.472428664416</v>
      </c>
      <c r="DK24" s="108">
        <f t="shared" si="14"/>
        <v>-29605.472428664416</v>
      </c>
      <c r="DL24" s="108">
        <f t="shared" si="14"/>
        <v>-29605.472428664416</v>
      </c>
      <c r="DM24" s="108">
        <f t="shared" si="14"/>
        <v>-29605.472428664416</v>
      </c>
      <c r="DN24" s="108">
        <f t="shared" si="14"/>
        <v>-29605.472428664416</v>
      </c>
      <c r="DO24" s="108">
        <f t="shared" si="14"/>
        <v>-29605.472428664416</v>
      </c>
      <c r="DP24" s="108">
        <f t="shared" si="14"/>
        <v>-29605.472428664416</v>
      </c>
      <c r="DQ24" s="108">
        <f t="shared" si="14"/>
        <v>-29605.472428664416</v>
      </c>
      <c r="DR24" s="108">
        <f t="shared" si="14"/>
        <v>-29605.472428664416</v>
      </c>
      <c r="DS24" s="108">
        <f t="shared" si="14"/>
        <v>-29605.472428664416</v>
      </c>
      <c r="DT24" s="108">
        <f t="shared" si="14"/>
        <v>-29605.472428664416</v>
      </c>
      <c r="DU24" s="110">
        <f t="shared" si="14"/>
        <v>-29605.472428664416</v>
      </c>
    </row>
    <row r="25" spans="1:125" s="2" customFormat="1" ht="18.75" customHeight="1" x14ac:dyDescent="0.25">
      <c r="A25" s="246"/>
      <c r="B25" s="273" t="s">
        <v>312</v>
      </c>
      <c r="C25" s="273" t="s">
        <v>217</v>
      </c>
      <c r="D25" s="273">
        <f>SUM('8. Vehicles'!D4:D12)</f>
        <v>12</v>
      </c>
      <c r="E25" s="10">
        <f t="shared" si="12"/>
        <v>-4750</v>
      </c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86"/>
      <c r="R25" s="344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10"/>
      <c r="AD25" s="109"/>
      <c r="AE25" s="108">
        <f t="shared" si="13"/>
        <v>-64408.232999999986</v>
      </c>
      <c r="AF25" s="108">
        <f t="shared" si="13"/>
        <v>-64408.232999999986</v>
      </c>
      <c r="AG25" s="108">
        <f t="shared" si="13"/>
        <v>-64408.232999999986</v>
      </c>
      <c r="AH25" s="108">
        <f t="shared" si="13"/>
        <v>-64408.232999999986</v>
      </c>
      <c r="AI25" s="108">
        <f t="shared" si="13"/>
        <v>-64408.232999999986</v>
      </c>
      <c r="AJ25" s="108">
        <f t="shared" si="13"/>
        <v>-64408.232999999986</v>
      </c>
      <c r="AK25" s="108">
        <f t="shared" si="13"/>
        <v>-64408.232999999986</v>
      </c>
      <c r="AL25" s="108">
        <f t="shared" si="13"/>
        <v>-64408.232999999986</v>
      </c>
      <c r="AM25" s="108">
        <f t="shared" si="13"/>
        <v>-64408.232999999986</v>
      </c>
      <c r="AN25" s="108">
        <f t="shared" si="13"/>
        <v>-64408.232999999986</v>
      </c>
      <c r="AO25" s="110">
        <f t="shared" si="13"/>
        <v>-64408.232999999986</v>
      </c>
      <c r="AP25" s="109">
        <f t="shared" si="13"/>
        <v>-68465.951678999976</v>
      </c>
      <c r="AQ25" s="108">
        <f t="shared" si="13"/>
        <v>-68465.951678999976</v>
      </c>
      <c r="AR25" s="108">
        <f t="shared" si="13"/>
        <v>-68465.951678999976</v>
      </c>
      <c r="AS25" s="108">
        <f t="shared" si="13"/>
        <v>-68465.951678999976</v>
      </c>
      <c r="AT25" s="108">
        <f t="shared" si="13"/>
        <v>-68465.951678999976</v>
      </c>
      <c r="AU25" s="108">
        <f t="shared" si="13"/>
        <v>-68465.951678999976</v>
      </c>
      <c r="AV25" s="108">
        <f t="shared" si="13"/>
        <v>-68465.951678999976</v>
      </c>
      <c r="AW25" s="108">
        <f t="shared" si="13"/>
        <v>-68465.951678999976</v>
      </c>
      <c r="AX25" s="108">
        <f t="shared" si="13"/>
        <v>-68465.951678999976</v>
      </c>
      <c r="AY25" s="108">
        <f t="shared" si="13"/>
        <v>-68465.951678999976</v>
      </c>
      <c r="AZ25" s="108">
        <f t="shared" si="13"/>
        <v>-68465.951678999976</v>
      </c>
      <c r="BA25" s="110">
        <f t="shared" si="13"/>
        <v>-68465.951678999976</v>
      </c>
      <c r="BB25" s="109">
        <f t="shared" si="13"/>
        <v>-72779.306634776978</v>
      </c>
      <c r="BC25" s="108">
        <f t="shared" si="13"/>
        <v>-72779.306634776978</v>
      </c>
      <c r="BD25" s="108">
        <f t="shared" si="13"/>
        <v>-72779.306634776978</v>
      </c>
      <c r="BE25" s="108">
        <f t="shared" si="13"/>
        <v>-72779.306634776978</v>
      </c>
      <c r="BF25" s="108">
        <f t="shared" si="13"/>
        <v>-72779.306634776978</v>
      </c>
      <c r="BG25" s="108">
        <f t="shared" si="13"/>
        <v>-72779.306634776978</v>
      </c>
      <c r="BH25" s="108">
        <f t="shared" si="13"/>
        <v>-72779.306634776978</v>
      </c>
      <c r="BI25" s="108">
        <f t="shared" si="13"/>
        <v>-72779.306634776978</v>
      </c>
      <c r="BJ25" s="108">
        <f t="shared" si="13"/>
        <v>-72779.306634776978</v>
      </c>
      <c r="BK25" s="108">
        <f t="shared" si="13"/>
        <v>-72779.306634776978</v>
      </c>
      <c r="BL25" s="108">
        <f t="shared" si="13"/>
        <v>-72779.306634776978</v>
      </c>
      <c r="BM25" s="110">
        <f t="shared" si="13"/>
        <v>-72779.306634776978</v>
      </c>
      <c r="BN25" s="109">
        <f t="shared" si="13"/>
        <v>-77364.402952767923</v>
      </c>
      <c r="BO25" s="108">
        <f t="shared" si="13"/>
        <v>-77364.402952767923</v>
      </c>
      <c r="BP25" s="108">
        <f t="shared" si="13"/>
        <v>-77364.402952767923</v>
      </c>
      <c r="BQ25" s="108">
        <f t="shared" si="13"/>
        <v>-77364.402952767923</v>
      </c>
      <c r="BR25" s="108">
        <f t="shared" si="13"/>
        <v>-77364.402952767923</v>
      </c>
      <c r="BS25" s="108">
        <f t="shared" si="13"/>
        <v>-77364.402952767923</v>
      </c>
      <c r="BT25" s="108">
        <f t="shared" si="13"/>
        <v>-77364.402952767923</v>
      </c>
      <c r="BU25" s="108">
        <f t="shared" si="13"/>
        <v>-77364.402952767923</v>
      </c>
      <c r="BV25" s="108">
        <f t="shared" si="13"/>
        <v>-77364.402952767923</v>
      </c>
      <c r="BW25" s="108">
        <f t="shared" si="13"/>
        <v>-77364.402952767923</v>
      </c>
      <c r="BX25" s="108">
        <f t="shared" si="13"/>
        <v>-77364.402952767923</v>
      </c>
      <c r="BY25" s="110">
        <f t="shared" si="13"/>
        <v>-77364.402952767923</v>
      </c>
      <c r="BZ25" s="109">
        <f t="shared" si="13"/>
        <v>-82238.360338792292</v>
      </c>
      <c r="CA25" s="108">
        <f t="shared" si="13"/>
        <v>-82238.360338792292</v>
      </c>
      <c r="CB25" s="108">
        <f t="shared" si="13"/>
        <v>-82238.360338792292</v>
      </c>
      <c r="CC25" s="108">
        <f t="shared" si="13"/>
        <v>-82238.360338792292</v>
      </c>
      <c r="CD25" s="108">
        <f t="shared" ref="CD25:DU26" si="15">$E25*$D25*CD$6</f>
        <v>-82238.360338792292</v>
      </c>
      <c r="CE25" s="108">
        <f t="shared" si="15"/>
        <v>-82238.360338792292</v>
      </c>
      <c r="CF25" s="108">
        <f t="shared" si="15"/>
        <v>-82238.360338792292</v>
      </c>
      <c r="CG25" s="108">
        <f t="shared" si="15"/>
        <v>-82238.360338792292</v>
      </c>
      <c r="CH25" s="108">
        <f t="shared" si="15"/>
        <v>-82238.360338792292</v>
      </c>
      <c r="CI25" s="108">
        <f t="shared" si="15"/>
        <v>-82238.360338792292</v>
      </c>
      <c r="CJ25" s="108">
        <f t="shared" si="15"/>
        <v>-82238.360338792292</v>
      </c>
      <c r="CK25" s="110">
        <f t="shared" si="15"/>
        <v>-82238.360338792292</v>
      </c>
      <c r="CL25" s="109">
        <f t="shared" si="15"/>
        <v>-87419.377040136213</v>
      </c>
      <c r="CM25" s="108">
        <f t="shared" si="15"/>
        <v>-87419.377040136213</v>
      </c>
      <c r="CN25" s="108">
        <f t="shared" si="15"/>
        <v>-87419.377040136213</v>
      </c>
      <c r="CO25" s="108">
        <f t="shared" si="15"/>
        <v>-87419.377040136213</v>
      </c>
      <c r="CP25" s="108">
        <f t="shared" si="15"/>
        <v>-87419.377040136213</v>
      </c>
      <c r="CQ25" s="108">
        <f t="shared" si="15"/>
        <v>-87419.377040136213</v>
      </c>
      <c r="CR25" s="108">
        <f t="shared" si="15"/>
        <v>-87419.377040136213</v>
      </c>
      <c r="CS25" s="108">
        <f t="shared" si="15"/>
        <v>-87419.377040136213</v>
      </c>
      <c r="CT25" s="108">
        <f t="shared" si="15"/>
        <v>-87419.377040136213</v>
      </c>
      <c r="CU25" s="108">
        <f t="shared" si="15"/>
        <v>-87419.377040136213</v>
      </c>
      <c r="CV25" s="108">
        <f t="shared" si="15"/>
        <v>-87419.377040136213</v>
      </c>
      <c r="CW25" s="110">
        <f t="shared" si="15"/>
        <v>-87419.377040136213</v>
      </c>
      <c r="CX25" s="109">
        <f t="shared" si="15"/>
        <v>-92926.79779366478</v>
      </c>
      <c r="CY25" s="108">
        <f t="shared" si="15"/>
        <v>-92926.79779366478</v>
      </c>
      <c r="CZ25" s="108">
        <f t="shared" si="15"/>
        <v>-92926.79779366478</v>
      </c>
      <c r="DA25" s="108">
        <f t="shared" si="15"/>
        <v>-92926.79779366478</v>
      </c>
      <c r="DB25" s="108">
        <f t="shared" si="15"/>
        <v>-92926.79779366478</v>
      </c>
      <c r="DC25" s="108">
        <f t="shared" si="15"/>
        <v>-92926.79779366478</v>
      </c>
      <c r="DD25" s="108">
        <f t="shared" si="15"/>
        <v>-92926.79779366478</v>
      </c>
      <c r="DE25" s="108">
        <f t="shared" si="15"/>
        <v>-92926.79779366478</v>
      </c>
      <c r="DF25" s="108">
        <f t="shared" si="15"/>
        <v>-92926.79779366478</v>
      </c>
      <c r="DG25" s="108">
        <f t="shared" si="15"/>
        <v>-92926.79779366478</v>
      </c>
      <c r="DH25" s="108">
        <f t="shared" si="15"/>
        <v>-92926.79779366478</v>
      </c>
      <c r="DI25" s="110">
        <f t="shared" si="15"/>
        <v>-92926.79779366478</v>
      </c>
      <c r="DJ25" s="109">
        <f t="shared" si="15"/>
        <v>-98781.186054665668</v>
      </c>
      <c r="DK25" s="108">
        <f t="shared" si="15"/>
        <v>-98781.186054665668</v>
      </c>
      <c r="DL25" s="108">
        <f t="shared" si="15"/>
        <v>-98781.186054665668</v>
      </c>
      <c r="DM25" s="108">
        <f t="shared" si="15"/>
        <v>-98781.186054665668</v>
      </c>
      <c r="DN25" s="108">
        <f t="shared" si="15"/>
        <v>-98781.186054665668</v>
      </c>
      <c r="DO25" s="108">
        <f t="shared" si="15"/>
        <v>-98781.186054665668</v>
      </c>
      <c r="DP25" s="108">
        <f t="shared" si="15"/>
        <v>-98781.186054665668</v>
      </c>
      <c r="DQ25" s="108">
        <f t="shared" si="15"/>
        <v>-98781.186054665668</v>
      </c>
      <c r="DR25" s="108">
        <f t="shared" si="15"/>
        <v>-98781.186054665668</v>
      </c>
      <c r="DS25" s="108">
        <f t="shared" si="15"/>
        <v>-98781.186054665668</v>
      </c>
      <c r="DT25" s="108">
        <f t="shared" si="15"/>
        <v>-98781.186054665668</v>
      </c>
      <c r="DU25" s="110">
        <f t="shared" si="15"/>
        <v>-98781.186054665668</v>
      </c>
    </row>
    <row r="26" spans="1:125" s="2" customFormat="1" ht="18.75" customHeight="1" x14ac:dyDescent="0.3">
      <c r="A26" s="245"/>
      <c r="B26" s="273" t="s">
        <v>213</v>
      </c>
      <c r="C26" s="273" t="s">
        <v>217</v>
      </c>
      <c r="D26" s="273">
        <f>_xlfn.CEILING.MATH(D27/7,1)</f>
        <v>5</v>
      </c>
      <c r="E26" s="10">
        <f t="shared" si="12"/>
        <v>-4750</v>
      </c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86"/>
      <c r="R26" s="344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10"/>
      <c r="AD26" s="109"/>
      <c r="AE26" s="108">
        <f t="shared" ref="AE26:CD26" si="16">$E26*$D26*AE$6</f>
        <v>-26836.763749999995</v>
      </c>
      <c r="AF26" s="108">
        <f t="shared" si="16"/>
        <v>-26836.763749999995</v>
      </c>
      <c r="AG26" s="108">
        <f t="shared" si="16"/>
        <v>-26836.763749999995</v>
      </c>
      <c r="AH26" s="108">
        <f t="shared" si="16"/>
        <v>-26836.763749999995</v>
      </c>
      <c r="AI26" s="108">
        <f t="shared" si="16"/>
        <v>-26836.763749999995</v>
      </c>
      <c r="AJ26" s="108">
        <f t="shared" si="16"/>
        <v>-26836.763749999995</v>
      </c>
      <c r="AK26" s="108">
        <f t="shared" si="16"/>
        <v>-26836.763749999995</v>
      </c>
      <c r="AL26" s="108">
        <f t="shared" si="16"/>
        <v>-26836.763749999995</v>
      </c>
      <c r="AM26" s="108">
        <f t="shared" si="16"/>
        <v>-26836.763749999995</v>
      </c>
      <c r="AN26" s="108">
        <f t="shared" si="16"/>
        <v>-26836.763749999995</v>
      </c>
      <c r="AO26" s="110">
        <f t="shared" si="16"/>
        <v>-26836.763749999995</v>
      </c>
      <c r="AP26" s="109">
        <f t="shared" si="16"/>
        <v>-28527.479866249992</v>
      </c>
      <c r="AQ26" s="108">
        <f t="shared" si="16"/>
        <v>-28527.479866249992</v>
      </c>
      <c r="AR26" s="108">
        <f t="shared" si="16"/>
        <v>-28527.479866249992</v>
      </c>
      <c r="AS26" s="108">
        <f t="shared" si="16"/>
        <v>-28527.479866249992</v>
      </c>
      <c r="AT26" s="108">
        <f t="shared" si="16"/>
        <v>-28527.479866249992</v>
      </c>
      <c r="AU26" s="108">
        <f t="shared" si="16"/>
        <v>-28527.479866249992</v>
      </c>
      <c r="AV26" s="108">
        <f t="shared" si="16"/>
        <v>-28527.479866249992</v>
      </c>
      <c r="AW26" s="108">
        <f t="shared" si="16"/>
        <v>-28527.479866249992</v>
      </c>
      <c r="AX26" s="108">
        <f t="shared" si="16"/>
        <v>-28527.479866249992</v>
      </c>
      <c r="AY26" s="108">
        <f t="shared" si="16"/>
        <v>-28527.479866249992</v>
      </c>
      <c r="AZ26" s="108">
        <f t="shared" si="16"/>
        <v>-28527.479866249992</v>
      </c>
      <c r="BA26" s="110">
        <f t="shared" si="16"/>
        <v>-28527.479866249992</v>
      </c>
      <c r="BB26" s="109">
        <f t="shared" si="16"/>
        <v>-30324.71109782374</v>
      </c>
      <c r="BC26" s="108">
        <f t="shared" si="16"/>
        <v>-30324.71109782374</v>
      </c>
      <c r="BD26" s="108">
        <f t="shared" si="16"/>
        <v>-30324.71109782374</v>
      </c>
      <c r="BE26" s="108">
        <f t="shared" si="16"/>
        <v>-30324.71109782374</v>
      </c>
      <c r="BF26" s="108">
        <f t="shared" si="16"/>
        <v>-30324.71109782374</v>
      </c>
      <c r="BG26" s="108">
        <f t="shared" si="16"/>
        <v>-30324.71109782374</v>
      </c>
      <c r="BH26" s="108">
        <f t="shared" si="16"/>
        <v>-30324.71109782374</v>
      </c>
      <c r="BI26" s="108">
        <f t="shared" si="16"/>
        <v>-30324.71109782374</v>
      </c>
      <c r="BJ26" s="108">
        <f t="shared" si="16"/>
        <v>-30324.71109782374</v>
      </c>
      <c r="BK26" s="108">
        <f t="shared" si="16"/>
        <v>-30324.71109782374</v>
      </c>
      <c r="BL26" s="108">
        <f t="shared" si="16"/>
        <v>-30324.71109782374</v>
      </c>
      <c r="BM26" s="110">
        <f t="shared" si="16"/>
        <v>-30324.71109782374</v>
      </c>
      <c r="BN26" s="109">
        <f t="shared" si="16"/>
        <v>-32235.167896986633</v>
      </c>
      <c r="BO26" s="108">
        <f t="shared" si="16"/>
        <v>-32235.167896986633</v>
      </c>
      <c r="BP26" s="108">
        <f t="shared" si="16"/>
        <v>-32235.167896986633</v>
      </c>
      <c r="BQ26" s="108">
        <f t="shared" si="16"/>
        <v>-32235.167896986633</v>
      </c>
      <c r="BR26" s="108">
        <f t="shared" si="16"/>
        <v>-32235.167896986633</v>
      </c>
      <c r="BS26" s="108">
        <f t="shared" si="16"/>
        <v>-32235.167896986633</v>
      </c>
      <c r="BT26" s="108">
        <f t="shared" si="16"/>
        <v>-32235.167896986633</v>
      </c>
      <c r="BU26" s="108">
        <f t="shared" si="16"/>
        <v>-32235.167896986633</v>
      </c>
      <c r="BV26" s="108">
        <f t="shared" si="16"/>
        <v>-32235.167896986633</v>
      </c>
      <c r="BW26" s="108">
        <f t="shared" si="16"/>
        <v>-32235.167896986633</v>
      </c>
      <c r="BX26" s="108">
        <f t="shared" si="16"/>
        <v>-32235.167896986633</v>
      </c>
      <c r="BY26" s="110">
        <f t="shared" si="16"/>
        <v>-32235.167896986633</v>
      </c>
      <c r="BZ26" s="109">
        <f t="shared" si="16"/>
        <v>-34265.983474496788</v>
      </c>
      <c r="CA26" s="108">
        <f t="shared" si="16"/>
        <v>-34265.983474496788</v>
      </c>
      <c r="CB26" s="108">
        <f t="shared" si="16"/>
        <v>-34265.983474496788</v>
      </c>
      <c r="CC26" s="108">
        <f t="shared" si="16"/>
        <v>-34265.983474496788</v>
      </c>
      <c r="CD26" s="108">
        <f t="shared" si="16"/>
        <v>-34265.983474496788</v>
      </c>
      <c r="CE26" s="108">
        <f t="shared" si="15"/>
        <v>-34265.983474496788</v>
      </c>
      <c r="CF26" s="108">
        <f t="shared" si="15"/>
        <v>-34265.983474496788</v>
      </c>
      <c r="CG26" s="108">
        <f t="shared" si="15"/>
        <v>-34265.983474496788</v>
      </c>
      <c r="CH26" s="108">
        <f t="shared" si="15"/>
        <v>-34265.983474496788</v>
      </c>
      <c r="CI26" s="108">
        <f t="shared" si="15"/>
        <v>-34265.983474496788</v>
      </c>
      <c r="CJ26" s="108">
        <f t="shared" si="15"/>
        <v>-34265.983474496788</v>
      </c>
      <c r="CK26" s="110">
        <f t="shared" si="15"/>
        <v>-34265.983474496788</v>
      </c>
      <c r="CL26" s="109">
        <f t="shared" si="15"/>
        <v>-36424.740433390085</v>
      </c>
      <c r="CM26" s="108">
        <f t="shared" si="15"/>
        <v>-36424.740433390085</v>
      </c>
      <c r="CN26" s="108">
        <f t="shared" si="15"/>
        <v>-36424.740433390085</v>
      </c>
      <c r="CO26" s="108">
        <f t="shared" si="15"/>
        <v>-36424.740433390085</v>
      </c>
      <c r="CP26" s="108">
        <f t="shared" si="15"/>
        <v>-36424.740433390085</v>
      </c>
      <c r="CQ26" s="108">
        <f t="shared" si="15"/>
        <v>-36424.740433390085</v>
      </c>
      <c r="CR26" s="108">
        <f t="shared" si="15"/>
        <v>-36424.740433390085</v>
      </c>
      <c r="CS26" s="108">
        <f t="shared" si="15"/>
        <v>-36424.740433390085</v>
      </c>
      <c r="CT26" s="108">
        <f t="shared" si="15"/>
        <v>-36424.740433390085</v>
      </c>
      <c r="CU26" s="108">
        <f t="shared" si="15"/>
        <v>-36424.740433390085</v>
      </c>
      <c r="CV26" s="108">
        <f t="shared" si="15"/>
        <v>-36424.740433390085</v>
      </c>
      <c r="CW26" s="110">
        <f t="shared" si="15"/>
        <v>-36424.740433390085</v>
      </c>
      <c r="CX26" s="109">
        <f t="shared" si="15"/>
        <v>-38719.499080693662</v>
      </c>
      <c r="CY26" s="108">
        <f t="shared" si="15"/>
        <v>-38719.499080693662</v>
      </c>
      <c r="CZ26" s="108">
        <f t="shared" si="15"/>
        <v>-38719.499080693662</v>
      </c>
      <c r="DA26" s="108">
        <f t="shared" si="15"/>
        <v>-38719.499080693662</v>
      </c>
      <c r="DB26" s="108">
        <f t="shared" si="15"/>
        <v>-38719.499080693662</v>
      </c>
      <c r="DC26" s="108">
        <f t="shared" si="15"/>
        <v>-38719.499080693662</v>
      </c>
      <c r="DD26" s="108">
        <f t="shared" si="15"/>
        <v>-38719.499080693662</v>
      </c>
      <c r="DE26" s="108">
        <f t="shared" si="15"/>
        <v>-38719.499080693662</v>
      </c>
      <c r="DF26" s="108">
        <f t="shared" si="15"/>
        <v>-38719.499080693662</v>
      </c>
      <c r="DG26" s="108">
        <f t="shared" si="15"/>
        <v>-38719.499080693662</v>
      </c>
      <c r="DH26" s="108">
        <f t="shared" si="15"/>
        <v>-38719.499080693662</v>
      </c>
      <c r="DI26" s="110">
        <f t="shared" si="15"/>
        <v>-38719.499080693662</v>
      </c>
      <c r="DJ26" s="109">
        <f t="shared" si="15"/>
        <v>-41158.827522777363</v>
      </c>
      <c r="DK26" s="108">
        <f t="shared" si="15"/>
        <v>-41158.827522777363</v>
      </c>
      <c r="DL26" s="108">
        <f t="shared" si="15"/>
        <v>-41158.827522777363</v>
      </c>
      <c r="DM26" s="108">
        <f t="shared" si="15"/>
        <v>-41158.827522777363</v>
      </c>
      <c r="DN26" s="108">
        <f t="shared" si="15"/>
        <v>-41158.827522777363</v>
      </c>
      <c r="DO26" s="108">
        <f t="shared" si="15"/>
        <v>-41158.827522777363</v>
      </c>
      <c r="DP26" s="108">
        <f t="shared" si="15"/>
        <v>-41158.827522777363</v>
      </c>
      <c r="DQ26" s="108">
        <f t="shared" si="15"/>
        <v>-41158.827522777363</v>
      </c>
      <c r="DR26" s="108">
        <f t="shared" si="15"/>
        <v>-41158.827522777363</v>
      </c>
      <c r="DS26" s="108">
        <f t="shared" si="15"/>
        <v>-41158.827522777363</v>
      </c>
      <c r="DT26" s="108">
        <f t="shared" si="15"/>
        <v>-41158.827522777363</v>
      </c>
      <c r="DU26" s="110">
        <f t="shared" si="15"/>
        <v>-41158.827522777363</v>
      </c>
    </row>
    <row r="27" spans="1:125" s="2" customFormat="1" ht="18.75" customHeight="1" x14ac:dyDescent="0.25">
      <c r="A27" s="246"/>
      <c r="B27" s="273" t="s">
        <v>214</v>
      </c>
      <c r="C27" s="273" t="s">
        <v>216</v>
      </c>
      <c r="D27" s="273">
        <f>(1*'7. Aquaculture systems - Cages'!D5)</f>
        <v>34</v>
      </c>
      <c r="E27" s="10">
        <f t="shared" si="12"/>
        <v>-4208.333333333333</v>
      </c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86"/>
      <c r="R27" s="344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10"/>
      <c r="AD27" s="109"/>
      <c r="AE27" s="109">
        <f t="shared" ref="AE27:AO27" si="17">$E27*($D27)*AE$6</f>
        <v>-161679.73108333329</v>
      </c>
      <c r="AF27" s="109">
        <f t="shared" si="17"/>
        <v>-161679.73108333329</v>
      </c>
      <c r="AG27" s="109">
        <f t="shared" si="17"/>
        <v>-161679.73108333329</v>
      </c>
      <c r="AH27" s="109">
        <f t="shared" si="17"/>
        <v>-161679.73108333329</v>
      </c>
      <c r="AI27" s="109">
        <f t="shared" si="17"/>
        <v>-161679.73108333329</v>
      </c>
      <c r="AJ27" s="109">
        <f t="shared" si="17"/>
        <v>-161679.73108333329</v>
      </c>
      <c r="AK27" s="109">
        <f t="shared" si="17"/>
        <v>-161679.73108333329</v>
      </c>
      <c r="AL27" s="109">
        <f t="shared" si="17"/>
        <v>-161679.73108333329</v>
      </c>
      <c r="AM27" s="109">
        <f t="shared" si="17"/>
        <v>-161679.73108333329</v>
      </c>
      <c r="AN27" s="109">
        <f t="shared" si="17"/>
        <v>-161679.73108333329</v>
      </c>
      <c r="AO27" s="695">
        <f t="shared" si="17"/>
        <v>-161679.73108333329</v>
      </c>
      <c r="AP27" s="109">
        <f>$E27*($D27+6)*AP$6</f>
        <v>-202194.76957833325</v>
      </c>
      <c r="AQ27" s="109">
        <f t="shared" ref="AQ27:BA27" si="18">$E27*($D27+6)*AQ$6</f>
        <v>-202194.76957833325</v>
      </c>
      <c r="AR27" s="109">
        <f t="shared" si="18"/>
        <v>-202194.76957833325</v>
      </c>
      <c r="AS27" s="109">
        <f t="shared" si="18"/>
        <v>-202194.76957833325</v>
      </c>
      <c r="AT27" s="109">
        <f t="shared" si="18"/>
        <v>-202194.76957833325</v>
      </c>
      <c r="AU27" s="109">
        <f t="shared" si="18"/>
        <v>-202194.76957833325</v>
      </c>
      <c r="AV27" s="109">
        <f t="shared" si="18"/>
        <v>-202194.76957833325</v>
      </c>
      <c r="AW27" s="109">
        <f t="shared" si="18"/>
        <v>-202194.76957833325</v>
      </c>
      <c r="AX27" s="109">
        <f t="shared" si="18"/>
        <v>-202194.76957833325</v>
      </c>
      <c r="AY27" s="109">
        <f t="shared" si="18"/>
        <v>-202194.76957833325</v>
      </c>
      <c r="AZ27" s="109">
        <f t="shared" si="18"/>
        <v>-202194.76957833325</v>
      </c>
      <c r="BA27" s="695">
        <f t="shared" si="18"/>
        <v>-202194.76957833325</v>
      </c>
      <c r="BB27" s="109">
        <f t="shared" ref="BB27:DB27" si="19">$E27*($D27+12)*BB$6</f>
        <v>-247172.99607103347</v>
      </c>
      <c r="BC27" s="108">
        <f t="shared" si="19"/>
        <v>-247172.99607103347</v>
      </c>
      <c r="BD27" s="108">
        <f t="shared" si="19"/>
        <v>-247172.99607103347</v>
      </c>
      <c r="BE27" s="108">
        <f t="shared" si="19"/>
        <v>-247172.99607103347</v>
      </c>
      <c r="BF27" s="108">
        <f t="shared" si="19"/>
        <v>-247172.99607103347</v>
      </c>
      <c r="BG27" s="108">
        <f t="shared" si="19"/>
        <v>-247172.99607103347</v>
      </c>
      <c r="BH27" s="108">
        <f t="shared" si="19"/>
        <v>-247172.99607103347</v>
      </c>
      <c r="BI27" s="108">
        <f t="shared" si="19"/>
        <v>-247172.99607103347</v>
      </c>
      <c r="BJ27" s="108">
        <f t="shared" si="19"/>
        <v>-247172.99607103347</v>
      </c>
      <c r="BK27" s="108">
        <f t="shared" si="19"/>
        <v>-247172.99607103347</v>
      </c>
      <c r="BL27" s="108">
        <f t="shared" si="19"/>
        <v>-247172.99607103347</v>
      </c>
      <c r="BM27" s="110">
        <f t="shared" si="19"/>
        <v>-247172.99607103347</v>
      </c>
      <c r="BN27" s="109">
        <f t="shared" si="19"/>
        <v>-262744.89482350857</v>
      </c>
      <c r="BO27" s="108">
        <f t="shared" si="19"/>
        <v>-262744.89482350857</v>
      </c>
      <c r="BP27" s="108">
        <f t="shared" si="19"/>
        <v>-262744.89482350857</v>
      </c>
      <c r="BQ27" s="108">
        <f t="shared" si="19"/>
        <v>-262744.89482350857</v>
      </c>
      <c r="BR27" s="108">
        <f t="shared" si="19"/>
        <v>-262744.89482350857</v>
      </c>
      <c r="BS27" s="108">
        <f t="shared" si="19"/>
        <v>-262744.89482350857</v>
      </c>
      <c r="BT27" s="108">
        <f t="shared" si="19"/>
        <v>-262744.89482350857</v>
      </c>
      <c r="BU27" s="108">
        <f t="shared" si="19"/>
        <v>-262744.89482350857</v>
      </c>
      <c r="BV27" s="108">
        <f t="shared" si="19"/>
        <v>-262744.89482350857</v>
      </c>
      <c r="BW27" s="108">
        <f t="shared" si="19"/>
        <v>-262744.89482350857</v>
      </c>
      <c r="BX27" s="108">
        <f t="shared" si="19"/>
        <v>-262744.89482350857</v>
      </c>
      <c r="BY27" s="110">
        <f t="shared" si="19"/>
        <v>-262744.89482350857</v>
      </c>
      <c r="BZ27" s="109">
        <f t="shared" si="19"/>
        <v>-279297.8231973896</v>
      </c>
      <c r="CA27" s="108">
        <f t="shared" si="19"/>
        <v>-279297.8231973896</v>
      </c>
      <c r="CB27" s="108">
        <f t="shared" si="19"/>
        <v>-279297.8231973896</v>
      </c>
      <c r="CC27" s="108">
        <f t="shared" si="19"/>
        <v>-279297.8231973896</v>
      </c>
      <c r="CD27" s="108">
        <f t="shared" si="19"/>
        <v>-279297.8231973896</v>
      </c>
      <c r="CE27" s="108">
        <f t="shared" si="19"/>
        <v>-279297.8231973896</v>
      </c>
      <c r="CF27" s="108">
        <f t="shared" si="19"/>
        <v>-279297.8231973896</v>
      </c>
      <c r="CG27" s="108">
        <f t="shared" si="19"/>
        <v>-279297.8231973896</v>
      </c>
      <c r="CH27" s="108">
        <f t="shared" si="19"/>
        <v>-279297.8231973896</v>
      </c>
      <c r="CI27" s="108">
        <f t="shared" si="19"/>
        <v>-279297.8231973896</v>
      </c>
      <c r="CJ27" s="108">
        <f t="shared" si="19"/>
        <v>-279297.8231973896</v>
      </c>
      <c r="CK27" s="110">
        <f t="shared" si="19"/>
        <v>-279297.8231973896</v>
      </c>
      <c r="CL27" s="109">
        <f t="shared" si="19"/>
        <v>-296893.58605882514</v>
      </c>
      <c r="CM27" s="108">
        <f t="shared" si="19"/>
        <v>-296893.58605882514</v>
      </c>
      <c r="CN27" s="108">
        <f t="shared" si="19"/>
        <v>-296893.58605882514</v>
      </c>
      <c r="CO27" s="108">
        <f t="shared" si="19"/>
        <v>-296893.58605882514</v>
      </c>
      <c r="CP27" s="108">
        <f t="shared" si="19"/>
        <v>-296893.58605882514</v>
      </c>
      <c r="CQ27" s="108">
        <f t="shared" si="19"/>
        <v>-296893.58605882514</v>
      </c>
      <c r="CR27" s="108">
        <f t="shared" si="19"/>
        <v>-296893.58605882514</v>
      </c>
      <c r="CS27" s="108">
        <f t="shared" si="19"/>
        <v>-296893.58605882514</v>
      </c>
      <c r="CT27" s="108">
        <f t="shared" si="19"/>
        <v>-296893.58605882514</v>
      </c>
      <c r="CU27" s="108">
        <f t="shared" si="19"/>
        <v>-296893.58605882514</v>
      </c>
      <c r="CV27" s="108">
        <f t="shared" si="19"/>
        <v>-296893.58605882514</v>
      </c>
      <c r="CW27" s="110">
        <f t="shared" si="19"/>
        <v>-296893.58605882514</v>
      </c>
      <c r="CX27" s="109">
        <f t="shared" si="19"/>
        <v>-315597.88198053109</v>
      </c>
      <c r="CY27" s="108">
        <f t="shared" si="19"/>
        <v>-315597.88198053109</v>
      </c>
      <c r="CZ27" s="108">
        <f t="shared" si="19"/>
        <v>-315597.88198053109</v>
      </c>
      <c r="DA27" s="108">
        <f t="shared" si="19"/>
        <v>-315597.88198053109</v>
      </c>
      <c r="DB27" s="108">
        <f t="shared" si="19"/>
        <v>-315597.88198053109</v>
      </c>
      <c r="DC27" s="108">
        <f t="shared" ref="DC27:DU27" si="20">$E27*($D27+12)*DC$6</f>
        <v>-315597.88198053109</v>
      </c>
      <c r="DD27" s="108">
        <f t="shared" si="20"/>
        <v>-315597.88198053109</v>
      </c>
      <c r="DE27" s="108">
        <f t="shared" si="20"/>
        <v>-315597.88198053109</v>
      </c>
      <c r="DF27" s="108">
        <f t="shared" si="20"/>
        <v>-315597.88198053109</v>
      </c>
      <c r="DG27" s="108">
        <f t="shared" si="20"/>
        <v>-315597.88198053109</v>
      </c>
      <c r="DH27" s="108">
        <f t="shared" si="20"/>
        <v>-315597.88198053109</v>
      </c>
      <c r="DI27" s="110">
        <f t="shared" si="20"/>
        <v>-315597.88198053109</v>
      </c>
      <c r="DJ27" s="109">
        <f t="shared" si="20"/>
        <v>-335480.54854530457</v>
      </c>
      <c r="DK27" s="108">
        <f t="shared" si="20"/>
        <v>-335480.54854530457</v>
      </c>
      <c r="DL27" s="108">
        <f t="shared" si="20"/>
        <v>-335480.54854530457</v>
      </c>
      <c r="DM27" s="108">
        <f t="shared" si="20"/>
        <v>-335480.54854530457</v>
      </c>
      <c r="DN27" s="108">
        <f t="shared" si="20"/>
        <v>-335480.54854530457</v>
      </c>
      <c r="DO27" s="108">
        <f t="shared" si="20"/>
        <v>-335480.54854530457</v>
      </c>
      <c r="DP27" s="108">
        <f t="shared" si="20"/>
        <v>-335480.54854530457</v>
      </c>
      <c r="DQ27" s="108">
        <f t="shared" si="20"/>
        <v>-335480.54854530457</v>
      </c>
      <c r="DR27" s="108">
        <f t="shared" si="20"/>
        <v>-335480.54854530457</v>
      </c>
      <c r="DS27" s="108">
        <f t="shared" si="20"/>
        <v>-335480.54854530457</v>
      </c>
      <c r="DT27" s="108">
        <f t="shared" si="20"/>
        <v>-335480.54854530457</v>
      </c>
      <c r="DU27" s="110">
        <f t="shared" si="20"/>
        <v>-335480.54854530457</v>
      </c>
    </row>
    <row r="28" spans="1:125" s="2" customFormat="1" ht="18.75" customHeight="1" x14ac:dyDescent="0.3">
      <c r="A28" s="245"/>
      <c r="B28" s="274" t="s">
        <v>1308</v>
      </c>
      <c r="C28" s="274"/>
      <c r="D28" s="274"/>
      <c r="E28" s="10"/>
      <c r="F28" s="403"/>
      <c r="G28" s="745"/>
      <c r="H28" s="745"/>
      <c r="I28" s="745"/>
      <c r="J28" s="745"/>
      <c r="K28" s="745"/>
      <c r="L28" s="745"/>
      <c r="M28" s="745"/>
      <c r="N28" s="745"/>
      <c r="O28" s="745"/>
      <c r="P28" s="745"/>
      <c r="Q28" s="688"/>
      <c r="R28" s="344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606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606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606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606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606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606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606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606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606"/>
    </row>
    <row r="29" spans="1:125" s="2" customFormat="1" ht="18.75" customHeight="1" x14ac:dyDescent="0.3">
      <c r="A29" s="245"/>
      <c r="B29" s="273" t="s">
        <v>239</v>
      </c>
      <c r="C29" s="273" t="s">
        <v>222</v>
      </c>
      <c r="D29" s="273">
        <v>1</v>
      </c>
      <c r="E29" s="10">
        <f>-F53</f>
        <v>-45000</v>
      </c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86"/>
      <c r="R29" s="344"/>
      <c r="S29" s="108">
        <f t="shared" ref="S29:CD32" si="21">$E29*$D29*S$6</f>
        <v>-47835</v>
      </c>
      <c r="T29" s="108">
        <f t="shared" si="21"/>
        <v>-47835</v>
      </c>
      <c r="U29" s="108">
        <f t="shared" si="21"/>
        <v>-47835</v>
      </c>
      <c r="V29" s="108">
        <f t="shared" si="21"/>
        <v>-47835</v>
      </c>
      <c r="W29" s="108">
        <f t="shared" si="21"/>
        <v>-47835</v>
      </c>
      <c r="X29" s="108">
        <f t="shared" si="21"/>
        <v>-47835</v>
      </c>
      <c r="Y29" s="108">
        <f t="shared" si="21"/>
        <v>-47835</v>
      </c>
      <c r="Z29" s="108">
        <f t="shared" si="21"/>
        <v>-47835</v>
      </c>
      <c r="AA29" s="108">
        <f t="shared" si="21"/>
        <v>-47835</v>
      </c>
      <c r="AB29" s="108">
        <f t="shared" si="21"/>
        <v>-47835</v>
      </c>
      <c r="AC29" s="110">
        <f t="shared" si="21"/>
        <v>-47835</v>
      </c>
      <c r="AD29" s="109">
        <f t="shared" si="21"/>
        <v>-50848.604999999989</v>
      </c>
      <c r="AE29" s="108">
        <f t="shared" si="21"/>
        <v>-50848.604999999989</v>
      </c>
      <c r="AF29" s="108">
        <f t="shared" si="21"/>
        <v>-50848.604999999989</v>
      </c>
      <c r="AG29" s="108">
        <f t="shared" si="21"/>
        <v>-50848.604999999989</v>
      </c>
      <c r="AH29" s="108">
        <f t="shared" si="21"/>
        <v>-50848.604999999989</v>
      </c>
      <c r="AI29" s="108">
        <f t="shared" si="21"/>
        <v>-50848.604999999989</v>
      </c>
      <c r="AJ29" s="108">
        <f t="shared" si="21"/>
        <v>-50848.604999999989</v>
      </c>
      <c r="AK29" s="108">
        <f t="shared" si="21"/>
        <v>-50848.604999999989</v>
      </c>
      <c r="AL29" s="108">
        <f t="shared" si="21"/>
        <v>-50848.604999999989</v>
      </c>
      <c r="AM29" s="108">
        <f t="shared" si="21"/>
        <v>-50848.604999999989</v>
      </c>
      <c r="AN29" s="108">
        <f t="shared" si="21"/>
        <v>-50848.604999999989</v>
      </c>
      <c r="AO29" s="110">
        <f t="shared" si="21"/>
        <v>-50848.604999999989</v>
      </c>
      <c r="AP29" s="109">
        <f t="shared" si="21"/>
        <v>-54052.067114999983</v>
      </c>
      <c r="AQ29" s="108">
        <f t="shared" si="21"/>
        <v>-54052.067114999983</v>
      </c>
      <c r="AR29" s="108">
        <f t="shared" si="21"/>
        <v>-54052.067114999983</v>
      </c>
      <c r="AS29" s="108">
        <f t="shared" si="21"/>
        <v>-54052.067114999983</v>
      </c>
      <c r="AT29" s="108">
        <f t="shared" si="21"/>
        <v>-54052.067114999983</v>
      </c>
      <c r="AU29" s="108">
        <f t="shared" si="21"/>
        <v>-54052.067114999983</v>
      </c>
      <c r="AV29" s="108">
        <f t="shared" si="21"/>
        <v>-54052.067114999983</v>
      </c>
      <c r="AW29" s="108">
        <f t="shared" si="21"/>
        <v>-54052.067114999983</v>
      </c>
      <c r="AX29" s="108">
        <f t="shared" si="21"/>
        <v>-54052.067114999983</v>
      </c>
      <c r="AY29" s="108">
        <f t="shared" si="21"/>
        <v>-54052.067114999983</v>
      </c>
      <c r="AZ29" s="108">
        <f t="shared" si="21"/>
        <v>-54052.067114999983</v>
      </c>
      <c r="BA29" s="110">
        <f t="shared" si="21"/>
        <v>-54052.067114999983</v>
      </c>
      <c r="BB29" s="109">
        <f t="shared" si="21"/>
        <v>-57457.347343244983</v>
      </c>
      <c r="BC29" s="108">
        <f t="shared" si="21"/>
        <v>-57457.347343244983</v>
      </c>
      <c r="BD29" s="108">
        <f t="shared" si="21"/>
        <v>-57457.347343244983</v>
      </c>
      <c r="BE29" s="108">
        <f t="shared" si="21"/>
        <v>-57457.347343244983</v>
      </c>
      <c r="BF29" s="108">
        <f t="shared" si="21"/>
        <v>-57457.347343244983</v>
      </c>
      <c r="BG29" s="108">
        <f t="shared" si="21"/>
        <v>-57457.347343244983</v>
      </c>
      <c r="BH29" s="108">
        <f t="shared" si="21"/>
        <v>-57457.347343244983</v>
      </c>
      <c r="BI29" s="108">
        <f t="shared" si="21"/>
        <v>-57457.347343244983</v>
      </c>
      <c r="BJ29" s="108">
        <f t="shared" si="21"/>
        <v>-57457.347343244983</v>
      </c>
      <c r="BK29" s="108">
        <f t="shared" si="21"/>
        <v>-57457.347343244983</v>
      </c>
      <c r="BL29" s="108">
        <f t="shared" si="21"/>
        <v>-57457.347343244983</v>
      </c>
      <c r="BM29" s="110">
        <f t="shared" si="21"/>
        <v>-57457.347343244983</v>
      </c>
      <c r="BN29" s="109">
        <f t="shared" si="21"/>
        <v>-61077.160225869411</v>
      </c>
      <c r="BO29" s="108">
        <f t="shared" si="21"/>
        <v>-61077.160225869411</v>
      </c>
      <c r="BP29" s="108">
        <f t="shared" si="21"/>
        <v>-61077.160225869411</v>
      </c>
      <c r="BQ29" s="108">
        <f t="shared" si="21"/>
        <v>-61077.160225869411</v>
      </c>
      <c r="BR29" s="108">
        <f t="shared" si="21"/>
        <v>-61077.160225869411</v>
      </c>
      <c r="BS29" s="108">
        <f t="shared" si="21"/>
        <v>-61077.160225869411</v>
      </c>
      <c r="BT29" s="108">
        <f t="shared" si="21"/>
        <v>-61077.160225869411</v>
      </c>
      <c r="BU29" s="108">
        <f t="shared" si="21"/>
        <v>-61077.160225869411</v>
      </c>
      <c r="BV29" s="108">
        <f t="shared" si="21"/>
        <v>-61077.160225869411</v>
      </c>
      <c r="BW29" s="108">
        <f t="shared" si="21"/>
        <v>-61077.160225869411</v>
      </c>
      <c r="BX29" s="108">
        <f t="shared" si="21"/>
        <v>-61077.160225869411</v>
      </c>
      <c r="BY29" s="110">
        <f t="shared" si="21"/>
        <v>-61077.160225869411</v>
      </c>
      <c r="BZ29" s="109">
        <f t="shared" si="21"/>
        <v>-64925.021320099186</v>
      </c>
      <c r="CA29" s="108">
        <f t="shared" si="21"/>
        <v>-64925.021320099186</v>
      </c>
      <c r="CB29" s="108">
        <f t="shared" si="21"/>
        <v>-64925.021320099186</v>
      </c>
      <c r="CC29" s="108">
        <f t="shared" ref="CC29:DU29" si="22">$E29*$D29*CC$6</f>
        <v>-64925.021320099186</v>
      </c>
      <c r="CD29" s="108">
        <f t="shared" si="22"/>
        <v>-64925.021320099186</v>
      </c>
      <c r="CE29" s="108">
        <f t="shared" si="22"/>
        <v>-64925.021320099186</v>
      </c>
      <c r="CF29" s="108">
        <f t="shared" si="22"/>
        <v>-64925.021320099186</v>
      </c>
      <c r="CG29" s="108">
        <f t="shared" si="22"/>
        <v>-64925.021320099186</v>
      </c>
      <c r="CH29" s="108">
        <f t="shared" si="22"/>
        <v>-64925.021320099186</v>
      </c>
      <c r="CI29" s="108">
        <f t="shared" si="22"/>
        <v>-64925.021320099186</v>
      </c>
      <c r="CJ29" s="108">
        <f t="shared" si="22"/>
        <v>-64925.021320099186</v>
      </c>
      <c r="CK29" s="110">
        <f t="shared" si="22"/>
        <v>-64925.021320099186</v>
      </c>
      <c r="CL29" s="109">
        <f t="shared" si="22"/>
        <v>-69015.297663265432</v>
      </c>
      <c r="CM29" s="108">
        <f t="shared" si="22"/>
        <v>-69015.297663265432</v>
      </c>
      <c r="CN29" s="108">
        <f t="shared" si="22"/>
        <v>-69015.297663265432</v>
      </c>
      <c r="CO29" s="108">
        <f t="shared" si="22"/>
        <v>-69015.297663265432</v>
      </c>
      <c r="CP29" s="108">
        <f t="shared" si="22"/>
        <v>-69015.297663265432</v>
      </c>
      <c r="CQ29" s="108">
        <f t="shared" si="22"/>
        <v>-69015.297663265432</v>
      </c>
      <c r="CR29" s="108">
        <f t="shared" si="22"/>
        <v>-69015.297663265432</v>
      </c>
      <c r="CS29" s="108">
        <f t="shared" si="22"/>
        <v>-69015.297663265432</v>
      </c>
      <c r="CT29" s="108">
        <f t="shared" si="22"/>
        <v>-69015.297663265432</v>
      </c>
      <c r="CU29" s="108">
        <f t="shared" si="22"/>
        <v>-69015.297663265432</v>
      </c>
      <c r="CV29" s="108">
        <f t="shared" si="22"/>
        <v>-69015.297663265432</v>
      </c>
      <c r="CW29" s="110">
        <f t="shared" si="22"/>
        <v>-69015.297663265432</v>
      </c>
      <c r="CX29" s="109">
        <f t="shared" si="22"/>
        <v>-73363.261416051144</v>
      </c>
      <c r="CY29" s="108">
        <f t="shared" si="22"/>
        <v>-73363.261416051144</v>
      </c>
      <c r="CZ29" s="108">
        <f t="shared" si="22"/>
        <v>-73363.261416051144</v>
      </c>
      <c r="DA29" s="108">
        <f t="shared" si="22"/>
        <v>-73363.261416051144</v>
      </c>
      <c r="DB29" s="108">
        <f t="shared" si="22"/>
        <v>-73363.261416051144</v>
      </c>
      <c r="DC29" s="108">
        <f t="shared" si="22"/>
        <v>-73363.261416051144</v>
      </c>
      <c r="DD29" s="108">
        <f t="shared" si="22"/>
        <v>-73363.261416051144</v>
      </c>
      <c r="DE29" s="108">
        <f t="shared" si="22"/>
        <v>-73363.261416051144</v>
      </c>
      <c r="DF29" s="108">
        <f t="shared" si="22"/>
        <v>-73363.261416051144</v>
      </c>
      <c r="DG29" s="108">
        <f t="shared" si="22"/>
        <v>-73363.261416051144</v>
      </c>
      <c r="DH29" s="108">
        <f t="shared" si="22"/>
        <v>-73363.261416051144</v>
      </c>
      <c r="DI29" s="110">
        <f t="shared" si="22"/>
        <v>-73363.261416051144</v>
      </c>
      <c r="DJ29" s="109">
        <f t="shared" si="22"/>
        <v>-77985.146885262366</v>
      </c>
      <c r="DK29" s="108">
        <f t="shared" si="22"/>
        <v>-77985.146885262366</v>
      </c>
      <c r="DL29" s="108">
        <f t="shared" si="22"/>
        <v>-77985.146885262366</v>
      </c>
      <c r="DM29" s="108">
        <f t="shared" si="22"/>
        <v>-77985.146885262366</v>
      </c>
      <c r="DN29" s="108">
        <f t="shared" si="22"/>
        <v>-77985.146885262366</v>
      </c>
      <c r="DO29" s="108">
        <f t="shared" si="22"/>
        <v>-77985.146885262366</v>
      </c>
      <c r="DP29" s="108">
        <f t="shared" si="22"/>
        <v>-77985.146885262366</v>
      </c>
      <c r="DQ29" s="108">
        <f t="shared" si="22"/>
        <v>-77985.146885262366</v>
      </c>
      <c r="DR29" s="108">
        <f t="shared" si="22"/>
        <v>-77985.146885262366</v>
      </c>
      <c r="DS29" s="108">
        <f t="shared" si="22"/>
        <v>-77985.146885262366</v>
      </c>
      <c r="DT29" s="108">
        <f t="shared" si="22"/>
        <v>-77985.146885262366</v>
      </c>
      <c r="DU29" s="110">
        <f t="shared" si="22"/>
        <v>-77985.146885262366</v>
      </c>
    </row>
    <row r="30" spans="1:125" s="2" customFormat="1" ht="18.75" customHeight="1" x14ac:dyDescent="0.25">
      <c r="A30" s="246"/>
      <c r="B30" s="273" t="s">
        <v>1304</v>
      </c>
      <c r="C30" s="273" t="s">
        <v>219</v>
      </c>
      <c r="D30" s="273">
        <v>1</v>
      </c>
      <c r="E30" s="10">
        <f>-VLOOKUP(C30,$C$51:$W$59,8,FALSE)</f>
        <v>-8541.6666666666661</v>
      </c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86"/>
      <c r="R30" s="344"/>
      <c r="S30" s="108">
        <f t="shared" si="21"/>
        <v>-9079.7916666666661</v>
      </c>
      <c r="T30" s="108">
        <f t="shared" si="21"/>
        <v>-9079.7916666666661</v>
      </c>
      <c r="U30" s="108">
        <f t="shared" si="21"/>
        <v>-9079.7916666666661</v>
      </c>
      <c r="V30" s="108">
        <f t="shared" si="21"/>
        <v>-9079.7916666666661</v>
      </c>
      <c r="W30" s="108">
        <f t="shared" si="21"/>
        <v>-9079.7916666666661</v>
      </c>
      <c r="X30" s="108">
        <f t="shared" si="21"/>
        <v>-9079.7916666666661</v>
      </c>
      <c r="Y30" s="108">
        <f t="shared" si="21"/>
        <v>-9079.7916666666661</v>
      </c>
      <c r="Z30" s="108">
        <f t="shared" si="21"/>
        <v>-9079.7916666666661</v>
      </c>
      <c r="AA30" s="108">
        <f t="shared" si="21"/>
        <v>-9079.7916666666661</v>
      </c>
      <c r="AB30" s="108">
        <f t="shared" si="21"/>
        <v>-9079.7916666666661</v>
      </c>
      <c r="AC30" s="110">
        <f t="shared" si="21"/>
        <v>-9079.7916666666661</v>
      </c>
      <c r="AD30" s="109">
        <f t="shared" si="21"/>
        <v>-9651.8185416666638</v>
      </c>
      <c r="AE30" s="108">
        <f t="shared" si="21"/>
        <v>-9651.8185416666638</v>
      </c>
      <c r="AF30" s="108">
        <f t="shared" si="21"/>
        <v>-9651.8185416666638</v>
      </c>
      <c r="AG30" s="108">
        <f t="shared" si="21"/>
        <v>-9651.8185416666638</v>
      </c>
      <c r="AH30" s="108">
        <f t="shared" si="21"/>
        <v>-9651.8185416666638</v>
      </c>
      <c r="AI30" s="108">
        <f t="shared" si="21"/>
        <v>-9651.8185416666638</v>
      </c>
      <c r="AJ30" s="108">
        <f t="shared" si="21"/>
        <v>-9651.8185416666638</v>
      </c>
      <c r="AK30" s="108">
        <f t="shared" si="21"/>
        <v>-9651.8185416666638</v>
      </c>
      <c r="AL30" s="108">
        <f t="shared" si="21"/>
        <v>-9651.8185416666638</v>
      </c>
      <c r="AM30" s="108">
        <f t="shared" si="21"/>
        <v>-9651.8185416666638</v>
      </c>
      <c r="AN30" s="108">
        <f t="shared" si="21"/>
        <v>-9651.8185416666638</v>
      </c>
      <c r="AO30" s="110">
        <f t="shared" si="21"/>
        <v>-9651.8185416666638</v>
      </c>
      <c r="AP30" s="109">
        <f t="shared" si="21"/>
        <v>-10259.883109791663</v>
      </c>
      <c r="AQ30" s="108">
        <f t="shared" si="21"/>
        <v>-10259.883109791663</v>
      </c>
      <c r="AR30" s="108">
        <f t="shared" si="21"/>
        <v>-10259.883109791663</v>
      </c>
      <c r="AS30" s="108">
        <f t="shared" si="21"/>
        <v>-10259.883109791663</v>
      </c>
      <c r="AT30" s="108">
        <f t="shared" si="21"/>
        <v>-10259.883109791663</v>
      </c>
      <c r="AU30" s="108">
        <f t="shared" si="21"/>
        <v>-10259.883109791663</v>
      </c>
      <c r="AV30" s="108">
        <f t="shared" si="21"/>
        <v>-10259.883109791663</v>
      </c>
      <c r="AW30" s="108">
        <f t="shared" si="21"/>
        <v>-10259.883109791663</v>
      </c>
      <c r="AX30" s="108">
        <f t="shared" si="21"/>
        <v>-10259.883109791663</v>
      </c>
      <c r="AY30" s="108">
        <f t="shared" si="21"/>
        <v>-10259.883109791663</v>
      </c>
      <c r="AZ30" s="108">
        <f t="shared" si="21"/>
        <v>-10259.883109791663</v>
      </c>
      <c r="BA30" s="110">
        <f t="shared" si="21"/>
        <v>-10259.883109791663</v>
      </c>
      <c r="BB30" s="109">
        <f t="shared" si="21"/>
        <v>-10906.255745708537</v>
      </c>
      <c r="BC30" s="108">
        <f t="shared" si="21"/>
        <v>-10906.255745708537</v>
      </c>
      <c r="BD30" s="108">
        <f t="shared" si="21"/>
        <v>-10906.255745708537</v>
      </c>
      <c r="BE30" s="108">
        <f t="shared" si="21"/>
        <v>-10906.255745708537</v>
      </c>
      <c r="BF30" s="108">
        <f t="shared" si="21"/>
        <v>-10906.255745708537</v>
      </c>
      <c r="BG30" s="108">
        <f t="shared" si="21"/>
        <v>-10906.255745708537</v>
      </c>
      <c r="BH30" s="108">
        <f t="shared" si="21"/>
        <v>-10906.255745708537</v>
      </c>
      <c r="BI30" s="108">
        <f t="shared" si="21"/>
        <v>-10906.255745708537</v>
      </c>
      <c r="BJ30" s="108">
        <f t="shared" si="21"/>
        <v>-10906.255745708537</v>
      </c>
      <c r="BK30" s="108">
        <f t="shared" si="21"/>
        <v>-10906.255745708537</v>
      </c>
      <c r="BL30" s="108">
        <f t="shared" si="21"/>
        <v>-10906.255745708537</v>
      </c>
      <c r="BM30" s="110">
        <f t="shared" si="21"/>
        <v>-10906.255745708537</v>
      </c>
      <c r="BN30" s="109">
        <f t="shared" si="21"/>
        <v>-11593.349857688174</v>
      </c>
      <c r="BO30" s="108">
        <f t="shared" si="21"/>
        <v>-11593.349857688174</v>
      </c>
      <c r="BP30" s="108">
        <f t="shared" si="21"/>
        <v>-11593.349857688174</v>
      </c>
      <c r="BQ30" s="108">
        <f t="shared" si="21"/>
        <v>-11593.349857688174</v>
      </c>
      <c r="BR30" s="108">
        <f t="shared" si="21"/>
        <v>-11593.349857688174</v>
      </c>
      <c r="BS30" s="108">
        <f t="shared" si="21"/>
        <v>-11593.349857688174</v>
      </c>
      <c r="BT30" s="108">
        <f t="shared" si="21"/>
        <v>-11593.349857688174</v>
      </c>
      <c r="BU30" s="108">
        <f t="shared" si="21"/>
        <v>-11593.349857688174</v>
      </c>
      <c r="BV30" s="108">
        <f t="shared" si="21"/>
        <v>-11593.349857688174</v>
      </c>
      <c r="BW30" s="108">
        <f t="shared" si="21"/>
        <v>-11593.349857688174</v>
      </c>
      <c r="BX30" s="108">
        <f t="shared" si="21"/>
        <v>-11593.349857688174</v>
      </c>
      <c r="BY30" s="110">
        <f t="shared" si="21"/>
        <v>-11593.349857688174</v>
      </c>
      <c r="BZ30" s="109">
        <f t="shared" si="21"/>
        <v>-12323.73089872253</v>
      </c>
      <c r="CA30" s="108">
        <f t="shared" si="21"/>
        <v>-12323.73089872253</v>
      </c>
      <c r="CB30" s="108">
        <f t="shared" si="21"/>
        <v>-12323.73089872253</v>
      </c>
      <c r="CC30" s="108">
        <f t="shared" si="21"/>
        <v>-12323.73089872253</v>
      </c>
      <c r="CD30" s="108">
        <f t="shared" si="21"/>
        <v>-12323.73089872253</v>
      </c>
      <c r="CE30" s="108">
        <f t="shared" ref="CE30:DU32" si="23">$E30*$D30*CE$6</f>
        <v>-12323.73089872253</v>
      </c>
      <c r="CF30" s="108">
        <f t="shared" si="23"/>
        <v>-12323.73089872253</v>
      </c>
      <c r="CG30" s="108">
        <f t="shared" si="23"/>
        <v>-12323.73089872253</v>
      </c>
      <c r="CH30" s="108">
        <f t="shared" si="23"/>
        <v>-12323.73089872253</v>
      </c>
      <c r="CI30" s="108">
        <f t="shared" si="23"/>
        <v>-12323.73089872253</v>
      </c>
      <c r="CJ30" s="108">
        <f t="shared" si="23"/>
        <v>-12323.73089872253</v>
      </c>
      <c r="CK30" s="110">
        <f t="shared" si="23"/>
        <v>-12323.73089872253</v>
      </c>
      <c r="CL30" s="109">
        <f t="shared" si="23"/>
        <v>-13100.125945342048</v>
      </c>
      <c r="CM30" s="108">
        <f t="shared" si="23"/>
        <v>-13100.125945342048</v>
      </c>
      <c r="CN30" s="108">
        <f t="shared" si="23"/>
        <v>-13100.125945342048</v>
      </c>
      <c r="CO30" s="108">
        <f t="shared" si="23"/>
        <v>-13100.125945342048</v>
      </c>
      <c r="CP30" s="108">
        <f t="shared" si="23"/>
        <v>-13100.125945342048</v>
      </c>
      <c r="CQ30" s="108">
        <f t="shared" si="23"/>
        <v>-13100.125945342048</v>
      </c>
      <c r="CR30" s="108">
        <f t="shared" si="23"/>
        <v>-13100.125945342048</v>
      </c>
      <c r="CS30" s="108">
        <f t="shared" si="23"/>
        <v>-13100.125945342048</v>
      </c>
      <c r="CT30" s="108">
        <f t="shared" si="23"/>
        <v>-13100.125945342048</v>
      </c>
      <c r="CU30" s="108">
        <f t="shared" si="23"/>
        <v>-13100.125945342048</v>
      </c>
      <c r="CV30" s="108">
        <f t="shared" si="23"/>
        <v>-13100.125945342048</v>
      </c>
      <c r="CW30" s="110">
        <f t="shared" si="23"/>
        <v>-13100.125945342048</v>
      </c>
      <c r="CX30" s="109">
        <f t="shared" si="23"/>
        <v>-13925.433879898595</v>
      </c>
      <c r="CY30" s="108">
        <f t="shared" si="23"/>
        <v>-13925.433879898595</v>
      </c>
      <c r="CZ30" s="108">
        <f t="shared" si="23"/>
        <v>-13925.433879898595</v>
      </c>
      <c r="DA30" s="108">
        <f t="shared" si="23"/>
        <v>-13925.433879898595</v>
      </c>
      <c r="DB30" s="108">
        <f t="shared" si="23"/>
        <v>-13925.433879898595</v>
      </c>
      <c r="DC30" s="108">
        <f t="shared" si="23"/>
        <v>-13925.433879898595</v>
      </c>
      <c r="DD30" s="108">
        <f t="shared" si="23"/>
        <v>-13925.433879898595</v>
      </c>
      <c r="DE30" s="108">
        <f t="shared" si="23"/>
        <v>-13925.433879898595</v>
      </c>
      <c r="DF30" s="108">
        <f t="shared" si="23"/>
        <v>-13925.433879898595</v>
      </c>
      <c r="DG30" s="108">
        <f t="shared" si="23"/>
        <v>-13925.433879898595</v>
      </c>
      <c r="DH30" s="108">
        <f t="shared" si="23"/>
        <v>-13925.433879898595</v>
      </c>
      <c r="DI30" s="110">
        <f t="shared" si="23"/>
        <v>-13925.433879898595</v>
      </c>
      <c r="DJ30" s="109">
        <f t="shared" si="23"/>
        <v>-14802.736214332208</v>
      </c>
      <c r="DK30" s="108">
        <f t="shared" si="23"/>
        <v>-14802.736214332208</v>
      </c>
      <c r="DL30" s="108">
        <f t="shared" si="23"/>
        <v>-14802.736214332208</v>
      </c>
      <c r="DM30" s="108">
        <f t="shared" si="23"/>
        <v>-14802.736214332208</v>
      </c>
      <c r="DN30" s="108">
        <f t="shared" si="23"/>
        <v>-14802.736214332208</v>
      </c>
      <c r="DO30" s="108">
        <f t="shared" si="23"/>
        <v>-14802.736214332208</v>
      </c>
      <c r="DP30" s="108">
        <f t="shared" si="23"/>
        <v>-14802.736214332208</v>
      </c>
      <c r="DQ30" s="108">
        <f t="shared" si="23"/>
        <v>-14802.736214332208</v>
      </c>
      <c r="DR30" s="108">
        <f t="shared" si="23"/>
        <v>-14802.736214332208</v>
      </c>
      <c r="DS30" s="108">
        <f t="shared" si="23"/>
        <v>-14802.736214332208</v>
      </c>
      <c r="DT30" s="108">
        <f t="shared" si="23"/>
        <v>-14802.736214332208</v>
      </c>
      <c r="DU30" s="110">
        <f t="shared" si="23"/>
        <v>-14802.736214332208</v>
      </c>
    </row>
    <row r="31" spans="1:125" s="2" customFormat="1" ht="18.75" customHeight="1" x14ac:dyDescent="0.3">
      <c r="A31" s="245"/>
      <c r="B31" s="273" t="s">
        <v>213</v>
      </c>
      <c r="C31" s="273" t="s">
        <v>217</v>
      </c>
      <c r="D31" s="273">
        <f>_xlfn.CEILING.MATH(D32/7,1)</f>
        <v>3</v>
      </c>
      <c r="E31" s="10">
        <f>-VLOOKUP(C31,$C$51:$W$59,8,FALSE)</f>
        <v>-4750</v>
      </c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86"/>
      <c r="R31" s="344"/>
      <c r="S31" s="108">
        <f t="shared" ref="S31:W32" si="24">$E31*$D31*S$6/3</f>
        <v>-5049.25</v>
      </c>
      <c r="T31" s="108">
        <f t="shared" si="24"/>
        <v>-5049.25</v>
      </c>
      <c r="U31" s="108">
        <f t="shared" si="24"/>
        <v>-5049.25</v>
      </c>
      <c r="V31" s="108">
        <f t="shared" si="24"/>
        <v>-5049.25</v>
      </c>
      <c r="W31" s="108">
        <f t="shared" si="24"/>
        <v>-5049.25</v>
      </c>
      <c r="X31" s="108">
        <f t="shared" si="21"/>
        <v>-15147.75</v>
      </c>
      <c r="Y31" s="108">
        <f t="shared" si="21"/>
        <v>-15147.75</v>
      </c>
      <c r="Z31" s="108">
        <f t="shared" si="21"/>
        <v>-15147.75</v>
      </c>
      <c r="AA31" s="108">
        <f t="shared" si="21"/>
        <v>-15147.75</v>
      </c>
      <c r="AB31" s="108">
        <f t="shared" si="21"/>
        <v>-15147.75</v>
      </c>
      <c r="AC31" s="110">
        <f t="shared" si="21"/>
        <v>-15147.75</v>
      </c>
      <c r="AD31" s="109">
        <f t="shared" si="21"/>
        <v>-16102.058249999996</v>
      </c>
      <c r="AE31" s="108">
        <f t="shared" si="21"/>
        <v>-16102.058249999996</v>
      </c>
      <c r="AF31" s="108">
        <f t="shared" si="21"/>
        <v>-16102.058249999996</v>
      </c>
      <c r="AG31" s="108">
        <f t="shared" si="21"/>
        <v>-16102.058249999996</v>
      </c>
      <c r="AH31" s="108">
        <f t="shared" si="21"/>
        <v>-16102.058249999996</v>
      </c>
      <c r="AI31" s="108">
        <f t="shared" si="21"/>
        <v>-16102.058249999996</v>
      </c>
      <c r="AJ31" s="108">
        <f t="shared" si="21"/>
        <v>-16102.058249999996</v>
      </c>
      <c r="AK31" s="108">
        <f t="shared" si="21"/>
        <v>-16102.058249999996</v>
      </c>
      <c r="AL31" s="108">
        <f t="shared" si="21"/>
        <v>-16102.058249999996</v>
      </c>
      <c r="AM31" s="108">
        <f t="shared" si="21"/>
        <v>-16102.058249999996</v>
      </c>
      <c r="AN31" s="108">
        <f t="shared" si="21"/>
        <v>-16102.058249999996</v>
      </c>
      <c r="AO31" s="110">
        <f t="shared" si="21"/>
        <v>-16102.058249999996</v>
      </c>
      <c r="AP31" s="109">
        <f t="shared" si="21"/>
        <v>-17116.487919749994</v>
      </c>
      <c r="AQ31" s="108">
        <f t="shared" si="21"/>
        <v>-17116.487919749994</v>
      </c>
      <c r="AR31" s="108">
        <f t="shared" si="21"/>
        <v>-17116.487919749994</v>
      </c>
      <c r="AS31" s="108">
        <f t="shared" si="21"/>
        <v>-17116.487919749994</v>
      </c>
      <c r="AT31" s="108">
        <f t="shared" si="21"/>
        <v>-17116.487919749994</v>
      </c>
      <c r="AU31" s="108">
        <f t="shared" si="21"/>
        <v>-17116.487919749994</v>
      </c>
      <c r="AV31" s="108">
        <f t="shared" si="21"/>
        <v>-17116.487919749994</v>
      </c>
      <c r="AW31" s="108">
        <f t="shared" si="21"/>
        <v>-17116.487919749994</v>
      </c>
      <c r="AX31" s="108">
        <f t="shared" si="21"/>
        <v>-17116.487919749994</v>
      </c>
      <c r="AY31" s="108">
        <f t="shared" si="21"/>
        <v>-17116.487919749994</v>
      </c>
      <c r="AZ31" s="108">
        <f t="shared" si="21"/>
        <v>-17116.487919749994</v>
      </c>
      <c r="BA31" s="110">
        <f t="shared" si="21"/>
        <v>-17116.487919749994</v>
      </c>
      <c r="BB31" s="109">
        <f t="shared" si="21"/>
        <v>-18194.826658694245</v>
      </c>
      <c r="BC31" s="108">
        <f t="shared" si="21"/>
        <v>-18194.826658694245</v>
      </c>
      <c r="BD31" s="108">
        <f t="shared" si="21"/>
        <v>-18194.826658694245</v>
      </c>
      <c r="BE31" s="108">
        <f t="shared" si="21"/>
        <v>-18194.826658694245</v>
      </c>
      <c r="BF31" s="108">
        <f t="shared" si="21"/>
        <v>-18194.826658694245</v>
      </c>
      <c r="BG31" s="108">
        <f t="shared" si="21"/>
        <v>-18194.826658694245</v>
      </c>
      <c r="BH31" s="108">
        <f t="shared" si="21"/>
        <v>-18194.826658694245</v>
      </c>
      <c r="BI31" s="108">
        <f t="shared" si="21"/>
        <v>-18194.826658694245</v>
      </c>
      <c r="BJ31" s="108">
        <f t="shared" si="21"/>
        <v>-18194.826658694245</v>
      </c>
      <c r="BK31" s="108">
        <f t="shared" si="21"/>
        <v>-18194.826658694245</v>
      </c>
      <c r="BL31" s="108">
        <f t="shared" si="21"/>
        <v>-18194.826658694245</v>
      </c>
      <c r="BM31" s="110">
        <f t="shared" si="21"/>
        <v>-18194.826658694245</v>
      </c>
      <c r="BN31" s="109">
        <f t="shared" si="21"/>
        <v>-19341.100738191981</v>
      </c>
      <c r="BO31" s="108">
        <f t="shared" si="21"/>
        <v>-19341.100738191981</v>
      </c>
      <c r="BP31" s="108">
        <f t="shared" si="21"/>
        <v>-19341.100738191981</v>
      </c>
      <c r="BQ31" s="108">
        <f t="shared" si="21"/>
        <v>-19341.100738191981</v>
      </c>
      <c r="BR31" s="108">
        <f t="shared" si="21"/>
        <v>-19341.100738191981</v>
      </c>
      <c r="BS31" s="108">
        <f t="shared" si="21"/>
        <v>-19341.100738191981</v>
      </c>
      <c r="BT31" s="108">
        <f t="shared" si="21"/>
        <v>-19341.100738191981</v>
      </c>
      <c r="BU31" s="108">
        <f t="shared" si="21"/>
        <v>-19341.100738191981</v>
      </c>
      <c r="BV31" s="108">
        <f t="shared" si="21"/>
        <v>-19341.100738191981</v>
      </c>
      <c r="BW31" s="108">
        <f t="shared" si="21"/>
        <v>-19341.100738191981</v>
      </c>
      <c r="BX31" s="108">
        <f t="shared" si="21"/>
        <v>-19341.100738191981</v>
      </c>
      <c r="BY31" s="110">
        <f t="shared" si="21"/>
        <v>-19341.100738191981</v>
      </c>
      <c r="BZ31" s="109">
        <f t="shared" si="21"/>
        <v>-20559.590084698073</v>
      </c>
      <c r="CA31" s="108">
        <f t="shared" si="21"/>
        <v>-20559.590084698073</v>
      </c>
      <c r="CB31" s="108">
        <f t="shared" si="21"/>
        <v>-20559.590084698073</v>
      </c>
      <c r="CC31" s="108">
        <f t="shared" si="21"/>
        <v>-20559.590084698073</v>
      </c>
      <c r="CD31" s="108">
        <f t="shared" si="21"/>
        <v>-20559.590084698073</v>
      </c>
      <c r="CE31" s="108">
        <f t="shared" si="23"/>
        <v>-20559.590084698073</v>
      </c>
      <c r="CF31" s="108">
        <f t="shared" si="23"/>
        <v>-20559.590084698073</v>
      </c>
      <c r="CG31" s="108">
        <f t="shared" si="23"/>
        <v>-20559.590084698073</v>
      </c>
      <c r="CH31" s="108">
        <f t="shared" si="23"/>
        <v>-20559.590084698073</v>
      </c>
      <c r="CI31" s="108">
        <f t="shared" si="23"/>
        <v>-20559.590084698073</v>
      </c>
      <c r="CJ31" s="108">
        <f t="shared" si="23"/>
        <v>-20559.590084698073</v>
      </c>
      <c r="CK31" s="110">
        <f t="shared" si="23"/>
        <v>-20559.590084698073</v>
      </c>
      <c r="CL31" s="109">
        <f t="shared" si="23"/>
        <v>-21854.844260034053</v>
      </c>
      <c r="CM31" s="108">
        <f t="shared" si="23"/>
        <v>-21854.844260034053</v>
      </c>
      <c r="CN31" s="108">
        <f t="shared" si="23"/>
        <v>-21854.844260034053</v>
      </c>
      <c r="CO31" s="108">
        <f t="shared" si="23"/>
        <v>-21854.844260034053</v>
      </c>
      <c r="CP31" s="108">
        <f t="shared" si="23"/>
        <v>-21854.844260034053</v>
      </c>
      <c r="CQ31" s="108">
        <f t="shared" si="23"/>
        <v>-21854.844260034053</v>
      </c>
      <c r="CR31" s="108">
        <f t="shared" si="23"/>
        <v>-21854.844260034053</v>
      </c>
      <c r="CS31" s="108">
        <f t="shared" si="23"/>
        <v>-21854.844260034053</v>
      </c>
      <c r="CT31" s="108">
        <f t="shared" si="23"/>
        <v>-21854.844260034053</v>
      </c>
      <c r="CU31" s="108">
        <f t="shared" si="23"/>
        <v>-21854.844260034053</v>
      </c>
      <c r="CV31" s="108">
        <f t="shared" si="23"/>
        <v>-21854.844260034053</v>
      </c>
      <c r="CW31" s="110">
        <f t="shared" si="23"/>
        <v>-21854.844260034053</v>
      </c>
      <c r="CX31" s="109">
        <f t="shared" si="23"/>
        <v>-23231.699448416195</v>
      </c>
      <c r="CY31" s="108">
        <f t="shared" si="23"/>
        <v>-23231.699448416195</v>
      </c>
      <c r="CZ31" s="108">
        <f t="shared" si="23"/>
        <v>-23231.699448416195</v>
      </c>
      <c r="DA31" s="108">
        <f t="shared" si="23"/>
        <v>-23231.699448416195</v>
      </c>
      <c r="DB31" s="108">
        <f t="shared" si="23"/>
        <v>-23231.699448416195</v>
      </c>
      <c r="DC31" s="108">
        <f t="shared" si="23"/>
        <v>-23231.699448416195</v>
      </c>
      <c r="DD31" s="108">
        <f t="shared" si="23"/>
        <v>-23231.699448416195</v>
      </c>
      <c r="DE31" s="108">
        <f t="shared" si="23"/>
        <v>-23231.699448416195</v>
      </c>
      <c r="DF31" s="108">
        <f t="shared" si="23"/>
        <v>-23231.699448416195</v>
      </c>
      <c r="DG31" s="108">
        <f t="shared" si="23"/>
        <v>-23231.699448416195</v>
      </c>
      <c r="DH31" s="108">
        <f t="shared" si="23"/>
        <v>-23231.699448416195</v>
      </c>
      <c r="DI31" s="110">
        <f t="shared" si="23"/>
        <v>-23231.699448416195</v>
      </c>
      <c r="DJ31" s="109">
        <f t="shared" si="23"/>
        <v>-24695.296513666417</v>
      </c>
      <c r="DK31" s="108">
        <f t="shared" si="23"/>
        <v>-24695.296513666417</v>
      </c>
      <c r="DL31" s="108">
        <f t="shared" si="23"/>
        <v>-24695.296513666417</v>
      </c>
      <c r="DM31" s="108">
        <f t="shared" si="23"/>
        <v>-24695.296513666417</v>
      </c>
      <c r="DN31" s="108">
        <f t="shared" si="23"/>
        <v>-24695.296513666417</v>
      </c>
      <c r="DO31" s="108">
        <f t="shared" si="23"/>
        <v>-24695.296513666417</v>
      </c>
      <c r="DP31" s="108">
        <f t="shared" si="23"/>
        <v>-24695.296513666417</v>
      </c>
      <c r="DQ31" s="108">
        <f t="shared" si="23"/>
        <v>-24695.296513666417</v>
      </c>
      <c r="DR31" s="108">
        <f t="shared" si="23"/>
        <v>-24695.296513666417</v>
      </c>
      <c r="DS31" s="108">
        <f t="shared" si="23"/>
        <v>-24695.296513666417</v>
      </c>
      <c r="DT31" s="108">
        <f t="shared" si="23"/>
        <v>-24695.296513666417</v>
      </c>
      <c r="DU31" s="110">
        <f t="shared" si="23"/>
        <v>-24695.296513666417</v>
      </c>
    </row>
    <row r="32" spans="1:125" s="2" customFormat="1" ht="18.75" customHeight="1" x14ac:dyDescent="0.25">
      <c r="A32" s="246"/>
      <c r="B32" s="273" t="s">
        <v>214</v>
      </c>
      <c r="C32" s="273" t="s">
        <v>216</v>
      </c>
      <c r="D32" s="273">
        <f>1*SUM('6. Aquaculture systems - Hatch'!D30+'6. Aquaculture systems - Hatch'!D20)</f>
        <v>21</v>
      </c>
      <c r="E32" s="10">
        <f>-VLOOKUP(C32,$C$51:$W$59,8,FALSE)</f>
        <v>-4208.333333333333</v>
      </c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86"/>
      <c r="R32" s="344"/>
      <c r="S32" s="108">
        <f t="shared" si="24"/>
        <v>-31314.208333333332</v>
      </c>
      <c r="T32" s="108">
        <f t="shared" si="24"/>
        <v>-31314.208333333332</v>
      </c>
      <c r="U32" s="108">
        <f t="shared" si="24"/>
        <v>-31314.208333333332</v>
      </c>
      <c r="V32" s="108">
        <f t="shared" si="24"/>
        <v>-31314.208333333332</v>
      </c>
      <c r="W32" s="108">
        <f t="shared" si="24"/>
        <v>-31314.208333333332</v>
      </c>
      <c r="X32" s="108">
        <f t="shared" si="21"/>
        <v>-93942.625</v>
      </c>
      <c r="Y32" s="108">
        <f t="shared" si="21"/>
        <v>-93942.625</v>
      </c>
      <c r="Z32" s="108">
        <f t="shared" si="21"/>
        <v>-93942.625</v>
      </c>
      <c r="AA32" s="108">
        <f t="shared" si="21"/>
        <v>-93942.625</v>
      </c>
      <c r="AB32" s="108">
        <f t="shared" si="21"/>
        <v>-93942.625</v>
      </c>
      <c r="AC32" s="110">
        <f t="shared" si="21"/>
        <v>-93942.625</v>
      </c>
      <c r="AD32" s="109">
        <f t="shared" si="21"/>
        <v>-99861.010374999983</v>
      </c>
      <c r="AE32" s="108">
        <f t="shared" si="21"/>
        <v>-99861.010374999983</v>
      </c>
      <c r="AF32" s="108">
        <f t="shared" si="21"/>
        <v>-99861.010374999983</v>
      </c>
      <c r="AG32" s="108">
        <f t="shared" si="21"/>
        <v>-99861.010374999983</v>
      </c>
      <c r="AH32" s="108">
        <f t="shared" si="21"/>
        <v>-99861.010374999983</v>
      </c>
      <c r="AI32" s="108">
        <f t="shared" si="21"/>
        <v>-99861.010374999983</v>
      </c>
      <c r="AJ32" s="108">
        <f t="shared" si="21"/>
        <v>-99861.010374999983</v>
      </c>
      <c r="AK32" s="108">
        <f t="shared" si="21"/>
        <v>-99861.010374999983</v>
      </c>
      <c r="AL32" s="108">
        <f t="shared" si="21"/>
        <v>-99861.010374999983</v>
      </c>
      <c r="AM32" s="108">
        <f t="shared" si="21"/>
        <v>-99861.010374999983</v>
      </c>
      <c r="AN32" s="108">
        <f t="shared" si="21"/>
        <v>-99861.010374999983</v>
      </c>
      <c r="AO32" s="110">
        <f t="shared" si="21"/>
        <v>-99861.010374999983</v>
      </c>
      <c r="AP32" s="109">
        <f t="shared" si="21"/>
        <v>-106152.25402862497</v>
      </c>
      <c r="AQ32" s="108">
        <f t="shared" si="21"/>
        <v>-106152.25402862497</v>
      </c>
      <c r="AR32" s="108">
        <f t="shared" si="21"/>
        <v>-106152.25402862497</v>
      </c>
      <c r="AS32" s="108">
        <f t="shared" si="21"/>
        <v>-106152.25402862497</v>
      </c>
      <c r="AT32" s="108">
        <f t="shared" si="21"/>
        <v>-106152.25402862497</v>
      </c>
      <c r="AU32" s="108">
        <f t="shared" si="21"/>
        <v>-106152.25402862497</v>
      </c>
      <c r="AV32" s="108">
        <f t="shared" si="21"/>
        <v>-106152.25402862497</v>
      </c>
      <c r="AW32" s="108">
        <f t="shared" si="21"/>
        <v>-106152.25402862497</v>
      </c>
      <c r="AX32" s="108">
        <f t="shared" si="21"/>
        <v>-106152.25402862497</v>
      </c>
      <c r="AY32" s="108">
        <f t="shared" si="21"/>
        <v>-106152.25402862497</v>
      </c>
      <c r="AZ32" s="108">
        <f t="shared" si="21"/>
        <v>-106152.25402862497</v>
      </c>
      <c r="BA32" s="110">
        <f t="shared" si="21"/>
        <v>-106152.25402862497</v>
      </c>
      <c r="BB32" s="109">
        <f t="shared" si="21"/>
        <v>-112839.84603242834</v>
      </c>
      <c r="BC32" s="108">
        <f t="shared" si="21"/>
        <v>-112839.84603242834</v>
      </c>
      <c r="BD32" s="108">
        <f t="shared" si="21"/>
        <v>-112839.84603242834</v>
      </c>
      <c r="BE32" s="108">
        <f t="shared" si="21"/>
        <v>-112839.84603242834</v>
      </c>
      <c r="BF32" s="108">
        <f t="shared" si="21"/>
        <v>-112839.84603242834</v>
      </c>
      <c r="BG32" s="108">
        <f t="shared" si="21"/>
        <v>-112839.84603242834</v>
      </c>
      <c r="BH32" s="108">
        <f t="shared" si="21"/>
        <v>-112839.84603242834</v>
      </c>
      <c r="BI32" s="108">
        <f t="shared" si="21"/>
        <v>-112839.84603242834</v>
      </c>
      <c r="BJ32" s="108">
        <f t="shared" si="21"/>
        <v>-112839.84603242834</v>
      </c>
      <c r="BK32" s="108">
        <f t="shared" si="21"/>
        <v>-112839.84603242834</v>
      </c>
      <c r="BL32" s="108">
        <f t="shared" si="21"/>
        <v>-112839.84603242834</v>
      </c>
      <c r="BM32" s="110">
        <f t="shared" si="21"/>
        <v>-112839.84603242834</v>
      </c>
      <c r="BN32" s="109">
        <f t="shared" si="21"/>
        <v>-119948.75633247131</v>
      </c>
      <c r="BO32" s="108">
        <f t="shared" si="21"/>
        <v>-119948.75633247131</v>
      </c>
      <c r="BP32" s="108">
        <f t="shared" si="21"/>
        <v>-119948.75633247131</v>
      </c>
      <c r="BQ32" s="108">
        <f t="shared" si="21"/>
        <v>-119948.75633247131</v>
      </c>
      <c r="BR32" s="108">
        <f t="shared" si="21"/>
        <v>-119948.75633247131</v>
      </c>
      <c r="BS32" s="108">
        <f t="shared" si="21"/>
        <v>-119948.75633247131</v>
      </c>
      <c r="BT32" s="108">
        <f t="shared" si="21"/>
        <v>-119948.75633247131</v>
      </c>
      <c r="BU32" s="108">
        <f t="shared" si="21"/>
        <v>-119948.75633247131</v>
      </c>
      <c r="BV32" s="108">
        <f t="shared" si="21"/>
        <v>-119948.75633247131</v>
      </c>
      <c r="BW32" s="108">
        <f t="shared" si="21"/>
        <v>-119948.75633247131</v>
      </c>
      <c r="BX32" s="108">
        <f t="shared" si="21"/>
        <v>-119948.75633247131</v>
      </c>
      <c r="BY32" s="110">
        <f t="shared" si="21"/>
        <v>-119948.75633247131</v>
      </c>
      <c r="BZ32" s="109">
        <f t="shared" si="21"/>
        <v>-127505.52798141701</v>
      </c>
      <c r="CA32" s="108">
        <f t="shared" si="21"/>
        <v>-127505.52798141701</v>
      </c>
      <c r="CB32" s="108">
        <f t="shared" si="21"/>
        <v>-127505.52798141701</v>
      </c>
      <c r="CC32" s="108">
        <f t="shared" si="21"/>
        <v>-127505.52798141701</v>
      </c>
      <c r="CD32" s="108">
        <f t="shared" si="21"/>
        <v>-127505.52798141701</v>
      </c>
      <c r="CE32" s="108">
        <f t="shared" si="23"/>
        <v>-127505.52798141701</v>
      </c>
      <c r="CF32" s="108">
        <f t="shared" si="23"/>
        <v>-127505.52798141701</v>
      </c>
      <c r="CG32" s="108">
        <f t="shared" si="23"/>
        <v>-127505.52798141701</v>
      </c>
      <c r="CH32" s="108">
        <f t="shared" si="23"/>
        <v>-127505.52798141701</v>
      </c>
      <c r="CI32" s="108">
        <f t="shared" si="23"/>
        <v>-127505.52798141701</v>
      </c>
      <c r="CJ32" s="108">
        <f t="shared" si="23"/>
        <v>-127505.52798141701</v>
      </c>
      <c r="CK32" s="110">
        <f t="shared" si="23"/>
        <v>-127505.52798141701</v>
      </c>
      <c r="CL32" s="109">
        <f t="shared" si="23"/>
        <v>-135538.37624424626</v>
      </c>
      <c r="CM32" s="108">
        <f t="shared" si="23"/>
        <v>-135538.37624424626</v>
      </c>
      <c r="CN32" s="108">
        <f t="shared" si="23"/>
        <v>-135538.37624424626</v>
      </c>
      <c r="CO32" s="108">
        <f t="shared" si="23"/>
        <v>-135538.37624424626</v>
      </c>
      <c r="CP32" s="108">
        <f t="shared" si="23"/>
        <v>-135538.37624424626</v>
      </c>
      <c r="CQ32" s="108">
        <f t="shared" si="23"/>
        <v>-135538.37624424626</v>
      </c>
      <c r="CR32" s="108">
        <f t="shared" si="23"/>
        <v>-135538.37624424626</v>
      </c>
      <c r="CS32" s="108">
        <f t="shared" si="23"/>
        <v>-135538.37624424626</v>
      </c>
      <c r="CT32" s="108">
        <f t="shared" si="23"/>
        <v>-135538.37624424626</v>
      </c>
      <c r="CU32" s="108">
        <f t="shared" si="23"/>
        <v>-135538.37624424626</v>
      </c>
      <c r="CV32" s="108">
        <f t="shared" si="23"/>
        <v>-135538.37624424626</v>
      </c>
      <c r="CW32" s="110">
        <f t="shared" si="23"/>
        <v>-135538.37624424626</v>
      </c>
      <c r="CX32" s="109">
        <f t="shared" si="23"/>
        <v>-144077.29394763379</v>
      </c>
      <c r="CY32" s="108">
        <f t="shared" si="23"/>
        <v>-144077.29394763379</v>
      </c>
      <c r="CZ32" s="108">
        <f t="shared" si="23"/>
        <v>-144077.29394763379</v>
      </c>
      <c r="DA32" s="108">
        <f t="shared" si="23"/>
        <v>-144077.29394763379</v>
      </c>
      <c r="DB32" s="108">
        <f t="shared" si="23"/>
        <v>-144077.29394763379</v>
      </c>
      <c r="DC32" s="108">
        <f t="shared" si="23"/>
        <v>-144077.29394763379</v>
      </c>
      <c r="DD32" s="108">
        <f t="shared" si="23"/>
        <v>-144077.29394763379</v>
      </c>
      <c r="DE32" s="108">
        <f t="shared" si="23"/>
        <v>-144077.29394763379</v>
      </c>
      <c r="DF32" s="108">
        <f t="shared" si="23"/>
        <v>-144077.29394763379</v>
      </c>
      <c r="DG32" s="108">
        <f t="shared" si="23"/>
        <v>-144077.29394763379</v>
      </c>
      <c r="DH32" s="108">
        <f t="shared" si="23"/>
        <v>-144077.29394763379</v>
      </c>
      <c r="DI32" s="110">
        <f t="shared" si="23"/>
        <v>-144077.29394763379</v>
      </c>
      <c r="DJ32" s="109">
        <f t="shared" si="23"/>
        <v>-153154.16346633469</v>
      </c>
      <c r="DK32" s="108">
        <f t="shared" si="23"/>
        <v>-153154.16346633469</v>
      </c>
      <c r="DL32" s="108">
        <f t="shared" si="23"/>
        <v>-153154.16346633469</v>
      </c>
      <c r="DM32" s="108">
        <f t="shared" si="23"/>
        <v>-153154.16346633469</v>
      </c>
      <c r="DN32" s="108">
        <f t="shared" si="23"/>
        <v>-153154.16346633469</v>
      </c>
      <c r="DO32" s="108">
        <f t="shared" si="23"/>
        <v>-153154.16346633469</v>
      </c>
      <c r="DP32" s="108">
        <f t="shared" si="23"/>
        <v>-153154.16346633469</v>
      </c>
      <c r="DQ32" s="108">
        <f t="shared" si="23"/>
        <v>-153154.16346633469</v>
      </c>
      <c r="DR32" s="108">
        <f t="shared" si="23"/>
        <v>-153154.16346633469</v>
      </c>
      <c r="DS32" s="108">
        <f t="shared" si="23"/>
        <v>-153154.16346633469</v>
      </c>
      <c r="DT32" s="108">
        <f t="shared" si="23"/>
        <v>-153154.16346633469</v>
      </c>
      <c r="DU32" s="110">
        <f t="shared" si="23"/>
        <v>-153154.16346633469</v>
      </c>
    </row>
    <row r="33" spans="1:125" s="2" customFormat="1" ht="18.75" customHeight="1" x14ac:dyDescent="0.3">
      <c r="A33" s="245"/>
      <c r="B33" s="274" t="s">
        <v>381</v>
      </c>
      <c r="C33" s="274"/>
      <c r="D33" s="274"/>
      <c r="E33" s="10"/>
      <c r="F33" s="403"/>
      <c r="G33" s="745"/>
      <c r="H33" s="745"/>
      <c r="I33" s="745"/>
      <c r="J33" s="745"/>
      <c r="K33" s="745"/>
      <c r="L33" s="745"/>
      <c r="M33" s="745"/>
      <c r="N33" s="745"/>
      <c r="O33" s="745"/>
      <c r="P33" s="745"/>
      <c r="Q33" s="688"/>
      <c r="R33" s="344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606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606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606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606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606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606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606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606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606"/>
    </row>
    <row r="34" spans="1:125" s="2" customFormat="1" ht="18.75" customHeight="1" x14ac:dyDescent="0.25">
      <c r="A34" s="246"/>
      <c r="B34" s="273" t="s">
        <v>382</v>
      </c>
      <c r="C34" s="273" t="s">
        <v>219</v>
      </c>
      <c r="D34" s="273">
        <v>1</v>
      </c>
      <c r="E34" s="10">
        <f>-VLOOKUP(C34,$C$51:$W$59,8,FALSE)</f>
        <v>-8541.6666666666661</v>
      </c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86"/>
      <c r="R34" s="344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10"/>
      <c r="AD34" s="109"/>
      <c r="AE34" s="108">
        <f t="shared" ref="S34:CD38" si="25">$E34*$D34*AE$6</f>
        <v>-9651.8185416666638</v>
      </c>
      <c r="AF34" s="108">
        <f t="shared" si="25"/>
        <v>-9651.8185416666638</v>
      </c>
      <c r="AG34" s="108">
        <f t="shared" si="25"/>
        <v>-9651.8185416666638</v>
      </c>
      <c r="AH34" s="108">
        <f t="shared" si="25"/>
        <v>-9651.8185416666638</v>
      </c>
      <c r="AI34" s="108">
        <f t="shared" si="25"/>
        <v>-9651.8185416666638</v>
      </c>
      <c r="AJ34" s="108">
        <f t="shared" si="25"/>
        <v>-9651.8185416666638</v>
      </c>
      <c r="AK34" s="108">
        <f t="shared" si="25"/>
        <v>-9651.8185416666638</v>
      </c>
      <c r="AL34" s="108">
        <f t="shared" si="25"/>
        <v>-9651.8185416666638</v>
      </c>
      <c r="AM34" s="108">
        <f t="shared" si="25"/>
        <v>-9651.8185416666638</v>
      </c>
      <c r="AN34" s="108">
        <f t="shared" si="25"/>
        <v>-9651.8185416666638</v>
      </c>
      <c r="AO34" s="110">
        <f t="shared" si="25"/>
        <v>-9651.8185416666638</v>
      </c>
      <c r="AP34" s="109">
        <f t="shared" si="25"/>
        <v>-10259.883109791663</v>
      </c>
      <c r="AQ34" s="108">
        <f t="shared" si="25"/>
        <v>-10259.883109791663</v>
      </c>
      <c r="AR34" s="108">
        <f t="shared" si="25"/>
        <v>-10259.883109791663</v>
      </c>
      <c r="AS34" s="108">
        <f t="shared" si="25"/>
        <v>-10259.883109791663</v>
      </c>
      <c r="AT34" s="108">
        <f t="shared" si="25"/>
        <v>-10259.883109791663</v>
      </c>
      <c r="AU34" s="108">
        <f t="shared" si="25"/>
        <v>-10259.883109791663</v>
      </c>
      <c r="AV34" s="108">
        <f t="shared" si="25"/>
        <v>-10259.883109791663</v>
      </c>
      <c r="AW34" s="108">
        <f t="shared" si="25"/>
        <v>-10259.883109791663</v>
      </c>
      <c r="AX34" s="108">
        <f t="shared" si="25"/>
        <v>-10259.883109791663</v>
      </c>
      <c r="AY34" s="108">
        <f t="shared" si="25"/>
        <v>-10259.883109791663</v>
      </c>
      <c r="AZ34" s="108">
        <f t="shared" si="25"/>
        <v>-10259.883109791663</v>
      </c>
      <c r="BA34" s="110">
        <f t="shared" si="25"/>
        <v>-10259.883109791663</v>
      </c>
      <c r="BB34" s="109">
        <f t="shared" si="25"/>
        <v>-10906.255745708537</v>
      </c>
      <c r="BC34" s="108">
        <f t="shared" si="25"/>
        <v>-10906.255745708537</v>
      </c>
      <c r="BD34" s="108">
        <f t="shared" si="25"/>
        <v>-10906.255745708537</v>
      </c>
      <c r="BE34" s="108">
        <f t="shared" si="25"/>
        <v>-10906.255745708537</v>
      </c>
      <c r="BF34" s="108">
        <f t="shared" si="25"/>
        <v>-10906.255745708537</v>
      </c>
      <c r="BG34" s="108">
        <f t="shared" si="25"/>
        <v>-10906.255745708537</v>
      </c>
      <c r="BH34" s="108">
        <f t="shared" si="25"/>
        <v>-10906.255745708537</v>
      </c>
      <c r="BI34" s="108">
        <f t="shared" si="25"/>
        <v>-10906.255745708537</v>
      </c>
      <c r="BJ34" s="108">
        <f t="shared" si="25"/>
        <v>-10906.255745708537</v>
      </c>
      <c r="BK34" s="108">
        <f t="shared" si="25"/>
        <v>-10906.255745708537</v>
      </c>
      <c r="BL34" s="108">
        <f t="shared" si="25"/>
        <v>-10906.255745708537</v>
      </c>
      <c r="BM34" s="110">
        <f t="shared" si="25"/>
        <v>-10906.255745708537</v>
      </c>
      <c r="BN34" s="109">
        <f t="shared" si="25"/>
        <v>-11593.349857688174</v>
      </c>
      <c r="BO34" s="108">
        <f t="shared" si="25"/>
        <v>-11593.349857688174</v>
      </c>
      <c r="BP34" s="108">
        <f t="shared" si="25"/>
        <v>-11593.349857688174</v>
      </c>
      <c r="BQ34" s="108">
        <f t="shared" si="25"/>
        <v>-11593.349857688174</v>
      </c>
      <c r="BR34" s="108">
        <f t="shared" si="25"/>
        <v>-11593.349857688174</v>
      </c>
      <c r="BS34" s="108">
        <f t="shared" si="25"/>
        <v>-11593.349857688174</v>
      </c>
      <c r="BT34" s="108">
        <f t="shared" si="25"/>
        <v>-11593.349857688174</v>
      </c>
      <c r="BU34" s="108">
        <f t="shared" si="25"/>
        <v>-11593.349857688174</v>
      </c>
      <c r="BV34" s="108">
        <f t="shared" si="25"/>
        <v>-11593.349857688174</v>
      </c>
      <c r="BW34" s="108">
        <f t="shared" si="25"/>
        <v>-11593.349857688174</v>
      </c>
      <c r="BX34" s="108">
        <f t="shared" si="25"/>
        <v>-11593.349857688174</v>
      </c>
      <c r="BY34" s="110">
        <f t="shared" si="25"/>
        <v>-11593.349857688174</v>
      </c>
      <c r="BZ34" s="109">
        <f t="shared" si="25"/>
        <v>-12323.73089872253</v>
      </c>
      <c r="CA34" s="108">
        <f t="shared" si="25"/>
        <v>-12323.73089872253</v>
      </c>
      <c r="CB34" s="108">
        <f t="shared" si="25"/>
        <v>-12323.73089872253</v>
      </c>
      <c r="CC34" s="108">
        <f t="shared" si="25"/>
        <v>-12323.73089872253</v>
      </c>
      <c r="CD34" s="108">
        <f t="shared" si="25"/>
        <v>-12323.73089872253</v>
      </c>
      <c r="CE34" s="108">
        <f t="shared" ref="CE34:DU39" si="26">$E34*$D34*CE$6</f>
        <v>-12323.73089872253</v>
      </c>
      <c r="CF34" s="108">
        <f t="shared" si="26"/>
        <v>-12323.73089872253</v>
      </c>
      <c r="CG34" s="108">
        <f t="shared" si="26"/>
        <v>-12323.73089872253</v>
      </c>
      <c r="CH34" s="108">
        <f t="shared" si="26"/>
        <v>-12323.73089872253</v>
      </c>
      <c r="CI34" s="108">
        <f t="shared" si="26"/>
        <v>-12323.73089872253</v>
      </c>
      <c r="CJ34" s="108">
        <f t="shared" si="26"/>
        <v>-12323.73089872253</v>
      </c>
      <c r="CK34" s="110">
        <f t="shared" si="26"/>
        <v>-12323.73089872253</v>
      </c>
      <c r="CL34" s="109">
        <f t="shared" si="26"/>
        <v>-13100.125945342048</v>
      </c>
      <c r="CM34" s="108">
        <f t="shared" si="26"/>
        <v>-13100.125945342048</v>
      </c>
      <c r="CN34" s="108">
        <f t="shared" si="26"/>
        <v>-13100.125945342048</v>
      </c>
      <c r="CO34" s="108">
        <f t="shared" si="26"/>
        <v>-13100.125945342048</v>
      </c>
      <c r="CP34" s="108">
        <f t="shared" si="26"/>
        <v>-13100.125945342048</v>
      </c>
      <c r="CQ34" s="108">
        <f t="shared" si="26"/>
        <v>-13100.125945342048</v>
      </c>
      <c r="CR34" s="108">
        <f t="shared" si="26"/>
        <v>-13100.125945342048</v>
      </c>
      <c r="CS34" s="108">
        <f t="shared" si="26"/>
        <v>-13100.125945342048</v>
      </c>
      <c r="CT34" s="108">
        <f t="shared" si="26"/>
        <v>-13100.125945342048</v>
      </c>
      <c r="CU34" s="108">
        <f t="shared" si="26"/>
        <v>-13100.125945342048</v>
      </c>
      <c r="CV34" s="108">
        <f t="shared" si="26"/>
        <v>-13100.125945342048</v>
      </c>
      <c r="CW34" s="110">
        <f t="shared" si="26"/>
        <v>-13100.125945342048</v>
      </c>
      <c r="CX34" s="109">
        <f t="shared" si="26"/>
        <v>-13925.433879898595</v>
      </c>
      <c r="CY34" s="108">
        <f t="shared" si="26"/>
        <v>-13925.433879898595</v>
      </c>
      <c r="CZ34" s="108">
        <f t="shared" si="26"/>
        <v>-13925.433879898595</v>
      </c>
      <c r="DA34" s="108">
        <f t="shared" si="26"/>
        <v>-13925.433879898595</v>
      </c>
      <c r="DB34" s="108">
        <f t="shared" si="26"/>
        <v>-13925.433879898595</v>
      </c>
      <c r="DC34" s="108">
        <f t="shared" si="26"/>
        <v>-13925.433879898595</v>
      </c>
      <c r="DD34" s="108">
        <f t="shared" si="26"/>
        <v>-13925.433879898595</v>
      </c>
      <c r="DE34" s="108">
        <f t="shared" si="26"/>
        <v>-13925.433879898595</v>
      </c>
      <c r="DF34" s="108">
        <f t="shared" si="26"/>
        <v>-13925.433879898595</v>
      </c>
      <c r="DG34" s="108">
        <f t="shared" si="26"/>
        <v>-13925.433879898595</v>
      </c>
      <c r="DH34" s="108">
        <f t="shared" si="26"/>
        <v>-13925.433879898595</v>
      </c>
      <c r="DI34" s="110">
        <f t="shared" si="26"/>
        <v>-13925.433879898595</v>
      </c>
      <c r="DJ34" s="109">
        <f t="shared" si="26"/>
        <v>-14802.736214332208</v>
      </c>
      <c r="DK34" s="108">
        <f t="shared" si="26"/>
        <v>-14802.736214332208</v>
      </c>
      <c r="DL34" s="108">
        <f t="shared" si="26"/>
        <v>-14802.736214332208</v>
      </c>
      <c r="DM34" s="108">
        <f t="shared" si="26"/>
        <v>-14802.736214332208</v>
      </c>
      <c r="DN34" s="108">
        <f t="shared" si="26"/>
        <v>-14802.736214332208</v>
      </c>
      <c r="DO34" s="108">
        <f t="shared" si="26"/>
        <v>-14802.736214332208</v>
      </c>
      <c r="DP34" s="108">
        <f t="shared" si="26"/>
        <v>-14802.736214332208</v>
      </c>
      <c r="DQ34" s="108">
        <f t="shared" si="26"/>
        <v>-14802.736214332208</v>
      </c>
      <c r="DR34" s="108">
        <f t="shared" si="26"/>
        <v>-14802.736214332208</v>
      </c>
      <c r="DS34" s="108">
        <f t="shared" si="26"/>
        <v>-14802.736214332208</v>
      </c>
      <c r="DT34" s="108">
        <f t="shared" si="26"/>
        <v>-14802.736214332208</v>
      </c>
      <c r="DU34" s="110">
        <f t="shared" si="26"/>
        <v>-14802.736214332208</v>
      </c>
    </row>
    <row r="35" spans="1:125" s="2" customFormat="1" ht="18.75" customHeight="1" x14ac:dyDescent="0.3">
      <c r="A35" s="245"/>
      <c r="B35" s="273" t="s">
        <v>241</v>
      </c>
      <c r="C35" s="273" t="s">
        <v>218</v>
      </c>
      <c r="D35" s="273">
        <v>3</v>
      </c>
      <c r="E35" s="10">
        <f>-VLOOKUP(C35,$C$51:$W$59,8,FALSE)</f>
        <v>-6375</v>
      </c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86"/>
      <c r="R35" s="344"/>
      <c r="S35" s="108">
        <f>$E35*$D35*S$6</f>
        <v>-20329.875</v>
      </c>
      <c r="T35" s="108">
        <f t="shared" si="25"/>
        <v>-20329.875</v>
      </c>
      <c r="U35" s="108">
        <f t="shared" si="25"/>
        <v>-20329.875</v>
      </c>
      <c r="V35" s="108">
        <f t="shared" si="25"/>
        <v>-20329.875</v>
      </c>
      <c r="W35" s="108">
        <f t="shared" si="25"/>
        <v>-20329.875</v>
      </c>
      <c r="X35" s="108">
        <f t="shared" si="25"/>
        <v>-20329.875</v>
      </c>
      <c r="Y35" s="108">
        <f t="shared" si="25"/>
        <v>-20329.875</v>
      </c>
      <c r="Z35" s="108">
        <f t="shared" si="25"/>
        <v>-20329.875</v>
      </c>
      <c r="AA35" s="108">
        <f t="shared" si="25"/>
        <v>-20329.875</v>
      </c>
      <c r="AB35" s="108">
        <f t="shared" si="25"/>
        <v>-20329.875</v>
      </c>
      <c r="AC35" s="110">
        <f t="shared" si="25"/>
        <v>-20329.875</v>
      </c>
      <c r="AD35" s="109">
        <f t="shared" si="25"/>
        <v>-21610.657124999994</v>
      </c>
      <c r="AE35" s="108">
        <f t="shared" si="25"/>
        <v>-21610.657124999994</v>
      </c>
      <c r="AF35" s="108">
        <f t="shared" si="25"/>
        <v>-21610.657124999994</v>
      </c>
      <c r="AG35" s="108">
        <f t="shared" si="25"/>
        <v>-21610.657124999994</v>
      </c>
      <c r="AH35" s="108">
        <f t="shared" si="25"/>
        <v>-21610.657124999994</v>
      </c>
      <c r="AI35" s="108">
        <f t="shared" si="25"/>
        <v>-21610.657124999994</v>
      </c>
      <c r="AJ35" s="108">
        <f t="shared" si="25"/>
        <v>-21610.657124999994</v>
      </c>
      <c r="AK35" s="108">
        <f t="shared" si="25"/>
        <v>-21610.657124999994</v>
      </c>
      <c r="AL35" s="108">
        <f t="shared" si="25"/>
        <v>-21610.657124999994</v>
      </c>
      <c r="AM35" s="108">
        <f t="shared" si="25"/>
        <v>-21610.657124999994</v>
      </c>
      <c r="AN35" s="108">
        <f t="shared" si="25"/>
        <v>-21610.657124999994</v>
      </c>
      <c r="AO35" s="110">
        <f t="shared" si="25"/>
        <v>-21610.657124999994</v>
      </c>
      <c r="AP35" s="109">
        <f t="shared" si="25"/>
        <v>-22972.128523874995</v>
      </c>
      <c r="AQ35" s="108">
        <f t="shared" si="25"/>
        <v>-22972.128523874995</v>
      </c>
      <c r="AR35" s="108">
        <f t="shared" si="25"/>
        <v>-22972.128523874995</v>
      </c>
      <c r="AS35" s="108">
        <f t="shared" si="25"/>
        <v>-22972.128523874995</v>
      </c>
      <c r="AT35" s="108">
        <f t="shared" si="25"/>
        <v>-22972.128523874995</v>
      </c>
      <c r="AU35" s="108">
        <f t="shared" si="25"/>
        <v>-22972.128523874995</v>
      </c>
      <c r="AV35" s="108">
        <f t="shared" si="25"/>
        <v>-22972.128523874995</v>
      </c>
      <c r="AW35" s="108">
        <f t="shared" si="25"/>
        <v>-22972.128523874995</v>
      </c>
      <c r="AX35" s="108">
        <f t="shared" si="25"/>
        <v>-22972.128523874995</v>
      </c>
      <c r="AY35" s="108">
        <f t="shared" si="25"/>
        <v>-22972.128523874995</v>
      </c>
      <c r="AZ35" s="108">
        <f t="shared" si="25"/>
        <v>-22972.128523874995</v>
      </c>
      <c r="BA35" s="110">
        <f t="shared" si="25"/>
        <v>-22972.128523874995</v>
      </c>
      <c r="BB35" s="109">
        <f t="shared" si="25"/>
        <v>-24419.372620879116</v>
      </c>
      <c r="BC35" s="108">
        <f t="shared" si="25"/>
        <v>-24419.372620879116</v>
      </c>
      <c r="BD35" s="108">
        <f t="shared" si="25"/>
        <v>-24419.372620879116</v>
      </c>
      <c r="BE35" s="108">
        <f t="shared" si="25"/>
        <v>-24419.372620879116</v>
      </c>
      <c r="BF35" s="108">
        <f t="shared" si="25"/>
        <v>-24419.372620879116</v>
      </c>
      <c r="BG35" s="108">
        <f t="shared" si="25"/>
        <v>-24419.372620879116</v>
      </c>
      <c r="BH35" s="108">
        <f t="shared" si="25"/>
        <v>-24419.372620879116</v>
      </c>
      <c r="BI35" s="108">
        <f t="shared" si="25"/>
        <v>-24419.372620879116</v>
      </c>
      <c r="BJ35" s="108">
        <f t="shared" si="25"/>
        <v>-24419.372620879116</v>
      </c>
      <c r="BK35" s="108">
        <f t="shared" si="25"/>
        <v>-24419.372620879116</v>
      </c>
      <c r="BL35" s="108">
        <f t="shared" si="25"/>
        <v>-24419.372620879116</v>
      </c>
      <c r="BM35" s="110">
        <f t="shared" si="25"/>
        <v>-24419.372620879116</v>
      </c>
      <c r="BN35" s="109">
        <f t="shared" si="25"/>
        <v>-25957.793095994501</v>
      </c>
      <c r="BO35" s="108">
        <f t="shared" si="25"/>
        <v>-25957.793095994501</v>
      </c>
      <c r="BP35" s="108">
        <f t="shared" si="25"/>
        <v>-25957.793095994501</v>
      </c>
      <c r="BQ35" s="108">
        <f t="shared" si="25"/>
        <v>-25957.793095994501</v>
      </c>
      <c r="BR35" s="108">
        <f t="shared" si="25"/>
        <v>-25957.793095994501</v>
      </c>
      <c r="BS35" s="108">
        <f t="shared" si="25"/>
        <v>-25957.793095994501</v>
      </c>
      <c r="BT35" s="108">
        <f t="shared" si="25"/>
        <v>-25957.793095994501</v>
      </c>
      <c r="BU35" s="108">
        <f t="shared" si="25"/>
        <v>-25957.793095994501</v>
      </c>
      <c r="BV35" s="108">
        <f t="shared" si="25"/>
        <v>-25957.793095994501</v>
      </c>
      <c r="BW35" s="108">
        <f t="shared" si="25"/>
        <v>-25957.793095994501</v>
      </c>
      <c r="BX35" s="108">
        <f t="shared" si="25"/>
        <v>-25957.793095994501</v>
      </c>
      <c r="BY35" s="110">
        <f t="shared" si="25"/>
        <v>-25957.793095994501</v>
      </c>
      <c r="BZ35" s="109">
        <f t="shared" si="25"/>
        <v>-27593.134061042154</v>
      </c>
      <c r="CA35" s="108">
        <f t="shared" si="25"/>
        <v>-27593.134061042154</v>
      </c>
      <c r="CB35" s="108">
        <f t="shared" si="25"/>
        <v>-27593.134061042154</v>
      </c>
      <c r="CC35" s="108">
        <f t="shared" si="25"/>
        <v>-27593.134061042154</v>
      </c>
      <c r="CD35" s="108">
        <f t="shared" si="25"/>
        <v>-27593.134061042154</v>
      </c>
      <c r="CE35" s="108">
        <f t="shared" si="26"/>
        <v>-27593.134061042154</v>
      </c>
      <c r="CF35" s="108">
        <f t="shared" si="26"/>
        <v>-27593.134061042154</v>
      </c>
      <c r="CG35" s="108">
        <f t="shared" si="26"/>
        <v>-27593.134061042154</v>
      </c>
      <c r="CH35" s="108">
        <f t="shared" si="26"/>
        <v>-27593.134061042154</v>
      </c>
      <c r="CI35" s="108">
        <f t="shared" si="26"/>
        <v>-27593.134061042154</v>
      </c>
      <c r="CJ35" s="108">
        <f t="shared" si="26"/>
        <v>-27593.134061042154</v>
      </c>
      <c r="CK35" s="110">
        <f t="shared" si="26"/>
        <v>-27593.134061042154</v>
      </c>
      <c r="CL35" s="109">
        <f t="shared" si="26"/>
        <v>-29331.501506887806</v>
      </c>
      <c r="CM35" s="108">
        <f t="shared" si="26"/>
        <v>-29331.501506887806</v>
      </c>
      <c r="CN35" s="108">
        <f t="shared" si="26"/>
        <v>-29331.501506887806</v>
      </c>
      <c r="CO35" s="108">
        <f t="shared" si="26"/>
        <v>-29331.501506887806</v>
      </c>
      <c r="CP35" s="108">
        <f t="shared" si="26"/>
        <v>-29331.501506887806</v>
      </c>
      <c r="CQ35" s="108">
        <f t="shared" si="26"/>
        <v>-29331.501506887806</v>
      </c>
      <c r="CR35" s="108">
        <f t="shared" si="26"/>
        <v>-29331.501506887806</v>
      </c>
      <c r="CS35" s="108">
        <f t="shared" si="26"/>
        <v>-29331.501506887806</v>
      </c>
      <c r="CT35" s="108">
        <f t="shared" si="26"/>
        <v>-29331.501506887806</v>
      </c>
      <c r="CU35" s="108">
        <f t="shared" si="26"/>
        <v>-29331.501506887806</v>
      </c>
      <c r="CV35" s="108">
        <f t="shared" si="26"/>
        <v>-29331.501506887806</v>
      </c>
      <c r="CW35" s="110">
        <f t="shared" si="26"/>
        <v>-29331.501506887806</v>
      </c>
      <c r="CX35" s="109">
        <f t="shared" si="26"/>
        <v>-31179.386101821736</v>
      </c>
      <c r="CY35" s="108">
        <f t="shared" si="26"/>
        <v>-31179.386101821736</v>
      </c>
      <c r="CZ35" s="108">
        <f t="shared" si="26"/>
        <v>-31179.386101821736</v>
      </c>
      <c r="DA35" s="108">
        <f t="shared" si="26"/>
        <v>-31179.386101821736</v>
      </c>
      <c r="DB35" s="108">
        <f t="shared" si="26"/>
        <v>-31179.386101821736</v>
      </c>
      <c r="DC35" s="108">
        <f t="shared" si="26"/>
        <v>-31179.386101821736</v>
      </c>
      <c r="DD35" s="108">
        <f t="shared" si="26"/>
        <v>-31179.386101821736</v>
      </c>
      <c r="DE35" s="108">
        <f t="shared" si="26"/>
        <v>-31179.386101821736</v>
      </c>
      <c r="DF35" s="108">
        <f t="shared" si="26"/>
        <v>-31179.386101821736</v>
      </c>
      <c r="DG35" s="108">
        <f t="shared" si="26"/>
        <v>-31179.386101821736</v>
      </c>
      <c r="DH35" s="108">
        <f t="shared" si="26"/>
        <v>-31179.386101821736</v>
      </c>
      <c r="DI35" s="110">
        <f t="shared" si="26"/>
        <v>-31179.386101821736</v>
      </c>
      <c r="DJ35" s="109">
        <f t="shared" si="26"/>
        <v>-33143.687426236509</v>
      </c>
      <c r="DK35" s="108">
        <f t="shared" si="26"/>
        <v>-33143.687426236509</v>
      </c>
      <c r="DL35" s="108">
        <f t="shared" si="26"/>
        <v>-33143.687426236509</v>
      </c>
      <c r="DM35" s="108">
        <f t="shared" si="26"/>
        <v>-33143.687426236509</v>
      </c>
      <c r="DN35" s="108">
        <f t="shared" si="26"/>
        <v>-33143.687426236509</v>
      </c>
      <c r="DO35" s="108">
        <f t="shared" si="26"/>
        <v>-33143.687426236509</v>
      </c>
      <c r="DP35" s="108">
        <f t="shared" si="26"/>
        <v>-33143.687426236509</v>
      </c>
      <c r="DQ35" s="108">
        <f t="shared" si="26"/>
        <v>-33143.687426236509</v>
      </c>
      <c r="DR35" s="108">
        <f t="shared" si="26"/>
        <v>-33143.687426236509</v>
      </c>
      <c r="DS35" s="108">
        <f t="shared" si="26"/>
        <v>-33143.687426236509</v>
      </c>
      <c r="DT35" s="108">
        <f t="shared" si="26"/>
        <v>-33143.687426236509</v>
      </c>
      <c r="DU35" s="110">
        <f t="shared" si="26"/>
        <v>-33143.687426236509</v>
      </c>
    </row>
    <row r="36" spans="1:125" s="2" customFormat="1" ht="18.75" customHeight="1" x14ac:dyDescent="0.25">
      <c r="A36" s="246"/>
      <c r="B36" s="273" t="s">
        <v>214</v>
      </c>
      <c r="C36" s="273" t="s">
        <v>216</v>
      </c>
      <c r="D36" s="273">
        <v>3</v>
      </c>
      <c r="E36" s="10">
        <f>-VLOOKUP(C36,$C$51:$W$59,8,FALSE)</f>
        <v>-4208.333333333333</v>
      </c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86"/>
      <c r="R36" s="344"/>
      <c r="S36" s="109">
        <f t="shared" ref="S36:AD36" si="27">$E36*$D36*S$6/3</f>
        <v>-4473.458333333333</v>
      </c>
      <c r="T36" s="109">
        <f t="shared" si="27"/>
        <v>-4473.458333333333</v>
      </c>
      <c r="U36" s="109">
        <f t="shared" si="27"/>
        <v>-4473.458333333333</v>
      </c>
      <c r="V36" s="109">
        <f t="shared" si="27"/>
        <v>-4473.458333333333</v>
      </c>
      <c r="W36" s="109">
        <f t="shared" si="27"/>
        <v>-4473.458333333333</v>
      </c>
      <c r="X36" s="109">
        <f t="shared" si="27"/>
        <v>-4473.458333333333</v>
      </c>
      <c r="Y36" s="109">
        <f t="shared" si="27"/>
        <v>-4473.458333333333</v>
      </c>
      <c r="Z36" s="109">
        <f t="shared" si="27"/>
        <v>-4473.458333333333</v>
      </c>
      <c r="AA36" s="109">
        <f t="shared" si="27"/>
        <v>-4473.458333333333</v>
      </c>
      <c r="AB36" s="109">
        <f t="shared" si="27"/>
        <v>-4473.458333333333</v>
      </c>
      <c r="AC36" s="695">
        <f t="shared" si="27"/>
        <v>-4473.458333333333</v>
      </c>
      <c r="AD36" s="109">
        <f t="shared" si="27"/>
        <v>-4755.2862083333321</v>
      </c>
      <c r="AE36" s="108">
        <f t="shared" si="25"/>
        <v>-14265.858624999997</v>
      </c>
      <c r="AF36" s="108">
        <f t="shared" si="25"/>
        <v>-14265.858624999997</v>
      </c>
      <c r="AG36" s="108">
        <f t="shared" si="25"/>
        <v>-14265.858624999997</v>
      </c>
      <c r="AH36" s="108">
        <f t="shared" si="25"/>
        <v>-14265.858624999997</v>
      </c>
      <c r="AI36" s="108">
        <f t="shared" si="25"/>
        <v>-14265.858624999997</v>
      </c>
      <c r="AJ36" s="108">
        <f t="shared" si="25"/>
        <v>-14265.858624999997</v>
      </c>
      <c r="AK36" s="108">
        <f t="shared" si="25"/>
        <v>-14265.858624999997</v>
      </c>
      <c r="AL36" s="108">
        <f t="shared" si="25"/>
        <v>-14265.858624999997</v>
      </c>
      <c r="AM36" s="108">
        <f t="shared" si="25"/>
        <v>-14265.858624999997</v>
      </c>
      <c r="AN36" s="108">
        <f t="shared" si="25"/>
        <v>-14265.858624999997</v>
      </c>
      <c r="AO36" s="110">
        <f t="shared" si="25"/>
        <v>-14265.858624999997</v>
      </c>
      <c r="AP36" s="109">
        <f t="shared" si="25"/>
        <v>-15164.607718374997</v>
      </c>
      <c r="AQ36" s="108">
        <f t="shared" si="25"/>
        <v>-15164.607718374997</v>
      </c>
      <c r="AR36" s="108">
        <f t="shared" si="25"/>
        <v>-15164.607718374997</v>
      </c>
      <c r="AS36" s="108">
        <f t="shared" si="25"/>
        <v>-15164.607718374997</v>
      </c>
      <c r="AT36" s="108">
        <f t="shared" si="25"/>
        <v>-15164.607718374997</v>
      </c>
      <c r="AU36" s="108">
        <f t="shared" si="25"/>
        <v>-15164.607718374997</v>
      </c>
      <c r="AV36" s="108">
        <f t="shared" si="25"/>
        <v>-15164.607718374997</v>
      </c>
      <c r="AW36" s="108">
        <f t="shared" si="25"/>
        <v>-15164.607718374997</v>
      </c>
      <c r="AX36" s="108">
        <f t="shared" si="25"/>
        <v>-15164.607718374997</v>
      </c>
      <c r="AY36" s="108">
        <f t="shared" si="25"/>
        <v>-15164.607718374997</v>
      </c>
      <c r="AZ36" s="108">
        <f t="shared" si="25"/>
        <v>-15164.607718374997</v>
      </c>
      <c r="BA36" s="110">
        <f t="shared" si="25"/>
        <v>-15164.607718374997</v>
      </c>
      <c r="BB36" s="109">
        <f t="shared" si="25"/>
        <v>-16119.97800463262</v>
      </c>
      <c r="BC36" s="108">
        <f t="shared" si="25"/>
        <v>-16119.97800463262</v>
      </c>
      <c r="BD36" s="108">
        <f t="shared" si="25"/>
        <v>-16119.97800463262</v>
      </c>
      <c r="BE36" s="108">
        <f t="shared" si="25"/>
        <v>-16119.97800463262</v>
      </c>
      <c r="BF36" s="108">
        <f t="shared" si="25"/>
        <v>-16119.97800463262</v>
      </c>
      <c r="BG36" s="108">
        <f t="shared" si="25"/>
        <v>-16119.97800463262</v>
      </c>
      <c r="BH36" s="108">
        <f t="shared" si="25"/>
        <v>-16119.97800463262</v>
      </c>
      <c r="BI36" s="108">
        <f t="shared" si="25"/>
        <v>-16119.97800463262</v>
      </c>
      <c r="BJ36" s="108">
        <f t="shared" si="25"/>
        <v>-16119.97800463262</v>
      </c>
      <c r="BK36" s="108">
        <f t="shared" si="25"/>
        <v>-16119.97800463262</v>
      </c>
      <c r="BL36" s="108">
        <f t="shared" si="25"/>
        <v>-16119.97800463262</v>
      </c>
      <c r="BM36" s="110">
        <f t="shared" si="25"/>
        <v>-16119.97800463262</v>
      </c>
      <c r="BN36" s="109">
        <f t="shared" si="25"/>
        <v>-17135.536618924474</v>
      </c>
      <c r="BO36" s="108">
        <f t="shared" si="25"/>
        <v>-17135.536618924474</v>
      </c>
      <c r="BP36" s="108">
        <f t="shared" si="25"/>
        <v>-17135.536618924474</v>
      </c>
      <c r="BQ36" s="108">
        <f t="shared" si="25"/>
        <v>-17135.536618924474</v>
      </c>
      <c r="BR36" s="108">
        <f t="shared" si="25"/>
        <v>-17135.536618924474</v>
      </c>
      <c r="BS36" s="108">
        <f t="shared" si="25"/>
        <v>-17135.536618924474</v>
      </c>
      <c r="BT36" s="108">
        <f t="shared" si="25"/>
        <v>-17135.536618924474</v>
      </c>
      <c r="BU36" s="108">
        <f t="shared" si="25"/>
        <v>-17135.536618924474</v>
      </c>
      <c r="BV36" s="108">
        <f t="shared" si="25"/>
        <v>-17135.536618924474</v>
      </c>
      <c r="BW36" s="108">
        <f t="shared" si="25"/>
        <v>-17135.536618924474</v>
      </c>
      <c r="BX36" s="108">
        <f t="shared" si="25"/>
        <v>-17135.536618924474</v>
      </c>
      <c r="BY36" s="110">
        <f t="shared" si="25"/>
        <v>-17135.536618924474</v>
      </c>
      <c r="BZ36" s="109">
        <f t="shared" si="25"/>
        <v>-18215.075425916715</v>
      </c>
      <c r="CA36" s="108">
        <f t="shared" si="25"/>
        <v>-18215.075425916715</v>
      </c>
      <c r="CB36" s="108">
        <f t="shared" si="25"/>
        <v>-18215.075425916715</v>
      </c>
      <c r="CC36" s="108">
        <f t="shared" si="25"/>
        <v>-18215.075425916715</v>
      </c>
      <c r="CD36" s="108">
        <f t="shared" si="25"/>
        <v>-18215.075425916715</v>
      </c>
      <c r="CE36" s="108">
        <f t="shared" si="26"/>
        <v>-18215.075425916715</v>
      </c>
      <c r="CF36" s="108">
        <f t="shared" si="26"/>
        <v>-18215.075425916715</v>
      </c>
      <c r="CG36" s="108">
        <f t="shared" si="26"/>
        <v>-18215.075425916715</v>
      </c>
      <c r="CH36" s="108">
        <f t="shared" si="26"/>
        <v>-18215.075425916715</v>
      </c>
      <c r="CI36" s="108">
        <f t="shared" si="26"/>
        <v>-18215.075425916715</v>
      </c>
      <c r="CJ36" s="108">
        <f t="shared" si="26"/>
        <v>-18215.075425916715</v>
      </c>
      <c r="CK36" s="110">
        <f t="shared" si="26"/>
        <v>-18215.075425916715</v>
      </c>
      <c r="CL36" s="109">
        <f t="shared" si="26"/>
        <v>-19362.625177749469</v>
      </c>
      <c r="CM36" s="108">
        <f t="shared" si="26"/>
        <v>-19362.625177749469</v>
      </c>
      <c r="CN36" s="108">
        <f t="shared" si="26"/>
        <v>-19362.625177749469</v>
      </c>
      <c r="CO36" s="108">
        <f t="shared" si="26"/>
        <v>-19362.625177749469</v>
      </c>
      <c r="CP36" s="108">
        <f t="shared" si="26"/>
        <v>-19362.625177749469</v>
      </c>
      <c r="CQ36" s="108">
        <f t="shared" si="26"/>
        <v>-19362.625177749469</v>
      </c>
      <c r="CR36" s="108">
        <f t="shared" si="26"/>
        <v>-19362.625177749469</v>
      </c>
      <c r="CS36" s="108">
        <f t="shared" si="26"/>
        <v>-19362.625177749469</v>
      </c>
      <c r="CT36" s="108">
        <f t="shared" si="26"/>
        <v>-19362.625177749469</v>
      </c>
      <c r="CU36" s="108">
        <f t="shared" si="26"/>
        <v>-19362.625177749469</v>
      </c>
      <c r="CV36" s="108">
        <f t="shared" si="26"/>
        <v>-19362.625177749469</v>
      </c>
      <c r="CW36" s="110">
        <f t="shared" si="26"/>
        <v>-19362.625177749469</v>
      </c>
      <c r="CX36" s="109">
        <f t="shared" si="26"/>
        <v>-20582.470563947682</v>
      </c>
      <c r="CY36" s="108">
        <f t="shared" si="26"/>
        <v>-20582.470563947682</v>
      </c>
      <c r="CZ36" s="108">
        <f t="shared" si="26"/>
        <v>-20582.470563947682</v>
      </c>
      <c r="DA36" s="108">
        <f t="shared" si="26"/>
        <v>-20582.470563947682</v>
      </c>
      <c r="DB36" s="108">
        <f t="shared" si="26"/>
        <v>-20582.470563947682</v>
      </c>
      <c r="DC36" s="108">
        <f t="shared" si="26"/>
        <v>-20582.470563947682</v>
      </c>
      <c r="DD36" s="108">
        <f t="shared" si="26"/>
        <v>-20582.470563947682</v>
      </c>
      <c r="DE36" s="108">
        <f t="shared" si="26"/>
        <v>-20582.470563947682</v>
      </c>
      <c r="DF36" s="108">
        <f t="shared" si="26"/>
        <v>-20582.470563947682</v>
      </c>
      <c r="DG36" s="108">
        <f t="shared" si="26"/>
        <v>-20582.470563947682</v>
      </c>
      <c r="DH36" s="108">
        <f t="shared" si="26"/>
        <v>-20582.470563947682</v>
      </c>
      <c r="DI36" s="110">
        <f t="shared" si="26"/>
        <v>-20582.470563947682</v>
      </c>
      <c r="DJ36" s="109">
        <f t="shared" si="26"/>
        <v>-21879.166209476385</v>
      </c>
      <c r="DK36" s="108">
        <f t="shared" si="26"/>
        <v>-21879.166209476385</v>
      </c>
      <c r="DL36" s="108">
        <f t="shared" si="26"/>
        <v>-21879.166209476385</v>
      </c>
      <c r="DM36" s="108">
        <f t="shared" si="26"/>
        <v>-21879.166209476385</v>
      </c>
      <c r="DN36" s="108">
        <f t="shared" si="26"/>
        <v>-21879.166209476385</v>
      </c>
      <c r="DO36" s="108">
        <f t="shared" si="26"/>
        <v>-21879.166209476385</v>
      </c>
      <c r="DP36" s="108">
        <f t="shared" si="26"/>
        <v>-21879.166209476385</v>
      </c>
      <c r="DQ36" s="108">
        <f t="shared" si="26"/>
        <v>-21879.166209476385</v>
      </c>
      <c r="DR36" s="108">
        <f t="shared" si="26"/>
        <v>-21879.166209476385</v>
      </c>
      <c r="DS36" s="108">
        <f t="shared" si="26"/>
        <v>-21879.166209476385</v>
      </c>
      <c r="DT36" s="108">
        <f t="shared" si="26"/>
        <v>-21879.166209476385</v>
      </c>
      <c r="DU36" s="110">
        <f t="shared" si="26"/>
        <v>-21879.166209476385</v>
      </c>
    </row>
    <row r="37" spans="1:125" s="2" customFormat="1" ht="18.75" customHeight="1" x14ac:dyDescent="0.3">
      <c r="A37" s="245"/>
      <c r="B37" s="274" t="s">
        <v>1305</v>
      </c>
      <c r="C37" s="274"/>
      <c r="D37" s="274"/>
      <c r="E37" s="10"/>
      <c r="F37" s="403"/>
      <c r="G37" s="745"/>
      <c r="H37" s="745"/>
      <c r="I37" s="745"/>
      <c r="J37" s="745"/>
      <c r="K37" s="745"/>
      <c r="L37" s="745"/>
      <c r="M37" s="745"/>
      <c r="N37" s="745"/>
      <c r="O37" s="745"/>
      <c r="P37" s="745"/>
      <c r="Q37" s="688"/>
      <c r="R37" s="344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606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606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606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606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606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606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606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606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606"/>
    </row>
    <row r="38" spans="1:125" s="2" customFormat="1" ht="18.75" customHeight="1" x14ac:dyDescent="0.25">
      <c r="A38" s="246"/>
      <c r="B38" s="273" t="s">
        <v>371</v>
      </c>
      <c r="C38" s="273" t="s">
        <v>215</v>
      </c>
      <c r="D38" s="273">
        <v>0</v>
      </c>
      <c r="E38" s="10">
        <f t="shared" ref="E38:E44" si="28">-VLOOKUP(C38,$C$51:$W$59,8,FALSE)</f>
        <v>-38000</v>
      </c>
      <c r="F38" s="403"/>
      <c r="G38" s="403"/>
      <c r="H38" s="403"/>
      <c r="I38" s="403"/>
      <c r="J38" s="403"/>
      <c r="K38" s="403"/>
      <c r="L38" s="403"/>
      <c r="M38" s="403"/>
      <c r="N38" s="403"/>
      <c r="O38" s="403"/>
      <c r="P38" s="403"/>
      <c r="Q38" s="486"/>
      <c r="R38" s="344">
        <f>$E38*$D38*R$6</f>
        <v>0</v>
      </c>
      <c r="S38" s="108">
        <f t="shared" si="25"/>
        <v>0</v>
      </c>
      <c r="T38" s="108">
        <f t="shared" si="25"/>
        <v>0</v>
      </c>
      <c r="U38" s="108">
        <f t="shared" si="25"/>
        <v>0</v>
      </c>
      <c r="V38" s="108">
        <f t="shared" si="25"/>
        <v>0</v>
      </c>
      <c r="W38" s="108">
        <f t="shared" si="25"/>
        <v>0</v>
      </c>
      <c r="X38" s="108">
        <f t="shared" si="25"/>
        <v>0</v>
      </c>
      <c r="Y38" s="108">
        <f t="shared" si="25"/>
        <v>0</v>
      </c>
      <c r="Z38" s="108">
        <f t="shared" si="25"/>
        <v>0</v>
      </c>
      <c r="AA38" s="108">
        <f t="shared" si="25"/>
        <v>0</v>
      </c>
      <c r="AB38" s="108">
        <f t="shared" si="25"/>
        <v>0</v>
      </c>
      <c r="AC38" s="110">
        <f t="shared" si="25"/>
        <v>0</v>
      </c>
      <c r="AD38" s="109">
        <f t="shared" si="25"/>
        <v>0</v>
      </c>
      <c r="AE38" s="108">
        <f t="shared" si="25"/>
        <v>0</v>
      </c>
      <c r="AF38" s="108">
        <f t="shared" si="25"/>
        <v>0</v>
      </c>
      <c r="AG38" s="108">
        <f t="shared" si="25"/>
        <v>0</v>
      </c>
      <c r="AH38" s="108">
        <f t="shared" si="25"/>
        <v>0</v>
      </c>
      <c r="AI38" s="108">
        <f t="shared" si="25"/>
        <v>0</v>
      </c>
      <c r="AJ38" s="108">
        <f t="shared" si="25"/>
        <v>0</v>
      </c>
      <c r="AK38" s="108">
        <f t="shared" si="25"/>
        <v>0</v>
      </c>
      <c r="AL38" s="108">
        <f t="shared" si="25"/>
        <v>0</v>
      </c>
      <c r="AM38" s="108">
        <f t="shared" si="25"/>
        <v>0</v>
      </c>
      <c r="AN38" s="108">
        <f t="shared" si="25"/>
        <v>0</v>
      </c>
      <c r="AO38" s="110">
        <f t="shared" si="25"/>
        <v>0</v>
      </c>
      <c r="AP38" s="109">
        <f t="shared" si="25"/>
        <v>0</v>
      </c>
      <c r="AQ38" s="108">
        <f t="shared" si="25"/>
        <v>0</v>
      </c>
      <c r="AR38" s="108">
        <f t="shared" si="25"/>
        <v>0</v>
      </c>
      <c r="AS38" s="108">
        <f t="shared" si="25"/>
        <v>0</v>
      </c>
      <c r="AT38" s="108">
        <f t="shared" si="25"/>
        <v>0</v>
      </c>
      <c r="AU38" s="108">
        <f t="shared" si="25"/>
        <v>0</v>
      </c>
      <c r="AV38" s="108">
        <f t="shared" si="25"/>
        <v>0</v>
      </c>
      <c r="AW38" s="108">
        <f t="shared" si="25"/>
        <v>0</v>
      </c>
      <c r="AX38" s="108">
        <f t="shared" si="25"/>
        <v>0</v>
      </c>
      <c r="AY38" s="108">
        <f t="shared" si="25"/>
        <v>0</v>
      </c>
      <c r="AZ38" s="108">
        <f t="shared" si="25"/>
        <v>0</v>
      </c>
      <c r="BA38" s="110">
        <f t="shared" si="25"/>
        <v>0</v>
      </c>
      <c r="BB38" s="109">
        <f t="shared" si="25"/>
        <v>0</v>
      </c>
      <c r="BC38" s="108">
        <f t="shared" si="25"/>
        <v>0</v>
      </c>
      <c r="BD38" s="108">
        <f t="shared" si="25"/>
        <v>0</v>
      </c>
      <c r="BE38" s="108">
        <f t="shared" si="25"/>
        <v>0</v>
      </c>
      <c r="BF38" s="108">
        <f t="shared" si="25"/>
        <v>0</v>
      </c>
      <c r="BG38" s="108">
        <f t="shared" si="25"/>
        <v>0</v>
      </c>
      <c r="BH38" s="108">
        <f t="shared" si="25"/>
        <v>0</v>
      </c>
      <c r="BI38" s="108">
        <f t="shared" si="25"/>
        <v>0</v>
      </c>
      <c r="BJ38" s="108">
        <f t="shared" si="25"/>
        <v>0</v>
      </c>
      <c r="BK38" s="108">
        <f t="shared" si="25"/>
        <v>0</v>
      </c>
      <c r="BL38" s="108">
        <f t="shared" si="25"/>
        <v>0</v>
      </c>
      <c r="BM38" s="110">
        <f t="shared" si="25"/>
        <v>0</v>
      </c>
      <c r="BN38" s="109">
        <f t="shared" si="25"/>
        <v>0</v>
      </c>
      <c r="BO38" s="108">
        <f t="shared" si="25"/>
        <v>0</v>
      </c>
      <c r="BP38" s="108">
        <f t="shared" si="25"/>
        <v>0</v>
      </c>
      <c r="BQ38" s="108">
        <f t="shared" si="25"/>
        <v>0</v>
      </c>
      <c r="BR38" s="108">
        <f t="shared" si="25"/>
        <v>0</v>
      </c>
      <c r="BS38" s="108">
        <f t="shared" si="25"/>
        <v>0</v>
      </c>
      <c r="BT38" s="108">
        <f t="shared" si="25"/>
        <v>0</v>
      </c>
      <c r="BU38" s="108">
        <f t="shared" si="25"/>
        <v>0</v>
      </c>
      <c r="BV38" s="108">
        <f t="shared" si="25"/>
        <v>0</v>
      </c>
      <c r="BW38" s="108">
        <f t="shared" si="25"/>
        <v>0</v>
      </c>
      <c r="BX38" s="108">
        <f t="shared" si="25"/>
        <v>0</v>
      </c>
      <c r="BY38" s="110">
        <f t="shared" si="25"/>
        <v>0</v>
      </c>
      <c r="BZ38" s="109">
        <f t="shared" si="25"/>
        <v>0</v>
      </c>
      <c r="CA38" s="108">
        <f t="shared" si="25"/>
        <v>0</v>
      </c>
      <c r="CB38" s="108">
        <f t="shared" si="25"/>
        <v>0</v>
      </c>
      <c r="CC38" s="108">
        <f t="shared" si="25"/>
        <v>0</v>
      </c>
      <c r="CD38" s="108">
        <f>$E38*$D38*CD$6</f>
        <v>0</v>
      </c>
      <c r="CE38" s="108">
        <f t="shared" si="26"/>
        <v>0</v>
      </c>
      <c r="CF38" s="108">
        <f t="shared" si="26"/>
        <v>0</v>
      </c>
      <c r="CG38" s="108">
        <f t="shared" si="26"/>
        <v>0</v>
      </c>
      <c r="CH38" s="108">
        <f t="shared" si="26"/>
        <v>0</v>
      </c>
      <c r="CI38" s="108">
        <f t="shared" si="26"/>
        <v>0</v>
      </c>
      <c r="CJ38" s="108">
        <f t="shared" si="26"/>
        <v>0</v>
      </c>
      <c r="CK38" s="110">
        <f t="shared" si="26"/>
        <v>0</v>
      </c>
      <c r="CL38" s="109">
        <f t="shared" si="26"/>
        <v>0</v>
      </c>
      <c r="CM38" s="108">
        <f t="shared" si="26"/>
        <v>0</v>
      </c>
      <c r="CN38" s="108">
        <f t="shared" si="26"/>
        <v>0</v>
      </c>
      <c r="CO38" s="108">
        <f t="shared" si="26"/>
        <v>0</v>
      </c>
      <c r="CP38" s="108">
        <f t="shared" si="26"/>
        <v>0</v>
      </c>
      <c r="CQ38" s="108">
        <f t="shared" si="26"/>
        <v>0</v>
      </c>
      <c r="CR38" s="108">
        <f t="shared" si="26"/>
        <v>0</v>
      </c>
      <c r="CS38" s="108">
        <f t="shared" si="26"/>
        <v>0</v>
      </c>
      <c r="CT38" s="108">
        <f t="shared" si="26"/>
        <v>0</v>
      </c>
      <c r="CU38" s="108">
        <f t="shared" si="26"/>
        <v>0</v>
      </c>
      <c r="CV38" s="108">
        <f t="shared" si="26"/>
        <v>0</v>
      </c>
      <c r="CW38" s="110">
        <f t="shared" si="26"/>
        <v>0</v>
      </c>
      <c r="CX38" s="109">
        <f t="shared" si="26"/>
        <v>0</v>
      </c>
      <c r="CY38" s="108">
        <f t="shared" si="26"/>
        <v>0</v>
      </c>
      <c r="CZ38" s="108">
        <f t="shared" si="26"/>
        <v>0</v>
      </c>
      <c r="DA38" s="108">
        <f t="shared" si="26"/>
        <v>0</v>
      </c>
      <c r="DB38" s="108">
        <f t="shared" si="26"/>
        <v>0</v>
      </c>
      <c r="DC38" s="108">
        <f t="shared" si="26"/>
        <v>0</v>
      </c>
      <c r="DD38" s="108">
        <f t="shared" si="26"/>
        <v>0</v>
      </c>
      <c r="DE38" s="108">
        <f t="shared" si="26"/>
        <v>0</v>
      </c>
      <c r="DF38" s="108">
        <f t="shared" si="26"/>
        <v>0</v>
      </c>
      <c r="DG38" s="108">
        <f t="shared" si="26"/>
        <v>0</v>
      </c>
      <c r="DH38" s="108">
        <f t="shared" si="26"/>
        <v>0</v>
      </c>
      <c r="DI38" s="110">
        <f t="shared" si="26"/>
        <v>0</v>
      </c>
      <c r="DJ38" s="109">
        <f t="shared" si="26"/>
        <v>0</v>
      </c>
      <c r="DK38" s="108">
        <f t="shared" si="26"/>
        <v>0</v>
      </c>
      <c r="DL38" s="108">
        <f t="shared" si="26"/>
        <v>0</v>
      </c>
      <c r="DM38" s="108">
        <f t="shared" si="26"/>
        <v>0</v>
      </c>
      <c r="DN38" s="108">
        <f t="shared" si="26"/>
        <v>0</v>
      </c>
      <c r="DO38" s="108">
        <f t="shared" si="26"/>
        <v>0</v>
      </c>
      <c r="DP38" s="108">
        <f t="shared" si="26"/>
        <v>0</v>
      </c>
      <c r="DQ38" s="108">
        <f t="shared" si="26"/>
        <v>0</v>
      </c>
      <c r="DR38" s="108">
        <f t="shared" si="26"/>
        <v>0</v>
      </c>
      <c r="DS38" s="108">
        <f t="shared" si="26"/>
        <v>0</v>
      </c>
      <c r="DT38" s="108">
        <f t="shared" si="26"/>
        <v>0</v>
      </c>
      <c r="DU38" s="110">
        <f t="shared" si="26"/>
        <v>0</v>
      </c>
    </row>
    <row r="39" spans="1:125" s="2" customFormat="1" ht="18.75" customHeight="1" x14ac:dyDescent="0.25">
      <c r="A39" s="251"/>
      <c r="B39" s="273" t="s">
        <v>1306</v>
      </c>
      <c r="C39" s="273" t="s">
        <v>215</v>
      </c>
      <c r="D39" s="273">
        <v>1</v>
      </c>
      <c r="E39" s="10">
        <f t="shared" si="28"/>
        <v>-38000</v>
      </c>
      <c r="F39" s="403"/>
      <c r="G39" s="403"/>
      <c r="H39" s="403"/>
      <c r="I39" s="403"/>
      <c r="J39" s="403"/>
      <c r="K39" s="403"/>
      <c r="L39" s="403"/>
      <c r="M39" s="403"/>
      <c r="N39" s="403"/>
      <c r="O39" s="403"/>
      <c r="P39" s="403"/>
      <c r="Q39" s="486"/>
      <c r="R39" s="344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10"/>
      <c r="AD39" s="109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10"/>
      <c r="AP39" s="109">
        <f t="shared" ref="AP39:CC39" si="29">$E39*$D39*AP$6</f>
        <v>-45643.967785999987</v>
      </c>
      <c r="AQ39" s="108">
        <f t="shared" si="29"/>
        <v>-45643.967785999987</v>
      </c>
      <c r="AR39" s="108">
        <f t="shared" si="29"/>
        <v>-45643.967785999987</v>
      </c>
      <c r="AS39" s="108">
        <f t="shared" si="29"/>
        <v>-45643.967785999987</v>
      </c>
      <c r="AT39" s="108">
        <f t="shared" si="29"/>
        <v>-45643.967785999987</v>
      </c>
      <c r="AU39" s="108">
        <f t="shared" si="29"/>
        <v>-45643.967785999987</v>
      </c>
      <c r="AV39" s="108">
        <f t="shared" si="29"/>
        <v>-45643.967785999987</v>
      </c>
      <c r="AW39" s="108">
        <f t="shared" si="29"/>
        <v>-45643.967785999987</v>
      </c>
      <c r="AX39" s="108">
        <f t="shared" si="29"/>
        <v>-45643.967785999987</v>
      </c>
      <c r="AY39" s="108">
        <f t="shared" si="29"/>
        <v>-45643.967785999987</v>
      </c>
      <c r="AZ39" s="108">
        <f t="shared" si="29"/>
        <v>-45643.967785999987</v>
      </c>
      <c r="BA39" s="110">
        <f t="shared" si="29"/>
        <v>-45643.967785999987</v>
      </c>
      <c r="BB39" s="109">
        <f t="shared" si="29"/>
        <v>-48519.537756517981</v>
      </c>
      <c r="BC39" s="108">
        <f t="shared" si="29"/>
        <v>-48519.537756517981</v>
      </c>
      <c r="BD39" s="108">
        <f t="shared" si="29"/>
        <v>-48519.537756517981</v>
      </c>
      <c r="BE39" s="108">
        <f t="shared" si="29"/>
        <v>-48519.537756517981</v>
      </c>
      <c r="BF39" s="108">
        <f t="shared" si="29"/>
        <v>-48519.537756517981</v>
      </c>
      <c r="BG39" s="108">
        <f t="shared" si="29"/>
        <v>-48519.537756517981</v>
      </c>
      <c r="BH39" s="108">
        <f t="shared" si="29"/>
        <v>-48519.537756517981</v>
      </c>
      <c r="BI39" s="108">
        <f t="shared" si="29"/>
        <v>-48519.537756517981</v>
      </c>
      <c r="BJ39" s="108">
        <f t="shared" si="29"/>
        <v>-48519.537756517981</v>
      </c>
      <c r="BK39" s="108">
        <f t="shared" si="29"/>
        <v>-48519.537756517981</v>
      </c>
      <c r="BL39" s="108">
        <f t="shared" si="29"/>
        <v>-48519.537756517981</v>
      </c>
      <c r="BM39" s="110">
        <f t="shared" si="29"/>
        <v>-48519.537756517981</v>
      </c>
      <c r="BN39" s="109">
        <f t="shared" si="29"/>
        <v>-51576.268635178611</v>
      </c>
      <c r="BO39" s="108">
        <f t="shared" si="29"/>
        <v>-51576.268635178611</v>
      </c>
      <c r="BP39" s="108">
        <f t="shared" si="29"/>
        <v>-51576.268635178611</v>
      </c>
      <c r="BQ39" s="108">
        <f t="shared" si="29"/>
        <v>-51576.268635178611</v>
      </c>
      <c r="BR39" s="108">
        <f t="shared" si="29"/>
        <v>-51576.268635178611</v>
      </c>
      <c r="BS39" s="108">
        <f t="shared" si="29"/>
        <v>-51576.268635178611</v>
      </c>
      <c r="BT39" s="108">
        <f t="shared" si="29"/>
        <v>-51576.268635178611</v>
      </c>
      <c r="BU39" s="108">
        <f t="shared" si="29"/>
        <v>-51576.268635178611</v>
      </c>
      <c r="BV39" s="108">
        <f t="shared" si="29"/>
        <v>-51576.268635178611</v>
      </c>
      <c r="BW39" s="108">
        <f t="shared" si="29"/>
        <v>-51576.268635178611</v>
      </c>
      <c r="BX39" s="108">
        <f t="shared" si="29"/>
        <v>-51576.268635178611</v>
      </c>
      <c r="BY39" s="110">
        <f t="shared" si="29"/>
        <v>-51576.268635178611</v>
      </c>
      <c r="BZ39" s="109">
        <f t="shared" si="29"/>
        <v>-54825.573559194869</v>
      </c>
      <c r="CA39" s="108">
        <f t="shared" si="29"/>
        <v>-54825.573559194869</v>
      </c>
      <c r="CB39" s="108">
        <f t="shared" si="29"/>
        <v>-54825.573559194869</v>
      </c>
      <c r="CC39" s="108">
        <f t="shared" si="29"/>
        <v>-54825.573559194869</v>
      </c>
      <c r="CD39" s="108">
        <f>$E39*$D39*CD$6</f>
        <v>-54825.573559194869</v>
      </c>
      <c r="CE39" s="108">
        <f t="shared" si="26"/>
        <v>-54825.573559194869</v>
      </c>
      <c r="CF39" s="108">
        <f t="shared" si="26"/>
        <v>-54825.573559194869</v>
      </c>
      <c r="CG39" s="108">
        <f t="shared" si="26"/>
        <v>-54825.573559194869</v>
      </c>
      <c r="CH39" s="108">
        <f t="shared" si="26"/>
        <v>-54825.573559194869</v>
      </c>
      <c r="CI39" s="108">
        <f t="shared" si="26"/>
        <v>-54825.573559194869</v>
      </c>
      <c r="CJ39" s="108">
        <f t="shared" si="26"/>
        <v>-54825.573559194869</v>
      </c>
      <c r="CK39" s="110">
        <f t="shared" si="26"/>
        <v>-54825.573559194869</v>
      </c>
      <c r="CL39" s="109">
        <f t="shared" si="26"/>
        <v>-58279.584693424142</v>
      </c>
      <c r="CM39" s="108">
        <f t="shared" si="26"/>
        <v>-58279.584693424142</v>
      </c>
      <c r="CN39" s="108">
        <f t="shared" si="26"/>
        <v>-58279.584693424142</v>
      </c>
      <c r="CO39" s="108">
        <f t="shared" si="26"/>
        <v>-58279.584693424142</v>
      </c>
      <c r="CP39" s="108">
        <f t="shared" si="26"/>
        <v>-58279.584693424142</v>
      </c>
      <c r="CQ39" s="108">
        <f t="shared" si="26"/>
        <v>-58279.584693424142</v>
      </c>
      <c r="CR39" s="108">
        <f t="shared" si="26"/>
        <v>-58279.584693424142</v>
      </c>
      <c r="CS39" s="108">
        <f t="shared" si="26"/>
        <v>-58279.584693424142</v>
      </c>
      <c r="CT39" s="108">
        <f t="shared" si="26"/>
        <v>-58279.584693424142</v>
      </c>
      <c r="CU39" s="108">
        <f t="shared" si="26"/>
        <v>-58279.584693424142</v>
      </c>
      <c r="CV39" s="108">
        <f t="shared" si="26"/>
        <v>-58279.584693424142</v>
      </c>
      <c r="CW39" s="110">
        <f t="shared" si="26"/>
        <v>-58279.584693424142</v>
      </c>
      <c r="CX39" s="109">
        <f t="shared" si="26"/>
        <v>-61951.198529109854</v>
      </c>
      <c r="CY39" s="108">
        <f t="shared" si="26"/>
        <v>-61951.198529109854</v>
      </c>
      <c r="CZ39" s="108">
        <f t="shared" si="26"/>
        <v>-61951.198529109854</v>
      </c>
      <c r="DA39" s="108">
        <f t="shared" si="26"/>
        <v>-61951.198529109854</v>
      </c>
      <c r="DB39" s="108">
        <f t="shared" si="26"/>
        <v>-61951.198529109854</v>
      </c>
      <c r="DC39" s="108">
        <f t="shared" si="26"/>
        <v>-61951.198529109854</v>
      </c>
      <c r="DD39" s="108">
        <f t="shared" si="26"/>
        <v>-61951.198529109854</v>
      </c>
      <c r="DE39" s="108">
        <f t="shared" si="26"/>
        <v>-61951.198529109854</v>
      </c>
      <c r="DF39" s="108">
        <f t="shared" si="26"/>
        <v>-61951.198529109854</v>
      </c>
      <c r="DG39" s="108">
        <f t="shared" si="26"/>
        <v>-61951.198529109854</v>
      </c>
      <c r="DH39" s="108">
        <f t="shared" si="26"/>
        <v>-61951.198529109854</v>
      </c>
      <c r="DI39" s="110">
        <f t="shared" si="26"/>
        <v>-61951.198529109854</v>
      </c>
      <c r="DJ39" s="109">
        <f t="shared" si="26"/>
        <v>-65854.124036443784</v>
      </c>
      <c r="DK39" s="108">
        <f t="shared" si="26"/>
        <v>-65854.124036443784</v>
      </c>
      <c r="DL39" s="108">
        <f t="shared" si="26"/>
        <v>-65854.124036443784</v>
      </c>
      <c r="DM39" s="108">
        <f t="shared" si="26"/>
        <v>-65854.124036443784</v>
      </c>
      <c r="DN39" s="108">
        <f t="shared" si="26"/>
        <v>-65854.124036443784</v>
      </c>
      <c r="DO39" s="108">
        <f t="shared" si="26"/>
        <v>-65854.124036443784</v>
      </c>
      <c r="DP39" s="108">
        <f t="shared" si="26"/>
        <v>-65854.124036443784</v>
      </c>
      <c r="DQ39" s="108">
        <f t="shared" si="26"/>
        <v>-65854.124036443784</v>
      </c>
      <c r="DR39" s="108">
        <f t="shared" si="26"/>
        <v>-65854.124036443784</v>
      </c>
      <c r="DS39" s="108">
        <f t="shared" si="26"/>
        <v>-65854.124036443784</v>
      </c>
      <c r="DT39" s="108">
        <f t="shared" si="26"/>
        <v>-65854.124036443784</v>
      </c>
      <c r="DU39" s="110">
        <f t="shared" si="26"/>
        <v>-65854.124036443784</v>
      </c>
    </row>
    <row r="40" spans="1:125" s="2" customFormat="1" ht="18.75" customHeight="1" x14ac:dyDescent="0.25">
      <c r="A40" s="251"/>
      <c r="B40" s="273" t="s">
        <v>383</v>
      </c>
      <c r="C40" s="273" t="s">
        <v>225</v>
      </c>
      <c r="D40" s="273">
        <v>0</v>
      </c>
      <c r="E40" s="10">
        <f t="shared" si="28"/>
        <v>-15041.666666666666</v>
      </c>
      <c r="F40" s="403"/>
      <c r="G40" s="403"/>
      <c r="H40" s="403"/>
      <c r="I40" s="403"/>
      <c r="J40" s="403"/>
      <c r="K40" s="403"/>
      <c r="L40" s="403"/>
      <c r="M40" s="403"/>
      <c r="N40" s="403"/>
      <c r="O40" s="403"/>
      <c r="P40" s="403"/>
      <c r="Q40" s="486"/>
      <c r="R40" s="344">
        <f>$E40*$D40*R$6</f>
        <v>0</v>
      </c>
      <c r="S40" s="108">
        <f t="shared" ref="S40:CC40" si="30">$E40*$D40*S$6</f>
        <v>0</v>
      </c>
      <c r="T40" s="108">
        <f t="shared" si="30"/>
        <v>0</v>
      </c>
      <c r="U40" s="108">
        <f t="shared" si="30"/>
        <v>0</v>
      </c>
      <c r="V40" s="108">
        <f t="shared" si="30"/>
        <v>0</v>
      </c>
      <c r="W40" s="108">
        <f t="shared" si="30"/>
        <v>0</v>
      </c>
      <c r="X40" s="108">
        <f t="shared" si="30"/>
        <v>0</v>
      </c>
      <c r="Y40" s="108">
        <f t="shared" si="30"/>
        <v>0</v>
      </c>
      <c r="Z40" s="108">
        <f t="shared" si="30"/>
        <v>0</v>
      </c>
      <c r="AA40" s="108">
        <f t="shared" si="30"/>
        <v>0</v>
      </c>
      <c r="AB40" s="108">
        <f t="shared" si="30"/>
        <v>0</v>
      </c>
      <c r="AC40" s="110">
        <f t="shared" si="30"/>
        <v>0</v>
      </c>
      <c r="AD40" s="109">
        <f t="shared" si="30"/>
        <v>0</v>
      </c>
      <c r="AE40" s="108">
        <f t="shared" si="30"/>
        <v>0</v>
      </c>
      <c r="AF40" s="108">
        <f t="shared" si="30"/>
        <v>0</v>
      </c>
      <c r="AG40" s="108">
        <f t="shared" si="30"/>
        <v>0</v>
      </c>
      <c r="AH40" s="108">
        <f t="shared" si="30"/>
        <v>0</v>
      </c>
      <c r="AI40" s="108">
        <f t="shared" si="30"/>
        <v>0</v>
      </c>
      <c r="AJ40" s="108">
        <f t="shared" si="30"/>
        <v>0</v>
      </c>
      <c r="AK40" s="108">
        <f t="shared" si="30"/>
        <v>0</v>
      </c>
      <c r="AL40" s="108">
        <f t="shared" si="30"/>
        <v>0</v>
      </c>
      <c r="AM40" s="108">
        <f t="shared" si="30"/>
        <v>0</v>
      </c>
      <c r="AN40" s="108">
        <f t="shared" si="30"/>
        <v>0</v>
      </c>
      <c r="AO40" s="110">
        <f t="shared" si="30"/>
        <v>0</v>
      </c>
      <c r="AP40" s="109">
        <f t="shared" si="30"/>
        <v>0</v>
      </c>
      <c r="AQ40" s="108">
        <f t="shared" si="30"/>
        <v>0</v>
      </c>
      <c r="AR40" s="108">
        <f t="shared" si="30"/>
        <v>0</v>
      </c>
      <c r="AS40" s="108">
        <f t="shared" si="30"/>
        <v>0</v>
      </c>
      <c r="AT40" s="108">
        <f t="shared" si="30"/>
        <v>0</v>
      </c>
      <c r="AU40" s="108">
        <f t="shared" si="30"/>
        <v>0</v>
      </c>
      <c r="AV40" s="108">
        <f t="shared" si="30"/>
        <v>0</v>
      </c>
      <c r="AW40" s="108">
        <f t="shared" si="30"/>
        <v>0</v>
      </c>
      <c r="AX40" s="108">
        <f t="shared" si="30"/>
        <v>0</v>
      </c>
      <c r="AY40" s="108">
        <f t="shared" si="30"/>
        <v>0</v>
      </c>
      <c r="AZ40" s="108">
        <f t="shared" si="30"/>
        <v>0</v>
      </c>
      <c r="BA40" s="110">
        <f t="shared" si="30"/>
        <v>0</v>
      </c>
      <c r="BB40" s="109">
        <f t="shared" si="30"/>
        <v>0</v>
      </c>
      <c r="BC40" s="108">
        <f t="shared" si="30"/>
        <v>0</v>
      </c>
      <c r="BD40" s="108">
        <f t="shared" si="30"/>
        <v>0</v>
      </c>
      <c r="BE40" s="108">
        <f t="shared" si="30"/>
        <v>0</v>
      </c>
      <c r="BF40" s="108">
        <f t="shared" si="30"/>
        <v>0</v>
      </c>
      <c r="BG40" s="108">
        <f t="shared" si="30"/>
        <v>0</v>
      </c>
      <c r="BH40" s="108">
        <f t="shared" si="30"/>
        <v>0</v>
      </c>
      <c r="BI40" s="108">
        <f t="shared" si="30"/>
        <v>0</v>
      </c>
      <c r="BJ40" s="108">
        <f t="shared" si="30"/>
        <v>0</v>
      </c>
      <c r="BK40" s="108">
        <f t="shared" si="30"/>
        <v>0</v>
      </c>
      <c r="BL40" s="108">
        <f t="shared" si="30"/>
        <v>0</v>
      </c>
      <c r="BM40" s="110">
        <f t="shared" si="30"/>
        <v>0</v>
      </c>
      <c r="BN40" s="109">
        <f t="shared" si="30"/>
        <v>0</v>
      </c>
      <c r="BO40" s="108">
        <f t="shared" si="30"/>
        <v>0</v>
      </c>
      <c r="BP40" s="108">
        <f t="shared" si="30"/>
        <v>0</v>
      </c>
      <c r="BQ40" s="108">
        <f t="shared" si="30"/>
        <v>0</v>
      </c>
      <c r="BR40" s="108">
        <f t="shared" si="30"/>
        <v>0</v>
      </c>
      <c r="BS40" s="108">
        <f t="shared" si="30"/>
        <v>0</v>
      </c>
      <c r="BT40" s="108">
        <f t="shared" si="30"/>
        <v>0</v>
      </c>
      <c r="BU40" s="108">
        <f t="shared" si="30"/>
        <v>0</v>
      </c>
      <c r="BV40" s="108">
        <f t="shared" si="30"/>
        <v>0</v>
      </c>
      <c r="BW40" s="108">
        <f t="shared" si="30"/>
        <v>0</v>
      </c>
      <c r="BX40" s="108">
        <f t="shared" si="30"/>
        <v>0</v>
      </c>
      <c r="BY40" s="110">
        <f t="shared" si="30"/>
        <v>0</v>
      </c>
      <c r="BZ40" s="109">
        <f t="shared" si="30"/>
        <v>0</v>
      </c>
      <c r="CA40" s="108">
        <f t="shared" si="30"/>
        <v>0</v>
      </c>
      <c r="CB40" s="108">
        <f t="shared" si="30"/>
        <v>0</v>
      </c>
      <c r="CC40" s="108">
        <f t="shared" si="30"/>
        <v>0</v>
      </c>
      <c r="CD40" s="108">
        <f>$E40*$D40*CD$6</f>
        <v>0</v>
      </c>
      <c r="CE40" s="108">
        <f t="shared" ref="CE40:DU40" si="31">$E40*$D40*CE$6</f>
        <v>0</v>
      </c>
      <c r="CF40" s="108">
        <f t="shared" si="31"/>
        <v>0</v>
      </c>
      <c r="CG40" s="108">
        <f t="shared" si="31"/>
        <v>0</v>
      </c>
      <c r="CH40" s="108">
        <f t="shared" si="31"/>
        <v>0</v>
      </c>
      <c r="CI40" s="108">
        <f t="shared" si="31"/>
        <v>0</v>
      </c>
      <c r="CJ40" s="108">
        <f t="shared" si="31"/>
        <v>0</v>
      </c>
      <c r="CK40" s="110">
        <f t="shared" si="31"/>
        <v>0</v>
      </c>
      <c r="CL40" s="109">
        <f t="shared" si="31"/>
        <v>0</v>
      </c>
      <c r="CM40" s="108">
        <f t="shared" si="31"/>
        <v>0</v>
      </c>
      <c r="CN40" s="108">
        <f t="shared" si="31"/>
        <v>0</v>
      </c>
      <c r="CO40" s="108">
        <f t="shared" si="31"/>
        <v>0</v>
      </c>
      <c r="CP40" s="108">
        <f t="shared" si="31"/>
        <v>0</v>
      </c>
      <c r="CQ40" s="108">
        <f t="shared" si="31"/>
        <v>0</v>
      </c>
      <c r="CR40" s="108">
        <f t="shared" si="31"/>
        <v>0</v>
      </c>
      <c r="CS40" s="108">
        <f t="shared" si="31"/>
        <v>0</v>
      </c>
      <c r="CT40" s="108">
        <f t="shared" si="31"/>
        <v>0</v>
      </c>
      <c r="CU40" s="108">
        <f t="shared" si="31"/>
        <v>0</v>
      </c>
      <c r="CV40" s="108">
        <f t="shared" si="31"/>
        <v>0</v>
      </c>
      <c r="CW40" s="110">
        <f t="shared" si="31"/>
        <v>0</v>
      </c>
      <c r="CX40" s="109">
        <f t="shared" si="31"/>
        <v>0</v>
      </c>
      <c r="CY40" s="108">
        <f t="shared" si="31"/>
        <v>0</v>
      </c>
      <c r="CZ40" s="108">
        <f t="shared" si="31"/>
        <v>0</v>
      </c>
      <c r="DA40" s="108">
        <f t="shared" si="31"/>
        <v>0</v>
      </c>
      <c r="DB40" s="108">
        <f t="shared" si="31"/>
        <v>0</v>
      </c>
      <c r="DC40" s="108">
        <f t="shared" si="31"/>
        <v>0</v>
      </c>
      <c r="DD40" s="108">
        <f t="shared" si="31"/>
        <v>0</v>
      </c>
      <c r="DE40" s="108">
        <f t="shared" si="31"/>
        <v>0</v>
      </c>
      <c r="DF40" s="108">
        <f t="shared" si="31"/>
        <v>0</v>
      </c>
      <c r="DG40" s="108">
        <f t="shared" si="31"/>
        <v>0</v>
      </c>
      <c r="DH40" s="108">
        <f t="shared" si="31"/>
        <v>0</v>
      </c>
      <c r="DI40" s="110">
        <f t="shared" si="31"/>
        <v>0</v>
      </c>
      <c r="DJ40" s="109">
        <f t="shared" si="31"/>
        <v>0</v>
      </c>
      <c r="DK40" s="108">
        <f t="shared" si="31"/>
        <v>0</v>
      </c>
      <c r="DL40" s="108">
        <f t="shared" si="31"/>
        <v>0</v>
      </c>
      <c r="DM40" s="108">
        <f t="shared" si="31"/>
        <v>0</v>
      </c>
      <c r="DN40" s="108">
        <f t="shared" si="31"/>
        <v>0</v>
      </c>
      <c r="DO40" s="108">
        <f t="shared" si="31"/>
        <v>0</v>
      </c>
      <c r="DP40" s="108">
        <f t="shared" si="31"/>
        <v>0</v>
      </c>
      <c r="DQ40" s="108">
        <f t="shared" si="31"/>
        <v>0</v>
      </c>
      <c r="DR40" s="108">
        <f t="shared" si="31"/>
        <v>0</v>
      </c>
      <c r="DS40" s="108">
        <f t="shared" si="31"/>
        <v>0</v>
      </c>
      <c r="DT40" s="108">
        <f t="shared" si="31"/>
        <v>0</v>
      </c>
      <c r="DU40" s="110">
        <f t="shared" si="31"/>
        <v>0</v>
      </c>
    </row>
    <row r="41" spans="1:125" s="2" customFormat="1" ht="18.75" customHeight="1" x14ac:dyDescent="0.3">
      <c r="A41" s="245"/>
      <c r="B41" s="273" t="s">
        <v>242</v>
      </c>
      <c r="C41" s="273" t="s">
        <v>225</v>
      </c>
      <c r="D41" s="273">
        <v>1</v>
      </c>
      <c r="E41" s="10">
        <f t="shared" si="28"/>
        <v>-15041.666666666666</v>
      </c>
      <c r="F41" s="403"/>
      <c r="G41" s="403"/>
      <c r="H41" s="403"/>
      <c r="I41" s="403"/>
      <c r="J41" s="403"/>
      <c r="K41" s="403"/>
      <c r="L41" s="403"/>
      <c r="M41" s="403"/>
      <c r="N41" s="403"/>
      <c r="O41" s="403"/>
      <c r="P41" s="403"/>
      <c r="Q41" s="486"/>
      <c r="R41" s="344"/>
      <c r="S41" s="108">
        <f t="shared" ref="S41:AG44" si="32">$E41*$D41*S$6</f>
        <v>-15989.291666666666</v>
      </c>
      <c r="T41" s="108">
        <f t="shared" si="32"/>
        <v>-15989.291666666666</v>
      </c>
      <c r="U41" s="108">
        <f t="shared" si="32"/>
        <v>-15989.291666666666</v>
      </c>
      <c r="V41" s="108">
        <f t="shared" si="32"/>
        <v>-15989.291666666666</v>
      </c>
      <c r="W41" s="108">
        <f t="shared" si="32"/>
        <v>-15989.291666666666</v>
      </c>
      <c r="X41" s="108">
        <f t="shared" si="32"/>
        <v>-15989.291666666666</v>
      </c>
      <c r="Y41" s="108">
        <f t="shared" si="32"/>
        <v>-15989.291666666666</v>
      </c>
      <c r="Z41" s="108">
        <f t="shared" si="32"/>
        <v>-15989.291666666666</v>
      </c>
      <c r="AA41" s="108">
        <f t="shared" si="32"/>
        <v>-15989.291666666666</v>
      </c>
      <c r="AB41" s="108">
        <f t="shared" si="32"/>
        <v>-15989.291666666666</v>
      </c>
      <c r="AC41" s="110">
        <f t="shared" si="32"/>
        <v>-15989.291666666666</v>
      </c>
      <c r="AD41" s="109">
        <f t="shared" si="32"/>
        <v>-16996.617041666661</v>
      </c>
      <c r="AE41" s="108">
        <f t="shared" si="32"/>
        <v>-16996.617041666661</v>
      </c>
      <c r="AF41" s="108">
        <f t="shared" si="32"/>
        <v>-16996.617041666661</v>
      </c>
      <c r="AG41" s="108">
        <f t="shared" si="32"/>
        <v>-16996.617041666661</v>
      </c>
      <c r="AH41" s="108">
        <f t="shared" ref="AH41:CS44" si="33">$E41*$D41*AH$6</f>
        <v>-16996.617041666661</v>
      </c>
      <c r="AI41" s="108">
        <f t="shared" si="33"/>
        <v>-16996.617041666661</v>
      </c>
      <c r="AJ41" s="108">
        <f t="shared" si="33"/>
        <v>-16996.617041666661</v>
      </c>
      <c r="AK41" s="108">
        <f t="shared" si="33"/>
        <v>-16996.617041666661</v>
      </c>
      <c r="AL41" s="108">
        <f t="shared" si="33"/>
        <v>-16996.617041666661</v>
      </c>
      <c r="AM41" s="108">
        <f t="shared" si="33"/>
        <v>-16996.617041666661</v>
      </c>
      <c r="AN41" s="108">
        <f t="shared" si="33"/>
        <v>-16996.617041666661</v>
      </c>
      <c r="AO41" s="110">
        <f t="shared" si="33"/>
        <v>-16996.617041666661</v>
      </c>
      <c r="AP41" s="109">
        <f t="shared" si="33"/>
        <v>-18067.403915291663</v>
      </c>
      <c r="AQ41" s="108">
        <f t="shared" si="33"/>
        <v>-18067.403915291663</v>
      </c>
      <c r="AR41" s="108">
        <f t="shared" si="33"/>
        <v>-18067.403915291663</v>
      </c>
      <c r="AS41" s="108">
        <f t="shared" si="33"/>
        <v>-18067.403915291663</v>
      </c>
      <c r="AT41" s="108">
        <f t="shared" si="33"/>
        <v>-18067.403915291663</v>
      </c>
      <c r="AU41" s="108">
        <f t="shared" si="33"/>
        <v>-18067.403915291663</v>
      </c>
      <c r="AV41" s="108">
        <f t="shared" si="33"/>
        <v>-18067.403915291663</v>
      </c>
      <c r="AW41" s="108">
        <f t="shared" si="33"/>
        <v>-18067.403915291663</v>
      </c>
      <c r="AX41" s="108">
        <f t="shared" si="33"/>
        <v>-18067.403915291663</v>
      </c>
      <c r="AY41" s="108">
        <f t="shared" si="33"/>
        <v>-18067.403915291663</v>
      </c>
      <c r="AZ41" s="108">
        <f t="shared" si="33"/>
        <v>-18067.403915291663</v>
      </c>
      <c r="BA41" s="110">
        <f t="shared" si="33"/>
        <v>-18067.403915291663</v>
      </c>
      <c r="BB41" s="109">
        <f t="shared" si="33"/>
        <v>-19205.650361955035</v>
      </c>
      <c r="BC41" s="108">
        <f t="shared" si="33"/>
        <v>-19205.650361955035</v>
      </c>
      <c r="BD41" s="108">
        <f t="shared" si="33"/>
        <v>-19205.650361955035</v>
      </c>
      <c r="BE41" s="108">
        <f t="shared" si="33"/>
        <v>-19205.650361955035</v>
      </c>
      <c r="BF41" s="108">
        <f t="shared" si="33"/>
        <v>-19205.650361955035</v>
      </c>
      <c r="BG41" s="108">
        <f t="shared" si="33"/>
        <v>-19205.650361955035</v>
      </c>
      <c r="BH41" s="108">
        <f t="shared" si="33"/>
        <v>-19205.650361955035</v>
      </c>
      <c r="BI41" s="108">
        <f t="shared" si="33"/>
        <v>-19205.650361955035</v>
      </c>
      <c r="BJ41" s="108">
        <f t="shared" si="33"/>
        <v>-19205.650361955035</v>
      </c>
      <c r="BK41" s="108">
        <f t="shared" si="33"/>
        <v>-19205.650361955035</v>
      </c>
      <c r="BL41" s="108">
        <f t="shared" si="33"/>
        <v>-19205.650361955035</v>
      </c>
      <c r="BM41" s="110">
        <f t="shared" si="33"/>
        <v>-19205.650361955035</v>
      </c>
      <c r="BN41" s="109">
        <f t="shared" si="33"/>
        <v>-20415.606334758198</v>
      </c>
      <c r="BO41" s="108">
        <f t="shared" si="33"/>
        <v>-20415.606334758198</v>
      </c>
      <c r="BP41" s="108">
        <f t="shared" si="33"/>
        <v>-20415.606334758198</v>
      </c>
      <c r="BQ41" s="108">
        <f t="shared" si="33"/>
        <v>-20415.606334758198</v>
      </c>
      <c r="BR41" s="108">
        <f t="shared" si="33"/>
        <v>-20415.606334758198</v>
      </c>
      <c r="BS41" s="108">
        <f t="shared" si="33"/>
        <v>-20415.606334758198</v>
      </c>
      <c r="BT41" s="108">
        <f t="shared" si="33"/>
        <v>-20415.606334758198</v>
      </c>
      <c r="BU41" s="108">
        <f t="shared" si="33"/>
        <v>-20415.606334758198</v>
      </c>
      <c r="BV41" s="108">
        <f t="shared" si="33"/>
        <v>-20415.606334758198</v>
      </c>
      <c r="BW41" s="108">
        <f t="shared" si="33"/>
        <v>-20415.606334758198</v>
      </c>
      <c r="BX41" s="108">
        <f t="shared" si="33"/>
        <v>-20415.606334758198</v>
      </c>
      <c r="BY41" s="110">
        <f t="shared" si="33"/>
        <v>-20415.606334758198</v>
      </c>
      <c r="BZ41" s="109">
        <f t="shared" si="33"/>
        <v>-21701.789533847968</v>
      </c>
      <c r="CA41" s="108">
        <f t="shared" si="33"/>
        <v>-21701.789533847968</v>
      </c>
      <c r="CB41" s="108">
        <f t="shared" si="33"/>
        <v>-21701.789533847968</v>
      </c>
      <c r="CC41" s="108">
        <f t="shared" si="33"/>
        <v>-21701.789533847968</v>
      </c>
      <c r="CD41" s="108">
        <f t="shared" si="33"/>
        <v>-21701.789533847968</v>
      </c>
      <c r="CE41" s="108">
        <f t="shared" si="33"/>
        <v>-21701.789533847968</v>
      </c>
      <c r="CF41" s="108">
        <f t="shared" si="33"/>
        <v>-21701.789533847968</v>
      </c>
      <c r="CG41" s="108">
        <f t="shared" si="33"/>
        <v>-21701.789533847968</v>
      </c>
      <c r="CH41" s="108">
        <f t="shared" si="33"/>
        <v>-21701.789533847968</v>
      </c>
      <c r="CI41" s="108">
        <f t="shared" si="33"/>
        <v>-21701.789533847968</v>
      </c>
      <c r="CJ41" s="108">
        <f t="shared" si="33"/>
        <v>-21701.789533847968</v>
      </c>
      <c r="CK41" s="110">
        <f t="shared" si="33"/>
        <v>-21701.789533847968</v>
      </c>
      <c r="CL41" s="109">
        <f t="shared" si="33"/>
        <v>-23069.002274480386</v>
      </c>
      <c r="CM41" s="108">
        <f t="shared" si="33"/>
        <v>-23069.002274480386</v>
      </c>
      <c r="CN41" s="108">
        <f t="shared" si="33"/>
        <v>-23069.002274480386</v>
      </c>
      <c r="CO41" s="108">
        <f t="shared" si="33"/>
        <v>-23069.002274480386</v>
      </c>
      <c r="CP41" s="108">
        <f t="shared" si="33"/>
        <v>-23069.002274480386</v>
      </c>
      <c r="CQ41" s="108">
        <f t="shared" si="33"/>
        <v>-23069.002274480386</v>
      </c>
      <c r="CR41" s="108">
        <f t="shared" si="33"/>
        <v>-23069.002274480386</v>
      </c>
      <c r="CS41" s="108">
        <f t="shared" si="33"/>
        <v>-23069.002274480386</v>
      </c>
      <c r="CT41" s="108">
        <f t="shared" ref="CT41:DU44" si="34">$E41*$D41*CT$6</f>
        <v>-23069.002274480386</v>
      </c>
      <c r="CU41" s="108">
        <f t="shared" si="34"/>
        <v>-23069.002274480386</v>
      </c>
      <c r="CV41" s="108">
        <f t="shared" si="34"/>
        <v>-23069.002274480386</v>
      </c>
      <c r="CW41" s="110">
        <f t="shared" si="34"/>
        <v>-23069.002274480386</v>
      </c>
      <c r="CX41" s="109">
        <f t="shared" si="34"/>
        <v>-24522.34941777265</v>
      </c>
      <c r="CY41" s="108">
        <f t="shared" si="34"/>
        <v>-24522.34941777265</v>
      </c>
      <c r="CZ41" s="108">
        <f t="shared" si="34"/>
        <v>-24522.34941777265</v>
      </c>
      <c r="DA41" s="108">
        <f t="shared" si="34"/>
        <v>-24522.34941777265</v>
      </c>
      <c r="DB41" s="108">
        <f t="shared" si="34"/>
        <v>-24522.34941777265</v>
      </c>
      <c r="DC41" s="108">
        <f t="shared" si="34"/>
        <v>-24522.34941777265</v>
      </c>
      <c r="DD41" s="108">
        <f t="shared" si="34"/>
        <v>-24522.34941777265</v>
      </c>
      <c r="DE41" s="108">
        <f t="shared" si="34"/>
        <v>-24522.34941777265</v>
      </c>
      <c r="DF41" s="108">
        <f t="shared" si="34"/>
        <v>-24522.34941777265</v>
      </c>
      <c r="DG41" s="108">
        <f t="shared" si="34"/>
        <v>-24522.34941777265</v>
      </c>
      <c r="DH41" s="108">
        <f t="shared" si="34"/>
        <v>-24522.34941777265</v>
      </c>
      <c r="DI41" s="110">
        <f t="shared" si="34"/>
        <v>-24522.34941777265</v>
      </c>
      <c r="DJ41" s="109">
        <f t="shared" si="34"/>
        <v>-26067.257431092326</v>
      </c>
      <c r="DK41" s="108">
        <f t="shared" si="34"/>
        <v>-26067.257431092326</v>
      </c>
      <c r="DL41" s="108">
        <f t="shared" si="34"/>
        <v>-26067.257431092326</v>
      </c>
      <c r="DM41" s="108">
        <f t="shared" si="34"/>
        <v>-26067.257431092326</v>
      </c>
      <c r="DN41" s="108">
        <f t="shared" si="34"/>
        <v>-26067.257431092326</v>
      </c>
      <c r="DO41" s="108">
        <f t="shared" si="34"/>
        <v>-26067.257431092326</v>
      </c>
      <c r="DP41" s="108">
        <f t="shared" si="34"/>
        <v>-26067.257431092326</v>
      </c>
      <c r="DQ41" s="108">
        <f t="shared" si="34"/>
        <v>-26067.257431092326</v>
      </c>
      <c r="DR41" s="108">
        <f t="shared" si="34"/>
        <v>-26067.257431092326</v>
      </c>
      <c r="DS41" s="108">
        <f t="shared" si="34"/>
        <v>-26067.257431092326</v>
      </c>
      <c r="DT41" s="108">
        <f t="shared" si="34"/>
        <v>-26067.257431092326</v>
      </c>
      <c r="DU41" s="110">
        <f t="shared" si="34"/>
        <v>-26067.257431092326</v>
      </c>
    </row>
    <row r="42" spans="1:125" s="2" customFormat="1" ht="18.75" customHeight="1" x14ac:dyDescent="0.3">
      <c r="A42" s="245"/>
      <c r="B42" s="273" t="s">
        <v>242</v>
      </c>
      <c r="C42" s="273" t="s">
        <v>219</v>
      </c>
      <c r="D42" s="273">
        <v>2</v>
      </c>
      <c r="E42" s="10">
        <f t="shared" si="28"/>
        <v>-8541.6666666666661</v>
      </c>
      <c r="F42" s="403"/>
      <c r="G42" s="403"/>
      <c r="H42" s="403"/>
      <c r="I42" s="403"/>
      <c r="J42" s="403"/>
      <c r="K42" s="403"/>
      <c r="L42" s="403"/>
      <c r="M42" s="403"/>
      <c r="N42" s="403"/>
      <c r="O42" s="403"/>
      <c r="P42" s="403"/>
      <c r="Q42" s="486"/>
      <c r="R42" s="344"/>
      <c r="S42" s="108">
        <f t="shared" si="32"/>
        <v>-18159.583333333332</v>
      </c>
      <c r="T42" s="108">
        <f t="shared" si="32"/>
        <v>-18159.583333333332</v>
      </c>
      <c r="U42" s="108">
        <f t="shared" si="32"/>
        <v>-18159.583333333332</v>
      </c>
      <c r="V42" s="108">
        <f t="shared" si="32"/>
        <v>-18159.583333333332</v>
      </c>
      <c r="W42" s="108">
        <f t="shared" si="32"/>
        <v>-18159.583333333332</v>
      </c>
      <c r="X42" s="108">
        <f t="shared" si="32"/>
        <v>-18159.583333333332</v>
      </c>
      <c r="Y42" s="108">
        <f t="shared" si="32"/>
        <v>-18159.583333333332</v>
      </c>
      <c r="Z42" s="108">
        <f t="shared" si="32"/>
        <v>-18159.583333333332</v>
      </c>
      <c r="AA42" s="108">
        <f t="shared" si="32"/>
        <v>-18159.583333333332</v>
      </c>
      <c r="AB42" s="108">
        <f t="shared" si="32"/>
        <v>-18159.583333333332</v>
      </c>
      <c r="AC42" s="110">
        <f t="shared" si="32"/>
        <v>-18159.583333333332</v>
      </c>
      <c r="AD42" s="109">
        <f t="shared" si="32"/>
        <v>-19303.637083333328</v>
      </c>
      <c r="AE42" s="108">
        <f t="shared" si="32"/>
        <v>-19303.637083333328</v>
      </c>
      <c r="AF42" s="108">
        <f t="shared" si="32"/>
        <v>-19303.637083333328</v>
      </c>
      <c r="AG42" s="108">
        <f t="shared" si="32"/>
        <v>-19303.637083333328</v>
      </c>
      <c r="AH42" s="108">
        <f t="shared" si="33"/>
        <v>-19303.637083333328</v>
      </c>
      <c r="AI42" s="108">
        <f t="shared" si="33"/>
        <v>-19303.637083333328</v>
      </c>
      <c r="AJ42" s="108">
        <f t="shared" si="33"/>
        <v>-19303.637083333328</v>
      </c>
      <c r="AK42" s="108">
        <f t="shared" si="33"/>
        <v>-19303.637083333328</v>
      </c>
      <c r="AL42" s="108">
        <f t="shared" si="33"/>
        <v>-19303.637083333328</v>
      </c>
      <c r="AM42" s="108">
        <f t="shared" si="33"/>
        <v>-19303.637083333328</v>
      </c>
      <c r="AN42" s="108">
        <f t="shared" si="33"/>
        <v>-19303.637083333328</v>
      </c>
      <c r="AO42" s="110">
        <f t="shared" si="33"/>
        <v>-19303.637083333328</v>
      </c>
      <c r="AP42" s="109">
        <f t="shared" si="33"/>
        <v>-20519.766219583325</v>
      </c>
      <c r="AQ42" s="108">
        <f t="shared" si="33"/>
        <v>-20519.766219583325</v>
      </c>
      <c r="AR42" s="108">
        <f t="shared" si="33"/>
        <v>-20519.766219583325</v>
      </c>
      <c r="AS42" s="108">
        <f t="shared" si="33"/>
        <v>-20519.766219583325</v>
      </c>
      <c r="AT42" s="108">
        <f t="shared" si="33"/>
        <v>-20519.766219583325</v>
      </c>
      <c r="AU42" s="108">
        <f t="shared" si="33"/>
        <v>-20519.766219583325</v>
      </c>
      <c r="AV42" s="108">
        <f t="shared" si="33"/>
        <v>-20519.766219583325</v>
      </c>
      <c r="AW42" s="108">
        <f t="shared" si="33"/>
        <v>-20519.766219583325</v>
      </c>
      <c r="AX42" s="108">
        <f t="shared" si="33"/>
        <v>-20519.766219583325</v>
      </c>
      <c r="AY42" s="108">
        <f t="shared" si="33"/>
        <v>-20519.766219583325</v>
      </c>
      <c r="AZ42" s="108">
        <f t="shared" si="33"/>
        <v>-20519.766219583325</v>
      </c>
      <c r="BA42" s="110">
        <f t="shared" si="33"/>
        <v>-20519.766219583325</v>
      </c>
      <c r="BB42" s="109">
        <f t="shared" si="33"/>
        <v>-21812.511491417074</v>
      </c>
      <c r="BC42" s="108">
        <f t="shared" si="33"/>
        <v>-21812.511491417074</v>
      </c>
      <c r="BD42" s="108">
        <f t="shared" si="33"/>
        <v>-21812.511491417074</v>
      </c>
      <c r="BE42" s="108">
        <f t="shared" si="33"/>
        <v>-21812.511491417074</v>
      </c>
      <c r="BF42" s="108">
        <f t="shared" si="33"/>
        <v>-21812.511491417074</v>
      </c>
      <c r="BG42" s="108">
        <f t="shared" si="33"/>
        <v>-21812.511491417074</v>
      </c>
      <c r="BH42" s="108">
        <f t="shared" si="33"/>
        <v>-21812.511491417074</v>
      </c>
      <c r="BI42" s="108">
        <f t="shared" si="33"/>
        <v>-21812.511491417074</v>
      </c>
      <c r="BJ42" s="108">
        <f t="shared" si="33"/>
        <v>-21812.511491417074</v>
      </c>
      <c r="BK42" s="108">
        <f t="shared" si="33"/>
        <v>-21812.511491417074</v>
      </c>
      <c r="BL42" s="108">
        <f t="shared" si="33"/>
        <v>-21812.511491417074</v>
      </c>
      <c r="BM42" s="110">
        <f t="shared" si="33"/>
        <v>-21812.511491417074</v>
      </c>
      <c r="BN42" s="109">
        <f t="shared" si="33"/>
        <v>-23186.699715376348</v>
      </c>
      <c r="BO42" s="108">
        <f t="shared" si="33"/>
        <v>-23186.699715376348</v>
      </c>
      <c r="BP42" s="108">
        <f t="shared" si="33"/>
        <v>-23186.699715376348</v>
      </c>
      <c r="BQ42" s="108">
        <f t="shared" si="33"/>
        <v>-23186.699715376348</v>
      </c>
      <c r="BR42" s="108">
        <f t="shared" si="33"/>
        <v>-23186.699715376348</v>
      </c>
      <c r="BS42" s="108">
        <f t="shared" si="33"/>
        <v>-23186.699715376348</v>
      </c>
      <c r="BT42" s="108">
        <f t="shared" si="33"/>
        <v>-23186.699715376348</v>
      </c>
      <c r="BU42" s="108">
        <f t="shared" si="33"/>
        <v>-23186.699715376348</v>
      </c>
      <c r="BV42" s="108">
        <f t="shared" si="33"/>
        <v>-23186.699715376348</v>
      </c>
      <c r="BW42" s="108">
        <f t="shared" si="33"/>
        <v>-23186.699715376348</v>
      </c>
      <c r="BX42" s="108">
        <f t="shared" si="33"/>
        <v>-23186.699715376348</v>
      </c>
      <c r="BY42" s="110">
        <f t="shared" si="33"/>
        <v>-23186.699715376348</v>
      </c>
      <c r="BZ42" s="109">
        <f t="shared" si="33"/>
        <v>-24647.461797445059</v>
      </c>
      <c r="CA42" s="108">
        <f t="shared" si="33"/>
        <v>-24647.461797445059</v>
      </c>
      <c r="CB42" s="108">
        <f t="shared" si="33"/>
        <v>-24647.461797445059</v>
      </c>
      <c r="CC42" s="108">
        <f t="shared" si="33"/>
        <v>-24647.461797445059</v>
      </c>
      <c r="CD42" s="108">
        <f t="shared" si="33"/>
        <v>-24647.461797445059</v>
      </c>
      <c r="CE42" s="108">
        <f t="shared" si="33"/>
        <v>-24647.461797445059</v>
      </c>
      <c r="CF42" s="108">
        <f t="shared" si="33"/>
        <v>-24647.461797445059</v>
      </c>
      <c r="CG42" s="108">
        <f t="shared" si="33"/>
        <v>-24647.461797445059</v>
      </c>
      <c r="CH42" s="108">
        <f t="shared" si="33"/>
        <v>-24647.461797445059</v>
      </c>
      <c r="CI42" s="108">
        <f t="shared" si="33"/>
        <v>-24647.461797445059</v>
      </c>
      <c r="CJ42" s="108">
        <f t="shared" si="33"/>
        <v>-24647.461797445059</v>
      </c>
      <c r="CK42" s="110">
        <f t="shared" si="33"/>
        <v>-24647.461797445059</v>
      </c>
      <c r="CL42" s="109">
        <f t="shared" si="33"/>
        <v>-26200.251890684096</v>
      </c>
      <c r="CM42" s="108">
        <f t="shared" si="33"/>
        <v>-26200.251890684096</v>
      </c>
      <c r="CN42" s="108">
        <f t="shared" si="33"/>
        <v>-26200.251890684096</v>
      </c>
      <c r="CO42" s="108">
        <f t="shared" si="33"/>
        <v>-26200.251890684096</v>
      </c>
      <c r="CP42" s="108">
        <f t="shared" si="33"/>
        <v>-26200.251890684096</v>
      </c>
      <c r="CQ42" s="108">
        <f t="shared" si="33"/>
        <v>-26200.251890684096</v>
      </c>
      <c r="CR42" s="108">
        <f t="shared" si="33"/>
        <v>-26200.251890684096</v>
      </c>
      <c r="CS42" s="108">
        <f>$E42*$D42*CS$6</f>
        <v>-26200.251890684096</v>
      </c>
      <c r="CT42" s="108">
        <f t="shared" si="34"/>
        <v>-26200.251890684096</v>
      </c>
      <c r="CU42" s="108">
        <f t="shared" si="34"/>
        <v>-26200.251890684096</v>
      </c>
      <c r="CV42" s="108">
        <f t="shared" si="34"/>
        <v>-26200.251890684096</v>
      </c>
      <c r="CW42" s="110">
        <f t="shared" si="34"/>
        <v>-26200.251890684096</v>
      </c>
      <c r="CX42" s="109">
        <f t="shared" si="34"/>
        <v>-27850.867759797191</v>
      </c>
      <c r="CY42" s="108">
        <f t="shared" si="34"/>
        <v>-27850.867759797191</v>
      </c>
      <c r="CZ42" s="108">
        <f t="shared" si="34"/>
        <v>-27850.867759797191</v>
      </c>
      <c r="DA42" s="108">
        <f t="shared" si="34"/>
        <v>-27850.867759797191</v>
      </c>
      <c r="DB42" s="108">
        <f t="shared" si="34"/>
        <v>-27850.867759797191</v>
      </c>
      <c r="DC42" s="108">
        <f t="shared" si="34"/>
        <v>-27850.867759797191</v>
      </c>
      <c r="DD42" s="108">
        <f t="shared" si="34"/>
        <v>-27850.867759797191</v>
      </c>
      <c r="DE42" s="108">
        <f t="shared" si="34"/>
        <v>-27850.867759797191</v>
      </c>
      <c r="DF42" s="108">
        <f t="shared" si="34"/>
        <v>-27850.867759797191</v>
      </c>
      <c r="DG42" s="108">
        <f t="shared" si="34"/>
        <v>-27850.867759797191</v>
      </c>
      <c r="DH42" s="108">
        <f t="shared" si="34"/>
        <v>-27850.867759797191</v>
      </c>
      <c r="DI42" s="110">
        <f t="shared" si="34"/>
        <v>-27850.867759797191</v>
      </c>
      <c r="DJ42" s="109">
        <f t="shared" si="34"/>
        <v>-29605.472428664416</v>
      </c>
      <c r="DK42" s="108">
        <f t="shared" si="34"/>
        <v>-29605.472428664416</v>
      </c>
      <c r="DL42" s="108">
        <f t="shared" si="34"/>
        <v>-29605.472428664416</v>
      </c>
      <c r="DM42" s="108">
        <f t="shared" si="34"/>
        <v>-29605.472428664416</v>
      </c>
      <c r="DN42" s="108">
        <f t="shared" si="34"/>
        <v>-29605.472428664416</v>
      </c>
      <c r="DO42" s="108">
        <f t="shared" si="34"/>
        <v>-29605.472428664416</v>
      </c>
      <c r="DP42" s="108">
        <f t="shared" si="34"/>
        <v>-29605.472428664416</v>
      </c>
      <c r="DQ42" s="108">
        <f t="shared" si="34"/>
        <v>-29605.472428664416</v>
      </c>
      <c r="DR42" s="108">
        <f t="shared" si="34"/>
        <v>-29605.472428664416</v>
      </c>
      <c r="DS42" s="108">
        <f t="shared" si="34"/>
        <v>-29605.472428664416</v>
      </c>
      <c r="DT42" s="108">
        <f t="shared" si="34"/>
        <v>-29605.472428664416</v>
      </c>
      <c r="DU42" s="110">
        <f t="shared" si="34"/>
        <v>-29605.472428664416</v>
      </c>
    </row>
    <row r="43" spans="1:125" s="2" customFormat="1" ht="18.75" customHeight="1" x14ac:dyDescent="0.25">
      <c r="A43" s="246"/>
      <c r="B43" s="273" t="s">
        <v>245</v>
      </c>
      <c r="C43" s="273" t="s">
        <v>217</v>
      </c>
      <c r="D43" s="273">
        <v>1</v>
      </c>
      <c r="E43" s="10">
        <f t="shared" si="28"/>
        <v>-4750</v>
      </c>
      <c r="F43" s="403"/>
      <c r="G43" s="403"/>
      <c r="H43" s="403"/>
      <c r="I43" s="403"/>
      <c r="J43" s="403"/>
      <c r="K43" s="403"/>
      <c r="L43" s="403"/>
      <c r="M43" s="403"/>
      <c r="N43" s="403"/>
      <c r="O43" s="403"/>
      <c r="P43" s="403"/>
      <c r="Q43" s="486"/>
      <c r="R43" s="344"/>
      <c r="S43" s="108">
        <f t="shared" si="32"/>
        <v>-5049.25</v>
      </c>
      <c r="T43" s="108">
        <f t="shared" si="32"/>
        <v>-5049.25</v>
      </c>
      <c r="U43" s="108">
        <f t="shared" si="32"/>
        <v>-5049.25</v>
      </c>
      <c r="V43" s="108">
        <f t="shared" si="32"/>
        <v>-5049.25</v>
      </c>
      <c r="W43" s="108">
        <f t="shared" si="32"/>
        <v>-5049.25</v>
      </c>
      <c r="X43" s="108">
        <f t="shared" si="32"/>
        <v>-5049.25</v>
      </c>
      <c r="Y43" s="108">
        <f t="shared" si="32"/>
        <v>-5049.25</v>
      </c>
      <c r="Z43" s="108">
        <f t="shared" si="32"/>
        <v>-5049.25</v>
      </c>
      <c r="AA43" s="108">
        <f t="shared" si="32"/>
        <v>-5049.25</v>
      </c>
      <c r="AB43" s="108">
        <f t="shared" si="32"/>
        <v>-5049.25</v>
      </c>
      <c r="AC43" s="110">
        <f t="shared" si="32"/>
        <v>-5049.25</v>
      </c>
      <c r="AD43" s="109">
        <f t="shared" si="32"/>
        <v>-5367.3527499999991</v>
      </c>
      <c r="AE43" s="108">
        <f t="shared" si="32"/>
        <v>-5367.3527499999991</v>
      </c>
      <c r="AF43" s="108">
        <f t="shared" si="32"/>
        <v>-5367.3527499999991</v>
      </c>
      <c r="AG43" s="108">
        <f t="shared" si="32"/>
        <v>-5367.3527499999991</v>
      </c>
      <c r="AH43" s="108">
        <f t="shared" si="33"/>
        <v>-5367.3527499999991</v>
      </c>
      <c r="AI43" s="108">
        <f t="shared" si="33"/>
        <v>-5367.3527499999991</v>
      </c>
      <c r="AJ43" s="108">
        <f t="shared" si="33"/>
        <v>-5367.3527499999991</v>
      </c>
      <c r="AK43" s="108">
        <f t="shared" si="33"/>
        <v>-5367.3527499999991</v>
      </c>
      <c r="AL43" s="108">
        <f t="shared" si="33"/>
        <v>-5367.3527499999991</v>
      </c>
      <c r="AM43" s="108">
        <f t="shared" si="33"/>
        <v>-5367.3527499999991</v>
      </c>
      <c r="AN43" s="108">
        <f t="shared" si="33"/>
        <v>-5367.3527499999991</v>
      </c>
      <c r="AO43" s="110">
        <f t="shared" si="33"/>
        <v>-5367.3527499999991</v>
      </c>
      <c r="AP43" s="109">
        <f t="shared" si="33"/>
        <v>-5705.4959732499983</v>
      </c>
      <c r="AQ43" s="108">
        <f t="shared" si="33"/>
        <v>-5705.4959732499983</v>
      </c>
      <c r="AR43" s="108">
        <f t="shared" si="33"/>
        <v>-5705.4959732499983</v>
      </c>
      <c r="AS43" s="108">
        <f t="shared" si="33"/>
        <v>-5705.4959732499983</v>
      </c>
      <c r="AT43" s="108">
        <f t="shared" si="33"/>
        <v>-5705.4959732499983</v>
      </c>
      <c r="AU43" s="108">
        <f t="shared" si="33"/>
        <v>-5705.4959732499983</v>
      </c>
      <c r="AV43" s="108">
        <f t="shared" si="33"/>
        <v>-5705.4959732499983</v>
      </c>
      <c r="AW43" s="108">
        <f t="shared" si="33"/>
        <v>-5705.4959732499983</v>
      </c>
      <c r="AX43" s="108">
        <f t="shared" si="33"/>
        <v>-5705.4959732499983</v>
      </c>
      <c r="AY43" s="108">
        <f t="shared" si="33"/>
        <v>-5705.4959732499983</v>
      </c>
      <c r="AZ43" s="108">
        <f t="shared" si="33"/>
        <v>-5705.4959732499983</v>
      </c>
      <c r="BA43" s="110">
        <f t="shared" si="33"/>
        <v>-5705.4959732499983</v>
      </c>
      <c r="BB43" s="109">
        <f t="shared" si="33"/>
        <v>-6064.9422195647476</v>
      </c>
      <c r="BC43" s="108">
        <f t="shared" si="33"/>
        <v>-6064.9422195647476</v>
      </c>
      <c r="BD43" s="108">
        <f t="shared" si="33"/>
        <v>-6064.9422195647476</v>
      </c>
      <c r="BE43" s="108">
        <f t="shared" si="33"/>
        <v>-6064.9422195647476</v>
      </c>
      <c r="BF43" s="108">
        <f t="shared" si="33"/>
        <v>-6064.9422195647476</v>
      </c>
      <c r="BG43" s="108">
        <f t="shared" si="33"/>
        <v>-6064.9422195647476</v>
      </c>
      <c r="BH43" s="108">
        <f t="shared" si="33"/>
        <v>-6064.9422195647476</v>
      </c>
      <c r="BI43" s="108">
        <f t="shared" si="33"/>
        <v>-6064.9422195647476</v>
      </c>
      <c r="BJ43" s="108">
        <f t="shared" si="33"/>
        <v>-6064.9422195647476</v>
      </c>
      <c r="BK43" s="108">
        <f t="shared" si="33"/>
        <v>-6064.9422195647476</v>
      </c>
      <c r="BL43" s="108">
        <f t="shared" si="33"/>
        <v>-6064.9422195647476</v>
      </c>
      <c r="BM43" s="110">
        <f t="shared" si="33"/>
        <v>-6064.9422195647476</v>
      </c>
      <c r="BN43" s="109">
        <f t="shared" si="33"/>
        <v>-6447.0335793973263</v>
      </c>
      <c r="BO43" s="108">
        <f t="shared" si="33"/>
        <v>-6447.0335793973263</v>
      </c>
      <c r="BP43" s="108">
        <f t="shared" si="33"/>
        <v>-6447.0335793973263</v>
      </c>
      <c r="BQ43" s="108">
        <f t="shared" si="33"/>
        <v>-6447.0335793973263</v>
      </c>
      <c r="BR43" s="108">
        <f t="shared" si="33"/>
        <v>-6447.0335793973263</v>
      </c>
      <c r="BS43" s="108">
        <f t="shared" si="33"/>
        <v>-6447.0335793973263</v>
      </c>
      <c r="BT43" s="108">
        <f t="shared" si="33"/>
        <v>-6447.0335793973263</v>
      </c>
      <c r="BU43" s="108">
        <f t="shared" si="33"/>
        <v>-6447.0335793973263</v>
      </c>
      <c r="BV43" s="108">
        <f t="shared" si="33"/>
        <v>-6447.0335793973263</v>
      </c>
      <c r="BW43" s="108">
        <f t="shared" si="33"/>
        <v>-6447.0335793973263</v>
      </c>
      <c r="BX43" s="108">
        <f t="shared" si="33"/>
        <v>-6447.0335793973263</v>
      </c>
      <c r="BY43" s="110">
        <f t="shared" si="33"/>
        <v>-6447.0335793973263</v>
      </c>
      <c r="BZ43" s="109">
        <f t="shared" si="33"/>
        <v>-6853.1966948993586</v>
      </c>
      <c r="CA43" s="108">
        <f t="shared" si="33"/>
        <v>-6853.1966948993586</v>
      </c>
      <c r="CB43" s="108">
        <f t="shared" si="33"/>
        <v>-6853.1966948993586</v>
      </c>
      <c r="CC43" s="108">
        <f t="shared" si="33"/>
        <v>-6853.1966948993586</v>
      </c>
      <c r="CD43" s="108">
        <f t="shared" si="33"/>
        <v>-6853.1966948993586</v>
      </c>
      <c r="CE43" s="108">
        <f t="shared" si="33"/>
        <v>-6853.1966948993586</v>
      </c>
      <c r="CF43" s="108">
        <f t="shared" si="33"/>
        <v>-6853.1966948993586</v>
      </c>
      <c r="CG43" s="108">
        <f t="shared" si="33"/>
        <v>-6853.1966948993586</v>
      </c>
      <c r="CH43" s="108">
        <f t="shared" si="33"/>
        <v>-6853.1966948993586</v>
      </c>
      <c r="CI43" s="108">
        <f t="shared" si="33"/>
        <v>-6853.1966948993586</v>
      </c>
      <c r="CJ43" s="108">
        <f t="shared" si="33"/>
        <v>-6853.1966948993586</v>
      </c>
      <c r="CK43" s="110">
        <f t="shared" si="33"/>
        <v>-6853.1966948993586</v>
      </c>
      <c r="CL43" s="109">
        <f t="shared" si="33"/>
        <v>-7284.9480866780177</v>
      </c>
      <c r="CM43" s="108">
        <f t="shared" si="33"/>
        <v>-7284.9480866780177</v>
      </c>
      <c r="CN43" s="108">
        <f t="shared" si="33"/>
        <v>-7284.9480866780177</v>
      </c>
      <c r="CO43" s="108">
        <f t="shared" si="33"/>
        <v>-7284.9480866780177</v>
      </c>
      <c r="CP43" s="108">
        <f t="shared" si="33"/>
        <v>-7284.9480866780177</v>
      </c>
      <c r="CQ43" s="108">
        <f t="shared" si="33"/>
        <v>-7284.9480866780177</v>
      </c>
      <c r="CR43" s="108">
        <f t="shared" si="33"/>
        <v>-7284.9480866780177</v>
      </c>
      <c r="CS43" s="108">
        <f t="shared" si="33"/>
        <v>-7284.9480866780177</v>
      </c>
      <c r="CT43" s="108">
        <f t="shared" si="34"/>
        <v>-7284.9480866780177</v>
      </c>
      <c r="CU43" s="108">
        <f t="shared" si="34"/>
        <v>-7284.9480866780177</v>
      </c>
      <c r="CV43" s="108">
        <f t="shared" si="34"/>
        <v>-7284.9480866780177</v>
      </c>
      <c r="CW43" s="110">
        <f t="shared" si="34"/>
        <v>-7284.9480866780177</v>
      </c>
      <c r="CX43" s="109">
        <f t="shared" si="34"/>
        <v>-7743.8998161387317</v>
      </c>
      <c r="CY43" s="108">
        <f t="shared" si="34"/>
        <v>-7743.8998161387317</v>
      </c>
      <c r="CZ43" s="108">
        <f t="shared" si="34"/>
        <v>-7743.8998161387317</v>
      </c>
      <c r="DA43" s="108">
        <f t="shared" si="34"/>
        <v>-7743.8998161387317</v>
      </c>
      <c r="DB43" s="108">
        <f t="shared" si="34"/>
        <v>-7743.8998161387317</v>
      </c>
      <c r="DC43" s="108">
        <f t="shared" si="34"/>
        <v>-7743.8998161387317</v>
      </c>
      <c r="DD43" s="108">
        <f t="shared" si="34"/>
        <v>-7743.8998161387317</v>
      </c>
      <c r="DE43" s="108">
        <f t="shared" si="34"/>
        <v>-7743.8998161387317</v>
      </c>
      <c r="DF43" s="108">
        <f t="shared" si="34"/>
        <v>-7743.8998161387317</v>
      </c>
      <c r="DG43" s="108">
        <f t="shared" si="34"/>
        <v>-7743.8998161387317</v>
      </c>
      <c r="DH43" s="108">
        <f t="shared" si="34"/>
        <v>-7743.8998161387317</v>
      </c>
      <c r="DI43" s="110">
        <f t="shared" si="34"/>
        <v>-7743.8998161387317</v>
      </c>
      <c r="DJ43" s="109">
        <f t="shared" si="34"/>
        <v>-8231.7655045554729</v>
      </c>
      <c r="DK43" s="108">
        <f t="shared" si="34"/>
        <v>-8231.7655045554729</v>
      </c>
      <c r="DL43" s="108">
        <f t="shared" si="34"/>
        <v>-8231.7655045554729</v>
      </c>
      <c r="DM43" s="108">
        <f t="shared" si="34"/>
        <v>-8231.7655045554729</v>
      </c>
      <c r="DN43" s="108">
        <f t="shared" si="34"/>
        <v>-8231.7655045554729</v>
      </c>
      <c r="DO43" s="108">
        <f t="shared" si="34"/>
        <v>-8231.7655045554729</v>
      </c>
      <c r="DP43" s="108">
        <f t="shared" si="34"/>
        <v>-8231.7655045554729</v>
      </c>
      <c r="DQ43" s="108">
        <f t="shared" si="34"/>
        <v>-8231.7655045554729</v>
      </c>
      <c r="DR43" s="108">
        <f t="shared" si="34"/>
        <v>-8231.7655045554729</v>
      </c>
      <c r="DS43" s="108">
        <f t="shared" si="34"/>
        <v>-8231.7655045554729</v>
      </c>
      <c r="DT43" s="108">
        <f t="shared" si="34"/>
        <v>-8231.7655045554729</v>
      </c>
      <c r="DU43" s="110">
        <f t="shared" si="34"/>
        <v>-8231.7655045554729</v>
      </c>
    </row>
    <row r="44" spans="1:125" s="2" customFormat="1" ht="18.75" customHeight="1" x14ac:dyDescent="0.25">
      <c r="A44" s="246"/>
      <c r="B44" s="273" t="s">
        <v>244</v>
      </c>
      <c r="C44" s="273" t="s">
        <v>216</v>
      </c>
      <c r="D44" s="273">
        <v>3</v>
      </c>
      <c r="E44" s="10">
        <f t="shared" si="28"/>
        <v>-4208.333333333333</v>
      </c>
      <c r="F44" s="403"/>
      <c r="G44" s="403"/>
      <c r="H44" s="403"/>
      <c r="I44" s="403"/>
      <c r="J44" s="403"/>
      <c r="K44" s="403"/>
      <c r="L44" s="403"/>
      <c r="M44" s="403"/>
      <c r="N44" s="403"/>
      <c r="O44" s="403"/>
      <c r="P44" s="403"/>
      <c r="Q44" s="486"/>
      <c r="R44" s="344"/>
      <c r="S44" s="108">
        <f t="shared" si="32"/>
        <v>-13420.375</v>
      </c>
      <c r="T44" s="108">
        <f t="shared" si="32"/>
        <v>-13420.375</v>
      </c>
      <c r="U44" s="108">
        <f t="shared" si="32"/>
        <v>-13420.375</v>
      </c>
      <c r="V44" s="108">
        <f t="shared" si="32"/>
        <v>-13420.375</v>
      </c>
      <c r="W44" s="108">
        <f t="shared" si="32"/>
        <v>-13420.375</v>
      </c>
      <c r="X44" s="108">
        <f t="shared" si="32"/>
        <v>-13420.375</v>
      </c>
      <c r="Y44" s="108">
        <f t="shared" si="32"/>
        <v>-13420.375</v>
      </c>
      <c r="Z44" s="108">
        <f t="shared" si="32"/>
        <v>-13420.375</v>
      </c>
      <c r="AA44" s="108">
        <f t="shared" si="32"/>
        <v>-13420.375</v>
      </c>
      <c r="AB44" s="108">
        <f t="shared" si="32"/>
        <v>-13420.375</v>
      </c>
      <c r="AC44" s="110">
        <f t="shared" si="32"/>
        <v>-13420.375</v>
      </c>
      <c r="AD44" s="109">
        <f t="shared" si="32"/>
        <v>-14265.858624999997</v>
      </c>
      <c r="AE44" s="108">
        <f t="shared" si="32"/>
        <v>-14265.858624999997</v>
      </c>
      <c r="AF44" s="108">
        <f t="shared" si="32"/>
        <v>-14265.858624999997</v>
      </c>
      <c r="AG44" s="108">
        <f t="shared" si="32"/>
        <v>-14265.858624999997</v>
      </c>
      <c r="AH44" s="108">
        <f t="shared" si="33"/>
        <v>-14265.858624999997</v>
      </c>
      <c r="AI44" s="108">
        <f t="shared" si="33"/>
        <v>-14265.858624999997</v>
      </c>
      <c r="AJ44" s="108">
        <f t="shared" si="33"/>
        <v>-14265.858624999997</v>
      </c>
      <c r="AK44" s="108">
        <f t="shared" si="33"/>
        <v>-14265.858624999997</v>
      </c>
      <c r="AL44" s="108">
        <f t="shared" si="33"/>
        <v>-14265.858624999997</v>
      </c>
      <c r="AM44" s="108">
        <f t="shared" si="33"/>
        <v>-14265.858624999997</v>
      </c>
      <c r="AN44" s="108">
        <f t="shared" si="33"/>
        <v>-14265.858624999997</v>
      </c>
      <c r="AO44" s="110">
        <f t="shared" si="33"/>
        <v>-14265.858624999997</v>
      </c>
      <c r="AP44" s="109">
        <f t="shared" si="33"/>
        <v>-15164.607718374997</v>
      </c>
      <c r="AQ44" s="108">
        <f t="shared" si="33"/>
        <v>-15164.607718374997</v>
      </c>
      <c r="AR44" s="108">
        <f t="shared" si="33"/>
        <v>-15164.607718374997</v>
      </c>
      <c r="AS44" s="108">
        <f t="shared" si="33"/>
        <v>-15164.607718374997</v>
      </c>
      <c r="AT44" s="108">
        <f t="shared" si="33"/>
        <v>-15164.607718374997</v>
      </c>
      <c r="AU44" s="108">
        <f t="shared" si="33"/>
        <v>-15164.607718374997</v>
      </c>
      <c r="AV44" s="108">
        <f t="shared" si="33"/>
        <v>-15164.607718374997</v>
      </c>
      <c r="AW44" s="108">
        <f t="shared" si="33"/>
        <v>-15164.607718374997</v>
      </c>
      <c r="AX44" s="108">
        <f t="shared" si="33"/>
        <v>-15164.607718374997</v>
      </c>
      <c r="AY44" s="108">
        <f t="shared" si="33"/>
        <v>-15164.607718374997</v>
      </c>
      <c r="AZ44" s="108">
        <f t="shared" si="33"/>
        <v>-15164.607718374997</v>
      </c>
      <c r="BA44" s="110">
        <f t="shared" si="33"/>
        <v>-15164.607718374997</v>
      </c>
      <c r="BB44" s="109">
        <f t="shared" si="33"/>
        <v>-16119.97800463262</v>
      </c>
      <c r="BC44" s="108">
        <f t="shared" si="33"/>
        <v>-16119.97800463262</v>
      </c>
      <c r="BD44" s="108">
        <f t="shared" si="33"/>
        <v>-16119.97800463262</v>
      </c>
      <c r="BE44" s="108">
        <f t="shared" si="33"/>
        <v>-16119.97800463262</v>
      </c>
      <c r="BF44" s="108">
        <f t="shared" si="33"/>
        <v>-16119.97800463262</v>
      </c>
      <c r="BG44" s="108">
        <f t="shared" si="33"/>
        <v>-16119.97800463262</v>
      </c>
      <c r="BH44" s="108">
        <f t="shared" si="33"/>
        <v>-16119.97800463262</v>
      </c>
      <c r="BI44" s="108">
        <f t="shared" si="33"/>
        <v>-16119.97800463262</v>
      </c>
      <c r="BJ44" s="108">
        <f t="shared" si="33"/>
        <v>-16119.97800463262</v>
      </c>
      <c r="BK44" s="108">
        <f t="shared" si="33"/>
        <v>-16119.97800463262</v>
      </c>
      <c r="BL44" s="108">
        <f t="shared" si="33"/>
        <v>-16119.97800463262</v>
      </c>
      <c r="BM44" s="110">
        <f t="shared" si="33"/>
        <v>-16119.97800463262</v>
      </c>
      <c r="BN44" s="109">
        <f t="shared" si="33"/>
        <v>-17135.536618924474</v>
      </c>
      <c r="BO44" s="108">
        <f t="shared" si="33"/>
        <v>-17135.536618924474</v>
      </c>
      <c r="BP44" s="108">
        <f t="shared" si="33"/>
        <v>-17135.536618924474</v>
      </c>
      <c r="BQ44" s="108">
        <f t="shared" si="33"/>
        <v>-17135.536618924474</v>
      </c>
      <c r="BR44" s="108">
        <f t="shared" si="33"/>
        <v>-17135.536618924474</v>
      </c>
      <c r="BS44" s="108">
        <f t="shared" si="33"/>
        <v>-17135.536618924474</v>
      </c>
      <c r="BT44" s="108">
        <f t="shared" si="33"/>
        <v>-17135.536618924474</v>
      </c>
      <c r="BU44" s="108">
        <f t="shared" si="33"/>
        <v>-17135.536618924474</v>
      </c>
      <c r="BV44" s="108">
        <f t="shared" si="33"/>
        <v>-17135.536618924474</v>
      </c>
      <c r="BW44" s="108">
        <f t="shared" si="33"/>
        <v>-17135.536618924474</v>
      </c>
      <c r="BX44" s="108">
        <f t="shared" si="33"/>
        <v>-17135.536618924474</v>
      </c>
      <c r="BY44" s="110">
        <f t="shared" si="33"/>
        <v>-17135.536618924474</v>
      </c>
      <c r="BZ44" s="109">
        <f t="shared" si="33"/>
        <v>-18215.075425916715</v>
      </c>
      <c r="CA44" s="108">
        <f t="shared" si="33"/>
        <v>-18215.075425916715</v>
      </c>
      <c r="CB44" s="108">
        <f t="shared" si="33"/>
        <v>-18215.075425916715</v>
      </c>
      <c r="CC44" s="108">
        <f t="shared" si="33"/>
        <v>-18215.075425916715</v>
      </c>
      <c r="CD44" s="108">
        <f t="shared" si="33"/>
        <v>-18215.075425916715</v>
      </c>
      <c r="CE44" s="108">
        <f t="shared" si="33"/>
        <v>-18215.075425916715</v>
      </c>
      <c r="CF44" s="108">
        <f t="shared" si="33"/>
        <v>-18215.075425916715</v>
      </c>
      <c r="CG44" s="108">
        <f t="shared" si="33"/>
        <v>-18215.075425916715</v>
      </c>
      <c r="CH44" s="108">
        <f t="shared" si="33"/>
        <v>-18215.075425916715</v>
      </c>
      <c r="CI44" s="108">
        <f t="shared" si="33"/>
        <v>-18215.075425916715</v>
      </c>
      <c r="CJ44" s="108">
        <f t="shared" si="33"/>
        <v>-18215.075425916715</v>
      </c>
      <c r="CK44" s="110">
        <f t="shared" si="33"/>
        <v>-18215.075425916715</v>
      </c>
      <c r="CL44" s="109">
        <f t="shared" si="33"/>
        <v>-19362.625177749469</v>
      </c>
      <c r="CM44" s="108">
        <f t="shared" si="33"/>
        <v>-19362.625177749469</v>
      </c>
      <c r="CN44" s="108">
        <f t="shared" si="33"/>
        <v>-19362.625177749469</v>
      </c>
      <c r="CO44" s="108">
        <f t="shared" si="33"/>
        <v>-19362.625177749469</v>
      </c>
      <c r="CP44" s="108">
        <f t="shared" si="33"/>
        <v>-19362.625177749469</v>
      </c>
      <c r="CQ44" s="108">
        <f t="shared" si="33"/>
        <v>-19362.625177749469</v>
      </c>
      <c r="CR44" s="108">
        <f t="shared" si="33"/>
        <v>-19362.625177749469</v>
      </c>
      <c r="CS44" s="108">
        <f t="shared" si="33"/>
        <v>-19362.625177749469</v>
      </c>
      <c r="CT44" s="108">
        <f t="shared" si="34"/>
        <v>-19362.625177749469</v>
      </c>
      <c r="CU44" s="108">
        <f t="shared" si="34"/>
        <v>-19362.625177749469</v>
      </c>
      <c r="CV44" s="108">
        <f t="shared" si="34"/>
        <v>-19362.625177749469</v>
      </c>
      <c r="CW44" s="110">
        <f t="shared" si="34"/>
        <v>-19362.625177749469</v>
      </c>
      <c r="CX44" s="109">
        <f t="shared" si="34"/>
        <v>-20582.470563947682</v>
      </c>
      <c r="CY44" s="108">
        <f t="shared" si="34"/>
        <v>-20582.470563947682</v>
      </c>
      <c r="CZ44" s="108">
        <f t="shared" si="34"/>
        <v>-20582.470563947682</v>
      </c>
      <c r="DA44" s="108">
        <f t="shared" si="34"/>
        <v>-20582.470563947682</v>
      </c>
      <c r="DB44" s="108">
        <f t="shared" si="34"/>
        <v>-20582.470563947682</v>
      </c>
      <c r="DC44" s="108">
        <f t="shared" si="34"/>
        <v>-20582.470563947682</v>
      </c>
      <c r="DD44" s="108">
        <f t="shared" si="34"/>
        <v>-20582.470563947682</v>
      </c>
      <c r="DE44" s="108">
        <f t="shared" si="34"/>
        <v>-20582.470563947682</v>
      </c>
      <c r="DF44" s="108">
        <f t="shared" si="34"/>
        <v>-20582.470563947682</v>
      </c>
      <c r="DG44" s="108">
        <f t="shared" si="34"/>
        <v>-20582.470563947682</v>
      </c>
      <c r="DH44" s="108">
        <f t="shared" si="34"/>
        <v>-20582.470563947682</v>
      </c>
      <c r="DI44" s="110">
        <f t="shared" si="34"/>
        <v>-20582.470563947682</v>
      </c>
      <c r="DJ44" s="109">
        <f t="shared" si="34"/>
        <v>-21879.166209476385</v>
      </c>
      <c r="DK44" s="108">
        <f t="shared" si="34"/>
        <v>-21879.166209476385</v>
      </c>
      <c r="DL44" s="108">
        <f t="shared" si="34"/>
        <v>-21879.166209476385</v>
      </c>
      <c r="DM44" s="108">
        <f t="shared" si="34"/>
        <v>-21879.166209476385</v>
      </c>
      <c r="DN44" s="108">
        <f t="shared" si="34"/>
        <v>-21879.166209476385</v>
      </c>
      <c r="DO44" s="108">
        <f t="shared" si="34"/>
        <v>-21879.166209476385</v>
      </c>
      <c r="DP44" s="108">
        <f t="shared" si="34"/>
        <v>-21879.166209476385</v>
      </c>
      <c r="DQ44" s="108">
        <f t="shared" si="34"/>
        <v>-21879.166209476385</v>
      </c>
      <c r="DR44" s="108">
        <f t="shared" si="34"/>
        <v>-21879.166209476385</v>
      </c>
      <c r="DS44" s="108">
        <f t="shared" si="34"/>
        <v>-21879.166209476385</v>
      </c>
      <c r="DT44" s="108">
        <f t="shared" si="34"/>
        <v>-21879.166209476385</v>
      </c>
      <c r="DU44" s="110">
        <f t="shared" si="34"/>
        <v>-21879.166209476385</v>
      </c>
    </row>
    <row r="45" spans="1:125" s="2" customFormat="1" ht="18.75" customHeight="1" x14ac:dyDescent="0.25">
      <c r="A45" s="251"/>
      <c r="B45" s="252"/>
      <c r="C45" s="252"/>
      <c r="D45" s="252">
        <f>SUM(D9:D44)</f>
        <v>130.4</v>
      </c>
      <c r="E45" s="10"/>
      <c r="F45" s="275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607"/>
      <c r="R45" s="1323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607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607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607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607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607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607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607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607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607"/>
    </row>
    <row r="46" spans="1:125" s="2" customFormat="1" ht="18.75" customHeight="1" thickBot="1" x14ac:dyDescent="0.3">
      <c r="A46" s="167"/>
      <c r="B46" s="8"/>
      <c r="C46" s="8"/>
      <c r="D46" s="8"/>
      <c r="E46" s="10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606"/>
      <c r="R46" s="1322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606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606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606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606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606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606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606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606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606"/>
    </row>
    <row r="47" spans="1:125" s="6" customFormat="1" ht="26.25" customHeight="1" thickBot="1" x14ac:dyDescent="0.35">
      <c r="A47" s="1446" t="s">
        <v>160</v>
      </c>
      <c r="B47" s="1446"/>
      <c r="C47" s="1446"/>
      <c r="D47" s="1446"/>
      <c r="E47" s="585"/>
      <c r="F47" s="232">
        <f t="shared" ref="F47:Q47" si="35">SUM(F9:F44)</f>
        <v>0</v>
      </c>
      <c r="G47" s="232">
        <f t="shared" si="35"/>
        <v>0</v>
      </c>
      <c r="H47" s="232">
        <f t="shared" si="35"/>
        <v>0</v>
      </c>
      <c r="I47" s="232">
        <f t="shared" si="35"/>
        <v>0</v>
      </c>
      <c r="J47" s="232">
        <f t="shared" si="35"/>
        <v>0</v>
      </c>
      <c r="K47" s="232">
        <f t="shared" si="35"/>
        <v>0</v>
      </c>
      <c r="L47" s="232">
        <f t="shared" si="35"/>
        <v>0</v>
      </c>
      <c r="M47" s="232">
        <f t="shared" si="35"/>
        <v>0</v>
      </c>
      <c r="N47" s="232">
        <f t="shared" si="35"/>
        <v>0</v>
      </c>
      <c r="O47" s="232">
        <f t="shared" si="35"/>
        <v>0</v>
      </c>
      <c r="P47" s="232">
        <f t="shared" si="35"/>
        <v>0</v>
      </c>
      <c r="Q47" s="233">
        <f t="shared" si="35"/>
        <v>0</v>
      </c>
      <c r="R47" s="1176">
        <f t="shared" ref="R47:AW47" si="36">SUM(R9:R44)</f>
        <v>0</v>
      </c>
      <c r="S47" s="232">
        <f t="shared" si="36"/>
        <v>-395258.83333333331</v>
      </c>
      <c r="T47" s="232">
        <f t="shared" si="36"/>
        <v>-395258.83333333331</v>
      </c>
      <c r="U47" s="232">
        <f t="shared" si="36"/>
        <v>-395258.83333333331</v>
      </c>
      <c r="V47" s="232">
        <f t="shared" si="36"/>
        <v>-395258.83333333331</v>
      </c>
      <c r="W47" s="232">
        <f t="shared" si="36"/>
        <v>-395258.83333333331</v>
      </c>
      <c r="X47" s="232">
        <f t="shared" si="36"/>
        <v>-467985.75</v>
      </c>
      <c r="Y47" s="232">
        <f t="shared" si="36"/>
        <v>-467985.75</v>
      </c>
      <c r="Z47" s="232">
        <f t="shared" si="36"/>
        <v>-467985.75</v>
      </c>
      <c r="AA47" s="232">
        <f t="shared" si="36"/>
        <v>-467985.75</v>
      </c>
      <c r="AB47" s="232">
        <f t="shared" si="36"/>
        <v>-467985.75</v>
      </c>
      <c r="AC47" s="233">
        <f t="shared" si="36"/>
        <v>-467985.75</v>
      </c>
      <c r="AD47" s="232">
        <f t="shared" si="36"/>
        <v>-497468.85224999988</v>
      </c>
      <c r="AE47" s="232">
        <f t="shared" si="36"/>
        <v>-870876.52470833296</v>
      </c>
      <c r="AF47" s="232">
        <f t="shared" si="36"/>
        <v>-870876.52470833296</v>
      </c>
      <c r="AG47" s="232">
        <f t="shared" si="36"/>
        <v>-870876.52470833296</v>
      </c>
      <c r="AH47" s="232">
        <f t="shared" si="36"/>
        <v>-870876.52470833296</v>
      </c>
      <c r="AI47" s="232">
        <f t="shared" si="36"/>
        <v>-870876.52470833296</v>
      </c>
      <c r="AJ47" s="232">
        <f t="shared" si="36"/>
        <v>-870876.52470833296</v>
      </c>
      <c r="AK47" s="232">
        <f t="shared" si="36"/>
        <v>-870876.52470833296</v>
      </c>
      <c r="AL47" s="232">
        <f t="shared" si="36"/>
        <v>-870876.52470833296</v>
      </c>
      <c r="AM47" s="232">
        <f t="shared" si="36"/>
        <v>-870876.52470833296</v>
      </c>
      <c r="AN47" s="232">
        <f t="shared" si="36"/>
        <v>-870876.52470833296</v>
      </c>
      <c r="AO47" s="763">
        <f t="shared" si="36"/>
        <v>-870876.52470833296</v>
      </c>
      <c r="AP47" s="232">
        <f t="shared" si="36"/>
        <v>-1001714.9289877083</v>
      </c>
      <c r="AQ47" s="232">
        <f t="shared" si="36"/>
        <v>-1225880.8628840831</v>
      </c>
      <c r="AR47" s="232">
        <f t="shared" si="36"/>
        <v>-1225880.8628840831</v>
      </c>
      <c r="AS47" s="232">
        <f t="shared" si="36"/>
        <v>-1225880.8628840831</v>
      </c>
      <c r="AT47" s="232">
        <f t="shared" si="36"/>
        <v>-1225880.8628840831</v>
      </c>
      <c r="AU47" s="232">
        <f t="shared" si="36"/>
        <v>-1225880.8628840831</v>
      </c>
      <c r="AV47" s="232">
        <f t="shared" si="36"/>
        <v>-1225880.8628840831</v>
      </c>
      <c r="AW47" s="232">
        <f t="shared" si="36"/>
        <v>-1225880.8628840831</v>
      </c>
      <c r="AX47" s="232">
        <f t="shared" ref="AX47:CC47" si="37">SUM(AX9:AX44)</f>
        <v>-1225880.8628840831</v>
      </c>
      <c r="AY47" s="232">
        <f t="shared" si="37"/>
        <v>-1225880.8628840831</v>
      </c>
      <c r="AZ47" s="232">
        <f t="shared" si="37"/>
        <v>-1225880.8628840831</v>
      </c>
      <c r="BA47" s="763">
        <f t="shared" si="37"/>
        <v>-1225880.8628840831</v>
      </c>
      <c r="BB47" s="232">
        <f t="shared" si="37"/>
        <v>-1389084.5732704871</v>
      </c>
      <c r="BC47" s="232">
        <f t="shared" si="37"/>
        <v>-1389084.5732704871</v>
      </c>
      <c r="BD47" s="232">
        <f t="shared" si="37"/>
        <v>-1389084.5732704871</v>
      </c>
      <c r="BE47" s="232">
        <f t="shared" si="37"/>
        <v>-1389084.5732704871</v>
      </c>
      <c r="BF47" s="232">
        <f t="shared" si="37"/>
        <v>-1389084.5732704871</v>
      </c>
      <c r="BG47" s="232">
        <f t="shared" si="37"/>
        <v>-1389084.5732704871</v>
      </c>
      <c r="BH47" s="232">
        <f t="shared" si="37"/>
        <v>-1389084.5732704871</v>
      </c>
      <c r="BI47" s="232">
        <f t="shared" si="37"/>
        <v>-1389084.5732704871</v>
      </c>
      <c r="BJ47" s="232">
        <f t="shared" si="37"/>
        <v>-1389084.5732704871</v>
      </c>
      <c r="BK47" s="232">
        <f t="shared" si="37"/>
        <v>-1389084.5732704871</v>
      </c>
      <c r="BL47" s="232">
        <f t="shared" si="37"/>
        <v>-1389084.5732704871</v>
      </c>
      <c r="BM47" s="763">
        <f t="shared" si="37"/>
        <v>-1389084.5732704871</v>
      </c>
      <c r="BN47" s="232">
        <f t="shared" si="37"/>
        <v>-1476596.9013865278</v>
      </c>
      <c r="BO47" s="232">
        <f t="shared" si="37"/>
        <v>-1476596.9013865278</v>
      </c>
      <c r="BP47" s="232">
        <f t="shared" si="37"/>
        <v>-1476596.9013865278</v>
      </c>
      <c r="BQ47" s="232">
        <f t="shared" si="37"/>
        <v>-1476596.9013865278</v>
      </c>
      <c r="BR47" s="232">
        <f t="shared" si="37"/>
        <v>-1476596.9013865278</v>
      </c>
      <c r="BS47" s="232">
        <f t="shared" si="37"/>
        <v>-1476596.9013865278</v>
      </c>
      <c r="BT47" s="232">
        <f t="shared" si="37"/>
        <v>-1476596.9013865278</v>
      </c>
      <c r="BU47" s="232">
        <f t="shared" si="37"/>
        <v>-1476596.9013865278</v>
      </c>
      <c r="BV47" s="232">
        <f t="shared" si="37"/>
        <v>-1476596.9013865278</v>
      </c>
      <c r="BW47" s="232">
        <f t="shared" si="37"/>
        <v>-1476596.9013865278</v>
      </c>
      <c r="BX47" s="232">
        <f t="shared" si="37"/>
        <v>-1476596.9013865278</v>
      </c>
      <c r="BY47" s="763">
        <f t="shared" si="37"/>
        <v>-1476596.9013865278</v>
      </c>
      <c r="BZ47" s="232">
        <f t="shared" si="37"/>
        <v>-1569622.5061738794</v>
      </c>
      <c r="CA47" s="232">
        <f t="shared" si="37"/>
        <v>-1569622.5061738794</v>
      </c>
      <c r="CB47" s="232">
        <f t="shared" si="37"/>
        <v>-1569622.5061738794</v>
      </c>
      <c r="CC47" s="232">
        <f t="shared" si="37"/>
        <v>-1569622.5061738794</v>
      </c>
      <c r="CD47" s="232">
        <f t="shared" ref="CD47:DI47" si="38">SUM(CD9:CD44)</f>
        <v>-1569622.5061738794</v>
      </c>
      <c r="CE47" s="232">
        <f t="shared" si="38"/>
        <v>-1569622.5061738794</v>
      </c>
      <c r="CF47" s="232">
        <f t="shared" si="38"/>
        <v>-1569622.5061738794</v>
      </c>
      <c r="CG47" s="232">
        <f t="shared" si="38"/>
        <v>-1569622.5061738794</v>
      </c>
      <c r="CH47" s="232">
        <f t="shared" si="38"/>
        <v>-1569622.5061738794</v>
      </c>
      <c r="CI47" s="232">
        <f t="shared" si="38"/>
        <v>-1569622.5061738794</v>
      </c>
      <c r="CJ47" s="232">
        <f t="shared" si="38"/>
        <v>-1569622.5061738794</v>
      </c>
      <c r="CK47" s="763">
        <f t="shared" si="38"/>
        <v>-1569622.5061738794</v>
      </c>
      <c r="CL47" s="232">
        <f t="shared" si="38"/>
        <v>-1668508.7240628337</v>
      </c>
      <c r="CM47" s="232">
        <f t="shared" si="38"/>
        <v>-1668508.7240628337</v>
      </c>
      <c r="CN47" s="232">
        <f t="shared" si="38"/>
        <v>-1668508.7240628337</v>
      </c>
      <c r="CO47" s="232">
        <f t="shared" si="38"/>
        <v>-1668508.7240628337</v>
      </c>
      <c r="CP47" s="232">
        <f t="shared" si="38"/>
        <v>-1668508.7240628337</v>
      </c>
      <c r="CQ47" s="232">
        <f t="shared" si="38"/>
        <v>-1668508.7240628337</v>
      </c>
      <c r="CR47" s="232">
        <f t="shared" si="38"/>
        <v>-1668508.7240628337</v>
      </c>
      <c r="CS47" s="232">
        <f t="shared" si="38"/>
        <v>-1668508.7240628337</v>
      </c>
      <c r="CT47" s="232">
        <f t="shared" si="38"/>
        <v>-1668508.7240628337</v>
      </c>
      <c r="CU47" s="232">
        <f t="shared" si="38"/>
        <v>-1668508.7240628337</v>
      </c>
      <c r="CV47" s="232">
        <f t="shared" si="38"/>
        <v>-1668508.7240628337</v>
      </c>
      <c r="CW47" s="763">
        <f t="shared" si="38"/>
        <v>-1668508.7240628337</v>
      </c>
      <c r="CX47" s="232">
        <f t="shared" si="38"/>
        <v>-1773624.7736787917</v>
      </c>
      <c r="CY47" s="232">
        <f t="shared" si="38"/>
        <v>-1773624.7736787917</v>
      </c>
      <c r="CZ47" s="232">
        <f t="shared" si="38"/>
        <v>-1773624.7736787917</v>
      </c>
      <c r="DA47" s="232">
        <f t="shared" si="38"/>
        <v>-1773624.7736787917</v>
      </c>
      <c r="DB47" s="232">
        <f t="shared" si="38"/>
        <v>-1773624.7736787917</v>
      </c>
      <c r="DC47" s="232">
        <f t="shared" si="38"/>
        <v>-1773624.7736787917</v>
      </c>
      <c r="DD47" s="232">
        <f t="shared" si="38"/>
        <v>-1773624.7736787917</v>
      </c>
      <c r="DE47" s="232">
        <f t="shared" si="38"/>
        <v>-1773624.7736787917</v>
      </c>
      <c r="DF47" s="232">
        <f t="shared" si="38"/>
        <v>-1773624.7736787917</v>
      </c>
      <c r="DG47" s="232">
        <f t="shared" si="38"/>
        <v>-1773624.7736787917</v>
      </c>
      <c r="DH47" s="232">
        <f t="shared" si="38"/>
        <v>-1773624.7736787917</v>
      </c>
      <c r="DI47" s="763">
        <f t="shared" si="38"/>
        <v>-1773624.7736787917</v>
      </c>
      <c r="DJ47" s="232">
        <f t="shared" ref="DJ47:DU47" si="39">SUM(DJ9:DJ44)</f>
        <v>-1885363.1344205562</v>
      </c>
      <c r="DK47" s="232">
        <f t="shared" si="39"/>
        <v>-1885363.1344205562</v>
      </c>
      <c r="DL47" s="232">
        <f t="shared" si="39"/>
        <v>-1885363.1344205562</v>
      </c>
      <c r="DM47" s="232">
        <f t="shared" si="39"/>
        <v>-1885363.1344205562</v>
      </c>
      <c r="DN47" s="232">
        <f t="shared" si="39"/>
        <v>-1885363.1344205562</v>
      </c>
      <c r="DO47" s="232">
        <f t="shared" si="39"/>
        <v>-1885363.1344205562</v>
      </c>
      <c r="DP47" s="232">
        <f t="shared" si="39"/>
        <v>-1885363.1344205562</v>
      </c>
      <c r="DQ47" s="232">
        <f t="shared" si="39"/>
        <v>-1885363.1344205562</v>
      </c>
      <c r="DR47" s="232">
        <f t="shared" si="39"/>
        <v>-1885363.1344205562</v>
      </c>
      <c r="DS47" s="232">
        <f t="shared" si="39"/>
        <v>-1885363.1344205562</v>
      </c>
      <c r="DT47" s="232">
        <f t="shared" si="39"/>
        <v>-1885363.1344205562</v>
      </c>
      <c r="DU47" s="763">
        <f t="shared" si="39"/>
        <v>-1885363.1344205562</v>
      </c>
    </row>
    <row r="48" spans="1:125" s="65" customFormat="1" ht="21" customHeight="1" x14ac:dyDescent="0.2">
      <c r="B48" s="66"/>
      <c r="C48" s="66"/>
      <c r="D48" s="66"/>
      <c r="E48" s="10"/>
      <c r="H48" s="74"/>
      <c r="T48" s="74"/>
    </row>
    <row r="49" spans="1:23" s="294" customFormat="1" ht="21" customHeight="1" x14ac:dyDescent="0.2">
      <c r="B49" s="295"/>
      <c r="C49" s="295"/>
      <c r="D49" s="295"/>
      <c r="E49" s="540"/>
      <c r="H49" s="296"/>
      <c r="T49" s="296"/>
    </row>
    <row r="50" spans="1:23" s="294" customFormat="1" ht="17.25" customHeight="1" x14ac:dyDescent="0.2">
      <c r="A50" s="289"/>
      <c r="B50" s="290" t="s">
        <v>230</v>
      </c>
      <c r="C50" s="1444" t="s">
        <v>208</v>
      </c>
      <c r="D50" s="1445"/>
      <c r="E50" s="10"/>
      <c r="F50" s="293" t="s">
        <v>235</v>
      </c>
      <c r="G50" s="293" t="s">
        <v>232</v>
      </c>
      <c r="H50" s="293"/>
      <c r="I50" s="293" t="s">
        <v>234</v>
      </c>
      <c r="J50" s="293" t="s">
        <v>236</v>
      </c>
      <c r="K50" s="293" t="s">
        <v>237</v>
      </c>
      <c r="R50" s="293" t="s">
        <v>235</v>
      </c>
      <c r="S50" s="293" t="s">
        <v>232</v>
      </c>
      <c r="T50" s="293" t="s">
        <v>233</v>
      </c>
      <c r="U50" s="293" t="s">
        <v>234</v>
      </c>
      <c r="V50" s="293" t="s">
        <v>236</v>
      </c>
      <c r="W50" s="293" t="s">
        <v>237</v>
      </c>
    </row>
    <row r="51" spans="1:23" s="294" customFormat="1" ht="17.25" customHeight="1" x14ac:dyDescent="0.2">
      <c r="A51" s="16"/>
      <c r="B51" s="291" t="s">
        <v>220</v>
      </c>
      <c r="C51" s="273" t="s">
        <v>209</v>
      </c>
      <c r="D51" s="273"/>
      <c r="E51" s="10"/>
      <c r="F51" s="108">
        <v>75000</v>
      </c>
      <c r="G51" s="108">
        <v>0</v>
      </c>
      <c r="H51" s="108"/>
      <c r="I51" s="108">
        <f>(F51*1)/12</f>
        <v>6250</v>
      </c>
      <c r="J51" s="108">
        <f>F51+G51+I51</f>
        <v>81250</v>
      </c>
      <c r="K51" s="108"/>
      <c r="R51" s="108">
        <v>120000</v>
      </c>
      <c r="S51" s="108">
        <v>0</v>
      </c>
      <c r="T51" s="108"/>
      <c r="U51" s="108">
        <f t="shared" ref="U51:U58" si="40">(R51*1)/12</f>
        <v>10000</v>
      </c>
      <c r="V51" s="108">
        <f>R51+S51+U51</f>
        <v>130000</v>
      </c>
      <c r="W51" s="108"/>
    </row>
    <row r="52" spans="1:23" s="294" customFormat="1" ht="17.25" customHeight="1" x14ac:dyDescent="0.2">
      <c r="A52" s="16"/>
      <c r="B52" s="291" t="s">
        <v>221</v>
      </c>
      <c r="C52" s="273" t="s">
        <v>231</v>
      </c>
      <c r="D52" s="273"/>
      <c r="E52" s="10"/>
      <c r="F52" s="108">
        <v>60000</v>
      </c>
      <c r="G52" s="108">
        <v>0</v>
      </c>
      <c r="H52" s="108"/>
      <c r="I52" s="108">
        <f>(F52*1)/12</f>
        <v>5000</v>
      </c>
      <c r="J52" s="108">
        <f t="shared" ref="J52:J59" si="41">F52+G52+I52</f>
        <v>65000</v>
      </c>
      <c r="K52" s="108"/>
      <c r="R52" s="108">
        <v>80000</v>
      </c>
      <c r="S52" s="108">
        <v>0</v>
      </c>
      <c r="T52" s="108"/>
      <c r="U52" s="108">
        <f>(R52*1)/12</f>
        <v>6666.666666666667</v>
      </c>
      <c r="V52" s="108">
        <f>R52+S52+U52</f>
        <v>86666.666666666672</v>
      </c>
      <c r="W52" s="108"/>
    </row>
    <row r="53" spans="1:23" s="294" customFormat="1" ht="17.25" customHeight="1" x14ac:dyDescent="0.2">
      <c r="A53" s="16"/>
      <c r="B53" s="291" t="s">
        <v>223</v>
      </c>
      <c r="C53" s="273" t="s">
        <v>222</v>
      </c>
      <c r="D53" s="273"/>
      <c r="E53" s="10"/>
      <c r="F53" s="108">
        <v>45000</v>
      </c>
      <c r="G53" s="108">
        <v>3000</v>
      </c>
      <c r="H53" s="108"/>
      <c r="I53" s="108">
        <f>(F53*2)/12</f>
        <v>7500</v>
      </c>
      <c r="J53" s="108">
        <f t="shared" si="41"/>
        <v>55500</v>
      </c>
      <c r="K53" s="108"/>
      <c r="R53" s="108">
        <v>45000</v>
      </c>
      <c r="S53" s="108">
        <v>3000</v>
      </c>
      <c r="T53" s="108"/>
      <c r="U53" s="108">
        <f>(R53*2)/12</f>
        <v>7500</v>
      </c>
      <c r="V53" s="108">
        <f t="shared" ref="V53:V59" si="42">R53+S53+U53</f>
        <v>55500</v>
      </c>
      <c r="W53" s="108"/>
    </row>
    <row r="54" spans="1:23" s="294" customFormat="1" ht="17.25" customHeight="1" x14ac:dyDescent="0.2">
      <c r="A54" s="16"/>
      <c r="B54" s="291" t="s">
        <v>224</v>
      </c>
      <c r="C54" s="273" t="s">
        <v>215</v>
      </c>
      <c r="D54" s="273"/>
      <c r="E54" s="10"/>
      <c r="F54" s="108">
        <v>30000</v>
      </c>
      <c r="G54" s="108">
        <v>3000</v>
      </c>
      <c r="H54" s="108"/>
      <c r="I54" s="108">
        <f>(F54*2)/12</f>
        <v>5000</v>
      </c>
      <c r="J54" s="108">
        <f t="shared" si="41"/>
        <v>38000</v>
      </c>
      <c r="K54" s="108"/>
      <c r="R54" s="108">
        <v>30000</v>
      </c>
      <c r="S54" s="108">
        <v>3000</v>
      </c>
      <c r="T54" s="108"/>
      <c r="U54" s="108">
        <f>(R54*2)/12</f>
        <v>5000</v>
      </c>
      <c r="V54" s="108">
        <f t="shared" si="42"/>
        <v>38000</v>
      </c>
      <c r="W54" s="108"/>
    </row>
    <row r="55" spans="1:23" s="294" customFormat="1" ht="17.25" customHeight="1" x14ac:dyDescent="0.2">
      <c r="A55" s="16"/>
      <c r="B55" s="291" t="s">
        <v>226</v>
      </c>
      <c r="C55" s="273" t="s">
        <v>225</v>
      </c>
      <c r="D55" s="273"/>
      <c r="E55" s="10"/>
      <c r="F55" s="108">
        <v>12500</v>
      </c>
      <c r="G55" s="108">
        <v>1500</v>
      </c>
      <c r="H55" s="108"/>
      <c r="I55" s="108">
        <f>(F55*1)/12</f>
        <v>1041.6666666666667</v>
      </c>
      <c r="J55" s="108">
        <f t="shared" si="41"/>
        <v>15041.666666666666</v>
      </c>
      <c r="K55" s="108"/>
      <c r="R55" s="108">
        <v>12500</v>
      </c>
      <c r="S55" s="108">
        <v>1500</v>
      </c>
      <c r="T55" s="108"/>
      <c r="U55" s="108">
        <f t="shared" si="40"/>
        <v>1041.6666666666667</v>
      </c>
      <c r="V55" s="108">
        <f t="shared" si="42"/>
        <v>15041.666666666666</v>
      </c>
      <c r="W55" s="108"/>
    </row>
    <row r="56" spans="1:23" s="294" customFormat="1" ht="17.25" customHeight="1" x14ac:dyDescent="0.2">
      <c r="A56" s="16"/>
      <c r="B56" s="291" t="s">
        <v>227</v>
      </c>
      <c r="C56" s="273" t="s">
        <v>219</v>
      </c>
      <c r="D56" s="273"/>
      <c r="E56" s="10"/>
      <c r="F56" s="108">
        <v>6500</v>
      </c>
      <c r="G56" s="108">
        <v>1500</v>
      </c>
      <c r="H56" s="108"/>
      <c r="I56" s="108">
        <f>(F56*1)/12</f>
        <v>541.66666666666663</v>
      </c>
      <c r="J56" s="108">
        <f t="shared" si="41"/>
        <v>8541.6666666666661</v>
      </c>
      <c r="K56" s="108"/>
      <c r="R56" s="108">
        <v>6500</v>
      </c>
      <c r="S56" s="108">
        <v>1500</v>
      </c>
      <c r="T56" s="108"/>
      <c r="U56" s="108">
        <f t="shared" si="40"/>
        <v>541.66666666666663</v>
      </c>
      <c r="V56" s="108">
        <f t="shared" si="42"/>
        <v>8541.6666666666661</v>
      </c>
      <c r="W56" s="108"/>
    </row>
    <row r="57" spans="1:23" s="294" customFormat="1" ht="17.25" customHeight="1" x14ac:dyDescent="0.2">
      <c r="A57" s="16"/>
      <c r="B57" s="291" t="s">
        <v>228</v>
      </c>
      <c r="C57" s="273" t="s">
        <v>218</v>
      </c>
      <c r="D57" s="273"/>
      <c r="E57" s="10"/>
      <c r="F57" s="108">
        <v>4500</v>
      </c>
      <c r="G57" s="108">
        <v>1500</v>
      </c>
      <c r="H57" s="108"/>
      <c r="I57" s="108">
        <f>(F57*1)/12</f>
        <v>375</v>
      </c>
      <c r="J57" s="108">
        <f t="shared" si="41"/>
        <v>6375</v>
      </c>
      <c r="K57" s="108"/>
      <c r="R57" s="108">
        <v>4500</v>
      </c>
      <c r="S57" s="108">
        <v>1500</v>
      </c>
      <c r="T57" s="108"/>
      <c r="U57" s="108">
        <f t="shared" si="40"/>
        <v>375</v>
      </c>
      <c r="V57" s="108">
        <f t="shared" si="42"/>
        <v>6375</v>
      </c>
      <c r="W57" s="108"/>
    </row>
    <row r="58" spans="1:23" s="295" customFormat="1" ht="17.25" customHeight="1" x14ac:dyDescent="0.2">
      <c r="A58" s="16"/>
      <c r="B58" s="291" t="s">
        <v>229</v>
      </c>
      <c r="C58" s="273" t="s">
        <v>217</v>
      </c>
      <c r="D58" s="273"/>
      <c r="E58" s="10"/>
      <c r="F58" s="108">
        <v>3000</v>
      </c>
      <c r="G58" s="108">
        <v>1500</v>
      </c>
      <c r="H58" s="108"/>
      <c r="I58" s="108">
        <f>(F58*1)/12</f>
        <v>250</v>
      </c>
      <c r="J58" s="108">
        <f t="shared" si="41"/>
        <v>4750</v>
      </c>
      <c r="K58" s="108"/>
      <c r="R58" s="108">
        <v>3000</v>
      </c>
      <c r="S58" s="108">
        <v>1500</v>
      </c>
      <c r="T58" s="108"/>
      <c r="U58" s="108">
        <f t="shared" si="40"/>
        <v>250</v>
      </c>
      <c r="V58" s="108">
        <f t="shared" si="42"/>
        <v>4750</v>
      </c>
      <c r="W58" s="108"/>
    </row>
    <row r="59" spans="1:23" s="295" customFormat="1" ht="17.25" customHeight="1" x14ac:dyDescent="0.2">
      <c r="A59" s="16"/>
      <c r="B59" s="291" t="s">
        <v>229</v>
      </c>
      <c r="C59" s="273" t="s">
        <v>216</v>
      </c>
      <c r="D59" s="273"/>
      <c r="E59" s="10"/>
      <c r="F59" s="108">
        <v>2500</v>
      </c>
      <c r="G59" s="108">
        <v>1500</v>
      </c>
      <c r="H59" s="108"/>
      <c r="I59" s="108">
        <f>(F59*1)/12</f>
        <v>208.33333333333334</v>
      </c>
      <c r="J59" s="108">
        <f t="shared" si="41"/>
        <v>4208.333333333333</v>
      </c>
      <c r="K59" s="108"/>
      <c r="R59" s="108">
        <v>2500</v>
      </c>
      <c r="S59" s="108">
        <v>1500</v>
      </c>
      <c r="T59" s="108"/>
      <c r="U59" s="108">
        <f>(R59*1)/12</f>
        <v>208.33333333333334</v>
      </c>
      <c r="V59" s="108">
        <f t="shared" si="42"/>
        <v>4208.333333333333</v>
      </c>
      <c r="W59" s="108"/>
    </row>
    <row r="60" spans="1:23" s="294" customFormat="1" x14ac:dyDescent="0.2">
      <c r="A60" s="295"/>
      <c r="B60" s="295"/>
      <c r="C60" s="295"/>
      <c r="D60" s="295"/>
      <c r="E60" s="602"/>
      <c r="F60" s="295"/>
      <c r="H60" s="296"/>
      <c r="R60" s="295"/>
      <c r="T60" s="296"/>
    </row>
    <row r="61" spans="1:23" s="294" customFormat="1" x14ac:dyDescent="0.2">
      <c r="B61" s="295"/>
      <c r="C61" s="295"/>
      <c r="D61" s="295"/>
      <c r="E61" s="540"/>
      <c r="H61" s="296"/>
      <c r="T61" s="296"/>
    </row>
    <row r="62" spans="1:23" s="294" customFormat="1" x14ac:dyDescent="0.2">
      <c r="B62" s="295"/>
      <c r="C62" s="295"/>
      <c r="D62" s="295"/>
      <c r="E62" s="540"/>
      <c r="H62" s="296"/>
      <c r="T62" s="296"/>
    </row>
    <row r="63" spans="1:23" s="294" customFormat="1" x14ac:dyDescent="0.2">
      <c r="B63" s="295"/>
      <c r="C63" s="295"/>
      <c r="D63" s="295"/>
      <c r="E63" s="540"/>
      <c r="H63" s="296"/>
      <c r="T63" s="296"/>
    </row>
    <row r="64" spans="1:23" s="294" customFormat="1" x14ac:dyDescent="0.2">
      <c r="B64" s="295"/>
      <c r="C64" s="295"/>
      <c r="D64" s="295"/>
      <c r="E64" s="540"/>
      <c r="H64" s="296"/>
      <c r="T64" s="296"/>
    </row>
    <row r="65" spans="2:20" s="65" customFormat="1" x14ac:dyDescent="0.2">
      <c r="B65" s="66"/>
      <c r="C65" s="66"/>
      <c r="D65" s="66"/>
      <c r="E65" s="10"/>
      <c r="H65" s="74"/>
      <c r="T65" s="74"/>
    </row>
    <row r="66" spans="2:20" s="65" customFormat="1" x14ac:dyDescent="0.2">
      <c r="B66" s="66"/>
      <c r="C66" s="66"/>
      <c r="D66" s="66"/>
      <c r="E66" s="10"/>
      <c r="H66" s="74"/>
      <c r="T66" s="74"/>
    </row>
    <row r="67" spans="2:20" s="65" customFormat="1" x14ac:dyDescent="0.2">
      <c r="B67" s="66"/>
      <c r="C67" s="66"/>
      <c r="D67" s="66"/>
      <c r="E67" s="10"/>
      <c r="H67" s="74"/>
      <c r="T67" s="74"/>
    </row>
    <row r="68" spans="2:20" s="65" customFormat="1" x14ac:dyDescent="0.2">
      <c r="B68" s="66"/>
      <c r="C68" s="66"/>
      <c r="D68" s="66"/>
      <c r="E68" s="10"/>
      <c r="H68" s="74"/>
      <c r="T68" s="74"/>
    </row>
    <row r="69" spans="2:20" s="65" customFormat="1" x14ac:dyDescent="0.2">
      <c r="B69" s="66"/>
      <c r="C69" s="66"/>
      <c r="D69" s="66"/>
      <c r="E69" s="10"/>
      <c r="H69" s="74"/>
      <c r="T69" s="74"/>
    </row>
    <row r="70" spans="2:20" s="65" customFormat="1" x14ac:dyDescent="0.2">
      <c r="B70" s="66"/>
      <c r="C70" s="66"/>
      <c r="D70" s="66"/>
      <c r="E70" s="10"/>
      <c r="H70" s="74"/>
      <c r="T70" s="74"/>
    </row>
    <row r="71" spans="2:20" s="65" customFormat="1" x14ac:dyDescent="0.2">
      <c r="B71" s="66"/>
      <c r="C71" s="66"/>
      <c r="D71" s="66"/>
      <c r="E71" s="10"/>
      <c r="H71" s="74"/>
      <c r="T71" s="74"/>
    </row>
    <row r="72" spans="2:20" s="65" customFormat="1" x14ac:dyDescent="0.2">
      <c r="B72" s="66"/>
      <c r="C72" s="66"/>
      <c r="D72" s="66"/>
      <c r="E72" s="10"/>
      <c r="H72" s="74"/>
      <c r="T72" s="74"/>
    </row>
    <row r="73" spans="2:20" s="65" customFormat="1" x14ac:dyDescent="0.2">
      <c r="B73" s="66"/>
      <c r="C73" s="66"/>
      <c r="D73" s="66"/>
      <c r="E73" s="10"/>
      <c r="H73" s="74"/>
      <c r="T73" s="74"/>
    </row>
    <row r="74" spans="2:20" s="65" customFormat="1" x14ac:dyDescent="0.2">
      <c r="B74" s="66"/>
      <c r="C74" s="66"/>
      <c r="D74" s="66"/>
      <c r="E74" s="10"/>
      <c r="H74" s="74"/>
      <c r="T74" s="74"/>
    </row>
    <row r="75" spans="2:20" s="65" customFormat="1" x14ac:dyDescent="0.2">
      <c r="B75" s="66"/>
      <c r="C75" s="66"/>
      <c r="D75" s="66"/>
      <c r="E75" s="10"/>
      <c r="H75" s="74"/>
      <c r="T75" s="74"/>
    </row>
    <row r="76" spans="2:20" s="65" customFormat="1" x14ac:dyDescent="0.2">
      <c r="B76" s="66"/>
      <c r="C76" s="66"/>
      <c r="D76" s="66"/>
      <c r="E76" s="10"/>
      <c r="H76" s="74"/>
      <c r="T76" s="74"/>
    </row>
    <row r="77" spans="2:20" s="65" customFormat="1" x14ac:dyDescent="0.2">
      <c r="B77" s="66"/>
      <c r="C77" s="66"/>
      <c r="D77" s="66"/>
      <c r="E77" s="10"/>
      <c r="H77" s="74"/>
      <c r="T77" s="74"/>
    </row>
    <row r="78" spans="2:20" s="65" customFormat="1" x14ac:dyDescent="0.2">
      <c r="B78" s="66"/>
      <c r="C78" s="66"/>
      <c r="D78" s="66"/>
      <c r="E78" s="10"/>
      <c r="H78" s="74"/>
      <c r="T78" s="74"/>
    </row>
    <row r="79" spans="2:20" s="65" customFormat="1" x14ac:dyDescent="0.2">
      <c r="B79" s="66"/>
      <c r="C79" s="66"/>
      <c r="D79" s="66"/>
      <c r="E79" s="10"/>
      <c r="H79" s="74"/>
      <c r="T79" s="74"/>
    </row>
    <row r="80" spans="2:20" s="65" customFormat="1" x14ac:dyDescent="0.2">
      <c r="B80" s="66"/>
      <c r="C80" s="66"/>
      <c r="D80" s="66"/>
      <c r="E80" s="10"/>
      <c r="H80" s="74"/>
      <c r="T80" s="74"/>
    </row>
    <row r="81" spans="2:20" s="65" customFormat="1" x14ac:dyDescent="0.2">
      <c r="B81" s="66"/>
      <c r="C81" s="66"/>
      <c r="D81" s="66"/>
      <c r="E81" s="10"/>
      <c r="H81" s="74"/>
      <c r="T81" s="74"/>
    </row>
    <row r="82" spans="2:20" s="65" customFormat="1" x14ac:dyDescent="0.2">
      <c r="B82" s="66"/>
      <c r="C82" s="66"/>
      <c r="D82" s="66"/>
      <c r="E82" s="10"/>
      <c r="H82" s="74"/>
      <c r="T82" s="74"/>
    </row>
    <row r="83" spans="2:20" s="65" customFormat="1" x14ac:dyDescent="0.2">
      <c r="B83" s="66"/>
      <c r="C83" s="66"/>
      <c r="D83" s="66"/>
      <c r="E83" s="10"/>
      <c r="H83" s="74"/>
      <c r="T83" s="74"/>
    </row>
    <row r="84" spans="2:20" s="65" customFormat="1" x14ac:dyDescent="0.2">
      <c r="B84" s="66"/>
      <c r="C84" s="66"/>
      <c r="D84" s="66"/>
      <c r="E84" s="10"/>
      <c r="H84" s="74"/>
      <c r="T84" s="74"/>
    </row>
  </sheetData>
  <mergeCells count="13">
    <mergeCell ref="CL2:CW2"/>
    <mergeCell ref="CX2:DI2"/>
    <mergeCell ref="DJ2:DU2"/>
    <mergeCell ref="R2:AC2"/>
    <mergeCell ref="AD2:AO2"/>
    <mergeCell ref="AP2:BA2"/>
    <mergeCell ref="BB2:BM2"/>
    <mergeCell ref="A4:B6"/>
    <mergeCell ref="C50:D50"/>
    <mergeCell ref="A47:D47"/>
    <mergeCell ref="BN2:BY2"/>
    <mergeCell ref="BZ2:CK2"/>
    <mergeCell ref="F2:Q2"/>
  </mergeCells>
  <pageMargins left="0.25" right="0.25" top="0.75" bottom="0.75" header="0.3" footer="0.3"/>
  <pageSetup paperSize="8" scale="1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D45"/>
  <sheetViews>
    <sheetView topLeftCell="J4" workbookViewId="0">
      <selection activeCell="Y20" sqref="Y20"/>
    </sheetView>
  </sheetViews>
  <sheetFormatPr defaultColWidth="9.140625" defaultRowHeight="15" x14ac:dyDescent="0.25"/>
  <cols>
    <col min="1" max="1" width="3" style="1089" customWidth="1"/>
    <col min="2" max="2" width="38.85546875" style="1089" bestFit="1" customWidth="1"/>
    <col min="3" max="6" width="10.140625" style="1089" customWidth="1"/>
    <col min="7" max="7" width="5.28515625" style="1089" bestFit="1" customWidth="1"/>
    <col min="8" max="8" width="12.7109375" style="1089" customWidth="1"/>
    <col min="9" max="9" width="5.28515625" style="1089" bestFit="1" customWidth="1"/>
    <col min="10" max="10" width="12.7109375" style="1089" customWidth="1"/>
    <col min="11" max="11" width="4.7109375" style="1089" customWidth="1"/>
    <col min="12" max="12" width="12.7109375" style="1089" customWidth="1"/>
    <col min="13" max="13" width="4.7109375" style="1089" customWidth="1"/>
    <col min="14" max="14" width="12.7109375" style="1089" customWidth="1"/>
    <col min="15" max="15" width="4.7109375" style="1089" customWidth="1"/>
    <col min="16" max="16" width="12.7109375" style="1089" customWidth="1"/>
    <col min="17" max="17" width="12" style="1089" bestFit="1" customWidth="1"/>
    <col min="18" max="18" width="12.7109375" style="1089" customWidth="1"/>
    <col min="19" max="19" width="4.7109375" style="1089" customWidth="1"/>
    <col min="20" max="20" width="12.7109375" style="1089" customWidth="1"/>
    <col min="21" max="21" width="4.7109375" style="1089" customWidth="1"/>
    <col min="22" max="22" width="12.7109375" style="1089" customWidth="1"/>
    <col min="23" max="23" width="4.7109375" style="1089" customWidth="1"/>
    <col min="24" max="24" width="12.7109375" style="1089" customWidth="1"/>
    <col min="25" max="25" width="4.7109375" style="1089" customWidth="1"/>
    <col min="26" max="26" width="12.7109375" style="1089" customWidth="1"/>
    <col min="27" max="27" width="1" style="1089" customWidth="1"/>
    <col min="28" max="28" width="7.28515625" style="1089" customWidth="1"/>
    <col min="29" max="29" width="3" style="1089" customWidth="1"/>
    <col min="30" max="16384" width="9.140625" style="1089"/>
  </cols>
  <sheetData>
    <row r="1" spans="1:29" ht="23.25" x14ac:dyDescent="0.35">
      <c r="A1" s="314"/>
      <c r="B1" s="1088" t="s">
        <v>1309</v>
      </c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22"/>
    </row>
    <row r="2" spans="1:29" ht="18.75" x14ac:dyDescent="0.3">
      <c r="A2" s="320"/>
      <c r="B2" s="321"/>
      <c r="C2" s="322"/>
      <c r="D2" s="322"/>
      <c r="E2" s="322"/>
      <c r="F2" s="322"/>
      <c r="G2" s="1447" t="s">
        <v>1310</v>
      </c>
      <c r="H2" s="1448"/>
      <c r="I2" s="1447" t="s">
        <v>1311</v>
      </c>
      <c r="J2" s="1448"/>
      <c r="K2" s="1447" t="s">
        <v>1312</v>
      </c>
      <c r="L2" s="1448"/>
      <c r="M2" s="1447" t="s">
        <v>1313</v>
      </c>
      <c r="N2" s="1448"/>
      <c r="O2" s="1447" t="s">
        <v>1314</v>
      </c>
      <c r="P2" s="1448"/>
      <c r="Q2" s="1447" t="s">
        <v>1315</v>
      </c>
      <c r="R2" s="1448"/>
      <c r="S2" s="1447" t="s">
        <v>1316</v>
      </c>
      <c r="T2" s="1448"/>
      <c r="U2" s="1447" t="s">
        <v>1317</v>
      </c>
      <c r="V2" s="1448"/>
      <c r="W2" s="1447" t="s">
        <v>1318</v>
      </c>
      <c r="X2" s="1448"/>
      <c r="Y2" s="1447" t="s">
        <v>1319</v>
      </c>
      <c r="Z2" s="1448"/>
      <c r="AA2" s="322"/>
      <c r="AB2" s="322"/>
      <c r="AC2" s="322"/>
    </row>
    <row r="3" spans="1:29" ht="36.75" x14ac:dyDescent="0.25">
      <c r="A3" s="320"/>
      <c r="B3" s="324" t="s">
        <v>1320</v>
      </c>
      <c r="C3" s="1090" t="s">
        <v>1321</v>
      </c>
      <c r="D3" s="1090" t="s">
        <v>1322</v>
      </c>
      <c r="E3" s="1090" t="s">
        <v>1323</v>
      </c>
      <c r="F3" s="1090" t="s">
        <v>1324</v>
      </c>
      <c r="G3" s="1447"/>
      <c r="H3" s="1448"/>
      <c r="I3" s="1447"/>
      <c r="J3" s="1448"/>
      <c r="K3" s="1447"/>
      <c r="L3" s="1448"/>
      <c r="M3" s="1447"/>
      <c r="N3" s="1448"/>
      <c r="O3" s="1447"/>
      <c r="P3" s="1448"/>
      <c r="Q3" s="1447"/>
      <c r="R3" s="1448"/>
      <c r="S3" s="1447"/>
      <c r="T3" s="1448"/>
      <c r="U3" s="1447"/>
      <c r="V3" s="1448"/>
      <c r="W3" s="1447"/>
      <c r="X3" s="1448"/>
      <c r="Y3" s="1447"/>
      <c r="Z3" s="1448"/>
      <c r="AA3" s="1091"/>
      <c r="AB3" s="322"/>
      <c r="AC3" s="322"/>
    </row>
    <row r="4" spans="1:29" x14ac:dyDescent="0.25">
      <c r="A4" s="320"/>
      <c r="B4" s="324"/>
      <c r="C4" s="1090"/>
      <c r="D4" s="1090"/>
      <c r="E4" s="1090"/>
      <c r="F4" s="1090"/>
      <c r="G4" s="1092">
        <v>0.1</v>
      </c>
      <c r="H4" s="1093">
        <v>1.0620000000000001</v>
      </c>
      <c r="I4" s="1092">
        <v>0.1</v>
      </c>
      <c r="J4" s="1094">
        <f>H4*1.1</f>
        <v>1.1682000000000001</v>
      </c>
      <c r="K4" s="1095">
        <v>0.1</v>
      </c>
      <c r="L4" s="1094">
        <f>J4*1.1</f>
        <v>1.2850200000000003</v>
      </c>
      <c r="M4" s="1095">
        <v>0.1</v>
      </c>
      <c r="N4" s="1093">
        <f>L4*1.1</f>
        <v>1.4135220000000004</v>
      </c>
      <c r="O4" s="1095">
        <v>0.1</v>
      </c>
      <c r="P4" s="1093">
        <f>N4*1.1</f>
        <v>1.5548742000000007</v>
      </c>
      <c r="Q4" s="1095">
        <v>0.1</v>
      </c>
      <c r="R4" s="1093">
        <f>P4*1.1</f>
        <v>1.7103616200000009</v>
      </c>
      <c r="S4" s="1095">
        <v>0.1</v>
      </c>
      <c r="T4" s="1093">
        <f>R4*1.1</f>
        <v>1.8813977820000012</v>
      </c>
      <c r="U4" s="1095">
        <v>0.1</v>
      </c>
      <c r="V4" s="1093">
        <f>T4*1.1</f>
        <v>2.0695375602000015</v>
      </c>
      <c r="W4" s="1095">
        <v>0.1</v>
      </c>
      <c r="X4" s="1093">
        <f>V4*1.1</f>
        <v>2.2764913162200018</v>
      </c>
      <c r="Y4" s="1095">
        <v>0.1</v>
      </c>
      <c r="Z4" s="1094">
        <f>X4*1.1</f>
        <v>2.5041404478420022</v>
      </c>
      <c r="AA4" s="1091"/>
      <c r="AB4" s="322"/>
      <c r="AC4" s="322"/>
    </row>
    <row r="5" spans="1:29" x14ac:dyDescent="0.25">
      <c r="A5" s="320"/>
      <c r="B5" s="1096" t="s">
        <v>1325</v>
      </c>
      <c r="C5" s="1097">
        <v>7.5</v>
      </c>
      <c r="D5" s="1098">
        <v>0.81</v>
      </c>
      <c r="E5" s="326">
        <v>24</v>
      </c>
      <c r="F5" s="326">
        <f t="shared" ref="F5:F17" si="0">C5*D5*E5*31</f>
        <v>4519.8</v>
      </c>
      <c r="G5" s="326">
        <v>0</v>
      </c>
      <c r="H5" s="326">
        <f>F5*G5*$H$4</f>
        <v>0</v>
      </c>
      <c r="I5" s="326">
        <v>1</v>
      </c>
      <c r="J5" s="326">
        <f>F5*I5*$J$4</f>
        <v>5280.0303600000007</v>
      </c>
      <c r="K5" s="326">
        <v>1</v>
      </c>
      <c r="L5" s="326">
        <f>F5*K5*$L$4</f>
        <v>5808.0333960000016</v>
      </c>
      <c r="M5" s="326">
        <v>1</v>
      </c>
      <c r="N5" s="326">
        <f>F5*M5*$N$4</f>
        <v>6388.8367356000017</v>
      </c>
      <c r="O5" s="326">
        <v>1</v>
      </c>
      <c r="P5" s="326">
        <f>F5*O5*$P$4</f>
        <v>7027.7204091600033</v>
      </c>
      <c r="Q5" s="326">
        <v>1</v>
      </c>
      <c r="R5" s="326">
        <f>F5*Q5*$R$4</f>
        <v>7730.4924500760044</v>
      </c>
      <c r="S5" s="326">
        <v>1</v>
      </c>
      <c r="T5" s="326">
        <f>F5*S5*$T$4</f>
        <v>8503.5416950836061</v>
      </c>
      <c r="U5" s="326">
        <v>1</v>
      </c>
      <c r="V5" s="326">
        <f>F5*U5*$V$4</f>
        <v>9353.8958645919665</v>
      </c>
      <c r="W5" s="326">
        <v>1</v>
      </c>
      <c r="X5" s="326">
        <f>F5*W5*$X$4</f>
        <v>10289.285451051164</v>
      </c>
      <c r="Y5" s="326">
        <v>1</v>
      </c>
      <c r="Z5" s="326">
        <f>F5*Y5*$Z$4</f>
        <v>11318.213996156283</v>
      </c>
      <c r="AA5" s="1091"/>
      <c r="AB5" s="322"/>
      <c r="AC5" s="322"/>
    </row>
    <row r="6" spans="1:29" x14ac:dyDescent="0.25">
      <c r="A6" s="320"/>
      <c r="B6" s="1096" t="s">
        <v>1378</v>
      </c>
      <c r="C6" s="1097">
        <v>0.5</v>
      </c>
      <c r="D6" s="1098">
        <v>0.81</v>
      </c>
      <c r="E6" s="326">
        <v>24</v>
      </c>
      <c r="F6" s="326">
        <f t="shared" si="0"/>
        <v>301.32</v>
      </c>
      <c r="G6" s="326"/>
      <c r="H6" s="326"/>
      <c r="I6" s="326">
        <v>1</v>
      </c>
      <c r="J6" s="326">
        <f>F6*I6*$J$4</f>
        <v>352.00202400000001</v>
      </c>
      <c r="K6" s="326">
        <v>1</v>
      </c>
      <c r="L6" s="326">
        <f t="shared" ref="L6:L17" si="1">F6*K6*$L$4</f>
        <v>387.20222640000009</v>
      </c>
      <c r="M6" s="326">
        <v>1</v>
      </c>
      <c r="N6" s="326">
        <f t="shared" ref="N6:N15" si="2">F6*M6*$N$4</f>
        <v>425.92244904000012</v>
      </c>
      <c r="O6" s="326">
        <v>1</v>
      </c>
      <c r="P6" s="326">
        <f t="shared" ref="P6:P19" si="3">F6*O6*$P$4</f>
        <v>468.51469394400016</v>
      </c>
      <c r="Q6" s="326">
        <v>1</v>
      </c>
      <c r="R6" s="326">
        <f t="shared" ref="R6:R20" si="4">F6*Q6*$R$4</f>
        <v>515.36616333840027</v>
      </c>
      <c r="S6" s="326">
        <v>1</v>
      </c>
      <c r="T6" s="326">
        <f t="shared" ref="T6:T20" si="5">F6*S6*$T$4</f>
        <v>566.9027796722404</v>
      </c>
      <c r="U6" s="326">
        <v>1</v>
      </c>
      <c r="V6" s="326">
        <f t="shared" ref="V6:V20" si="6">F6*U6*$V$4</f>
        <v>623.5930576394644</v>
      </c>
      <c r="W6" s="326">
        <v>1</v>
      </c>
      <c r="X6" s="326">
        <f t="shared" ref="X6:X20" si="7">F6*W6*$X$4</f>
        <v>685.95236340341091</v>
      </c>
      <c r="Y6" s="326">
        <v>1</v>
      </c>
      <c r="Z6" s="326">
        <f t="shared" ref="Z6:Z20" si="8">F6*Y6*$Z$4</f>
        <v>754.54759974375213</v>
      </c>
      <c r="AA6" s="1091"/>
      <c r="AB6" s="322"/>
      <c r="AC6" s="322"/>
    </row>
    <row r="7" spans="1:29" x14ac:dyDescent="0.25">
      <c r="A7" s="320"/>
      <c r="B7" s="1096" t="s">
        <v>1326</v>
      </c>
      <c r="C7" s="1099">
        <v>5</v>
      </c>
      <c r="D7" s="1098">
        <v>0.81</v>
      </c>
      <c r="E7" s="326">
        <v>24</v>
      </c>
      <c r="F7" s="326">
        <f t="shared" si="0"/>
        <v>3013.2000000000007</v>
      </c>
      <c r="G7" s="326"/>
      <c r="H7" s="326"/>
      <c r="I7" s="326">
        <v>2</v>
      </c>
      <c r="J7" s="326">
        <f t="shared" ref="J7:J17" si="9">F7*I7*$J$4</f>
        <v>7040.0404800000024</v>
      </c>
      <c r="K7" s="326">
        <v>2</v>
      </c>
      <c r="L7" s="326">
        <f t="shared" si="1"/>
        <v>7744.0445280000031</v>
      </c>
      <c r="M7" s="326">
        <v>2</v>
      </c>
      <c r="N7" s="326">
        <f t="shared" si="2"/>
        <v>8518.4489808000053</v>
      </c>
      <c r="O7" s="326">
        <v>2</v>
      </c>
      <c r="P7" s="326">
        <f t="shared" si="3"/>
        <v>9370.2938788800056</v>
      </c>
      <c r="Q7" s="326">
        <v>2</v>
      </c>
      <c r="R7" s="326">
        <f t="shared" si="4"/>
        <v>10307.323266768008</v>
      </c>
      <c r="S7" s="326">
        <v>2</v>
      </c>
      <c r="T7" s="326">
        <f t="shared" si="5"/>
        <v>11338.055593444809</v>
      </c>
      <c r="U7" s="326">
        <v>2</v>
      </c>
      <c r="V7" s="326">
        <f t="shared" si="6"/>
        <v>12471.861152789292</v>
      </c>
      <c r="W7" s="326">
        <v>2</v>
      </c>
      <c r="X7" s="326">
        <f t="shared" si="7"/>
        <v>13719.047268068221</v>
      </c>
      <c r="Y7" s="326">
        <v>2</v>
      </c>
      <c r="Z7" s="326">
        <f t="shared" si="8"/>
        <v>15090.951994875046</v>
      </c>
      <c r="AA7" s="1091"/>
      <c r="AB7" s="322"/>
      <c r="AC7" s="322"/>
    </row>
    <row r="8" spans="1:29" x14ac:dyDescent="0.25">
      <c r="A8" s="320"/>
      <c r="B8" s="1096" t="s">
        <v>1363</v>
      </c>
      <c r="C8" s="1099">
        <v>15</v>
      </c>
      <c r="D8" s="1098">
        <v>0.81</v>
      </c>
      <c r="E8" s="326">
        <v>24</v>
      </c>
      <c r="F8" s="326">
        <f t="shared" si="0"/>
        <v>9039.6</v>
      </c>
      <c r="G8" s="326"/>
      <c r="H8" s="326"/>
      <c r="I8" s="326">
        <v>2</v>
      </c>
      <c r="J8" s="326">
        <f t="shared" si="9"/>
        <v>21120.121440000003</v>
      </c>
      <c r="K8" s="326">
        <v>2</v>
      </c>
      <c r="L8" s="326">
        <f t="shared" si="1"/>
        <v>23232.133584000007</v>
      </c>
      <c r="M8" s="326">
        <v>2</v>
      </c>
      <c r="N8" s="326">
        <f t="shared" si="2"/>
        <v>25555.346942400007</v>
      </c>
      <c r="O8" s="326">
        <v>2</v>
      </c>
      <c r="P8" s="326">
        <f t="shared" si="3"/>
        <v>28110.881636640013</v>
      </c>
      <c r="Q8" s="326">
        <v>2</v>
      </c>
      <c r="R8" s="326">
        <f t="shared" si="4"/>
        <v>30921.969800304018</v>
      </c>
      <c r="S8" s="326">
        <v>2</v>
      </c>
      <c r="T8" s="326">
        <f t="shared" si="5"/>
        <v>34014.166780334424</v>
      </c>
      <c r="U8" s="326">
        <v>2</v>
      </c>
      <c r="V8" s="326">
        <f t="shared" si="6"/>
        <v>37415.583458367866</v>
      </c>
      <c r="W8" s="326">
        <v>2</v>
      </c>
      <c r="X8" s="326">
        <f t="shared" si="7"/>
        <v>41157.141804204657</v>
      </c>
      <c r="Y8" s="326">
        <v>2</v>
      </c>
      <c r="Z8" s="326">
        <f t="shared" si="8"/>
        <v>45272.85598462513</v>
      </c>
      <c r="AA8" s="1091"/>
      <c r="AB8" s="322"/>
      <c r="AC8" s="322"/>
    </row>
    <row r="9" spans="1:29" x14ac:dyDescent="0.25">
      <c r="A9" s="320"/>
      <c r="B9" s="1096" t="s">
        <v>1327</v>
      </c>
      <c r="C9" s="1097">
        <v>4.5</v>
      </c>
      <c r="D9" s="1098">
        <v>0.81</v>
      </c>
      <c r="E9" s="326">
        <v>24</v>
      </c>
      <c r="F9" s="326">
        <f t="shared" si="0"/>
        <v>2711.8800000000006</v>
      </c>
      <c r="G9" s="326"/>
      <c r="H9" s="326"/>
      <c r="I9" s="326">
        <v>1</v>
      </c>
      <c r="J9" s="326">
        <f t="shared" si="9"/>
        <v>3168.0182160000008</v>
      </c>
      <c r="K9" s="326">
        <v>1</v>
      </c>
      <c r="L9" s="326">
        <f t="shared" si="1"/>
        <v>3484.8200376000013</v>
      </c>
      <c r="M9" s="326">
        <v>1</v>
      </c>
      <c r="N9" s="326">
        <f t="shared" si="2"/>
        <v>3833.302041360002</v>
      </c>
      <c r="O9" s="326">
        <v>1</v>
      </c>
      <c r="P9" s="326">
        <f t="shared" si="3"/>
        <v>4216.6322454960027</v>
      </c>
      <c r="Q9" s="326">
        <v>1</v>
      </c>
      <c r="R9" s="326">
        <f t="shared" si="4"/>
        <v>4638.295470045603</v>
      </c>
      <c r="S9" s="326">
        <v>1</v>
      </c>
      <c r="T9" s="326">
        <f t="shared" si="5"/>
        <v>5102.1250170501644</v>
      </c>
      <c r="U9" s="326">
        <v>1</v>
      </c>
      <c r="V9" s="326">
        <f t="shared" si="6"/>
        <v>5612.337518755181</v>
      </c>
      <c r="W9" s="326">
        <v>1</v>
      </c>
      <c r="X9" s="326">
        <f t="shared" si="7"/>
        <v>6173.5712706306995</v>
      </c>
      <c r="Y9" s="326">
        <v>1</v>
      </c>
      <c r="Z9" s="326">
        <f t="shared" si="8"/>
        <v>6790.9283976937704</v>
      </c>
      <c r="AA9" s="322"/>
      <c r="AB9" s="322"/>
      <c r="AC9" s="322"/>
    </row>
    <row r="10" spans="1:29" x14ac:dyDescent="0.25">
      <c r="A10" s="320"/>
      <c r="B10" s="1096" t="s">
        <v>1328</v>
      </c>
      <c r="C10" s="1097">
        <v>0.8</v>
      </c>
      <c r="D10" s="1098">
        <v>0.81</v>
      </c>
      <c r="E10" s="326">
        <v>24</v>
      </c>
      <c r="F10" s="326">
        <f t="shared" si="0"/>
        <v>482.11200000000008</v>
      </c>
      <c r="G10" s="326"/>
      <c r="H10" s="326"/>
      <c r="I10" s="326">
        <v>1</v>
      </c>
      <c r="J10" s="326">
        <f t="shared" si="9"/>
        <v>563.20323840000015</v>
      </c>
      <c r="K10" s="326">
        <v>1</v>
      </c>
      <c r="L10" s="326">
        <f t="shared" si="1"/>
        <v>619.52356224000027</v>
      </c>
      <c r="M10" s="326">
        <v>1</v>
      </c>
      <c r="N10" s="326">
        <f t="shared" si="2"/>
        <v>681.4759184640003</v>
      </c>
      <c r="O10" s="326">
        <v>1</v>
      </c>
      <c r="P10" s="326">
        <f t="shared" si="3"/>
        <v>749.62351031040043</v>
      </c>
      <c r="Q10" s="326">
        <v>1</v>
      </c>
      <c r="R10" s="326">
        <f t="shared" si="4"/>
        <v>824.58586134144059</v>
      </c>
      <c r="S10" s="326">
        <v>1</v>
      </c>
      <c r="T10" s="326">
        <f t="shared" si="5"/>
        <v>907.04444747558478</v>
      </c>
      <c r="U10" s="326">
        <v>1</v>
      </c>
      <c r="V10" s="326">
        <f t="shared" si="6"/>
        <v>997.74889222314323</v>
      </c>
      <c r="W10" s="326">
        <v>1</v>
      </c>
      <c r="X10" s="326">
        <f t="shared" si="7"/>
        <v>1097.5237814454576</v>
      </c>
      <c r="Y10" s="326">
        <v>1</v>
      </c>
      <c r="Z10" s="326">
        <f t="shared" si="8"/>
        <v>1207.2761595900035</v>
      </c>
      <c r="AA10" s="322">
        <v>1</v>
      </c>
      <c r="AB10" s="322"/>
      <c r="AC10" s="322"/>
    </row>
    <row r="11" spans="1:29" x14ac:dyDescent="0.25">
      <c r="A11" s="320"/>
      <c r="B11" s="1096" t="s">
        <v>1329</v>
      </c>
      <c r="C11" s="1097">
        <v>1.5</v>
      </c>
      <c r="D11" s="1098">
        <v>0.81</v>
      </c>
      <c r="E11" s="326">
        <v>24</v>
      </c>
      <c r="F11" s="326">
        <f t="shared" si="0"/>
        <v>903.96000000000015</v>
      </c>
      <c r="G11" s="326"/>
      <c r="H11" s="326"/>
      <c r="I11" s="326">
        <v>1</v>
      </c>
      <c r="J11" s="326">
        <f t="shared" si="9"/>
        <v>1056.0060720000004</v>
      </c>
      <c r="K11" s="326">
        <v>1</v>
      </c>
      <c r="L11" s="326">
        <f t="shared" si="1"/>
        <v>1161.6066792000004</v>
      </c>
      <c r="M11" s="326">
        <v>1</v>
      </c>
      <c r="N11" s="326">
        <f t="shared" si="2"/>
        <v>1277.7673471200005</v>
      </c>
      <c r="O11" s="326">
        <v>1</v>
      </c>
      <c r="P11" s="326">
        <f t="shared" si="3"/>
        <v>1405.5440818320008</v>
      </c>
      <c r="Q11" s="326">
        <v>1</v>
      </c>
      <c r="R11" s="326">
        <f t="shared" si="4"/>
        <v>1546.0984900152012</v>
      </c>
      <c r="S11" s="326">
        <v>1</v>
      </c>
      <c r="T11" s="326">
        <f t="shared" si="5"/>
        <v>1700.7083390167213</v>
      </c>
      <c r="U11" s="326">
        <v>1</v>
      </c>
      <c r="V11" s="326">
        <f t="shared" si="6"/>
        <v>1870.7791729183937</v>
      </c>
      <c r="W11" s="326">
        <v>1</v>
      </c>
      <c r="X11" s="326">
        <f t="shared" si="7"/>
        <v>2057.8570902102333</v>
      </c>
      <c r="Y11" s="326">
        <v>1</v>
      </c>
      <c r="Z11" s="326">
        <f t="shared" si="8"/>
        <v>2263.6427992312565</v>
      </c>
      <c r="AA11" s="322"/>
      <c r="AB11" s="322"/>
      <c r="AC11" s="322"/>
    </row>
    <row r="12" spans="1:29" ht="15.75" x14ac:dyDescent="0.25">
      <c r="A12" s="320"/>
      <c r="B12" s="1096" t="s">
        <v>1376</v>
      </c>
      <c r="C12" s="1099">
        <v>0.55000000000000004</v>
      </c>
      <c r="D12" s="1098">
        <v>0.81</v>
      </c>
      <c r="E12" s="326">
        <v>24</v>
      </c>
      <c r="F12" s="326">
        <f t="shared" si="0"/>
        <v>331.45200000000006</v>
      </c>
      <c r="G12" s="326">
        <v>0</v>
      </c>
      <c r="H12" s="326">
        <f>F12*G12*$H$4</f>
        <v>0</v>
      </c>
      <c r="I12" s="326">
        <v>2</v>
      </c>
      <c r="J12" s="326">
        <f t="shared" si="9"/>
        <v>774.40445280000017</v>
      </c>
      <c r="K12" s="326">
        <v>1</v>
      </c>
      <c r="L12" s="326">
        <f t="shared" si="1"/>
        <v>425.92244904000017</v>
      </c>
      <c r="M12" s="326">
        <v>1</v>
      </c>
      <c r="N12" s="326">
        <f t="shared" si="2"/>
        <v>468.51469394400021</v>
      </c>
      <c r="O12" s="326">
        <v>1</v>
      </c>
      <c r="P12" s="326">
        <f t="shared" si="3"/>
        <v>515.36616333840027</v>
      </c>
      <c r="Q12" s="326">
        <v>1</v>
      </c>
      <c r="R12" s="326">
        <f t="shared" si="4"/>
        <v>566.9027796722404</v>
      </c>
      <c r="S12" s="326">
        <v>1</v>
      </c>
      <c r="T12" s="326">
        <f t="shared" si="5"/>
        <v>623.59305763946452</v>
      </c>
      <c r="U12" s="326">
        <v>1</v>
      </c>
      <c r="V12" s="326">
        <f t="shared" si="6"/>
        <v>685.95236340341103</v>
      </c>
      <c r="W12" s="326">
        <v>1</v>
      </c>
      <c r="X12" s="326">
        <f t="shared" si="7"/>
        <v>754.54759974375213</v>
      </c>
      <c r="Y12" s="326">
        <v>1</v>
      </c>
      <c r="Z12" s="326">
        <f t="shared" si="8"/>
        <v>830.00235971812742</v>
      </c>
      <c r="AA12" s="322"/>
      <c r="AB12" s="322"/>
      <c r="AC12" s="322"/>
    </row>
    <row r="13" spans="1:29" x14ac:dyDescent="0.25">
      <c r="A13" s="320"/>
      <c r="B13" s="1096" t="s">
        <v>1330</v>
      </c>
      <c r="C13" s="1099">
        <v>2.2000000000000002</v>
      </c>
      <c r="D13" s="1098">
        <v>0.81</v>
      </c>
      <c r="E13" s="326">
        <v>24</v>
      </c>
      <c r="F13" s="326">
        <f t="shared" si="0"/>
        <v>1325.8080000000002</v>
      </c>
      <c r="G13" s="326"/>
      <c r="H13" s="326"/>
      <c r="I13" s="326">
        <v>2</v>
      </c>
      <c r="J13" s="326">
        <f t="shared" si="9"/>
        <v>3097.6178112000007</v>
      </c>
      <c r="K13" s="326">
        <v>1</v>
      </c>
      <c r="L13" s="326">
        <f t="shared" si="1"/>
        <v>1703.6897961600007</v>
      </c>
      <c r="M13" s="326">
        <v>1</v>
      </c>
      <c r="N13" s="326">
        <f t="shared" si="2"/>
        <v>1874.0587757760009</v>
      </c>
      <c r="O13" s="326">
        <v>1</v>
      </c>
      <c r="P13" s="326">
        <f t="shared" si="3"/>
        <v>2061.4646533536011</v>
      </c>
      <c r="Q13" s="326">
        <v>1</v>
      </c>
      <c r="R13" s="326">
        <f t="shared" si="4"/>
        <v>2267.6111186889616</v>
      </c>
      <c r="S13" s="326">
        <v>1</v>
      </c>
      <c r="T13" s="326">
        <f t="shared" si="5"/>
        <v>2494.3722305578581</v>
      </c>
      <c r="U13" s="326">
        <v>1</v>
      </c>
      <c r="V13" s="326">
        <f t="shared" si="6"/>
        <v>2743.8094536136441</v>
      </c>
      <c r="W13" s="326">
        <v>1</v>
      </c>
      <c r="X13" s="326">
        <f t="shared" si="7"/>
        <v>3018.1903989750085</v>
      </c>
      <c r="Y13" s="326">
        <v>1</v>
      </c>
      <c r="Z13" s="326">
        <f t="shared" si="8"/>
        <v>3320.0094388725097</v>
      </c>
      <c r="AA13" s="322"/>
      <c r="AB13" s="322"/>
      <c r="AC13" s="322"/>
    </row>
    <row r="14" spans="1:29" ht="15.75" x14ac:dyDescent="0.25">
      <c r="A14" s="320"/>
      <c r="B14" s="1096" t="s">
        <v>1377</v>
      </c>
      <c r="C14" s="1099">
        <v>0.3</v>
      </c>
      <c r="D14" s="1098">
        <v>0.81</v>
      </c>
      <c r="E14" s="326">
        <v>24</v>
      </c>
      <c r="F14" s="326">
        <f>C14*D14*E14*31</f>
        <v>180.792</v>
      </c>
      <c r="G14" s="326"/>
      <c r="H14" s="326"/>
      <c r="I14" s="326">
        <v>1</v>
      </c>
      <c r="J14" s="326">
        <f t="shared" si="9"/>
        <v>211.20121440000003</v>
      </c>
      <c r="K14" s="326">
        <v>1</v>
      </c>
      <c r="L14" s="326">
        <f t="shared" si="1"/>
        <v>232.32133584000005</v>
      </c>
      <c r="M14" s="326">
        <v>1</v>
      </c>
      <c r="N14" s="326">
        <f t="shared" si="2"/>
        <v>255.55346942400007</v>
      </c>
      <c r="O14" s="326">
        <v>1</v>
      </c>
      <c r="P14" s="326">
        <f t="shared" si="3"/>
        <v>281.10881636640011</v>
      </c>
      <c r="Q14" s="326">
        <v>1</v>
      </c>
      <c r="R14" s="326">
        <f t="shared" si="4"/>
        <v>309.21969800304015</v>
      </c>
      <c r="S14" s="326">
        <v>1</v>
      </c>
      <c r="T14" s="326">
        <f t="shared" si="5"/>
        <v>340.14166780334421</v>
      </c>
      <c r="U14" s="326">
        <v>1</v>
      </c>
      <c r="V14" s="326">
        <f t="shared" si="6"/>
        <v>374.15583458367865</v>
      </c>
      <c r="W14" s="326">
        <v>1</v>
      </c>
      <c r="X14" s="326">
        <f t="shared" si="7"/>
        <v>411.57141804204656</v>
      </c>
      <c r="Y14" s="326">
        <v>1</v>
      </c>
      <c r="Z14" s="326">
        <f t="shared" si="8"/>
        <v>452.72855984625124</v>
      </c>
      <c r="AA14" s="322"/>
      <c r="AB14" s="322"/>
      <c r="AC14" s="322"/>
    </row>
    <row r="15" spans="1:29" x14ac:dyDescent="0.25">
      <c r="A15" s="320"/>
      <c r="B15" s="1096" t="s">
        <v>1330</v>
      </c>
      <c r="C15" s="1099">
        <v>1.1000000000000001</v>
      </c>
      <c r="D15" s="1098">
        <v>0.81</v>
      </c>
      <c r="E15" s="326">
        <v>24</v>
      </c>
      <c r="F15" s="326">
        <f>C15*D15*E15*31</f>
        <v>662.90400000000011</v>
      </c>
      <c r="G15" s="326"/>
      <c r="H15" s="326"/>
      <c r="I15" s="326">
        <v>1</v>
      </c>
      <c r="J15" s="326">
        <f t="shared" si="9"/>
        <v>774.40445280000017</v>
      </c>
      <c r="K15" s="326">
        <v>1</v>
      </c>
      <c r="L15" s="326">
        <f t="shared" si="1"/>
        <v>851.84489808000035</v>
      </c>
      <c r="M15" s="326">
        <v>1</v>
      </c>
      <c r="N15" s="326">
        <f t="shared" si="2"/>
        <v>937.02938788800043</v>
      </c>
      <c r="O15" s="326">
        <v>1</v>
      </c>
      <c r="P15" s="326">
        <f t="shared" si="3"/>
        <v>1030.7323266768005</v>
      </c>
      <c r="Q15" s="326">
        <v>1</v>
      </c>
      <c r="R15" s="326">
        <f t="shared" si="4"/>
        <v>1133.8055593444808</v>
      </c>
      <c r="S15" s="326">
        <v>1</v>
      </c>
      <c r="T15" s="326">
        <f t="shared" si="5"/>
        <v>1247.186115278929</v>
      </c>
      <c r="U15" s="326">
        <v>1</v>
      </c>
      <c r="V15" s="326">
        <f t="shared" si="6"/>
        <v>1371.9047268068221</v>
      </c>
      <c r="W15" s="326">
        <v>1</v>
      </c>
      <c r="X15" s="326">
        <f t="shared" si="7"/>
        <v>1509.0951994875043</v>
      </c>
      <c r="Y15" s="326">
        <v>1</v>
      </c>
      <c r="Z15" s="326">
        <f t="shared" si="8"/>
        <v>1660.0047194362548</v>
      </c>
      <c r="AA15" s="322"/>
      <c r="AB15" s="322"/>
      <c r="AC15" s="322"/>
    </row>
    <row r="16" spans="1:29" x14ac:dyDescent="0.25">
      <c r="A16" s="320"/>
      <c r="B16" s="1096" t="s">
        <v>1331</v>
      </c>
      <c r="C16" s="1099">
        <v>1.5</v>
      </c>
      <c r="D16" s="1098">
        <v>0.81</v>
      </c>
      <c r="E16" s="326">
        <v>24</v>
      </c>
      <c r="F16" s="326">
        <f t="shared" si="0"/>
        <v>903.96000000000015</v>
      </c>
      <c r="G16" s="326"/>
      <c r="H16" s="326"/>
      <c r="I16" s="326">
        <v>2</v>
      </c>
      <c r="J16" s="326">
        <f t="shared" si="9"/>
        <v>2112.0121440000007</v>
      </c>
      <c r="K16" s="326">
        <v>2</v>
      </c>
      <c r="L16" s="326">
        <f>F16*K16*$L$4</f>
        <v>2323.2133584000007</v>
      </c>
      <c r="M16" s="326">
        <v>2</v>
      </c>
      <c r="N16" s="326">
        <f>F16*M16*$N$4</f>
        <v>2555.534694240001</v>
      </c>
      <c r="O16" s="326">
        <v>2</v>
      </c>
      <c r="P16" s="326">
        <f t="shared" si="3"/>
        <v>2811.0881636640015</v>
      </c>
      <c r="Q16" s="326">
        <v>2</v>
      </c>
      <c r="R16" s="326">
        <f t="shared" si="4"/>
        <v>3092.1969800304023</v>
      </c>
      <c r="S16" s="326">
        <v>2</v>
      </c>
      <c r="T16" s="326">
        <f t="shared" si="5"/>
        <v>3401.4166780334426</v>
      </c>
      <c r="U16" s="326">
        <v>2</v>
      </c>
      <c r="V16" s="326">
        <f t="shared" si="6"/>
        <v>3741.5583458367873</v>
      </c>
      <c r="W16" s="326">
        <v>2</v>
      </c>
      <c r="X16" s="326">
        <f t="shared" si="7"/>
        <v>4115.7141804204666</v>
      </c>
      <c r="Y16" s="326">
        <v>2</v>
      </c>
      <c r="Z16" s="326">
        <f t="shared" si="8"/>
        <v>4527.285598462513</v>
      </c>
      <c r="AA16" s="322"/>
      <c r="AB16" s="322"/>
      <c r="AC16" s="322"/>
    </row>
    <row r="17" spans="1:30" x14ac:dyDescent="0.25">
      <c r="A17" s="320"/>
      <c r="B17" s="325" t="s">
        <v>1332</v>
      </c>
      <c r="C17" s="326">
        <v>4.0999999999999996</v>
      </c>
      <c r="D17" s="1098">
        <v>0.81</v>
      </c>
      <c r="E17" s="326">
        <v>24</v>
      </c>
      <c r="F17" s="326">
        <f t="shared" si="0"/>
        <v>2470.8239999999996</v>
      </c>
      <c r="G17" s="326">
        <v>0</v>
      </c>
      <c r="H17" s="326">
        <f>F17*G17*$H$4</f>
        <v>0</v>
      </c>
      <c r="I17" s="326">
        <v>1</v>
      </c>
      <c r="J17" s="326">
        <f t="shared" si="9"/>
        <v>2886.4165967999998</v>
      </c>
      <c r="K17" s="326">
        <v>1</v>
      </c>
      <c r="L17" s="326">
        <f t="shared" si="1"/>
        <v>3175.0582564800002</v>
      </c>
      <c r="M17" s="326">
        <v>1</v>
      </c>
      <c r="N17" s="326">
        <f>F17*M17*$N$4</f>
        <v>3492.5640821280003</v>
      </c>
      <c r="O17" s="326">
        <v>1</v>
      </c>
      <c r="P17" s="326">
        <f t="shared" si="3"/>
        <v>3841.8204903408009</v>
      </c>
      <c r="Q17" s="326">
        <v>1</v>
      </c>
      <c r="R17" s="326">
        <f t="shared" si="4"/>
        <v>4226.002539374882</v>
      </c>
      <c r="S17" s="326">
        <v>1</v>
      </c>
      <c r="T17" s="326">
        <f t="shared" si="5"/>
        <v>4648.6027933123705</v>
      </c>
      <c r="U17" s="326">
        <v>1</v>
      </c>
      <c r="V17" s="326">
        <f t="shared" si="6"/>
        <v>5113.463072643608</v>
      </c>
      <c r="W17" s="326">
        <v>1</v>
      </c>
      <c r="X17" s="326">
        <f t="shared" si="7"/>
        <v>5624.8093799079688</v>
      </c>
      <c r="Y17" s="326">
        <v>1</v>
      </c>
      <c r="Z17" s="326">
        <f t="shared" si="8"/>
        <v>6187.2903178987663</v>
      </c>
      <c r="AA17" s="322"/>
      <c r="AB17" s="322"/>
      <c r="AC17" s="322"/>
    </row>
    <row r="18" spans="1:30" ht="15.75" x14ac:dyDescent="0.25">
      <c r="A18" s="320"/>
      <c r="B18" s="325" t="s">
        <v>1375</v>
      </c>
      <c r="C18" s="326">
        <v>20</v>
      </c>
      <c r="D18" s="1098">
        <v>0.81</v>
      </c>
      <c r="E18" s="326">
        <v>24</v>
      </c>
      <c r="F18" s="326">
        <f>C18*D18*E18*31</f>
        <v>12052.800000000003</v>
      </c>
      <c r="G18" s="326"/>
      <c r="H18" s="326">
        <v>0</v>
      </c>
      <c r="I18" s="326"/>
      <c r="J18" s="326">
        <v>0</v>
      </c>
      <c r="K18" s="326"/>
      <c r="L18" s="326">
        <f>F18*K18*$L$4</f>
        <v>0</v>
      </c>
      <c r="M18" s="326">
        <v>1</v>
      </c>
      <c r="N18" s="326">
        <f>F18*M18*$N$4</f>
        <v>17036.897961600011</v>
      </c>
      <c r="O18" s="326">
        <v>1</v>
      </c>
      <c r="P18" s="326">
        <f t="shared" si="3"/>
        <v>18740.587757760011</v>
      </c>
      <c r="Q18" s="326">
        <v>1</v>
      </c>
      <c r="R18" s="326">
        <f t="shared" si="4"/>
        <v>20614.646533536015</v>
      </c>
      <c r="S18" s="326">
        <v>1</v>
      </c>
      <c r="T18" s="326">
        <f t="shared" si="5"/>
        <v>22676.111186889619</v>
      </c>
      <c r="U18" s="326">
        <v>1</v>
      </c>
      <c r="V18" s="326">
        <f t="shared" si="6"/>
        <v>24943.722305578583</v>
      </c>
      <c r="W18" s="326">
        <v>1</v>
      </c>
      <c r="X18" s="326">
        <f t="shared" si="7"/>
        <v>27438.094536136443</v>
      </c>
      <c r="Y18" s="326">
        <v>1</v>
      </c>
      <c r="Z18" s="326">
        <f t="shared" si="8"/>
        <v>30181.903989750092</v>
      </c>
      <c r="AA18" s="322"/>
      <c r="AB18" s="322"/>
      <c r="AC18" s="322"/>
      <c r="AD18" s="1100"/>
    </row>
    <row r="19" spans="1:30" x14ac:dyDescent="0.25">
      <c r="A19" s="320"/>
      <c r="B19" s="325" t="s">
        <v>955</v>
      </c>
      <c r="C19" s="326">
        <v>17</v>
      </c>
      <c r="D19" s="1098">
        <v>0.81</v>
      </c>
      <c r="E19" s="326">
        <v>24</v>
      </c>
      <c r="F19" s="326">
        <f>C19*D19*E19*31</f>
        <v>10244.880000000001</v>
      </c>
      <c r="G19" s="326"/>
      <c r="H19" s="326"/>
      <c r="I19" s="326"/>
      <c r="J19" s="326"/>
      <c r="K19" s="326"/>
      <c r="L19" s="326">
        <f>F19*K19*$L$4</f>
        <v>0</v>
      </c>
      <c r="M19" s="326">
        <v>2</v>
      </c>
      <c r="N19" s="326">
        <f>F19*M19*$N$4</f>
        <v>28962.726534720012</v>
      </c>
      <c r="O19" s="326">
        <v>2</v>
      </c>
      <c r="P19" s="326">
        <f t="shared" si="3"/>
        <v>31858.999188192018</v>
      </c>
      <c r="Q19" s="326">
        <v>2</v>
      </c>
      <c r="R19" s="326">
        <f t="shared" si="4"/>
        <v>35044.899107011224</v>
      </c>
      <c r="S19" s="326">
        <v>2</v>
      </c>
      <c r="T19" s="326">
        <f t="shared" si="5"/>
        <v>38549.389017712347</v>
      </c>
      <c r="U19" s="326">
        <v>2</v>
      </c>
      <c r="V19" s="326">
        <f t="shared" si="6"/>
        <v>42404.327919483585</v>
      </c>
      <c r="W19" s="326">
        <v>2</v>
      </c>
      <c r="X19" s="326">
        <f t="shared" si="7"/>
        <v>46644.760711431947</v>
      </c>
      <c r="Y19" s="326">
        <v>2</v>
      </c>
      <c r="Z19" s="326">
        <f t="shared" si="8"/>
        <v>51309.23678257515</v>
      </c>
      <c r="AA19" s="322"/>
      <c r="AB19" s="322"/>
      <c r="AC19" s="322"/>
      <c r="AD19" s="1100"/>
    </row>
    <row r="20" spans="1:30" x14ac:dyDescent="0.25">
      <c r="A20" s="320"/>
      <c r="B20" s="325" t="s">
        <v>1333</v>
      </c>
      <c r="C20" s="326">
        <v>16</v>
      </c>
      <c r="D20" s="1098">
        <v>0.81</v>
      </c>
      <c r="E20" s="326">
        <v>24</v>
      </c>
      <c r="F20" s="326">
        <f>C20*D20*E20*31</f>
        <v>9642.24</v>
      </c>
      <c r="G20" s="326"/>
      <c r="H20" s="326">
        <v>0</v>
      </c>
      <c r="I20" s="326"/>
      <c r="J20" s="326">
        <v>0</v>
      </c>
      <c r="K20" s="326"/>
      <c r="L20" s="326">
        <f>F20*K20*$L$4</f>
        <v>0</v>
      </c>
      <c r="M20" s="326">
        <v>2</v>
      </c>
      <c r="N20" s="326">
        <f>F20*M20*$N$4</f>
        <v>27259.036738560008</v>
      </c>
      <c r="O20" s="326">
        <v>2</v>
      </c>
      <c r="P20" s="326">
        <f>F20*O20*$P$4</f>
        <v>29984.94041241601</v>
      </c>
      <c r="Q20" s="326">
        <v>2</v>
      </c>
      <c r="R20" s="326">
        <f t="shared" si="4"/>
        <v>32983.434453657617</v>
      </c>
      <c r="S20" s="326">
        <v>2</v>
      </c>
      <c r="T20" s="326">
        <f t="shared" si="5"/>
        <v>36281.777899023386</v>
      </c>
      <c r="U20" s="326">
        <v>2</v>
      </c>
      <c r="V20" s="326">
        <f t="shared" si="6"/>
        <v>39909.955688925722</v>
      </c>
      <c r="W20" s="326">
        <v>2</v>
      </c>
      <c r="X20" s="326">
        <f t="shared" si="7"/>
        <v>43900.951257818298</v>
      </c>
      <c r="Y20" s="326">
        <v>2</v>
      </c>
      <c r="Z20" s="326">
        <f t="shared" si="8"/>
        <v>48291.046383600136</v>
      </c>
      <c r="AA20" s="322"/>
      <c r="AB20" s="322"/>
      <c r="AC20" s="322"/>
      <c r="AD20" s="1100"/>
    </row>
    <row r="21" spans="1:30" ht="3" customHeight="1" x14ac:dyDescent="0.25">
      <c r="A21" s="320"/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1100"/>
    </row>
    <row r="22" spans="1:30" ht="15.75" thickBot="1" x14ac:dyDescent="0.3">
      <c r="A22" s="320"/>
      <c r="B22" s="322"/>
      <c r="C22" s="1101"/>
      <c r="D22" s="1101"/>
      <c r="E22" s="1101"/>
      <c r="F22" s="1101"/>
      <c r="G22" s="1102" t="s">
        <v>1334</v>
      </c>
      <c r="H22" s="1103">
        <f>SUM(H5:H17)</f>
        <v>0</v>
      </c>
      <c r="I22" s="1103"/>
      <c r="J22" s="1103">
        <f>SUM(J5:J17)</f>
        <v>48435.478502400016</v>
      </c>
      <c r="K22" s="1103"/>
      <c r="L22" s="1103">
        <f>SUM(L5:L20)</f>
        <v>51149.414107440025</v>
      </c>
      <c r="M22" s="1103"/>
      <c r="N22" s="1103">
        <f>SUM(N5:N19)</f>
        <v>102263.98001450405</v>
      </c>
      <c r="O22" s="1103"/>
      <c r="P22" s="1103">
        <f>SUM(P5:P19)</f>
        <v>112490.37801595445</v>
      </c>
      <c r="Q22" s="1103"/>
      <c r="R22" s="1103">
        <f>SUM(R5:R19)</f>
        <v>123739.41581754992</v>
      </c>
      <c r="S22" s="1103"/>
      <c r="T22" s="1103">
        <f>SUM(T5:T19)</f>
        <v>136113.35739930495</v>
      </c>
      <c r="U22" s="1103"/>
      <c r="V22" s="1103">
        <f>SUM(V5:V19)</f>
        <v>149724.69313923546</v>
      </c>
      <c r="W22" s="1103"/>
      <c r="X22" s="1103">
        <f>SUM(X5:X19)</f>
        <v>164697.16245315899</v>
      </c>
      <c r="Y22" s="1103"/>
      <c r="Z22" s="1103">
        <f>SUM(Z5:Z19)</f>
        <v>181166.8786984749</v>
      </c>
      <c r="AA22" s="1101"/>
      <c r="AB22" s="322"/>
      <c r="AC22" s="322"/>
      <c r="AD22" s="1100"/>
    </row>
    <row r="23" spans="1:30" x14ac:dyDescent="0.25">
      <c r="A23" s="320"/>
      <c r="B23" s="322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29"/>
      <c r="O23" s="329"/>
      <c r="P23" s="329"/>
      <c r="Q23" s="329"/>
      <c r="R23" s="329"/>
      <c r="S23" s="329"/>
      <c r="T23" s="330"/>
      <c r="U23" s="330"/>
      <c r="V23" s="329"/>
      <c r="W23" s="329"/>
      <c r="X23" s="331"/>
      <c r="Y23" s="331"/>
      <c r="Z23" s="1104"/>
      <c r="AA23" s="322"/>
      <c r="AB23" s="322"/>
      <c r="AC23" s="322"/>
      <c r="AD23" s="1100"/>
    </row>
    <row r="24" spans="1:30" hidden="1" x14ac:dyDescent="0.25">
      <c r="A24" s="320"/>
      <c r="B24" s="322"/>
      <c r="C24" s="329"/>
      <c r="D24" s="329"/>
      <c r="E24" s="329"/>
      <c r="F24" s="329"/>
      <c r="G24" s="1105" t="s">
        <v>1335</v>
      </c>
      <c r="H24" s="1106">
        <v>11148.451200000003</v>
      </c>
      <c r="I24" s="329"/>
      <c r="J24" s="1106">
        <v>49697.318016000005</v>
      </c>
      <c r="K24" s="329"/>
      <c r="L24" s="1106">
        <v>58642.835258880004</v>
      </c>
      <c r="M24" s="329"/>
      <c r="N24" s="1106">
        <v>69198.545605478401</v>
      </c>
      <c r="O24" s="329"/>
      <c r="P24" s="1106">
        <v>74734.429253916678</v>
      </c>
      <c r="Q24" s="329"/>
      <c r="R24" s="1106">
        <v>80713.183594230009</v>
      </c>
      <c r="S24" s="329"/>
      <c r="T24" s="1106">
        <v>87170.238281768427</v>
      </c>
      <c r="U24" s="330"/>
      <c r="V24" s="1106">
        <v>94143.857344309901</v>
      </c>
      <c r="W24" s="329"/>
      <c r="X24" s="1106">
        <v>101675.3659318547</v>
      </c>
      <c r="Y24" s="333"/>
      <c r="Z24" s="1106">
        <v>109809.39520640309</v>
      </c>
      <c r="AA24" s="322"/>
      <c r="AB24" s="322"/>
      <c r="AC24" s="322"/>
      <c r="AD24" s="1100"/>
    </row>
    <row r="25" spans="1:30" hidden="1" x14ac:dyDescent="0.25">
      <c r="A25" s="320"/>
      <c r="B25" s="322"/>
      <c r="C25" s="329"/>
      <c r="D25" s="329"/>
      <c r="E25" s="329"/>
      <c r="F25" s="329"/>
      <c r="G25" s="1105" t="s">
        <v>1336</v>
      </c>
      <c r="H25" s="1106">
        <v>360000</v>
      </c>
      <c r="I25" s="1106"/>
      <c r="J25" s="1106">
        <v>1080000</v>
      </c>
      <c r="K25" s="1106"/>
      <c r="L25" s="1106">
        <v>1080000</v>
      </c>
      <c r="M25" s="1106"/>
      <c r="N25" s="1106">
        <v>1080000</v>
      </c>
      <c r="O25" s="1106"/>
      <c r="P25" s="1106">
        <v>1080000</v>
      </c>
      <c r="Q25" s="1106"/>
      <c r="R25" s="1106">
        <v>1080000</v>
      </c>
      <c r="S25" s="1106"/>
      <c r="T25" s="1106">
        <v>1080000</v>
      </c>
      <c r="U25" s="1106"/>
      <c r="V25" s="1106">
        <v>1080000</v>
      </c>
      <c r="W25" s="1106"/>
      <c r="X25" s="1106">
        <v>1080000</v>
      </c>
      <c r="Y25" s="1106"/>
      <c r="Z25" s="1106">
        <v>1080000</v>
      </c>
      <c r="AA25" s="322"/>
      <c r="AB25" s="322"/>
      <c r="AC25" s="322"/>
      <c r="AD25" s="1100"/>
    </row>
    <row r="26" spans="1:30" hidden="1" x14ac:dyDescent="0.25">
      <c r="A26" s="320"/>
      <c r="B26" s="324"/>
      <c r="C26" s="324"/>
      <c r="D26" s="324"/>
      <c r="E26" s="324"/>
      <c r="F26" s="324"/>
      <c r="G26" s="1105" t="s">
        <v>1337</v>
      </c>
      <c r="H26" s="1107">
        <v>3.0967920000000011</v>
      </c>
      <c r="I26" s="1107"/>
      <c r="J26" s="1107">
        <v>4.6016035200000003</v>
      </c>
      <c r="K26" s="1107"/>
      <c r="L26" s="1107">
        <v>5.4298921536</v>
      </c>
      <c r="M26" s="1107"/>
      <c r="N26" s="1107">
        <v>6.4072727412480006</v>
      </c>
      <c r="O26" s="1107"/>
      <c r="P26" s="1107">
        <v>6.9198545605478401</v>
      </c>
      <c r="Q26" s="1107"/>
      <c r="R26" s="1107">
        <v>7.4734429253916668</v>
      </c>
      <c r="S26" s="1107"/>
      <c r="T26" s="1107">
        <v>8.0713183594230014</v>
      </c>
      <c r="U26" s="1107"/>
      <c r="V26" s="1107">
        <v>8.717023828176842</v>
      </c>
      <c r="W26" s="1107"/>
      <c r="X26" s="1107">
        <v>9.4143857344309918</v>
      </c>
      <c r="Y26" s="1107"/>
      <c r="Z26" s="1107">
        <v>10.167536593185471</v>
      </c>
      <c r="AA26" s="1107" t="e">
        <v>#DIV/0!</v>
      </c>
      <c r="AB26" s="1108"/>
      <c r="AC26" s="322"/>
      <c r="AD26" s="1100"/>
    </row>
    <row r="27" spans="1:30" x14ac:dyDescent="0.25">
      <c r="B27" s="1109"/>
    </row>
    <row r="28" spans="1:30" ht="23.25" x14ac:dyDescent="0.35">
      <c r="B28" s="1110" t="s">
        <v>1338</v>
      </c>
    </row>
    <row r="29" spans="1:30" s="1111" customFormat="1" ht="25.5" x14ac:dyDescent="0.2">
      <c r="B29" s="1112" t="s">
        <v>1339</v>
      </c>
      <c r="C29" s="1113" t="s">
        <v>205</v>
      </c>
      <c r="D29" s="1113" t="s">
        <v>1340</v>
      </c>
      <c r="E29" s="1113" t="s">
        <v>1341</v>
      </c>
      <c r="F29" s="1113" t="s">
        <v>1342</v>
      </c>
      <c r="G29" s="1449" t="s">
        <v>1343</v>
      </c>
      <c r="H29" s="1449"/>
      <c r="I29" s="1450" t="s">
        <v>1344</v>
      </c>
      <c r="J29" s="1450"/>
      <c r="L29" s="1114" t="s">
        <v>1345</v>
      </c>
      <c r="M29" s="1114" t="s">
        <v>1346</v>
      </c>
      <c r="N29" s="1114" t="s">
        <v>1347</v>
      </c>
    </row>
    <row r="30" spans="1:30" x14ac:dyDescent="0.25">
      <c r="B30" s="1451" t="s">
        <v>1348</v>
      </c>
      <c r="C30" s="325" t="s">
        <v>1349</v>
      </c>
      <c r="D30" s="1115">
        <v>2.6806000000000001</v>
      </c>
      <c r="E30" s="326">
        <v>25</v>
      </c>
      <c r="F30" s="326">
        <v>13</v>
      </c>
      <c r="G30" s="1454">
        <f t="shared" ref="G30:G35" si="10">D30*E30*F30</f>
        <v>871.19500000000005</v>
      </c>
      <c r="H30" s="1455"/>
      <c r="I30" s="1456">
        <v>0.64</v>
      </c>
      <c r="J30" s="1457"/>
      <c r="L30" s="1116"/>
      <c r="M30" s="1462">
        <v>0.96028000000000002</v>
      </c>
      <c r="N30" s="1116"/>
      <c r="R30" s="1117"/>
    </row>
    <row r="31" spans="1:30" x14ac:dyDescent="0.25">
      <c r="B31" s="1452"/>
      <c r="C31" s="325" t="s">
        <v>1350</v>
      </c>
      <c r="D31" s="1115">
        <v>0.81210000000000004</v>
      </c>
      <c r="E31" s="326">
        <v>62</v>
      </c>
      <c r="F31" s="326">
        <v>13</v>
      </c>
      <c r="G31" s="1454">
        <f t="shared" si="10"/>
        <v>654.55259999999998</v>
      </c>
      <c r="H31" s="1455"/>
      <c r="I31" s="1458"/>
      <c r="J31" s="1459"/>
      <c r="L31" s="1116"/>
      <c r="M31" s="1462"/>
      <c r="N31" s="1116"/>
      <c r="R31" s="1117"/>
    </row>
    <row r="32" spans="1:30" x14ac:dyDescent="0.25">
      <c r="B32" s="1453"/>
      <c r="C32" s="325" t="s">
        <v>1351</v>
      </c>
      <c r="D32" s="1115">
        <v>0.441</v>
      </c>
      <c r="E32" s="326">
        <v>81</v>
      </c>
      <c r="F32" s="326">
        <v>13</v>
      </c>
      <c r="G32" s="1454">
        <f t="shared" si="10"/>
        <v>464.37300000000005</v>
      </c>
      <c r="H32" s="1455"/>
      <c r="I32" s="1458"/>
      <c r="J32" s="1459"/>
      <c r="L32" s="1116"/>
      <c r="M32" s="1462"/>
      <c r="N32" s="1116"/>
      <c r="R32" s="1117"/>
    </row>
    <row r="33" spans="2:18" x14ac:dyDescent="0.25">
      <c r="B33" s="1451" t="s">
        <v>1352</v>
      </c>
      <c r="C33" s="325" t="s">
        <v>1349</v>
      </c>
      <c r="D33" s="1115">
        <v>0.87439999999999996</v>
      </c>
      <c r="E33" s="326">
        <v>25</v>
      </c>
      <c r="F33" s="326">
        <v>39</v>
      </c>
      <c r="G33" s="1454">
        <f t="shared" si="10"/>
        <v>852.54</v>
      </c>
      <c r="H33" s="1455"/>
      <c r="I33" s="1458"/>
      <c r="J33" s="1459"/>
      <c r="L33" s="1116"/>
      <c r="M33" s="1462">
        <v>0.96028000000000002</v>
      </c>
      <c r="N33" s="1116"/>
      <c r="R33" s="1117"/>
    </row>
    <row r="34" spans="2:18" x14ac:dyDescent="0.25">
      <c r="B34" s="1452"/>
      <c r="C34" s="325" t="s">
        <v>1350</v>
      </c>
      <c r="D34" s="1115">
        <v>0.61639999999999995</v>
      </c>
      <c r="E34" s="326">
        <v>62</v>
      </c>
      <c r="F34" s="326">
        <v>39</v>
      </c>
      <c r="G34" s="1454">
        <f t="shared" si="10"/>
        <v>1490.4551999999999</v>
      </c>
      <c r="H34" s="1455"/>
      <c r="I34" s="1458"/>
      <c r="J34" s="1459"/>
      <c r="L34" s="1118"/>
      <c r="M34" s="1462"/>
      <c r="N34" s="1118"/>
      <c r="R34" s="1117"/>
    </row>
    <row r="35" spans="2:18" x14ac:dyDescent="0.25">
      <c r="B35" s="1453"/>
      <c r="C35" s="325" t="s">
        <v>1351</v>
      </c>
      <c r="D35" s="1115">
        <v>0.39229999999999998</v>
      </c>
      <c r="E35" s="326">
        <v>81</v>
      </c>
      <c r="F35" s="326">
        <v>39</v>
      </c>
      <c r="G35" s="1454">
        <f t="shared" si="10"/>
        <v>1239.2756999999999</v>
      </c>
      <c r="H35" s="1455"/>
      <c r="I35" s="1460"/>
      <c r="J35" s="1461"/>
      <c r="L35" s="1118"/>
      <c r="M35" s="1462"/>
      <c r="N35" s="1118"/>
      <c r="R35" s="1117"/>
    </row>
    <row r="36" spans="2:18" x14ac:dyDescent="0.25">
      <c r="E36" s="1119"/>
      <c r="M36" s="1120"/>
      <c r="R36" s="1117"/>
    </row>
    <row r="37" spans="2:18" ht="23.25" x14ac:dyDescent="0.35">
      <c r="B37" s="1110" t="s">
        <v>1353</v>
      </c>
      <c r="M37" s="1120"/>
    </row>
    <row r="38" spans="2:18" s="1111" customFormat="1" ht="25.5" x14ac:dyDescent="0.2">
      <c r="B38" s="1112" t="s">
        <v>1354</v>
      </c>
      <c r="C38" s="1113" t="s">
        <v>205</v>
      </c>
      <c r="D38" s="1113" t="s">
        <v>1340</v>
      </c>
      <c r="E38" s="1113" t="s">
        <v>1341</v>
      </c>
      <c r="F38" s="1113" t="s">
        <v>1342</v>
      </c>
      <c r="G38" s="1449" t="s">
        <v>1343</v>
      </c>
      <c r="H38" s="1449"/>
      <c r="I38" s="1450" t="s">
        <v>1355</v>
      </c>
      <c r="J38" s="1450"/>
      <c r="L38" s="1114" t="s">
        <v>1345</v>
      </c>
      <c r="M38" s="1114" t="s">
        <v>1346</v>
      </c>
      <c r="N38" s="1114" t="s">
        <v>1347</v>
      </c>
    </row>
    <row r="39" spans="2:18" x14ac:dyDescent="0.25">
      <c r="B39" s="1451" t="s">
        <v>1348</v>
      </c>
      <c r="C39" s="325" t="s">
        <v>1349</v>
      </c>
      <c r="D39" s="1115">
        <v>2.7921</v>
      </c>
      <c r="E39" s="326">
        <v>25</v>
      </c>
      <c r="F39" s="326">
        <v>13</v>
      </c>
      <c r="G39" s="1463">
        <f t="shared" ref="G39:G44" si="11">D39*E39*F39</f>
        <v>907.43249999999989</v>
      </c>
      <c r="H39" s="1464"/>
      <c r="I39" s="1456">
        <v>0.66</v>
      </c>
      <c r="J39" s="1457"/>
      <c r="L39" s="1116"/>
      <c r="M39" s="1462">
        <v>0.96028000000000002</v>
      </c>
      <c r="N39" s="1116"/>
      <c r="P39" s="1119"/>
      <c r="R39" s="1117"/>
    </row>
    <row r="40" spans="2:18" x14ac:dyDescent="0.25">
      <c r="B40" s="1452"/>
      <c r="C40" s="325" t="s">
        <v>1350</v>
      </c>
      <c r="D40" s="1115">
        <v>0.84589999999999999</v>
      </c>
      <c r="E40" s="326">
        <v>62</v>
      </c>
      <c r="F40" s="326">
        <v>13</v>
      </c>
      <c r="G40" s="1463">
        <f t="shared" si="11"/>
        <v>681.79539999999997</v>
      </c>
      <c r="H40" s="1464"/>
      <c r="I40" s="1458"/>
      <c r="J40" s="1459"/>
      <c r="L40" s="1116"/>
      <c r="M40" s="1462"/>
      <c r="N40" s="1116"/>
      <c r="P40" s="1119"/>
      <c r="R40" s="1117"/>
    </row>
    <row r="41" spans="2:18" x14ac:dyDescent="0.25">
      <c r="B41" s="1453"/>
      <c r="C41" s="325" t="s">
        <v>1351</v>
      </c>
      <c r="D41" s="1115">
        <v>0.45929999999999999</v>
      </c>
      <c r="E41" s="326">
        <v>81</v>
      </c>
      <c r="F41" s="326">
        <v>13</v>
      </c>
      <c r="G41" s="1463">
        <f t="shared" si="11"/>
        <v>483.6429</v>
      </c>
      <c r="H41" s="1464"/>
      <c r="I41" s="1458"/>
      <c r="J41" s="1459"/>
      <c r="L41" s="1116"/>
      <c r="M41" s="1462"/>
      <c r="N41" s="1116"/>
      <c r="P41" s="1119"/>
      <c r="R41" s="1117"/>
    </row>
    <row r="42" spans="2:18" x14ac:dyDescent="0.25">
      <c r="B42" s="1451" t="s">
        <v>1352</v>
      </c>
      <c r="C42" s="325" t="s">
        <v>1349</v>
      </c>
      <c r="D42" s="1115">
        <v>0.91090000000000004</v>
      </c>
      <c r="E42" s="326">
        <v>25</v>
      </c>
      <c r="F42" s="326">
        <v>39</v>
      </c>
      <c r="G42" s="1463">
        <f t="shared" si="11"/>
        <v>888.12750000000005</v>
      </c>
      <c r="H42" s="1464"/>
      <c r="I42" s="1458"/>
      <c r="J42" s="1459"/>
      <c r="L42" s="1116"/>
      <c r="M42" s="1462">
        <v>0.96028000000000002</v>
      </c>
      <c r="N42" s="1116"/>
      <c r="P42" s="1119"/>
      <c r="R42" s="1117"/>
    </row>
    <row r="43" spans="2:18" x14ac:dyDescent="0.25">
      <c r="B43" s="1452"/>
      <c r="C43" s="325" t="s">
        <v>1350</v>
      </c>
      <c r="D43" s="1115">
        <v>0.62680000000000002</v>
      </c>
      <c r="E43" s="326">
        <v>62</v>
      </c>
      <c r="F43" s="326">
        <v>39</v>
      </c>
      <c r="G43" s="1463">
        <f t="shared" si="11"/>
        <v>1515.6024000000002</v>
      </c>
      <c r="H43" s="1464"/>
      <c r="I43" s="1458"/>
      <c r="J43" s="1459"/>
      <c r="L43" s="1118"/>
      <c r="M43" s="1462"/>
      <c r="N43" s="1118"/>
      <c r="P43" s="1119"/>
      <c r="R43" s="1117"/>
    </row>
    <row r="44" spans="2:18" x14ac:dyDescent="0.25">
      <c r="B44" s="1453"/>
      <c r="C44" s="325" t="s">
        <v>1351</v>
      </c>
      <c r="D44" s="1115">
        <v>0.39760000000000001</v>
      </c>
      <c r="E44" s="326">
        <v>81</v>
      </c>
      <c r="F44" s="326">
        <v>39</v>
      </c>
      <c r="G44" s="1463">
        <f t="shared" si="11"/>
        <v>1256.0184000000002</v>
      </c>
      <c r="H44" s="1464"/>
      <c r="I44" s="1460"/>
      <c r="J44" s="1461"/>
      <c r="L44" s="1118"/>
      <c r="M44" s="1462"/>
      <c r="N44" s="1118"/>
      <c r="P44" s="1119"/>
      <c r="R44" s="1117"/>
    </row>
    <row r="45" spans="2:18" x14ac:dyDescent="0.25">
      <c r="P45" s="1119"/>
      <c r="R45" s="1117"/>
    </row>
  </sheetData>
  <mergeCells count="46">
    <mergeCell ref="M39:M41"/>
    <mergeCell ref="G40:H40"/>
    <mergeCell ref="G41:H41"/>
    <mergeCell ref="B42:B44"/>
    <mergeCell ref="G42:H42"/>
    <mergeCell ref="M42:M44"/>
    <mergeCell ref="G43:H43"/>
    <mergeCell ref="G44:H44"/>
    <mergeCell ref="G38:H38"/>
    <mergeCell ref="I38:J38"/>
    <mergeCell ref="B39:B41"/>
    <mergeCell ref="G39:H39"/>
    <mergeCell ref="I39:J44"/>
    <mergeCell ref="B30:B32"/>
    <mergeCell ref="G30:H30"/>
    <mergeCell ref="I30:J35"/>
    <mergeCell ref="M30:M32"/>
    <mergeCell ref="G31:H31"/>
    <mergeCell ref="G32:H32"/>
    <mergeCell ref="B33:B35"/>
    <mergeCell ref="G33:H33"/>
    <mergeCell ref="M33:M35"/>
    <mergeCell ref="G34:H34"/>
    <mergeCell ref="G35:H35"/>
    <mergeCell ref="S3:T3"/>
    <mergeCell ref="U3:V3"/>
    <mergeCell ref="W3:X3"/>
    <mergeCell ref="Y3:Z3"/>
    <mergeCell ref="G29:H29"/>
    <mergeCell ref="I29:J29"/>
    <mergeCell ref="S2:T2"/>
    <mergeCell ref="U2:V2"/>
    <mergeCell ref="W2:X2"/>
    <mergeCell ref="Y2:Z2"/>
    <mergeCell ref="G3:H3"/>
    <mergeCell ref="I3:J3"/>
    <mergeCell ref="K3:L3"/>
    <mergeCell ref="M3:N3"/>
    <mergeCell ref="O3:P3"/>
    <mergeCell ref="Q3:R3"/>
    <mergeCell ref="G2:H2"/>
    <mergeCell ref="I2:J2"/>
    <mergeCell ref="K2:L2"/>
    <mergeCell ref="M2:N2"/>
    <mergeCell ref="O2:P2"/>
    <mergeCell ref="Q2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J21"/>
  <sheetViews>
    <sheetView zoomScale="110" zoomScaleNormal="110" workbookViewId="0">
      <selection activeCell="F3" sqref="F3"/>
    </sheetView>
  </sheetViews>
  <sheetFormatPr defaultColWidth="9.140625" defaultRowHeight="15" x14ac:dyDescent="0.25"/>
  <cols>
    <col min="1" max="1" width="3" style="319" customWidth="1"/>
    <col min="2" max="2" width="22" style="319" customWidth="1"/>
    <col min="3" max="3" width="11.42578125" style="319" bestFit="1" customWidth="1"/>
    <col min="4" max="4" width="11" style="319" bestFit="1" customWidth="1"/>
    <col min="5" max="5" width="13.85546875" style="319" customWidth="1"/>
    <col min="6" max="6" width="12.140625" style="319" bestFit="1" customWidth="1"/>
    <col min="7" max="7" width="22.140625" style="319" customWidth="1"/>
    <col min="8" max="8" width="1" style="319" customWidth="1"/>
    <col min="9" max="9" width="7.28515625" style="319" customWidth="1"/>
    <col min="10" max="16384" width="9.140625" style="319"/>
  </cols>
  <sheetData>
    <row r="1" spans="1:10" ht="23.25" x14ac:dyDescent="0.35">
      <c r="A1" s="314"/>
      <c r="B1" s="315" t="s">
        <v>646</v>
      </c>
      <c r="C1" s="316"/>
      <c r="D1" s="316"/>
      <c r="E1" s="316"/>
      <c r="F1" s="316"/>
      <c r="G1" s="316"/>
      <c r="H1" s="316"/>
      <c r="I1" s="317"/>
      <c r="J1" s="318"/>
    </row>
    <row r="2" spans="1:10" ht="3" customHeight="1" x14ac:dyDescent="0.3">
      <c r="A2" s="320"/>
      <c r="B2" s="321"/>
      <c r="C2" s="322"/>
      <c r="D2" s="322"/>
      <c r="E2" s="322"/>
      <c r="F2" s="322"/>
      <c r="G2" s="322"/>
      <c r="H2" s="322"/>
      <c r="I2" s="323"/>
      <c r="J2" s="318"/>
    </row>
    <row r="3" spans="1:10" x14ac:dyDescent="0.25">
      <c r="A3" s="320"/>
      <c r="B3" s="322"/>
      <c r="C3" s="329"/>
      <c r="D3" s="330"/>
      <c r="E3" s="329" t="s">
        <v>248</v>
      </c>
      <c r="F3" s="1245">
        <v>25</v>
      </c>
      <c r="G3" s="332"/>
      <c r="H3" s="322"/>
      <c r="I3" s="323"/>
      <c r="J3" s="328"/>
    </row>
    <row r="4" spans="1:10" x14ac:dyDescent="0.25">
      <c r="A4" s="320"/>
      <c r="B4" s="322"/>
      <c r="C4" s="329"/>
      <c r="D4" s="330"/>
      <c r="E4" s="329" t="s">
        <v>1440</v>
      </c>
      <c r="F4" s="1324">
        <v>21000</v>
      </c>
      <c r="G4" s="322"/>
      <c r="H4" s="322"/>
      <c r="I4" s="323"/>
      <c r="J4" s="328"/>
    </row>
    <row r="5" spans="1:10" x14ac:dyDescent="0.25">
      <c r="A5" s="320"/>
      <c r="B5" s="1475" t="s">
        <v>249</v>
      </c>
      <c r="C5" s="1475"/>
      <c r="D5" s="1475"/>
      <c r="E5" s="334"/>
      <c r="F5" s="324"/>
      <c r="G5" s="322"/>
      <c r="H5" s="322"/>
      <c r="I5" s="323"/>
      <c r="J5" s="328"/>
    </row>
    <row r="6" spans="1:10" x14ac:dyDescent="0.25">
      <c r="A6" s="320"/>
      <c r="B6" s="1470" t="s">
        <v>250</v>
      </c>
      <c r="C6" s="1470"/>
      <c r="D6" s="1470"/>
      <c r="E6" s="891">
        <f>F3</f>
        <v>25</v>
      </c>
      <c r="F6" s="892">
        <f>E6</f>
        <v>25</v>
      </c>
      <c r="G6" s="322"/>
      <c r="H6" s="322"/>
      <c r="I6" s="323"/>
      <c r="J6" s="328"/>
    </row>
    <row r="7" spans="1:10" x14ac:dyDescent="0.25">
      <c r="A7" s="320"/>
      <c r="B7" s="1467" t="s">
        <v>251</v>
      </c>
      <c r="C7" s="1468"/>
      <c r="D7" s="1469"/>
      <c r="E7" s="891">
        <v>0</v>
      </c>
      <c r="F7" s="892">
        <f>(E7)/F4</f>
        <v>0</v>
      </c>
      <c r="G7" s="322"/>
      <c r="H7" s="322"/>
      <c r="I7" s="323"/>
      <c r="J7" s="328"/>
    </row>
    <row r="8" spans="1:10" x14ac:dyDescent="0.25">
      <c r="A8" s="320"/>
      <c r="B8" s="1467" t="s">
        <v>252</v>
      </c>
      <c r="C8" s="1468"/>
      <c r="D8" s="1469"/>
      <c r="E8" s="891">
        <v>0</v>
      </c>
      <c r="F8" s="892">
        <f>(E8)/F4</f>
        <v>0</v>
      </c>
      <c r="G8" s="322"/>
      <c r="H8" s="322"/>
      <c r="I8" s="323"/>
      <c r="J8" s="328"/>
    </row>
    <row r="9" spans="1:10" x14ac:dyDescent="0.25">
      <c r="A9" s="320"/>
      <c r="B9" s="1476" t="s">
        <v>1438</v>
      </c>
      <c r="C9" s="1477"/>
      <c r="D9" s="1478"/>
      <c r="E9" s="893">
        <v>1500</v>
      </c>
      <c r="F9" s="894">
        <f>(E9)/F4</f>
        <v>7.1428571428571425E-2</v>
      </c>
      <c r="G9" s="1474" t="s">
        <v>253</v>
      </c>
      <c r="H9" s="322"/>
      <c r="I9" s="1465">
        <f>SUM(F7:F17)</f>
        <v>1.6643371428571427</v>
      </c>
      <c r="J9" s="328"/>
    </row>
    <row r="10" spans="1:10" x14ac:dyDescent="0.25">
      <c r="A10" s="320"/>
      <c r="B10" s="1466" t="s">
        <v>1439</v>
      </c>
      <c r="C10" s="1466"/>
      <c r="D10" s="1466"/>
      <c r="E10" s="504">
        <v>8772</v>
      </c>
      <c r="F10" s="505">
        <f>E10/F4</f>
        <v>0.4177142857142857</v>
      </c>
      <c r="G10" s="1474"/>
      <c r="H10" s="322"/>
      <c r="I10" s="1465"/>
      <c r="J10" s="328"/>
    </row>
    <row r="11" spans="1:10" x14ac:dyDescent="0.25">
      <c r="A11" s="320"/>
      <c r="B11" s="506" t="s">
        <v>373</v>
      </c>
      <c r="C11" s="507"/>
      <c r="D11" s="508"/>
      <c r="E11" s="504">
        <v>2050</v>
      </c>
      <c r="F11" s="505">
        <f>E11/F4</f>
        <v>9.7619047619047619E-2</v>
      </c>
      <c r="G11" s="509"/>
      <c r="H11" s="322"/>
      <c r="I11" s="494"/>
      <c r="J11" s="328"/>
    </row>
    <row r="12" spans="1:10" x14ac:dyDescent="0.25">
      <c r="A12" s="320"/>
      <c r="B12" s="506" t="s">
        <v>374</v>
      </c>
      <c r="C12" s="507"/>
      <c r="D12" s="508"/>
      <c r="E12" s="504">
        <v>2400</v>
      </c>
      <c r="F12" s="505">
        <f>E12/F4</f>
        <v>0.11428571428571428</v>
      </c>
      <c r="G12" s="509"/>
      <c r="H12" s="322"/>
      <c r="I12" s="494"/>
      <c r="J12" s="328"/>
    </row>
    <row r="13" spans="1:10" x14ac:dyDescent="0.25">
      <c r="A13" s="320"/>
      <c r="B13" s="506" t="s">
        <v>375</v>
      </c>
      <c r="C13" s="507"/>
      <c r="D13" s="508"/>
      <c r="E13" s="504">
        <v>1000</v>
      </c>
      <c r="F13" s="505">
        <f>E13/F4</f>
        <v>4.7619047619047616E-2</v>
      </c>
      <c r="G13" s="509"/>
      <c r="H13" s="322"/>
      <c r="I13" s="494"/>
      <c r="J13" s="328"/>
    </row>
    <row r="14" spans="1:10" x14ac:dyDescent="0.25">
      <c r="A14" s="320"/>
      <c r="B14" s="506" t="s">
        <v>376</v>
      </c>
      <c r="C14" s="507"/>
      <c r="D14" s="508"/>
      <c r="E14" s="504">
        <v>3400</v>
      </c>
      <c r="F14" s="505">
        <f>E14/F4</f>
        <v>0.16190476190476191</v>
      </c>
      <c r="G14" s="509"/>
      <c r="H14" s="322"/>
      <c r="I14" s="494"/>
      <c r="J14" s="328"/>
    </row>
    <row r="15" spans="1:10" x14ac:dyDescent="0.25">
      <c r="A15" s="320"/>
      <c r="B15" s="1467" t="s">
        <v>545</v>
      </c>
      <c r="C15" s="1468"/>
      <c r="D15" s="1469"/>
      <c r="E15" s="336">
        <v>15000</v>
      </c>
      <c r="F15" s="505">
        <f>E15/F4</f>
        <v>0.7142857142857143</v>
      </c>
      <c r="G15" s="322"/>
      <c r="H15" s="322"/>
      <c r="I15" s="323"/>
      <c r="J15" s="328"/>
    </row>
    <row r="16" spans="1:10" x14ac:dyDescent="0.25">
      <c r="A16" s="320"/>
      <c r="B16" s="495" t="s">
        <v>377</v>
      </c>
      <c r="C16" s="496"/>
      <c r="D16" s="497"/>
      <c r="E16" s="336">
        <v>0</v>
      </c>
      <c r="F16" s="505">
        <f>E16/19500</f>
        <v>0</v>
      </c>
      <c r="G16" s="322"/>
      <c r="H16" s="322"/>
      <c r="I16" s="323"/>
      <c r="J16" s="328"/>
    </row>
    <row r="17" spans="1:10" x14ac:dyDescent="0.25">
      <c r="A17" s="320"/>
      <c r="B17" s="1470" t="s">
        <v>254</v>
      </c>
      <c r="C17" s="1470"/>
      <c r="D17" s="1470"/>
      <c r="E17" s="336">
        <f>((E7)+(E8)+(E9)+E10+E15)*0.015+450</f>
        <v>829.07999999999993</v>
      </c>
      <c r="F17" s="505">
        <f>E17/F4</f>
        <v>3.9479999999999994E-2</v>
      </c>
      <c r="G17" s="322"/>
      <c r="H17" s="322"/>
      <c r="I17" s="323"/>
      <c r="J17" s="328"/>
    </row>
    <row r="18" spans="1:10" ht="3" customHeight="1" x14ac:dyDescent="0.25">
      <c r="A18" s="337"/>
      <c r="B18" s="338"/>
      <c r="C18" s="338"/>
      <c r="D18" s="338"/>
      <c r="E18" s="325"/>
      <c r="F18" s="335"/>
      <c r="G18" s="322"/>
      <c r="H18" s="322"/>
      <c r="I18" s="339"/>
    </row>
    <row r="19" spans="1:10" x14ac:dyDescent="0.25">
      <c r="A19" s="337"/>
      <c r="B19" s="1471" t="s">
        <v>255</v>
      </c>
      <c r="C19" s="1472"/>
      <c r="D19" s="1472"/>
      <c r="E19" s="1473"/>
      <c r="F19" s="327">
        <f>SUM(F6:F17)</f>
        <v>26.664337142857146</v>
      </c>
      <c r="G19" s="332"/>
      <c r="H19" s="322"/>
      <c r="I19" s="339"/>
    </row>
    <row r="20" spans="1:10" x14ac:dyDescent="0.25">
      <c r="A20" s="337"/>
      <c r="B20" s="322"/>
      <c r="C20" s="322"/>
      <c r="D20" s="322"/>
      <c r="E20" s="322"/>
      <c r="F20" s="340"/>
      <c r="G20" s="322"/>
      <c r="H20" s="322"/>
      <c r="I20" s="339"/>
    </row>
    <row r="21" spans="1:10" x14ac:dyDescent="0.25">
      <c r="A21" s="341"/>
      <c r="B21" s="342"/>
      <c r="C21" s="342"/>
      <c r="D21" s="342"/>
      <c r="E21" s="342"/>
      <c r="F21" s="342"/>
      <c r="G21" s="342"/>
      <c r="H21" s="342"/>
      <c r="I21" s="343"/>
    </row>
  </sheetData>
  <mergeCells count="11">
    <mergeCell ref="B5:D5"/>
    <mergeCell ref="B6:D6"/>
    <mergeCell ref="B7:D7"/>
    <mergeCell ref="B8:D8"/>
    <mergeCell ref="B9:D9"/>
    <mergeCell ref="I9:I10"/>
    <mergeCell ref="B10:D10"/>
    <mergeCell ref="B15:D15"/>
    <mergeCell ref="B17:D17"/>
    <mergeCell ref="B19:E19"/>
    <mergeCell ref="G9:G10"/>
  </mergeCells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47"/>
  <sheetViews>
    <sheetView topLeftCell="A31" zoomScale="77" zoomScaleNormal="77" workbookViewId="0">
      <selection activeCell="I6" sqref="I6"/>
    </sheetView>
  </sheetViews>
  <sheetFormatPr defaultColWidth="8.85546875" defaultRowHeight="12.75" x14ac:dyDescent="0.2"/>
  <cols>
    <col min="1" max="1" width="1.42578125" style="2" customWidth="1"/>
    <col min="2" max="2" width="36.7109375" style="2" customWidth="1"/>
    <col min="3" max="3" width="13.28515625" style="2" customWidth="1"/>
    <col min="4" max="14" width="12.7109375" style="2" customWidth="1"/>
    <col min="15" max="16384" width="8.85546875" style="2"/>
  </cols>
  <sheetData>
    <row r="1" spans="1:13" ht="34.5" customHeight="1" x14ac:dyDescent="0.2">
      <c r="A1" s="207" t="s">
        <v>1403</v>
      </c>
      <c r="B1" s="203" t="s">
        <v>1404</v>
      </c>
      <c r="C1" s="155"/>
      <c r="D1" s="155"/>
    </row>
    <row r="2" spans="1:13" ht="25.5" customHeight="1" thickBot="1" x14ac:dyDescent="0.25">
      <c r="B2" s="1260"/>
      <c r="C2" s="1261"/>
      <c r="D2" s="1262"/>
      <c r="E2" s="1263"/>
      <c r="F2" s="1263"/>
      <c r="G2" s="1263"/>
      <c r="H2" s="1264"/>
      <c r="I2" s="1264"/>
      <c r="J2" s="1263"/>
      <c r="K2" s="1265"/>
      <c r="L2" s="1265"/>
    </row>
    <row r="3" spans="1:13" ht="27.75" customHeight="1" thickBot="1" x14ac:dyDescent="0.4">
      <c r="A3" s="198"/>
      <c r="B3" s="1266" t="s">
        <v>1405</v>
      </c>
      <c r="C3" s="55"/>
      <c r="D3" s="102" t="s">
        <v>507</v>
      </c>
      <c r="E3" s="102" t="s">
        <v>508</v>
      </c>
      <c r="F3" s="1267" t="s">
        <v>509</v>
      </c>
      <c r="G3" s="1303" t="s">
        <v>510</v>
      </c>
      <c r="H3" s="1307" t="s">
        <v>511</v>
      </c>
      <c r="I3" s="102" t="s">
        <v>512</v>
      </c>
      <c r="J3" s="102" t="s">
        <v>513</v>
      </c>
      <c r="K3" s="1267" t="s">
        <v>514</v>
      </c>
      <c r="L3" s="1303" t="s">
        <v>515</v>
      </c>
      <c r="M3" s="1268" t="s">
        <v>516</v>
      </c>
    </row>
    <row r="4" spans="1:13" ht="21" x14ac:dyDescent="0.35">
      <c r="A4" s="198"/>
      <c r="B4" s="170" t="s">
        <v>1406</v>
      </c>
      <c r="C4" s="1269"/>
      <c r="D4" s="115"/>
      <c r="E4" s="115"/>
      <c r="F4" s="116"/>
      <c r="G4" s="1304"/>
      <c r="H4" s="1308">
        <f>SUM(Production!BA10:BL10)/1000</f>
        <v>2045.8675880425214</v>
      </c>
      <c r="I4" s="1270"/>
      <c r="J4" s="115"/>
      <c r="K4" s="115"/>
      <c r="L4" s="115"/>
      <c r="M4" s="115"/>
    </row>
    <row r="5" spans="1:13" ht="21" x14ac:dyDescent="0.35">
      <c r="A5" s="198"/>
      <c r="B5" s="170" t="s">
        <v>1432</v>
      </c>
      <c r="C5" s="1269"/>
      <c r="D5" s="115"/>
      <c r="E5" s="115"/>
      <c r="F5" s="116"/>
      <c r="G5" s="1304"/>
      <c r="H5" s="1309">
        <f>SUM(Production!BA17:BL17)/1000</f>
        <v>1718.5287739557182</v>
      </c>
      <c r="I5" s="1270"/>
      <c r="J5" s="115"/>
      <c r="K5" s="115"/>
      <c r="L5" s="115"/>
      <c r="M5" s="115"/>
    </row>
    <row r="6" spans="1:13" ht="21" x14ac:dyDescent="0.35">
      <c r="A6" s="198"/>
      <c r="B6" s="170" t="s">
        <v>1407</v>
      </c>
      <c r="C6" s="1269"/>
      <c r="D6" s="115"/>
      <c r="E6" s="115"/>
      <c r="F6" s="116"/>
      <c r="G6" s="1304"/>
      <c r="H6" s="1309">
        <f>(SUM(Production!BA23:BL23)*Assumptions!C48/1000)+(SUM(Production!BA29:BL29)*Assumptions!C49/1000)</f>
        <v>1701</v>
      </c>
      <c r="I6" s="1270"/>
      <c r="J6" s="115"/>
      <c r="K6" s="115"/>
      <c r="L6" s="115"/>
      <c r="M6" s="115"/>
    </row>
    <row r="7" spans="1:13" ht="21" x14ac:dyDescent="0.35">
      <c r="A7" s="198"/>
      <c r="B7" s="170" t="s">
        <v>1408</v>
      </c>
      <c r="C7" s="1269"/>
      <c r="D7" s="115"/>
      <c r="E7" s="115"/>
      <c r="F7" s="116"/>
      <c r="G7" s="1304"/>
      <c r="H7" s="1309">
        <f>(SUM(Production!BA23:BL23)*Assumptions!C48/1000)</f>
        <v>1029</v>
      </c>
      <c r="I7" s="1270"/>
      <c r="J7" s="115"/>
      <c r="K7" s="115"/>
      <c r="L7" s="115"/>
      <c r="M7" s="115"/>
    </row>
    <row r="8" spans="1:13" ht="21" x14ac:dyDescent="0.35">
      <c r="A8" s="198"/>
      <c r="B8" s="170" t="s">
        <v>1409</v>
      </c>
      <c r="C8" s="1269"/>
      <c r="D8" s="115"/>
      <c r="E8" s="115"/>
      <c r="F8" s="116"/>
      <c r="G8" s="1304"/>
      <c r="H8" s="1309">
        <f>(SUM(Production!BA29:BL29)*Assumptions!C49/1000)</f>
        <v>672</v>
      </c>
      <c r="I8" s="1270"/>
      <c r="J8" s="115"/>
      <c r="K8" s="115"/>
      <c r="L8" s="115"/>
      <c r="M8" s="115"/>
    </row>
    <row r="9" spans="1:13" ht="21" x14ac:dyDescent="0.35">
      <c r="A9" s="198"/>
      <c r="B9" s="170" t="s">
        <v>1410</v>
      </c>
      <c r="C9" s="1269"/>
      <c r="D9" s="115"/>
      <c r="E9" s="1306"/>
      <c r="F9" s="116"/>
      <c r="G9" s="1304"/>
      <c r="H9" s="1309">
        <f>SUM('1.Revenue'!BA27:BL28)/1000/Assumptions!I7</f>
        <v>142884</v>
      </c>
      <c r="I9" s="1270"/>
      <c r="J9" s="115"/>
      <c r="K9" s="115"/>
      <c r="L9" s="115"/>
      <c r="M9" s="115"/>
    </row>
    <row r="10" spans="1:13" ht="21" x14ac:dyDescent="0.35">
      <c r="A10" s="198"/>
      <c r="B10" s="170" t="s">
        <v>1411</v>
      </c>
      <c r="C10" s="1269"/>
      <c r="D10" s="1271"/>
      <c r="E10" s="1271"/>
      <c r="F10" s="1272"/>
      <c r="G10" s="1282"/>
      <c r="H10" s="1310">
        <f>H9/H6</f>
        <v>84</v>
      </c>
      <c r="I10" s="1273"/>
      <c r="J10" s="1271"/>
      <c r="K10" s="1271"/>
      <c r="L10" s="1271"/>
      <c r="M10" s="1271"/>
    </row>
    <row r="11" spans="1:13" ht="21" x14ac:dyDescent="0.35">
      <c r="A11" s="198"/>
      <c r="B11" s="170" t="s">
        <v>1412</v>
      </c>
      <c r="C11" s="1274"/>
      <c r="D11" s="115"/>
      <c r="E11" s="115"/>
      <c r="F11" s="116"/>
      <c r="G11" s="1304"/>
      <c r="H11" s="1309">
        <f>'Fin Statements'!H8/Assumptions!H7</f>
        <v>-10023.911301842778</v>
      </c>
      <c r="I11" s="1270"/>
      <c r="J11" s="115"/>
      <c r="K11" s="115"/>
      <c r="L11" s="115"/>
      <c r="M11" s="115"/>
    </row>
    <row r="12" spans="1:13" ht="21" x14ac:dyDescent="0.35">
      <c r="A12" s="198"/>
      <c r="B12" s="170" t="s">
        <v>1413</v>
      </c>
      <c r="C12" s="1274"/>
      <c r="D12" s="115"/>
      <c r="E12" s="115"/>
      <c r="F12" s="116"/>
      <c r="G12" s="1304"/>
      <c r="H12" s="1309">
        <f>'Fin Statements'!H9/Assumptions!H7</f>
        <v>-98023.473691868974</v>
      </c>
      <c r="I12" s="1270"/>
      <c r="J12" s="115"/>
      <c r="K12" s="115"/>
      <c r="L12" s="115"/>
      <c r="M12" s="115"/>
    </row>
    <row r="13" spans="1:13" ht="21" x14ac:dyDescent="0.35">
      <c r="A13" s="198"/>
      <c r="B13" s="170" t="s">
        <v>163</v>
      </c>
      <c r="C13" s="1275"/>
      <c r="D13" s="115"/>
      <c r="E13" s="115"/>
      <c r="F13" s="116"/>
      <c r="G13" s="1304"/>
      <c r="H13" s="1309">
        <f>(SUM('4. OH Expenses'!AZ8:BK31)/1000/Assumptions!H7)*0.2</f>
        <v>-1685.4155432719263</v>
      </c>
      <c r="I13" s="1270"/>
      <c r="J13" s="115"/>
      <c r="K13" s="115"/>
      <c r="L13" s="115"/>
      <c r="M13" s="115"/>
    </row>
    <row r="14" spans="1:13" ht="21" x14ac:dyDescent="0.35">
      <c r="A14" s="198"/>
      <c r="B14" s="170" t="s">
        <v>1447</v>
      </c>
      <c r="C14" s="1275"/>
      <c r="D14" s="115"/>
      <c r="E14" s="115"/>
      <c r="F14" s="116"/>
      <c r="G14" s="1304"/>
      <c r="H14" s="1309">
        <f>(SUM('4. OH Expenses'!AZ8:BK31)/1000/Assumptions!H7)*0.8</f>
        <v>-6741.662173087705</v>
      </c>
      <c r="I14" s="1270"/>
      <c r="J14" s="115"/>
      <c r="K14" s="115"/>
      <c r="L14" s="115"/>
      <c r="M14" s="115"/>
    </row>
    <row r="15" spans="1:13" ht="21" x14ac:dyDescent="0.35">
      <c r="A15" s="198"/>
      <c r="B15" s="1130" t="s">
        <v>1414</v>
      </c>
      <c r="C15" s="1274"/>
      <c r="D15" s="115"/>
      <c r="E15" s="115"/>
      <c r="F15" s="116"/>
      <c r="G15" s="1304"/>
      <c r="H15" s="1309">
        <f>SUM(H11:H14)</f>
        <v>-116474.46271007138</v>
      </c>
      <c r="I15" s="1270"/>
      <c r="J15" s="115"/>
      <c r="K15" s="115"/>
      <c r="L15" s="115"/>
      <c r="M15" s="115"/>
    </row>
    <row r="16" spans="1:13" ht="21" x14ac:dyDescent="0.35">
      <c r="A16" s="198"/>
      <c r="B16" s="1130" t="s">
        <v>1415</v>
      </c>
      <c r="C16" s="1274"/>
      <c r="D16" s="1271"/>
      <c r="E16" s="1271"/>
      <c r="F16" s="1317"/>
      <c r="G16" s="1282"/>
      <c r="H16" s="1310">
        <f>-H15/H5</f>
        <v>67.775683756501721</v>
      </c>
      <c r="I16" s="1273"/>
      <c r="J16" s="1271"/>
      <c r="K16" s="1271"/>
      <c r="L16" s="1271"/>
      <c r="M16" s="1271"/>
    </row>
    <row r="17" spans="1:13" ht="21" x14ac:dyDescent="0.35">
      <c r="A17" s="198"/>
      <c r="B17" s="1130" t="s">
        <v>1416</v>
      </c>
      <c r="C17" s="1274"/>
      <c r="D17" s="1271"/>
      <c r="E17" s="1271"/>
      <c r="F17" s="1317"/>
      <c r="G17" s="1282"/>
      <c r="H17" s="1310">
        <f>-H11/H5</f>
        <v>5.8328446132267473</v>
      </c>
      <c r="I17" s="1273"/>
      <c r="J17" s="1271"/>
      <c r="K17" s="1271"/>
      <c r="L17" s="1271"/>
      <c r="M17" s="1271"/>
    </row>
    <row r="18" spans="1:13" ht="21" x14ac:dyDescent="0.35">
      <c r="A18" s="198"/>
      <c r="B18" s="1130" t="s">
        <v>1417</v>
      </c>
      <c r="C18" s="1274"/>
      <c r="D18" s="1271"/>
      <c r="E18" s="1271"/>
      <c r="F18" s="1317"/>
      <c r="G18" s="1282"/>
      <c r="H18" s="1310">
        <f>-H12/H5</f>
        <v>57.039180942102035</v>
      </c>
      <c r="I18" s="1273"/>
      <c r="J18" s="1271"/>
      <c r="K18" s="1271"/>
      <c r="L18" s="1271"/>
      <c r="M18" s="1271"/>
    </row>
    <row r="19" spans="1:13" ht="21" x14ac:dyDescent="0.35">
      <c r="A19" s="198"/>
      <c r="B19" s="1130" t="s">
        <v>1418</v>
      </c>
      <c r="C19" s="1274"/>
      <c r="D19" s="1271"/>
      <c r="E19" s="1271"/>
      <c r="F19" s="1317"/>
      <c r="G19" s="1282"/>
      <c r="H19" s="1310">
        <f>-H13/H5</f>
        <v>0.98073164023458759</v>
      </c>
      <c r="I19" s="1273"/>
      <c r="J19" s="1271"/>
      <c r="K19" s="1271"/>
      <c r="L19" s="1271"/>
      <c r="M19" s="1271"/>
    </row>
    <row r="20" spans="1:13" ht="21" x14ac:dyDescent="0.35">
      <c r="A20" s="198"/>
      <c r="B20" s="1130" t="s">
        <v>1468</v>
      </c>
      <c r="C20" s="1274"/>
      <c r="D20" s="1271"/>
      <c r="E20" s="1271"/>
      <c r="F20" s="1317"/>
      <c r="G20" s="1282"/>
      <c r="H20" s="1310">
        <f>-H14/H4</f>
        <v>3.2952583111882143</v>
      </c>
      <c r="I20" s="1273"/>
      <c r="J20" s="1271"/>
      <c r="K20" s="1271"/>
      <c r="L20" s="1271"/>
      <c r="M20" s="1271"/>
    </row>
    <row r="21" spans="1:13" x14ac:dyDescent="0.2">
      <c r="G21" s="3"/>
      <c r="H21" s="1311"/>
    </row>
    <row r="22" spans="1:13" ht="21" x14ac:dyDescent="0.35">
      <c r="A22" s="198"/>
      <c r="B22" s="170" t="s">
        <v>1433</v>
      </c>
      <c r="C22" s="1274"/>
      <c r="D22" s="115"/>
      <c r="E22" s="115"/>
      <c r="F22" s="116"/>
      <c r="G22" s="1304"/>
      <c r="H22" s="1309">
        <f>(SUM('3. Variable Costs'!AZ36:BK36)/1000/Assumptions!I7)+(SUM('3. Variable Costs'!AZ38:BK44)/1000/Assumptions!I7)</f>
        <v>-3293.5845844293867</v>
      </c>
      <c r="I22" s="1270"/>
      <c r="J22" s="115"/>
      <c r="K22" s="115"/>
      <c r="L22" s="115"/>
      <c r="M22" s="115"/>
    </row>
    <row r="23" spans="1:13" ht="21" x14ac:dyDescent="0.35">
      <c r="A23" s="198"/>
      <c r="B23" s="170" t="s">
        <v>1420</v>
      </c>
      <c r="C23" s="1274"/>
      <c r="D23" s="115"/>
      <c r="E23" s="115"/>
      <c r="F23" s="116"/>
      <c r="G23" s="1304"/>
      <c r="H23" s="1309">
        <f>SUM('3. Variable Costs'!AZ24:BK33)/1000/Assumptions!I7</f>
        <v>-6787.1315692816461</v>
      </c>
      <c r="I23" s="1270"/>
      <c r="J23" s="115"/>
      <c r="K23" s="115"/>
      <c r="L23" s="115"/>
      <c r="M23" s="115"/>
    </row>
    <row r="24" spans="1:13" ht="21" x14ac:dyDescent="0.35">
      <c r="A24" s="198"/>
      <c r="B24" s="170" t="s">
        <v>1460</v>
      </c>
      <c r="C24" s="1274"/>
      <c r="D24" s="115"/>
      <c r="E24" s="115"/>
      <c r="F24" s="116"/>
      <c r="G24" s="1304"/>
      <c r="H24" s="1309">
        <f>SUM('3. Variable Costs'!AZ47:BK52)/1000/Assumptions!I7</f>
        <v>-1045.4999999999995</v>
      </c>
      <c r="I24" s="1270"/>
      <c r="J24" s="115"/>
      <c r="K24" s="115"/>
      <c r="L24" s="115"/>
      <c r="M24" s="115"/>
    </row>
    <row r="25" spans="1:13" ht="21" x14ac:dyDescent="0.35">
      <c r="A25" s="198"/>
      <c r="B25" s="170" t="s">
        <v>1419</v>
      </c>
      <c r="C25" s="1274"/>
      <c r="D25" s="115"/>
      <c r="E25" s="115"/>
      <c r="F25" s="116"/>
      <c r="G25" s="1304"/>
      <c r="H25" s="1309">
        <f>((SUM('3. Variable Costs'!AZ22:BK23)/1000/Assumptions!I7)+(SUM('3. Variable Costs'!AZ37:BK38)/1000/Assumptions!I7))</f>
        <v>-71135.89687731654</v>
      </c>
      <c r="I25" s="1270"/>
      <c r="J25" s="115"/>
      <c r="K25" s="115"/>
      <c r="L25" s="115"/>
      <c r="M25" s="115"/>
    </row>
    <row r="26" spans="1:13" ht="21" x14ac:dyDescent="0.35">
      <c r="A26" s="198"/>
      <c r="B26" s="170" t="s">
        <v>1421</v>
      </c>
      <c r="C26" s="1274"/>
      <c r="D26" s="115"/>
      <c r="E26" s="115"/>
      <c r="F26" s="116"/>
      <c r="G26" s="1304"/>
      <c r="H26" s="1309">
        <f>(SUM('4. OH Expenses'!AZ7:BK32)/1000/Assumptions!H7)*0.2</f>
        <v>-1685.4155432719263</v>
      </c>
      <c r="I26" s="1270"/>
      <c r="J26" s="115"/>
      <c r="K26" s="115"/>
      <c r="L26" s="115"/>
      <c r="M26" s="115"/>
    </row>
    <row r="27" spans="1:13" ht="21" x14ac:dyDescent="0.35">
      <c r="A27" s="198"/>
      <c r="B27" s="170" t="s">
        <v>1447</v>
      </c>
      <c r="C27" s="1274"/>
      <c r="D27" s="115"/>
      <c r="E27" s="115"/>
      <c r="F27" s="116"/>
      <c r="G27" s="1304"/>
      <c r="H27" s="1309">
        <f>(SUM('4. OH Expenses'!AZ8:BK31)/1000/Assumptions!H7)*0.8</f>
        <v>-6741.662173087705</v>
      </c>
      <c r="I27" s="1270"/>
      <c r="J27" s="115"/>
      <c r="K27" s="115"/>
      <c r="L27" s="115"/>
      <c r="M27" s="115"/>
    </row>
    <row r="28" spans="1:13" ht="21" x14ac:dyDescent="0.35">
      <c r="A28" s="198"/>
      <c r="B28" s="170" t="s">
        <v>1422</v>
      </c>
      <c r="C28" s="1274"/>
      <c r="D28" s="115"/>
      <c r="E28" s="115"/>
      <c r="F28" s="116"/>
      <c r="G28" s="1304"/>
      <c r="H28" s="1309">
        <f>SUM('3. Variable Costs'!AZ9:BK19)/1000/Assumptions!I7</f>
        <v>-10118.394195518333</v>
      </c>
      <c r="I28" s="1270"/>
      <c r="J28" s="115"/>
      <c r="K28" s="115"/>
      <c r="L28" s="115"/>
      <c r="M28" s="115"/>
    </row>
    <row r="29" spans="1:13" ht="21" x14ac:dyDescent="0.35">
      <c r="A29" s="198"/>
      <c r="B29" s="170" t="s">
        <v>179</v>
      </c>
      <c r="C29" s="1274"/>
      <c r="D29" s="115"/>
      <c r="E29" s="115"/>
      <c r="F29" s="116"/>
      <c r="G29" s="1304"/>
      <c r="H29" s="1312">
        <f>SUM('2.Sales Costs'!AZ10:BK11)/1000/Assumptions!I7</f>
        <v>-9429.8318926084485</v>
      </c>
      <c r="I29" s="1270"/>
      <c r="J29" s="115"/>
      <c r="K29" s="115"/>
      <c r="L29" s="115"/>
      <c r="M29" s="115"/>
    </row>
    <row r="30" spans="1:13" s="5" customFormat="1" ht="25.5" customHeight="1" x14ac:dyDescent="0.25">
      <c r="A30" s="1276"/>
      <c r="B30" s="1277" t="s">
        <v>1423</v>
      </c>
      <c r="C30" s="1278"/>
      <c r="D30" s="1279"/>
      <c r="E30" s="1279"/>
      <c r="F30" s="1280"/>
      <c r="G30" s="1281"/>
      <c r="H30" s="1313"/>
      <c r="I30" s="1281"/>
      <c r="J30" s="1280"/>
      <c r="K30" s="1280"/>
      <c r="L30" s="1280"/>
      <c r="M30" s="1280"/>
    </row>
    <row r="31" spans="1:13" ht="21" x14ac:dyDescent="0.35">
      <c r="A31" s="198"/>
      <c r="B31" s="170" t="s">
        <v>1436</v>
      </c>
      <c r="C31" s="1274"/>
      <c r="D31" s="1271"/>
      <c r="E31" s="1271"/>
      <c r="F31" s="1272"/>
      <c r="G31" s="1282"/>
      <c r="H31" s="1310">
        <f>-H22/H4</f>
        <v>1.6098718234158429</v>
      </c>
      <c r="I31" s="1282"/>
      <c r="J31" s="1272"/>
      <c r="K31" s="1272"/>
      <c r="L31" s="1272"/>
      <c r="M31" s="1272"/>
    </row>
    <row r="32" spans="1:13" ht="21" x14ac:dyDescent="0.35">
      <c r="A32" s="198"/>
      <c r="B32" s="170" t="s">
        <v>1425</v>
      </c>
      <c r="C32" s="1274"/>
      <c r="D32" s="1271"/>
      <c r="E32" s="1271"/>
      <c r="F32" s="1272"/>
      <c r="G32" s="1282"/>
      <c r="H32" s="1310">
        <f>-H23/H4</f>
        <v>3.3174833058358133</v>
      </c>
      <c r="I32" s="1282"/>
      <c r="J32" s="1272"/>
      <c r="K32" s="1272"/>
      <c r="L32" s="1272"/>
      <c r="M32" s="1272"/>
    </row>
    <row r="33" spans="1:13" ht="21" x14ac:dyDescent="0.35">
      <c r="A33" s="198"/>
      <c r="B33" s="170" t="s">
        <v>1461</v>
      </c>
      <c r="C33" s="1274"/>
      <c r="D33" s="1271"/>
      <c r="E33" s="1271"/>
      <c r="F33" s="1272"/>
      <c r="G33" s="1282"/>
      <c r="H33" s="1310">
        <f>-H24/H4</f>
        <v>0.51103014002989811</v>
      </c>
      <c r="I33" s="1282"/>
      <c r="J33" s="1272"/>
      <c r="K33" s="1272"/>
      <c r="L33" s="1272"/>
      <c r="M33" s="1272"/>
    </row>
    <row r="34" spans="1:13" ht="21" x14ac:dyDescent="0.35">
      <c r="A34" s="198"/>
      <c r="B34" s="170" t="s">
        <v>1424</v>
      </c>
      <c r="C34" s="1274"/>
      <c r="D34" s="1271"/>
      <c r="E34" s="1271"/>
      <c r="F34" s="1272"/>
      <c r="G34" s="1282"/>
      <c r="H34" s="1310">
        <f>-H25/H4</f>
        <v>34.770528304512169</v>
      </c>
      <c r="I34" s="1282"/>
      <c r="J34" s="1272"/>
      <c r="K34" s="1272"/>
      <c r="L34" s="1272"/>
      <c r="M34" s="1272"/>
    </row>
    <row r="35" spans="1:13" ht="21" x14ac:dyDescent="0.35">
      <c r="A35" s="198"/>
      <c r="B35" s="170" t="s">
        <v>1426</v>
      </c>
      <c r="C35" s="1274"/>
      <c r="D35" s="1271"/>
      <c r="E35" s="1271"/>
      <c r="F35" s="1272"/>
      <c r="G35" s="1282"/>
      <c r="H35" s="1310">
        <f>-H26/H4</f>
        <v>0.82381457779705358</v>
      </c>
      <c r="I35" s="1282"/>
      <c r="J35" s="1272"/>
      <c r="K35" s="1272"/>
      <c r="L35" s="1272"/>
      <c r="M35" s="1272"/>
    </row>
    <row r="36" spans="1:13" ht="21" x14ac:dyDescent="0.35">
      <c r="A36" s="198"/>
      <c r="B36" s="170" t="s">
        <v>1462</v>
      </c>
      <c r="C36" s="1274"/>
      <c r="D36" s="1271"/>
      <c r="E36" s="1271"/>
      <c r="F36" s="1272"/>
      <c r="G36" s="1282"/>
      <c r="H36" s="1310">
        <f>-H27/H4</f>
        <v>3.2952583111882143</v>
      </c>
      <c r="I36" s="1282"/>
      <c r="J36" s="1272"/>
      <c r="K36" s="1272"/>
      <c r="L36" s="1272"/>
      <c r="M36" s="1272"/>
    </row>
    <row r="37" spans="1:13" ht="21" x14ac:dyDescent="0.35">
      <c r="A37" s="198"/>
      <c r="B37" s="170" t="s">
        <v>1427</v>
      </c>
      <c r="C37" s="1274"/>
      <c r="D37" s="1271"/>
      <c r="E37" s="1271"/>
      <c r="F37" s="1272"/>
      <c r="G37" s="1282"/>
      <c r="H37" s="1310">
        <f>Sensitivities!L37</f>
        <v>2.8147245869552866</v>
      </c>
      <c r="I37" s="1282"/>
      <c r="J37" s="1272"/>
      <c r="K37" s="1272"/>
      <c r="L37" s="1272"/>
      <c r="M37" s="1272"/>
    </row>
    <row r="38" spans="1:13" s="8" customFormat="1" ht="21" x14ac:dyDescent="0.35">
      <c r="A38" s="197"/>
      <c r="B38" s="1283" t="s">
        <v>1437</v>
      </c>
      <c r="C38" s="1284"/>
      <c r="D38" s="1285"/>
      <c r="E38" s="1285"/>
      <c r="F38" s="1286"/>
      <c r="G38" s="1287"/>
      <c r="H38" s="1314">
        <f>SUM(H31:H37)</f>
        <v>47.142711049734274</v>
      </c>
      <c r="I38" s="1287"/>
      <c r="J38" s="1286"/>
      <c r="K38" s="1286"/>
      <c r="L38" s="1286"/>
      <c r="M38" s="1286"/>
    </row>
    <row r="39" spans="1:13" ht="21" x14ac:dyDescent="0.35">
      <c r="A39" s="198"/>
      <c r="B39" s="170" t="s">
        <v>1472</v>
      </c>
      <c r="C39" s="1274"/>
      <c r="D39" s="1271"/>
      <c r="E39" s="1271"/>
      <c r="F39" s="1272"/>
      <c r="G39" s="1282"/>
      <c r="H39" s="1310">
        <f>H40-H38</f>
        <v>10.348399986527042</v>
      </c>
      <c r="I39" s="1282"/>
      <c r="J39" s="1272"/>
      <c r="K39" s="1272"/>
      <c r="L39" s="1272"/>
      <c r="M39" s="1272"/>
    </row>
    <row r="40" spans="1:13" s="8" customFormat="1" ht="21" x14ac:dyDescent="0.35">
      <c r="A40" s="197"/>
      <c r="B40" s="1283" t="s">
        <v>1463</v>
      </c>
      <c r="C40" s="1284"/>
      <c r="D40" s="1285"/>
      <c r="E40" s="1285"/>
      <c r="F40" s="1286"/>
      <c r="G40" s="1287"/>
      <c r="H40" s="1314">
        <f>H38/0.82</f>
        <v>57.491111036261316</v>
      </c>
      <c r="I40" s="1287"/>
      <c r="J40" s="1286"/>
      <c r="K40" s="1286"/>
      <c r="L40" s="1286"/>
      <c r="M40" s="1286"/>
    </row>
    <row r="41" spans="1:13" ht="21" x14ac:dyDescent="0.35">
      <c r="A41" s="198"/>
      <c r="B41" s="170" t="s">
        <v>1464</v>
      </c>
      <c r="C41" s="1274"/>
      <c r="D41" s="1271"/>
      <c r="E41" s="1271"/>
      <c r="F41" s="1272"/>
      <c r="G41" s="1282"/>
      <c r="H41" s="1310">
        <f>-H28/H5</f>
        <v>5.887823555160943</v>
      </c>
      <c r="I41" s="1282"/>
      <c r="J41" s="1272"/>
      <c r="K41" s="1272"/>
      <c r="L41" s="1272"/>
      <c r="M41" s="1272"/>
    </row>
    <row r="42" spans="1:13" s="8" customFormat="1" ht="21" x14ac:dyDescent="0.35">
      <c r="A42" s="197"/>
      <c r="B42" s="1283" t="s">
        <v>1465</v>
      </c>
      <c r="C42" s="1284"/>
      <c r="D42" s="1285"/>
      <c r="E42" s="1285"/>
      <c r="F42" s="1286"/>
      <c r="G42" s="1287"/>
      <c r="H42" s="1314">
        <f>SUM(H40:H41)</f>
        <v>63.378934591422258</v>
      </c>
      <c r="I42" s="1287"/>
      <c r="J42" s="1286"/>
      <c r="K42" s="1286"/>
      <c r="L42" s="1286"/>
      <c r="M42" s="1286"/>
    </row>
    <row r="43" spans="1:13" ht="21" x14ac:dyDescent="0.35">
      <c r="A43" s="198"/>
      <c r="B43" s="170" t="s">
        <v>1466</v>
      </c>
      <c r="C43" s="1274"/>
      <c r="D43" s="1271"/>
      <c r="E43" s="1271"/>
      <c r="F43" s="1272"/>
      <c r="G43" s="1282"/>
      <c r="H43" s="1310">
        <f>-H29/H6</f>
        <v>5.5436989374535264</v>
      </c>
      <c r="I43" s="1282"/>
      <c r="J43" s="1272"/>
      <c r="K43" s="1272"/>
      <c r="L43" s="1272"/>
      <c r="M43" s="1272"/>
    </row>
    <row r="44" spans="1:13" s="8" customFormat="1" ht="21.75" thickBot="1" x14ac:dyDescent="0.4">
      <c r="A44" s="197"/>
      <c r="B44" s="1288" t="s">
        <v>1467</v>
      </c>
      <c r="C44" s="1289"/>
      <c r="D44" s="1290"/>
      <c r="E44" s="1290"/>
      <c r="F44" s="1291"/>
      <c r="G44" s="1316"/>
      <c r="H44" s="1315">
        <f>SUM(H42:H43)</f>
        <v>68.922633528875778</v>
      </c>
      <c r="I44" s="1292"/>
      <c r="J44" s="1291"/>
      <c r="K44" s="1291"/>
      <c r="L44" s="1291"/>
      <c r="M44" s="1291"/>
    </row>
    <row r="45" spans="1:13" s="386" customFormat="1" ht="18.75" customHeight="1" x14ac:dyDescent="0.25">
      <c r="A45" s="1293"/>
      <c r="B45" s="1294"/>
      <c r="C45" s="1295"/>
      <c r="D45" s="1296"/>
      <c r="E45" s="1296"/>
      <c r="F45" s="1297" t="s">
        <v>1428</v>
      </c>
      <c r="G45" s="1297"/>
      <c r="H45" s="1297">
        <f>H44/(1-0.25)</f>
        <v>91.896844705167709</v>
      </c>
      <c r="I45" s="1297"/>
      <c r="J45" s="1296"/>
      <c r="K45" s="1296"/>
      <c r="L45" s="1296"/>
      <c r="M45" s="1296"/>
    </row>
    <row r="46" spans="1:13" s="386" customFormat="1" ht="18.75" customHeight="1" x14ac:dyDescent="0.25">
      <c r="A46" s="1293"/>
      <c r="B46" s="1294"/>
      <c r="C46" s="1295"/>
      <c r="D46" s="1296"/>
      <c r="E46" s="1296"/>
      <c r="F46" s="1297" t="s">
        <v>1429</v>
      </c>
      <c r="G46" s="1297"/>
      <c r="H46" s="1297">
        <f>H44/(1-0.33)</f>
        <v>102.86960228190415</v>
      </c>
      <c r="I46" s="1297"/>
      <c r="J46" s="1296"/>
      <c r="K46" s="1296"/>
      <c r="L46" s="1296"/>
      <c r="M46" s="1296"/>
    </row>
    <row r="47" spans="1:13" s="386" customFormat="1" ht="18.75" customHeight="1" x14ac:dyDescent="0.25">
      <c r="A47" s="1293"/>
      <c r="B47" s="1293"/>
      <c r="C47" s="1293"/>
      <c r="E47" s="1298" t="s">
        <v>1430</v>
      </c>
      <c r="F47" s="1299">
        <f>H10</f>
        <v>84</v>
      </c>
      <c r="G47" s="1300"/>
      <c r="H47" s="1300">
        <f>(F47-H44)/F47</f>
        <v>0.17949245798957408</v>
      </c>
      <c r="I47" s="1301"/>
      <c r="J47" s="1302"/>
      <c r="K47" s="1302"/>
    </row>
  </sheetData>
  <pageMargins left="0.7" right="0.7" top="0.75" bottom="0.75" header="0.3" footer="0.3"/>
  <ignoredErrors>
    <ignoredError sqref="H43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W21"/>
  <sheetViews>
    <sheetView topLeftCell="A4" zoomScale="85" zoomScaleNormal="85" workbookViewId="0">
      <selection activeCell="H9" sqref="H9"/>
    </sheetView>
  </sheetViews>
  <sheetFormatPr defaultColWidth="9.140625" defaultRowHeight="16.5" x14ac:dyDescent="0.3"/>
  <cols>
    <col min="1" max="1" width="2.7109375" style="419" customWidth="1"/>
    <col min="2" max="2" width="15.140625" style="419" customWidth="1"/>
    <col min="3" max="3" width="21.7109375" style="419" customWidth="1"/>
    <col min="4" max="4" width="10.7109375" style="419" customWidth="1"/>
    <col min="5" max="5" width="21.5703125" style="422" customWidth="1"/>
    <col min="6" max="6" width="17" style="422" customWidth="1"/>
    <col min="7" max="7" width="11" style="422" customWidth="1"/>
    <col min="8" max="8" width="8.28515625" style="422" customWidth="1"/>
    <col min="9" max="9" width="8.28515625" style="419" customWidth="1"/>
    <col min="10" max="10" width="12.42578125" style="419" customWidth="1"/>
    <col min="11" max="11" width="8.28515625" style="423" customWidth="1"/>
    <col min="12" max="13" width="8.28515625" style="419" customWidth="1"/>
    <col min="14" max="18" width="10.28515625" style="419" customWidth="1"/>
    <col min="19" max="19" width="12.42578125" style="419" customWidth="1"/>
    <col min="20" max="20" width="33.7109375" style="419" customWidth="1"/>
    <col min="21" max="21" width="2" style="419" customWidth="1"/>
    <col min="22" max="22" width="13.140625" style="419" customWidth="1"/>
    <col min="23" max="16384" width="9.140625" style="419"/>
  </cols>
  <sheetData>
    <row r="1" spans="1:23" ht="12" customHeight="1" x14ac:dyDescent="0.45">
      <c r="A1" s="411"/>
      <c r="B1" s="1479" t="s">
        <v>314</v>
      </c>
      <c r="C1" s="1479"/>
      <c r="D1" s="412"/>
      <c r="E1" s="412"/>
      <c r="F1" s="412"/>
      <c r="G1" s="413"/>
      <c r="H1" s="413"/>
      <c r="I1" s="414"/>
      <c r="J1" s="414"/>
      <c r="K1" s="415"/>
      <c r="L1" s="414"/>
      <c r="M1" s="416"/>
      <c r="N1" s="416"/>
      <c r="O1" s="416"/>
      <c r="P1" s="416"/>
      <c r="Q1" s="416"/>
      <c r="R1" s="416"/>
      <c r="S1" s="416"/>
      <c r="T1" s="416"/>
      <c r="U1" s="416"/>
      <c r="V1" s="417"/>
      <c r="W1" s="418"/>
    </row>
    <row r="2" spans="1:23" ht="38.25" customHeight="1" x14ac:dyDescent="0.3">
      <c r="A2" s="420"/>
      <c r="B2" s="1480"/>
      <c r="C2" s="1480"/>
      <c r="D2" s="421"/>
      <c r="E2" s="421"/>
      <c r="F2" s="421"/>
      <c r="L2" s="424" t="s">
        <v>336</v>
      </c>
      <c r="M2" s="452">
        <v>11.87</v>
      </c>
      <c r="N2" s="425"/>
      <c r="V2" s="426"/>
      <c r="W2" s="418"/>
    </row>
    <row r="3" spans="1:23" ht="20.25" x14ac:dyDescent="0.35">
      <c r="A3" s="420"/>
      <c r="B3" s="427" t="s">
        <v>315</v>
      </c>
      <c r="C3" s="428"/>
      <c r="D3" s="429"/>
      <c r="E3" s="430"/>
      <c r="F3" s="430"/>
      <c r="G3" s="430"/>
      <c r="H3" s="430"/>
      <c r="I3" s="431"/>
      <c r="J3" s="431"/>
      <c r="K3" s="432"/>
      <c r="L3" s="424" t="s">
        <v>337</v>
      </c>
      <c r="M3" s="452">
        <v>10.64</v>
      </c>
      <c r="V3" s="426"/>
      <c r="W3" s="418"/>
    </row>
    <row r="4" spans="1:23" s="440" customFormat="1" ht="39" customHeight="1" x14ac:dyDescent="0.3">
      <c r="A4" s="433"/>
      <c r="B4" s="434" t="s">
        <v>316</v>
      </c>
      <c r="C4" s="434" t="s">
        <v>317</v>
      </c>
      <c r="D4" s="435" t="s">
        <v>318</v>
      </c>
      <c r="E4" s="434" t="s">
        <v>319</v>
      </c>
      <c r="F4" s="434" t="s">
        <v>320</v>
      </c>
      <c r="G4" s="434" t="s">
        <v>321</v>
      </c>
      <c r="H4" s="434" t="s">
        <v>322</v>
      </c>
      <c r="I4" s="434" t="s">
        <v>323</v>
      </c>
      <c r="J4" s="434" t="s">
        <v>324</v>
      </c>
      <c r="K4" s="436" t="s">
        <v>325</v>
      </c>
      <c r="L4" s="434" t="s">
        <v>326</v>
      </c>
      <c r="M4" s="434" t="s">
        <v>327</v>
      </c>
      <c r="N4" s="434" t="s">
        <v>339</v>
      </c>
      <c r="O4" s="434" t="s">
        <v>328</v>
      </c>
      <c r="P4" s="434" t="s">
        <v>329</v>
      </c>
      <c r="Q4" s="434" t="s">
        <v>330</v>
      </c>
      <c r="R4" s="434" t="s">
        <v>331</v>
      </c>
      <c r="S4" s="434" t="s">
        <v>332</v>
      </c>
      <c r="T4" s="434"/>
      <c r="U4" s="437"/>
      <c r="V4" s="438"/>
      <c r="W4" s="439"/>
    </row>
    <row r="5" spans="1:23" x14ac:dyDescent="0.3">
      <c r="A5" s="420"/>
      <c r="B5" s="325" t="s">
        <v>338</v>
      </c>
      <c r="C5" s="325"/>
      <c r="D5" s="441">
        <v>30.4</v>
      </c>
      <c r="E5" s="396" t="s">
        <v>343</v>
      </c>
      <c r="F5" s="396"/>
      <c r="G5" s="442">
        <v>1</v>
      </c>
      <c r="H5" s="442">
        <v>10</v>
      </c>
      <c r="I5" s="442">
        <v>10</v>
      </c>
      <c r="J5" s="443">
        <v>0.8</v>
      </c>
      <c r="K5" s="444">
        <f>H5/(I5*J5)</f>
        <v>1.25</v>
      </c>
      <c r="L5" s="442">
        <v>7.5</v>
      </c>
      <c r="M5" s="445">
        <f>L5*K5</f>
        <v>9.375</v>
      </c>
      <c r="N5" s="326">
        <f>M5*$M$2</f>
        <v>111.28124999999999</v>
      </c>
      <c r="O5" s="446">
        <f>N5*0.33</f>
        <v>36.722812499999996</v>
      </c>
      <c r="P5" s="326">
        <f>N5+O5</f>
        <v>148.00406249999997</v>
      </c>
      <c r="Q5" s="447">
        <f>N5*D5*G5</f>
        <v>3382.9499999999994</v>
      </c>
      <c r="R5" s="447">
        <f>O5*D5*G5</f>
        <v>1116.3734999999999</v>
      </c>
      <c r="S5" s="448">
        <f>Q5+R5</f>
        <v>4499.3234999999995</v>
      </c>
      <c r="T5" s="325"/>
      <c r="U5" s="449"/>
      <c r="V5" s="426"/>
      <c r="W5" s="450"/>
    </row>
    <row r="6" spans="1:23" x14ac:dyDescent="0.3">
      <c r="A6" s="420"/>
      <c r="B6" s="325" t="s">
        <v>340</v>
      </c>
      <c r="C6" s="325"/>
      <c r="D6" s="441">
        <v>15</v>
      </c>
      <c r="E6" s="396" t="s">
        <v>342</v>
      </c>
      <c r="F6" s="396"/>
      <c r="G6" s="442">
        <v>2</v>
      </c>
      <c r="H6" s="442">
        <v>10</v>
      </c>
      <c r="I6" s="442">
        <v>8</v>
      </c>
      <c r="J6" s="443">
        <v>0.8</v>
      </c>
      <c r="K6" s="444">
        <f>H6/(I6*J6)</f>
        <v>1.5625</v>
      </c>
      <c r="L6" s="442">
        <v>15</v>
      </c>
      <c r="M6" s="445">
        <f>L6*K6</f>
        <v>23.4375</v>
      </c>
      <c r="N6" s="326">
        <f>M6*$M$2</f>
        <v>278.203125</v>
      </c>
      <c r="O6" s="446">
        <f>N6*0.33</f>
        <v>91.807031250000009</v>
      </c>
      <c r="P6" s="326">
        <f>N6+O6</f>
        <v>370.01015625000002</v>
      </c>
      <c r="Q6" s="447">
        <f>N6*D6*G6</f>
        <v>8346.09375</v>
      </c>
      <c r="R6" s="447">
        <f>O6*D6*G6</f>
        <v>2754.2109375000005</v>
      </c>
      <c r="S6" s="448">
        <f>Q6+R6</f>
        <v>11100.3046875</v>
      </c>
      <c r="T6" s="325"/>
      <c r="U6" s="449"/>
      <c r="V6" s="426"/>
      <c r="W6" s="450"/>
    </row>
    <row r="7" spans="1:23" x14ac:dyDescent="0.3">
      <c r="A7" s="420"/>
      <c r="B7" s="325" t="s">
        <v>586</v>
      </c>
      <c r="C7" s="325"/>
      <c r="D7" s="325">
        <v>15</v>
      </c>
      <c r="E7" s="396" t="s">
        <v>587</v>
      </c>
      <c r="F7" s="396"/>
      <c r="G7" s="442">
        <v>1</v>
      </c>
      <c r="H7" s="442">
        <v>10</v>
      </c>
      <c r="I7" s="442">
        <v>5</v>
      </c>
      <c r="J7" s="443">
        <v>0.8</v>
      </c>
      <c r="K7" s="444">
        <f>H7/(I7*J7)</f>
        <v>2.5</v>
      </c>
      <c r="L7" s="442">
        <v>25</v>
      </c>
      <c r="M7" s="445">
        <f>L7*K7</f>
        <v>62.5</v>
      </c>
      <c r="N7" s="326">
        <f>M7*$M$2</f>
        <v>741.875</v>
      </c>
      <c r="O7" s="446">
        <f>N7*0.33</f>
        <v>244.81875000000002</v>
      </c>
      <c r="P7" s="326">
        <f>N7+O7</f>
        <v>986.69375000000002</v>
      </c>
      <c r="Q7" s="447">
        <f>N7*D7*G7</f>
        <v>11128.125</v>
      </c>
      <c r="R7" s="447">
        <f>O7*D7*G7</f>
        <v>3672.2812500000005</v>
      </c>
      <c r="S7" s="448">
        <f>Q7+R7</f>
        <v>14800.40625</v>
      </c>
      <c r="T7" s="325"/>
      <c r="U7" s="449"/>
      <c r="V7" s="426"/>
      <c r="W7" s="450"/>
    </row>
    <row r="8" spans="1:23" x14ac:dyDescent="0.3">
      <c r="A8" s="420"/>
      <c r="B8" s="325" t="s">
        <v>341</v>
      </c>
      <c r="C8" s="325"/>
      <c r="D8" s="325">
        <v>30.4</v>
      </c>
      <c r="E8" s="396" t="s">
        <v>343</v>
      </c>
      <c r="F8" s="396"/>
      <c r="G8" s="442">
        <v>1</v>
      </c>
      <c r="H8" s="442">
        <v>10</v>
      </c>
      <c r="I8" s="442">
        <v>10</v>
      </c>
      <c r="J8" s="443">
        <v>0.8</v>
      </c>
      <c r="K8" s="444">
        <f>H8/(I8*J8)</f>
        <v>1.25</v>
      </c>
      <c r="L8" s="442">
        <v>7.5</v>
      </c>
      <c r="M8" s="445">
        <f>L8*K8</f>
        <v>9.375</v>
      </c>
      <c r="N8" s="326">
        <f>M8*$M$2</f>
        <v>111.28124999999999</v>
      </c>
      <c r="O8" s="446">
        <f>N8*0.33</f>
        <v>36.722812499999996</v>
      </c>
      <c r="P8" s="326">
        <f>N8+O8</f>
        <v>148.00406249999997</v>
      </c>
      <c r="Q8" s="447">
        <f>N8*D8*G8</f>
        <v>3382.9499999999994</v>
      </c>
      <c r="R8" s="447">
        <f>O8*D8*G8</f>
        <v>1116.3734999999999</v>
      </c>
      <c r="S8" s="448">
        <f>Q8+R8</f>
        <v>4499.3234999999995</v>
      </c>
      <c r="T8" s="325"/>
      <c r="U8" s="449"/>
      <c r="V8" s="426"/>
      <c r="W8" s="450"/>
    </row>
    <row r="9" spans="1:23" ht="17.25" thickBot="1" x14ac:dyDescent="0.35">
      <c r="A9" s="420"/>
      <c r="B9" s="453"/>
      <c r="C9" s="454"/>
      <c r="D9" s="454"/>
      <c r="E9" s="454"/>
      <c r="F9" s="454"/>
      <c r="G9" s="454"/>
      <c r="H9" s="454"/>
      <c r="I9" s="454"/>
      <c r="J9" s="454"/>
      <c r="K9" s="455"/>
      <c r="L9" s="454"/>
      <c r="M9" s="454"/>
      <c r="N9" s="454"/>
      <c r="O9" s="454"/>
      <c r="P9" s="454"/>
      <c r="Q9" s="457">
        <f>SUM(Q5:Q8)</f>
        <v>26240.118749999998</v>
      </c>
      <c r="R9" s="457">
        <f>SUM(R5:R8)</f>
        <v>8659.2391875000012</v>
      </c>
      <c r="S9" s="458">
        <f>SUM(S5:S8)</f>
        <v>34899.357937499997</v>
      </c>
      <c r="T9" s="456"/>
      <c r="U9" s="449"/>
      <c r="V9" s="426"/>
      <c r="W9" s="450"/>
    </row>
    <row r="10" spans="1:23" s="418" customFormat="1" ht="14.25" x14ac:dyDescent="0.25">
      <c r="D10" s="450"/>
      <c r="E10" s="450"/>
      <c r="F10" s="450"/>
      <c r="G10" s="450"/>
      <c r="H10" s="450"/>
      <c r="K10" s="451"/>
    </row>
    <row r="11" spans="1:23" s="418" customFormat="1" ht="20.25" x14ac:dyDescent="0.35">
      <c r="B11" s="427" t="s">
        <v>333</v>
      </c>
      <c r="E11" s="450"/>
      <c r="F11" s="450"/>
      <c r="G11" s="450"/>
      <c r="H11" s="450"/>
      <c r="K11" s="451"/>
    </row>
    <row r="12" spans="1:23" s="418" customFormat="1" ht="39" x14ac:dyDescent="0.25">
      <c r="B12" s="434" t="s">
        <v>316</v>
      </c>
      <c r="C12" s="434" t="s">
        <v>317</v>
      </c>
      <c r="D12" s="435" t="s">
        <v>318</v>
      </c>
      <c r="E12" s="434" t="s">
        <v>334</v>
      </c>
      <c r="F12" s="434" t="s">
        <v>320</v>
      </c>
      <c r="G12" s="434" t="s">
        <v>321</v>
      </c>
      <c r="H12" s="434" t="s">
        <v>322</v>
      </c>
      <c r="I12" s="434" t="s">
        <v>323</v>
      </c>
      <c r="J12" s="434" t="s">
        <v>324</v>
      </c>
      <c r="K12" s="436" t="s">
        <v>325</v>
      </c>
      <c r="L12" s="434" t="s">
        <v>326</v>
      </c>
      <c r="M12" s="434" t="s">
        <v>327</v>
      </c>
      <c r="N12" s="434" t="s">
        <v>339</v>
      </c>
      <c r="O12" s="434" t="s">
        <v>347</v>
      </c>
      <c r="P12" s="434" t="s">
        <v>329</v>
      </c>
      <c r="Q12" s="434" t="s">
        <v>330</v>
      </c>
      <c r="R12" s="434" t="s">
        <v>331</v>
      </c>
      <c r="S12" s="434" t="s">
        <v>332</v>
      </c>
    </row>
    <row r="13" spans="1:23" x14ac:dyDescent="0.3">
      <c r="A13" s="420"/>
      <c r="B13" s="325" t="s">
        <v>335</v>
      </c>
      <c r="C13" s="325"/>
      <c r="D13" s="441">
        <v>1</v>
      </c>
      <c r="E13" s="401" t="s">
        <v>346</v>
      </c>
      <c r="F13" s="401"/>
      <c r="G13" s="442">
        <v>1</v>
      </c>
      <c r="H13" s="442">
        <v>25</v>
      </c>
      <c r="I13" s="442"/>
      <c r="J13" s="443"/>
      <c r="K13" s="444">
        <v>2</v>
      </c>
      <c r="L13" s="442"/>
      <c r="M13" s="445">
        <f>H13/10</f>
        <v>2.5</v>
      </c>
      <c r="N13" s="326">
        <f>M13*$M$2</f>
        <v>29.674999999999997</v>
      </c>
      <c r="O13" s="446">
        <f>N13*0.33</f>
        <v>9.7927499999999998</v>
      </c>
      <c r="P13" s="326">
        <f>N13+O13</f>
        <v>39.467749999999995</v>
      </c>
      <c r="Q13" s="447">
        <f t="shared" ref="Q13:Q19" si="0">N13*D13*G13</f>
        <v>29.674999999999997</v>
      </c>
      <c r="R13" s="447">
        <f t="shared" ref="R13:R19" si="1">O13*D13*G13</f>
        <v>9.7927499999999998</v>
      </c>
      <c r="S13" s="448">
        <f>Q13+R13</f>
        <v>39.467749999999995</v>
      </c>
      <c r="T13" s="325"/>
      <c r="U13" s="449"/>
      <c r="V13" s="426"/>
      <c r="W13" s="450"/>
    </row>
    <row r="14" spans="1:23" x14ac:dyDescent="0.3">
      <c r="A14" s="420"/>
      <c r="B14" s="325"/>
      <c r="C14" s="325"/>
      <c r="D14" s="441">
        <v>30.4</v>
      </c>
      <c r="E14" s="401" t="s">
        <v>344</v>
      </c>
      <c r="F14" s="401"/>
      <c r="G14" s="442">
        <v>1</v>
      </c>
      <c r="H14" s="442"/>
      <c r="I14" s="442"/>
      <c r="J14" s="443"/>
      <c r="K14" s="444">
        <v>2</v>
      </c>
      <c r="L14" s="442">
        <v>12.5</v>
      </c>
      <c r="M14" s="445">
        <f t="shared" ref="M14:M19" si="2">L14*K14</f>
        <v>25</v>
      </c>
      <c r="N14" s="326">
        <f t="shared" ref="N14:N19" si="3">M14*$M$2</f>
        <v>296.75</v>
      </c>
      <c r="O14" s="446">
        <f t="shared" ref="O14:O19" si="4">N14*0.33</f>
        <v>97.927500000000009</v>
      </c>
      <c r="P14" s="326">
        <f t="shared" ref="P14:P19" si="5">N14+O14</f>
        <v>394.67750000000001</v>
      </c>
      <c r="Q14" s="447">
        <f t="shared" si="0"/>
        <v>9021.1999999999989</v>
      </c>
      <c r="R14" s="447">
        <f t="shared" si="1"/>
        <v>2976.9960000000001</v>
      </c>
      <c r="S14" s="448">
        <f t="shared" ref="S14:S19" si="6">Q14+R14</f>
        <v>11998.196</v>
      </c>
      <c r="T14" s="325"/>
      <c r="U14" s="449"/>
      <c r="V14" s="426"/>
      <c r="W14" s="450"/>
    </row>
    <row r="15" spans="1:23" x14ac:dyDescent="0.3">
      <c r="A15" s="420"/>
      <c r="B15" s="325"/>
      <c r="C15" s="325"/>
      <c r="D15" s="325">
        <v>30.4</v>
      </c>
      <c r="E15" s="401" t="s">
        <v>348</v>
      </c>
      <c r="F15" s="401"/>
      <c r="G15" s="442">
        <v>1</v>
      </c>
      <c r="H15" s="442"/>
      <c r="I15" s="442"/>
      <c r="J15" s="443"/>
      <c r="K15" s="444">
        <v>2</v>
      </c>
      <c r="L15" s="442">
        <v>15</v>
      </c>
      <c r="M15" s="445">
        <f t="shared" si="2"/>
        <v>30</v>
      </c>
      <c r="N15" s="326">
        <f t="shared" si="3"/>
        <v>356.09999999999997</v>
      </c>
      <c r="O15" s="446">
        <f t="shared" si="4"/>
        <v>117.51299999999999</v>
      </c>
      <c r="P15" s="326">
        <f t="shared" si="5"/>
        <v>473.61299999999994</v>
      </c>
      <c r="Q15" s="447">
        <f t="shared" si="0"/>
        <v>10825.439999999999</v>
      </c>
      <c r="R15" s="447">
        <f t="shared" si="1"/>
        <v>3572.3951999999995</v>
      </c>
      <c r="S15" s="448">
        <f t="shared" si="6"/>
        <v>14397.835199999998</v>
      </c>
      <c r="T15" s="325"/>
      <c r="U15" s="449"/>
      <c r="V15" s="426"/>
      <c r="W15" s="450"/>
    </row>
    <row r="16" spans="1:23" x14ac:dyDescent="0.3">
      <c r="A16" s="420"/>
      <c r="B16" s="325"/>
      <c r="C16" s="325"/>
      <c r="D16" s="325">
        <v>30.4</v>
      </c>
      <c r="E16" s="401" t="s">
        <v>345</v>
      </c>
      <c r="F16" s="401"/>
      <c r="G16" s="442">
        <v>1</v>
      </c>
      <c r="H16" s="442"/>
      <c r="I16" s="442"/>
      <c r="J16" s="443"/>
      <c r="K16" s="444">
        <v>2</v>
      </c>
      <c r="L16" s="442">
        <v>20</v>
      </c>
      <c r="M16" s="445">
        <f t="shared" si="2"/>
        <v>40</v>
      </c>
      <c r="N16" s="326">
        <f t="shared" si="3"/>
        <v>474.79999999999995</v>
      </c>
      <c r="O16" s="446">
        <f t="shared" si="4"/>
        <v>156.684</v>
      </c>
      <c r="P16" s="326">
        <f t="shared" si="5"/>
        <v>631.48399999999992</v>
      </c>
      <c r="Q16" s="447">
        <f t="shared" si="0"/>
        <v>14433.919999999998</v>
      </c>
      <c r="R16" s="447">
        <f t="shared" si="1"/>
        <v>4763.1935999999996</v>
      </c>
      <c r="S16" s="448">
        <f t="shared" si="6"/>
        <v>19197.113599999997</v>
      </c>
      <c r="T16" s="325"/>
      <c r="U16" s="449"/>
      <c r="V16" s="426"/>
      <c r="W16" s="450"/>
    </row>
    <row r="17" spans="1:23" x14ac:dyDescent="0.3">
      <c r="A17" s="420"/>
      <c r="B17" s="325"/>
      <c r="C17" s="325"/>
      <c r="D17" s="325">
        <v>2</v>
      </c>
      <c r="E17" s="809" t="s">
        <v>588</v>
      </c>
      <c r="F17" s="809"/>
      <c r="G17" s="442">
        <v>2</v>
      </c>
      <c r="H17" s="442">
        <v>300</v>
      </c>
      <c r="I17" s="442"/>
      <c r="J17" s="443"/>
      <c r="K17" s="444">
        <v>6</v>
      </c>
      <c r="L17" s="442">
        <v>15</v>
      </c>
      <c r="M17" s="445">
        <f t="shared" si="2"/>
        <v>90</v>
      </c>
      <c r="N17" s="326">
        <f t="shared" si="3"/>
        <v>1068.3</v>
      </c>
      <c r="O17" s="446">
        <f t="shared" si="4"/>
        <v>352.53899999999999</v>
      </c>
      <c r="P17" s="326">
        <f t="shared" si="5"/>
        <v>1420.8389999999999</v>
      </c>
      <c r="Q17" s="447">
        <f t="shared" si="0"/>
        <v>4273.2</v>
      </c>
      <c r="R17" s="447">
        <f t="shared" si="1"/>
        <v>1410.1559999999999</v>
      </c>
      <c r="S17" s="448">
        <f t="shared" si="6"/>
        <v>5683.3559999999998</v>
      </c>
      <c r="T17" s="325"/>
      <c r="U17" s="449"/>
      <c r="V17" s="426"/>
      <c r="W17" s="450"/>
    </row>
    <row r="18" spans="1:23" x14ac:dyDescent="0.3">
      <c r="A18" s="420"/>
      <c r="B18" s="325"/>
      <c r="C18" s="325"/>
      <c r="D18" s="325">
        <v>1</v>
      </c>
      <c r="E18" s="401" t="s">
        <v>349</v>
      </c>
      <c r="F18" s="401"/>
      <c r="G18" s="442">
        <v>1</v>
      </c>
      <c r="H18" s="442"/>
      <c r="I18" s="442"/>
      <c r="J18" s="443"/>
      <c r="K18" s="444">
        <v>1.2</v>
      </c>
      <c r="L18" s="442">
        <v>30</v>
      </c>
      <c r="M18" s="445">
        <f t="shared" si="2"/>
        <v>36</v>
      </c>
      <c r="N18" s="326">
        <f t="shared" si="3"/>
        <v>427.32</v>
      </c>
      <c r="O18" s="446">
        <f t="shared" si="4"/>
        <v>141.01560000000001</v>
      </c>
      <c r="P18" s="326">
        <f t="shared" si="5"/>
        <v>568.3356</v>
      </c>
      <c r="Q18" s="447">
        <f t="shared" si="0"/>
        <v>427.32</v>
      </c>
      <c r="R18" s="447">
        <f t="shared" si="1"/>
        <v>141.01560000000001</v>
      </c>
      <c r="S18" s="448">
        <f t="shared" si="6"/>
        <v>568.3356</v>
      </c>
      <c r="T18" s="325"/>
      <c r="U18" s="449"/>
      <c r="V18" s="426"/>
      <c r="W18" s="450"/>
    </row>
    <row r="19" spans="1:23" x14ac:dyDescent="0.3">
      <c r="A19" s="420"/>
      <c r="B19" s="325"/>
      <c r="C19" s="325"/>
      <c r="D19" s="325">
        <v>1</v>
      </c>
      <c r="E19" s="401" t="s">
        <v>350</v>
      </c>
      <c r="F19" s="401"/>
      <c r="G19" s="442">
        <v>1</v>
      </c>
      <c r="H19" s="442"/>
      <c r="I19" s="442"/>
      <c r="J19" s="443"/>
      <c r="K19" s="444">
        <v>1.2</v>
      </c>
      <c r="L19" s="442">
        <v>30</v>
      </c>
      <c r="M19" s="445">
        <f t="shared" si="2"/>
        <v>36</v>
      </c>
      <c r="N19" s="326">
        <f t="shared" si="3"/>
        <v>427.32</v>
      </c>
      <c r="O19" s="446">
        <f t="shared" si="4"/>
        <v>141.01560000000001</v>
      </c>
      <c r="P19" s="326">
        <f t="shared" si="5"/>
        <v>568.3356</v>
      </c>
      <c r="Q19" s="447">
        <f t="shared" si="0"/>
        <v>427.32</v>
      </c>
      <c r="R19" s="447">
        <f t="shared" si="1"/>
        <v>141.01560000000001</v>
      </c>
      <c r="S19" s="448">
        <f t="shared" si="6"/>
        <v>568.3356</v>
      </c>
      <c r="T19" s="325"/>
      <c r="U19" s="449"/>
      <c r="V19" s="426"/>
      <c r="W19" s="450"/>
    </row>
    <row r="20" spans="1:23" ht="17.25" thickBot="1" x14ac:dyDescent="0.35">
      <c r="A20" s="420"/>
      <c r="B20" s="453"/>
      <c r="C20" s="454"/>
      <c r="D20" s="454"/>
      <c r="E20" s="454"/>
      <c r="F20" s="454"/>
      <c r="G20" s="454"/>
      <c r="H20" s="454"/>
      <c r="I20" s="454"/>
      <c r="J20" s="454"/>
      <c r="K20" s="455"/>
      <c r="L20" s="454"/>
      <c r="M20" s="454"/>
      <c r="N20" s="454"/>
      <c r="O20" s="454"/>
      <c r="P20" s="454"/>
      <c r="Q20" s="457">
        <f>SUM(Q13:Q19)</f>
        <v>39438.07499999999</v>
      </c>
      <c r="R20" s="457">
        <f>SUM(R13:R19)</f>
        <v>13014.564750000001</v>
      </c>
      <c r="S20" s="458">
        <f>SUM(S13:S19)</f>
        <v>52452.639749999988</v>
      </c>
      <c r="T20" s="456"/>
      <c r="U20" s="449"/>
      <c r="V20" s="426"/>
      <c r="W20" s="450"/>
    </row>
    <row r="21" spans="1:23" x14ac:dyDescent="0.3">
      <c r="A21" s="449"/>
      <c r="B21" s="459"/>
      <c r="C21" s="459"/>
      <c r="D21" s="459"/>
      <c r="E21" s="459"/>
      <c r="F21" s="459"/>
      <c r="G21" s="459"/>
      <c r="H21" s="459"/>
      <c r="I21" s="459"/>
      <c r="J21" s="459"/>
      <c r="K21" s="460"/>
      <c r="L21" s="459"/>
      <c r="M21" s="459"/>
      <c r="N21" s="459"/>
      <c r="O21" s="459"/>
      <c r="P21" s="459"/>
      <c r="Q21" s="461"/>
      <c r="R21" s="461"/>
      <c r="S21" s="462"/>
      <c r="T21" s="459"/>
      <c r="U21" s="449"/>
      <c r="V21" s="449"/>
      <c r="W21" s="450"/>
    </row>
  </sheetData>
  <mergeCells count="1">
    <mergeCell ref="B1:C2"/>
  </mergeCells>
  <pageMargins left="0.25" right="0.25" top="0.75" bottom="0.75" header="0.3" footer="0.3"/>
  <pageSetup paperSize="8" scale="8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I6509"/>
  <sheetViews>
    <sheetView topLeftCell="I1" zoomScale="55" zoomScaleNormal="55" workbookViewId="0">
      <selection activeCell="AE15" sqref="AE15"/>
    </sheetView>
  </sheetViews>
  <sheetFormatPr defaultRowHeight="15" x14ac:dyDescent="0.25"/>
  <cols>
    <col min="1" max="1" width="1" style="6" customWidth="1"/>
    <col min="2" max="2" width="14.140625" style="6" customWidth="1"/>
    <col min="17" max="17" width="6.140625" style="6" bestFit="1" customWidth="1"/>
    <col min="18" max="18" width="9.140625" style="6"/>
    <col min="20" max="21" width="9.140625" style="6"/>
    <col min="22" max="22" width="1.140625" style="6" customWidth="1"/>
    <col min="23" max="24" width="9.140625" style="6"/>
    <col min="25" max="25" width="1" style="6" customWidth="1"/>
    <col min="26" max="26" width="5" style="6" bestFit="1" customWidth="1"/>
    <col min="27" max="27" width="6.7109375" style="6" customWidth="1"/>
    <col min="28" max="29" width="12.42578125" style="6" bestFit="1" customWidth="1"/>
    <col min="30" max="30" width="22.140625" style="6" bestFit="1" customWidth="1"/>
    <col min="31" max="31" width="31.7109375" style="6" bestFit="1" customWidth="1"/>
    <col min="32" max="32" width="20.7109375" style="6" bestFit="1" customWidth="1"/>
    <col min="33" max="33" width="28.140625" style="6" bestFit="1" customWidth="1"/>
    <col min="34" max="34" width="12.5703125" style="6" bestFit="1" customWidth="1"/>
    <col min="35" max="35" width="8.5703125" bestFit="1" customWidth="1"/>
    <col min="36" max="36" width="11.140625" bestFit="1" customWidth="1"/>
    <col min="37" max="38" width="9.42578125" bestFit="1" customWidth="1"/>
    <col min="39" max="39" width="9.28515625" bestFit="1" customWidth="1"/>
  </cols>
  <sheetData>
    <row r="1" spans="2:35" s="6" customFormat="1" ht="23.25" x14ac:dyDescent="0.25">
      <c r="B1" s="553" t="s">
        <v>451</v>
      </c>
    </row>
    <row r="2" spans="2:35" s="6" customFormat="1" ht="4.5" customHeight="1" thickBot="1" x14ac:dyDescent="0.3">
      <c r="B2" s="553"/>
    </row>
    <row r="3" spans="2:35" s="5" customFormat="1" ht="30.75" customHeight="1" x14ac:dyDescent="0.25">
      <c r="B3" s="1190" t="s">
        <v>613</v>
      </c>
      <c r="C3" s="1191"/>
      <c r="D3" s="1191"/>
      <c r="E3" s="1191"/>
      <c r="F3" s="1191"/>
      <c r="G3" s="1191"/>
      <c r="H3" s="1191"/>
      <c r="I3" s="1191"/>
      <c r="J3" s="1192"/>
      <c r="K3" s="1191"/>
      <c r="L3" s="1191"/>
      <c r="M3" s="1191"/>
      <c r="N3" s="1191"/>
      <c r="O3" s="1191"/>
      <c r="P3" s="1193"/>
      <c r="R3" s="5" t="s">
        <v>570</v>
      </c>
      <c r="W3" s="5" t="s">
        <v>452</v>
      </c>
      <c r="AA3" s="5" t="s">
        <v>453</v>
      </c>
      <c r="AD3" s="748" t="s">
        <v>1366</v>
      </c>
      <c r="AE3" s="748" t="s">
        <v>1367</v>
      </c>
      <c r="AF3" s="748" t="s">
        <v>1368</v>
      </c>
      <c r="AG3" s="748" t="s">
        <v>1369</v>
      </c>
    </row>
    <row r="4" spans="2:35" ht="36.75" customHeight="1" thickBot="1" x14ac:dyDescent="0.3">
      <c r="B4" s="1194" t="s">
        <v>401</v>
      </c>
      <c r="C4" s="1195" t="s">
        <v>454</v>
      </c>
      <c r="D4" s="1196">
        <v>8</v>
      </c>
      <c r="E4" s="1196">
        <v>9</v>
      </c>
      <c r="F4" s="1196">
        <v>10</v>
      </c>
      <c r="G4" s="1196">
        <v>11</v>
      </c>
      <c r="H4" s="1196">
        <v>12</v>
      </c>
      <c r="I4" s="1196">
        <v>13</v>
      </c>
      <c r="J4" s="1196">
        <v>14</v>
      </c>
      <c r="K4" s="1196">
        <v>15</v>
      </c>
      <c r="L4" s="1196">
        <v>16</v>
      </c>
      <c r="M4" s="1196">
        <v>17</v>
      </c>
      <c r="N4" s="1196">
        <v>18</v>
      </c>
      <c r="O4" s="1196">
        <v>19</v>
      </c>
      <c r="P4" s="1197">
        <v>20</v>
      </c>
      <c r="R4" s="554" t="s">
        <v>452</v>
      </c>
      <c r="S4" s="555" t="s">
        <v>571</v>
      </c>
      <c r="T4" s="555" t="s">
        <v>455</v>
      </c>
      <c r="U4" s="555" t="s">
        <v>456</v>
      </c>
      <c r="W4" s="556" t="s">
        <v>457</v>
      </c>
      <c r="X4" s="557" t="s">
        <v>458</v>
      </c>
      <c r="AA4" s="556" t="s">
        <v>409</v>
      </c>
      <c r="AB4" s="558" t="s">
        <v>454</v>
      </c>
      <c r="AC4" s="558" t="s">
        <v>459</v>
      </c>
      <c r="AD4" s="749">
        <f>Assumptions!C62</f>
        <v>1250000</v>
      </c>
      <c r="AE4" s="750">
        <v>220000</v>
      </c>
      <c r="AF4" s="751">
        <v>60</v>
      </c>
      <c r="AG4" s="751">
        <v>105</v>
      </c>
    </row>
    <row r="5" spans="2:35" x14ac:dyDescent="0.25">
      <c r="B5" s="1198" t="s">
        <v>457</v>
      </c>
      <c r="C5" s="1199" t="s">
        <v>460</v>
      </c>
      <c r="D5" s="1200">
        <v>2</v>
      </c>
      <c r="E5" s="1200">
        <v>3</v>
      </c>
      <c r="F5" s="1200">
        <v>4</v>
      </c>
      <c r="G5" s="1200">
        <v>5</v>
      </c>
      <c r="H5" s="1200">
        <v>6</v>
      </c>
      <c r="I5" s="1201">
        <v>7</v>
      </c>
      <c r="J5" s="1201">
        <v>8</v>
      </c>
      <c r="K5" s="1201">
        <v>9</v>
      </c>
      <c r="L5" s="1201">
        <v>10</v>
      </c>
      <c r="M5" s="1201">
        <v>11</v>
      </c>
      <c r="N5" s="1201">
        <v>12</v>
      </c>
      <c r="O5" s="1201">
        <v>13</v>
      </c>
      <c r="P5" s="1202">
        <v>14</v>
      </c>
      <c r="R5" s="559">
        <v>1</v>
      </c>
      <c r="S5" s="560">
        <f>Assumptions!$C$17</f>
        <v>1.3</v>
      </c>
      <c r="T5" s="561">
        <v>1.4999999999999999E-2</v>
      </c>
      <c r="U5" s="562">
        <v>0</v>
      </c>
      <c r="W5" s="563" t="s">
        <v>461</v>
      </c>
      <c r="X5" s="564">
        <v>1</v>
      </c>
      <c r="AA5" s="565" t="s">
        <v>173</v>
      </c>
      <c r="AB5" s="566">
        <v>19</v>
      </c>
      <c r="AC5" s="566">
        <v>31</v>
      </c>
      <c r="AD5" s="2"/>
      <c r="AE5" s="2"/>
      <c r="AF5" s="2"/>
    </row>
    <row r="6" spans="2:35" ht="15.75" x14ac:dyDescent="0.25">
      <c r="B6" s="1203" t="s">
        <v>462</v>
      </c>
      <c r="C6" s="1204">
        <v>1</v>
      </c>
      <c r="D6" s="1205">
        <v>1.1337299999999999</v>
      </c>
      <c r="E6" s="1205">
        <v>1.284894</v>
      </c>
      <c r="F6" s="1205">
        <v>1.4360579999999998</v>
      </c>
      <c r="G6" s="1205">
        <v>1.5872219999999999</v>
      </c>
      <c r="H6" s="1206">
        <v>1.7383859999999995</v>
      </c>
      <c r="I6" s="1207">
        <v>1.8517590000000002</v>
      </c>
      <c r="J6" s="1208">
        <v>2.002923</v>
      </c>
      <c r="K6" s="1208">
        <v>2.1540870000000001</v>
      </c>
      <c r="L6" s="1208">
        <v>2.3052510000000002</v>
      </c>
      <c r="M6" s="1208">
        <v>2.4564150000000002</v>
      </c>
      <c r="N6" s="1208">
        <v>1.6061174999999999</v>
      </c>
      <c r="O6" s="1208">
        <v>1.5258116249999996</v>
      </c>
      <c r="P6" s="1209">
        <v>1.284894</v>
      </c>
      <c r="R6" s="559">
        <v>2</v>
      </c>
      <c r="S6" s="560">
        <f>Assumptions!$C$17</f>
        <v>1.3</v>
      </c>
      <c r="T6" s="561">
        <v>1.4999999999999999E-2</v>
      </c>
      <c r="U6" s="562">
        <v>0</v>
      </c>
      <c r="W6" s="563">
        <f t="shared" ref="W6:W11" si="0">W5+1</f>
        <v>2</v>
      </c>
      <c r="X6" s="564">
        <v>1</v>
      </c>
      <c r="AA6" s="565" t="s">
        <v>174</v>
      </c>
      <c r="AB6" s="566">
        <v>20</v>
      </c>
      <c r="AC6" s="566">
        <v>28</v>
      </c>
      <c r="AE6" s="498"/>
      <c r="AF6" s="498"/>
      <c r="AG6" s="32"/>
      <c r="AI6" s="2"/>
    </row>
    <row r="7" spans="2:35" x14ac:dyDescent="0.25">
      <c r="B7" s="1203" t="s">
        <v>463</v>
      </c>
      <c r="C7" s="1204">
        <v>2</v>
      </c>
      <c r="D7" s="1205">
        <v>1.1337299999999999</v>
      </c>
      <c r="E7" s="1205">
        <v>1.284894</v>
      </c>
      <c r="F7" s="1205">
        <v>1.4360579999999998</v>
      </c>
      <c r="G7" s="1205">
        <v>1.5872219999999999</v>
      </c>
      <c r="H7" s="1206">
        <v>1.7383859999999995</v>
      </c>
      <c r="I7" s="1210">
        <v>1.8517590000000002</v>
      </c>
      <c r="J7" s="1205">
        <v>2.002923</v>
      </c>
      <c r="K7" s="1205">
        <v>2.1540870000000001</v>
      </c>
      <c r="L7" s="1205">
        <v>2.3052510000000002</v>
      </c>
      <c r="M7" s="1205">
        <v>2.4564150000000002</v>
      </c>
      <c r="N7" s="1205">
        <v>1.6061174999999999</v>
      </c>
      <c r="O7" s="1205">
        <v>1.5258116249999996</v>
      </c>
      <c r="P7" s="1211">
        <v>1.284894</v>
      </c>
      <c r="R7" s="559">
        <v>3</v>
      </c>
      <c r="S7" s="560">
        <f>Assumptions!$C$17</f>
        <v>1.3</v>
      </c>
      <c r="T7" s="561">
        <v>1.4999999999999999E-2</v>
      </c>
      <c r="U7" s="562">
        <v>0</v>
      </c>
      <c r="W7" s="563">
        <f t="shared" si="0"/>
        <v>3</v>
      </c>
      <c r="X7" s="564">
        <v>1</v>
      </c>
      <c r="AA7" s="565" t="s">
        <v>175</v>
      </c>
      <c r="AB7" s="566">
        <v>18</v>
      </c>
      <c r="AC7" s="566">
        <v>31</v>
      </c>
      <c r="AE7" s="3"/>
      <c r="AF7" s="3"/>
      <c r="AG7" s="32"/>
    </row>
    <row r="8" spans="2:35" x14ac:dyDescent="0.25">
      <c r="B8" s="1203" t="s">
        <v>464</v>
      </c>
      <c r="C8" s="1204">
        <v>3</v>
      </c>
      <c r="D8" s="1205">
        <v>0.98256599999999983</v>
      </c>
      <c r="E8" s="1205">
        <v>1.095939</v>
      </c>
      <c r="F8" s="1205">
        <v>1.2093120000000002</v>
      </c>
      <c r="G8" s="1205">
        <v>1.3226849999999999</v>
      </c>
      <c r="H8" s="1206">
        <v>1.4360579999999998</v>
      </c>
      <c r="I8" s="1210">
        <v>1.5872219999999999</v>
      </c>
      <c r="J8" s="1205">
        <v>1.7005950000000001</v>
      </c>
      <c r="K8" s="1205">
        <v>1.8139679999999996</v>
      </c>
      <c r="L8" s="1205">
        <v>1.9273409999999997</v>
      </c>
      <c r="M8" s="1205">
        <v>2.0407139999999999</v>
      </c>
      <c r="N8" s="1205">
        <v>1.5116399999999999</v>
      </c>
      <c r="O8" s="1205">
        <v>1.4360579999999998</v>
      </c>
      <c r="P8" s="1211">
        <v>1.2093119999999999</v>
      </c>
      <c r="R8" s="559">
        <v>4</v>
      </c>
      <c r="S8" s="560">
        <f>Assumptions!$C$17</f>
        <v>1.3</v>
      </c>
      <c r="T8" s="561">
        <v>1.4999999999999999E-2</v>
      </c>
      <c r="U8" s="562">
        <v>0</v>
      </c>
      <c r="W8" s="563">
        <f t="shared" si="0"/>
        <v>4</v>
      </c>
      <c r="X8" s="564">
        <v>1</v>
      </c>
      <c r="AA8" s="565" t="s">
        <v>176</v>
      </c>
      <c r="AB8" s="566">
        <v>16</v>
      </c>
      <c r="AC8" s="566">
        <v>30</v>
      </c>
      <c r="AE8" s="3"/>
      <c r="AF8" s="3"/>
      <c r="AG8" s="32"/>
    </row>
    <row r="9" spans="2:35" x14ac:dyDescent="0.25">
      <c r="B9" s="1203" t="s">
        <v>465</v>
      </c>
      <c r="C9" s="1204">
        <v>4</v>
      </c>
      <c r="D9" s="1205">
        <v>0.79361099999999996</v>
      </c>
      <c r="E9" s="1205">
        <v>0.86919299999999977</v>
      </c>
      <c r="F9" s="1205">
        <v>0.98256599999999983</v>
      </c>
      <c r="G9" s="1205">
        <v>1.095939</v>
      </c>
      <c r="H9" s="1206">
        <v>1.1715209999999998</v>
      </c>
      <c r="I9" s="1210">
        <v>1.284894</v>
      </c>
      <c r="J9" s="1205">
        <v>1.360476</v>
      </c>
      <c r="K9" s="1205">
        <v>1.4738489999999995</v>
      </c>
      <c r="L9" s="1205">
        <v>1.5872219999999999</v>
      </c>
      <c r="M9" s="1205">
        <v>1.6628039999999999</v>
      </c>
      <c r="N9" s="1205">
        <v>1.4927444999999999</v>
      </c>
      <c r="O9" s="1205">
        <v>1.4181072750000001</v>
      </c>
      <c r="P9" s="1211">
        <v>1.1941956</v>
      </c>
      <c r="R9" s="559">
        <v>5</v>
      </c>
      <c r="S9" s="560">
        <f>Assumptions!$C$17</f>
        <v>1.3</v>
      </c>
      <c r="T9" s="561">
        <v>1.4999999999999999E-2</v>
      </c>
      <c r="U9" s="562">
        <v>0.1</v>
      </c>
      <c r="W9" s="563">
        <f t="shared" si="0"/>
        <v>5</v>
      </c>
      <c r="X9" s="564">
        <v>1</v>
      </c>
      <c r="AA9" s="565" t="s">
        <v>177</v>
      </c>
      <c r="AB9" s="566">
        <v>14</v>
      </c>
      <c r="AC9" s="566">
        <v>31</v>
      </c>
      <c r="AE9" s="3"/>
      <c r="AF9" s="3"/>
      <c r="AG9" s="32"/>
    </row>
    <row r="10" spans="2:35" x14ac:dyDescent="0.25">
      <c r="B10" s="1212" t="s">
        <v>466</v>
      </c>
      <c r="C10" s="1213">
        <v>5</v>
      </c>
      <c r="D10" s="1208">
        <v>0.70226999999999995</v>
      </c>
      <c r="E10" s="1208">
        <v>0.76296000000000008</v>
      </c>
      <c r="F10" s="1208">
        <v>0.82364999999999988</v>
      </c>
      <c r="G10" s="1208">
        <v>0.87566999999999995</v>
      </c>
      <c r="H10" s="1214">
        <v>0.91901999999999995</v>
      </c>
      <c r="I10" s="1207">
        <v>0.81064500000000006</v>
      </c>
      <c r="J10" s="1208">
        <v>0.82169924999999988</v>
      </c>
      <c r="K10" s="1208">
        <v>0.81064500000000006</v>
      </c>
      <c r="L10" s="1208">
        <v>0.77379749999999992</v>
      </c>
      <c r="M10" s="1208">
        <v>0.70378724999999998</v>
      </c>
      <c r="N10" s="1208">
        <v>0.59324474999999999</v>
      </c>
      <c r="O10" s="1208">
        <v>0.56358251249999991</v>
      </c>
      <c r="P10" s="1209">
        <v>0.47459580000000007</v>
      </c>
      <c r="R10" s="559">
        <v>6</v>
      </c>
      <c r="S10" s="560">
        <f>Assumptions!$C$17</f>
        <v>1.3</v>
      </c>
      <c r="T10" s="561">
        <v>1.4999999999999999E-2</v>
      </c>
      <c r="U10" s="562">
        <v>0</v>
      </c>
      <c r="W10" s="563">
        <f t="shared" si="0"/>
        <v>6</v>
      </c>
      <c r="X10" s="564">
        <v>2</v>
      </c>
      <c r="AA10" s="565" t="s">
        <v>178</v>
      </c>
      <c r="AB10" s="566">
        <v>13</v>
      </c>
      <c r="AC10" s="566">
        <v>30</v>
      </c>
      <c r="AE10" s="3"/>
      <c r="AF10" s="3"/>
      <c r="AG10" s="32"/>
    </row>
    <row r="11" spans="2:35" x14ac:dyDescent="0.25">
      <c r="B11" s="1203" t="s">
        <v>467</v>
      </c>
      <c r="C11" s="1204">
        <v>6</v>
      </c>
      <c r="D11" s="1205">
        <f>D10*0.98</f>
        <v>0.68822459999999996</v>
      </c>
      <c r="E11" s="1205">
        <f t="shared" ref="E11:P11" si="1">E10*0.98</f>
        <v>0.74770080000000005</v>
      </c>
      <c r="F11" s="1205">
        <f t="shared" si="1"/>
        <v>0.80717699999999992</v>
      </c>
      <c r="G11" s="1205">
        <f t="shared" si="1"/>
        <v>0.85815659999999994</v>
      </c>
      <c r="H11" s="1206">
        <f t="shared" si="1"/>
        <v>0.90063959999999998</v>
      </c>
      <c r="I11" s="1210">
        <f t="shared" si="1"/>
        <v>0.79443210000000009</v>
      </c>
      <c r="J11" s="1205">
        <f t="shared" si="1"/>
        <v>0.80526526499999984</v>
      </c>
      <c r="K11" s="1205">
        <f t="shared" si="1"/>
        <v>0.79443210000000009</v>
      </c>
      <c r="L11" s="1205">
        <f t="shared" si="1"/>
        <v>0.7583215499999999</v>
      </c>
      <c r="M11" s="1205">
        <f t="shared" si="1"/>
        <v>0.689711505</v>
      </c>
      <c r="N11" s="1205">
        <f t="shared" si="1"/>
        <v>0.581379855</v>
      </c>
      <c r="O11" s="1205">
        <f t="shared" si="1"/>
        <v>0.55231086224999992</v>
      </c>
      <c r="P11" s="1211">
        <f t="shared" si="1"/>
        <v>0.46510388400000008</v>
      </c>
      <c r="R11" s="559">
        <v>7</v>
      </c>
      <c r="S11" s="560">
        <f>Assumptions!$C$17</f>
        <v>1.3</v>
      </c>
      <c r="T11" s="561">
        <v>1.4999999999999999E-2</v>
      </c>
      <c r="U11" s="562">
        <v>0</v>
      </c>
      <c r="W11" s="563">
        <f t="shared" si="0"/>
        <v>7</v>
      </c>
      <c r="X11" s="564">
        <v>2</v>
      </c>
      <c r="AA11" s="565" t="s">
        <v>167</v>
      </c>
      <c r="AB11" s="566">
        <v>13</v>
      </c>
      <c r="AC11" s="566">
        <v>31</v>
      </c>
      <c r="AE11" s="3"/>
      <c r="AF11" s="3"/>
      <c r="AG11" s="32"/>
    </row>
    <row r="12" spans="2:35" x14ac:dyDescent="0.25">
      <c r="B12" s="1203" t="s">
        <v>468</v>
      </c>
      <c r="C12" s="1213">
        <v>7</v>
      </c>
      <c r="D12" s="1205">
        <f t="shared" ref="D12:D17" si="2">D11*0.98</f>
        <v>0.674460108</v>
      </c>
      <c r="E12" s="1205">
        <f t="shared" ref="E12:E17" si="3">E11*0.98</f>
        <v>0.73274678400000004</v>
      </c>
      <c r="F12" s="1205">
        <f t="shared" ref="F12:F17" si="4">F11*0.98</f>
        <v>0.79103345999999986</v>
      </c>
      <c r="G12" s="1205">
        <f t="shared" ref="G12:G17" si="5">G11*0.98</f>
        <v>0.84099346799999997</v>
      </c>
      <c r="H12" s="1205">
        <f t="shared" ref="H12:H17" si="6">H11*0.98</f>
        <v>0.88262680799999993</v>
      </c>
      <c r="I12" s="1205">
        <f t="shared" ref="I12:I17" si="7">I11*0.98</f>
        <v>0.77854345800000002</v>
      </c>
      <c r="J12" s="1205">
        <f t="shared" ref="J12:J17" si="8">J11*0.98</f>
        <v>0.78915995969999986</v>
      </c>
      <c r="K12" s="1205">
        <f t="shared" ref="K12:K17" si="9">K11*0.98</f>
        <v>0.77854345800000002</v>
      </c>
      <c r="L12" s="1205">
        <f t="shared" ref="L12:L17" si="10">L11*0.98</f>
        <v>0.74315511899999986</v>
      </c>
      <c r="M12" s="1205">
        <f t="shared" ref="M12:M17" si="11">M11*0.98</f>
        <v>0.67591727489999998</v>
      </c>
      <c r="N12" s="1205">
        <f t="shared" ref="N12:N17" si="12">N11*0.98</f>
        <v>0.56975225789999995</v>
      </c>
      <c r="O12" s="1205">
        <f t="shared" ref="O12:O17" si="13">O11*0.98</f>
        <v>0.54126464500499993</v>
      </c>
      <c r="P12" s="1211">
        <f t="shared" ref="P12:P17" si="14">P11*0.98</f>
        <v>0.45580180632000006</v>
      </c>
      <c r="R12" s="559">
        <v>8</v>
      </c>
      <c r="S12" s="560">
        <f>Assumptions!$C$17</f>
        <v>1.3</v>
      </c>
      <c r="T12" s="561">
        <v>1.4999999999999999E-2</v>
      </c>
      <c r="U12" s="562">
        <v>0</v>
      </c>
      <c r="W12" s="563">
        <v>8</v>
      </c>
      <c r="X12" s="564">
        <v>2</v>
      </c>
      <c r="AA12" s="565" t="s">
        <v>168</v>
      </c>
      <c r="AB12" s="566">
        <v>13</v>
      </c>
      <c r="AC12" s="566">
        <v>31</v>
      </c>
      <c r="AE12" s="3"/>
      <c r="AF12" s="3"/>
      <c r="AG12" s="32"/>
    </row>
    <row r="13" spans="2:35" x14ac:dyDescent="0.25">
      <c r="B13" s="1203" t="s">
        <v>469</v>
      </c>
      <c r="C13" s="1204">
        <v>8</v>
      </c>
      <c r="D13" s="1205">
        <f t="shared" si="2"/>
        <v>0.66097090583999996</v>
      </c>
      <c r="E13" s="1205">
        <f t="shared" si="3"/>
        <v>0.71809184832000006</v>
      </c>
      <c r="F13" s="1205">
        <f t="shared" si="4"/>
        <v>0.77521279079999983</v>
      </c>
      <c r="G13" s="1205">
        <f t="shared" si="5"/>
        <v>0.82417359863999995</v>
      </c>
      <c r="H13" s="1205">
        <f t="shared" si="6"/>
        <v>0.86497427183999986</v>
      </c>
      <c r="I13" s="1205">
        <f t="shared" si="7"/>
        <v>0.76297258883999997</v>
      </c>
      <c r="J13" s="1205">
        <f t="shared" si="8"/>
        <v>0.77337676050599979</v>
      </c>
      <c r="K13" s="1205">
        <f t="shared" si="9"/>
        <v>0.76297258883999997</v>
      </c>
      <c r="L13" s="1205">
        <f t="shared" si="10"/>
        <v>0.72829201661999987</v>
      </c>
      <c r="M13" s="1205">
        <f t="shared" si="11"/>
        <v>0.66239892940199996</v>
      </c>
      <c r="N13" s="1205">
        <f t="shared" si="12"/>
        <v>0.5583572127419999</v>
      </c>
      <c r="O13" s="1205">
        <f t="shared" si="13"/>
        <v>0.5304393521048999</v>
      </c>
      <c r="P13" s="1211">
        <f t="shared" si="14"/>
        <v>0.44668577019360006</v>
      </c>
      <c r="R13" s="559">
        <v>9</v>
      </c>
      <c r="S13" s="560">
        <f>Assumptions!$C$17</f>
        <v>1.3</v>
      </c>
      <c r="T13" s="561">
        <v>1.4999999999999999E-2</v>
      </c>
      <c r="U13" s="562">
        <v>0</v>
      </c>
      <c r="W13" s="563">
        <f t="shared" ref="W13:W21" si="15">W12+1</f>
        <v>9</v>
      </c>
      <c r="X13" s="564">
        <v>2</v>
      </c>
      <c r="AA13" s="565" t="s">
        <v>169</v>
      </c>
      <c r="AB13" s="566">
        <v>14</v>
      </c>
      <c r="AC13" s="566">
        <v>30</v>
      </c>
      <c r="AE13" s="3"/>
      <c r="AF13" s="3"/>
      <c r="AG13" s="32"/>
    </row>
    <row r="14" spans="2:35" x14ac:dyDescent="0.25">
      <c r="B14" s="1203" t="s">
        <v>470</v>
      </c>
      <c r="C14" s="1213">
        <v>9</v>
      </c>
      <c r="D14" s="1205">
        <f t="shared" si="2"/>
        <v>0.6477514877231999</v>
      </c>
      <c r="E14" s="1205">
        <f t="shared" si="3"/>
        <v>0.70373001135360003</v>
      </c>
      <c r="F14" s="1205">
        <f t="shared" si="4"/>
        <v>0.75970853498399982</v>
      </c>
      <c r="G14" s="1205">
        <f t="shared" si="5"/>
        <v>0.80769012666719997</v>
      </c>
      <c r="H14" s="1205">
        <f t="shared" si="6"/>
        <v>0.84767478640319982</v>
      </c>
      <c r="I14" s="1205">
        <f t="shared" si="7"/>
        <v>0.74771313706319997</v>
      </c>
      <c r="J14" s="1205">
        <f t="shared" si="8"/>
        <v>0.75790922529587978</v>
      </c>
      <c r="K14" s="1205">
        <f t="shared" si="9"/>
        <v>0.74771313706319997</v>
      </c>
      <c r="L14" s="1205">
        <f t="shared" si="10"/>
        <v>0.71372617628759982</v>
      </c>
      <c r="M14" s="1205">
        <f t="shared" si="11"/>
        <v>0.6491509508139599</v>
      </c>
      <c r="N14" s="1205">
        <f t="shared" si="12"/>
        <v>0.5471900684871599</v>
      </c>
      <c r="O14" s="1205">
        <f t="shared" si="13"/>
        <v>0.5198305650628019</v>
      </c>
      <c r="P14" s="1211">
        <f t="shared" si="14"/>
        <v>0.43775205478972806</v>
      </c>
      <c r="R14" s="559">
        <v>10</v>
      </c>
      <c r="S14" s="560">
        <f>Assumptions!$C$17</f>
        <v>1.3</v>
      </c>
      <c r="T14" s="561">
        <v>1.4999999999999999E-2</v>
      </c>
      <c r="U14" s="562">
        <v>0</v>
      </c>
      <c r="W14" s="563">
        <f t="shared" si="15"/>
        <v>10</v>
      </c>
      <c r="X14" s="564">
        <v>2</v>
      </c>
      <c r="AA14" s="565" t="s">
        <v>170</v>
      </c>
      <c r="AB14" s="566">
        <v>16</v>
      </c>
      <c r="AC14" s="566">
        <v>31</v>
      </c>
      <c r="AE14" s="3"/>
      <c r="AF14" s="3"/>
      <c r="AG14" s="32"/>
    </row>
    <row r="15" spans="2:35" x14ac:dyDescent="0.25">
      <c r="B15" s="1203" t="s">
        <v>471</v>
      </c>
      <c r="C15" s="1204">
        <v>10</v>
      </c>
      <c r="D15" s="1205">
        <f t="shared" si="2"/>
        <v>0.63479645796873585</v>
      </c>
      <c r="E15" s="1205">
        <f t="shared" si="3"/>
        <v>0.68965541112652806</v>
      </c>
      <c r="F15" s="1205">
        <f t="shared" si="4"/>
        <v>0.74451436428431983</v>
      </c>
      <c r="G15" s="1205">
        <f t="shared" si="5"/>
        <v>0.791536324133856</v>
      </c>
      <c r="H15" s="1205">
        <f t="shared" si="6"/>
        <v>0.83072129067513578</v>
      </c>
      <c r="I15" s="1205">
        <f t="shared" si="7"/>
        <v>0.73275887432193598</v>
      </c>
      <c r="J15" s="1205">
        <f t="shared" si="8"/>
        <v>0.74275104078996212</v>
      </c>
      <c r="K15" s="1205">
        <f t="shared" si="9"/>
        <v>0.73275887432193598</v>
      </c>
      <c r="L15" s="1205">
        <f t="shared" si="10"/>
        <v>0.69945165276184784</v>
      </c>
      <c r="M15" s="1205">
        <f t="shared" si="11"/>
        <v>0.63616793179768072</v>
      </c>
      <c r="N15" s="1205">
        <f t="shared" si="12"/>
        <v>0.53624626711741674</v>
      </c>
      <c r="O15" s="1205">
        <f t="shared" si="13"/>
        <v>0.50943395376154588</v>
      </c>
      <c r="P15" s="1211">
        <f t="shared" si="14"/>
        <v>0.4289970136939335</v>
      </c>
      <c r="R15" s="559">
        <v>11</v>
      </c>
      <c r="S15" s="560">
        <f>Assumptions!$C$17</f>
        <v>1.3</v>
      </c>
      <c r="T15" s="561">
        <v>0.01</v>
      </c>
      <c r="U15" s="562">
        <v>0</v>
      </c>
      <c r="W15" s="563">
        <f t="shared" si="15"/>
        <v>11</v>
      </c>
      <c r="X15" s="564">
        <v>2</v>
      </c>
      <c r="AA15" s="565" t="s">
        <v>171</v>
      </c>
      <c r="AB15" s="566">
        <v>17</v>
      </c>
      <c r="AC15" s="566">
        <v>30</v>
      </c>
      <c r="AE15" s="3"/>
      <c r="AF15" s="3"/>
      <c r="AG15" s="32"/>
    </row>
    <row r="16" spans="2:35" x14ac:dyDescent="0.25">
      <c r="B16" s="1203" t="s">
        <v>472</v>
      </c>
      <c r="C16" s="1213">
        <v>11</v>
      </c>
      <c r="D16" s="1205">
        <f t="shared" si="2"/>
        <v>0.62210052880936118</v>
      </c>
      <c r="E16" s="1205">
        <f t="shared" si="3"/>
        <v>0.67586230290399751</v>
      </c>
      <c r="F16" s="1205">
        <f t="shared" si="4"/>
        <v>0.72962407699863341</v>
      </c>
      <c r="G16" s="1205">
        <f t="shared" si="5"/>
        <v>0.77570559765117886</v>
      </c>
      <c r="H16" s="1205">
        <f t="shared" si="6"/>
        <v>0.81410686486163308</v>
      </c>
      <c r="I16" s="1205">
        <f t="shared" si="7"/>
        <v>0.71810369683549724</v>
      </c>
      <c r="J16" s="1205">
        <f t="shared" si="8"/>
        <v>0.72789601997416287</v>
      </c>
      <c r="K16" s="1205">
        <f t="shared" si="9"/>
        <v>0.71810369683549724</v>
      </c>
      <c r="L16" s="1205">
        <f t="shared" si="10"/>
        <v>0.68546261970661082</v>
      </c>
      <c r="M16" s="1205">
        <f t="shared" si="11"/>
        <v>0.62344457316172708</v>
      </c>
      <c r="N16" s="1205">
        <f t="shared" si="12"/>
        <v>0.52552134177506837</v>
      </c>
      <c r="O16" s="1205">
        <f t="shared" si="13"/>
        <v>0.49924527468631497</v>
      </c>
      <c r="P16" s="1211">
        <f t="shared" si="14"/>
        <v>0.42041707342005485</v>
      </c>
      <c r="R16" s="559">
        <v>12</v>
      </c>
      <c r="S16" s="560">
        <f>Assumptions!$C$17</f>
        <v>1.3</v>
      </c>
      <c r="T16" s="561">
        <v>0.01</v>
      </c>
      <c r="U16" s="562">
        <v>0</v>
      </c>
      <c r="W16" s="563">
        <f t="shared" si="15"/>
        <v>12</v>
      </c>
      <c r="X16" s="564">
        <v>2</v>
      </c>
      <c r="AA16" s="565" t="s">
        <v>172</v>
      </c>
      <c r="AB16" s="566">
        <v>18</v>
      </c>
      <c r="AC16" s="566">
        <v>31</v>
      </c>
      <c r="AE16" s="3"/>
      <c r="AF16" s="3"/>
      <c r="AG16" s="32"/>
    </row>
    <row r="17" spans="2:33" ht="15.75" thickBot="1" x14ac:dyDescent="0.3">
      <c r="B17" s="1215" t="s">
        <v>473</v>
      </c>
      <c r="C17" s="1216">
        <v>12</v>
      </c>
      <c r="D17" s="1217">
        <f t="shared" si="2"/>
        <v>0.60965851823317396</v>
      </c>
      <c r="E17" s="1217">
        <f t="shared" si="3"/>
        <v>0.6623450568459176</v>
      </c>
      <c r="F17" s="1217">
        <f t="shared" si="4"/>
        <v>0.71503159545866068</v>
      </c>
      <c r="G17" s="1217">
        <f t="shared" si="5"/>
        <v>0.76019148569815531</v>
      </c>
      <c r="H17" s="1217">
        <f t="shared" si="6"/>
        <v>0.79782472756440037</v>
      </c>
      <c r="I17" s="1217">
        <f t="shared" si="7"/>
        <v>0.70374162289878728</v>
      </c>
      <c r="J17" s="1217">
        <f t="shared" si="8"/>
        <v>0.71333809957467964</v>
      </c>
      <c r="K17" s="1217">
        <f t="shared" si="9"/>
        <v>0.70374162289878728</v>
      </c>
      <c r="L17" s="1217">
        <f t="shared" si="10"/>
        <v>0.67175336731247859</v>
      </c>
      <c r="M17" s="1217">
        <f t="shared" si="11"/>
        <v>0.61097568169849248</v>
      </c>
      <c r="N17" s="1217">
        <f t="shared" si="12"/>
        <v>0.51501091493956697</v>
      </c>
      <c r="O17" s="1217">
        <f t="shared" si="13"/>
        <v>0.48926036919258864</v>
      </c>
      <c r="P17" s="1218">
        <f t="shared" si="14"/>
        <v>0.41200873195165377</v>
      </c>
      <c r="R17" s="559"/>
      <c r="S17" s="560"/>
      <c r="T17" s="561"/>
      <c r="U17" s="562"/>
      <c r="W17" s="563"/>
      <c r="X17" s="564"/>
      <c r="AA17" s="2"/>
      <c r="AB17" s="2"/>
      <c r="AC17" s="2"/>
      <c r="AE17" s="3"/>
      <c r="AF17" s="3"/>
      <c r="AG17" s="32"/>
    </row>
    <row r="18" spans="2:33" ht="16.5" thickBot="1" x14ac:dyDescent="0.3">
      <c r="B18" s="853" t="s">
        <v>614</v>
      </c>
      <c r="C18" s="854"/>
      <c r="D18" s="860"/>
      <c r="E18" s="1219"/>
      <c r="F18" s="1219"/>
      <c r="G18" s="1219"/>
      <c r="H18" s="1219"/>
      <c r="I18" s="1219"/>
      <c r="J18" s="1219"/>
      <c r="K18" s="1219"/>
      <c r="L18" s="1219"/>
      <c r="M18" s="1219"/>
      <c r="N18" s="1219"/>
      <c r="O18" s="1219"/>
      <c r="P18" s="1220"/>
      <c r="R18" s="848"/>
      <c r="S18" s="849"/>
      <c r="T18" s="850"/>
      <c r="U18" s="443"/>
      <c r="W18" s="851"/>
      <c r="X18" s="852"/>
      <c r="AA18" s="2"/>
      <c r="AB18" s="2"/>
      <c r="AC18" s="2"/>
      <c r="AD18" s="2"/>
      <c r="AE18" s="3"/>
      <c r="AF18" s="3"/>
      <c r="AG18" s="32"/>
    </row>
    <row r="19" spans="2:33" x14ac:dyDescent="0.25">
      <c r="B19" s="861" t="s">
        <v>468</v>
      </c>
      <c r="C19" s="862">
        <v>7</v>
      </c>
      <c r="D19" s="863">
        <v>1.61</v>
      </c>
      <c r="E19" s="863">
        <v>1.75</v>
      </c>
      <c r="F19" s="863">
        <v>1.88</v>
      </c>
      <c r="G19" s="863">
        <v>1.99</v>
      </c>
      <c r="H19" s="864">
        <v>2.08</v>
      </c>
      <c r="I19" s="872">
        <v>1.8274999999999999</v>
      </c>
      <c r="J19" s="866">
        <v>1.8444999999999998</v>
      </c>
      <c r="K19" s="866">
        <v>1.819</v>
      </c>
      <c r="L19" s="866">
        <v>1.734</v>
      </c>
      <c r="M19" s="866">
        <v>1.5725</v>
      </c>
      <c r="N19" s="866">
        <v>1.3260000000000001</v>
      </c>
      <c r="O19" s="866">
        <v>1.2597</v>
      </c>
      <c r="P19" s="867">
        <v>1.0608000000000002</v>
      </c>
      <c r="R19" s="559">
        <v>13</v>
      </c>
      <c r="S19" s="560">
        <f>Assumptions!C18</f>
        <v>1.3</v>
      </c>
      <c r="T19" s="561">
        <v>0.01</v>
      </c>
      <c r="U19" s="562">
        <v>0</v>
      </c>
      <c r="W19" s="563">
        <f>W16+1</f>
        <v>13</v>
      </c>
      <c r="X19" s="564">
        <v>2</v>
      </c>
      <c r="AA19" s="2"/>
      <c r="AB19" s="2"/>
      <c r="AC19" s="2"/>
      <c r="AD19" s="2"/>
      <c r="AE19" s="3"/>
      <c r="AF19" s="3"/>
      <c r="AG19" s="32"/>
    </row>
    <row r="20" spans="2:33" ht="15.75" x14ac:dyDescent="0.25">
      <c r="B20" s="855" t="s">
        <v>469</v>
      </c>
      <c r="C20" s="559">
        <v>8</v>
      </c>
      <c r="D20" s="569">
        <v>1.6</v>
      </c>
      <c r="E20" s="569">
        <v>1.73</v>
      </c>
      <c r="F20" s="569">
        <v>1.86</v>
      </c>
      <c r="G20" s="569">
        <v>1.97</v>
      </c>
      <c r="H20" s="572">
        <v>2.06</v>
      </c>
      <c r="I20" s="873">
        <v>1.802</v>
      </c>
      <c r="J20" s="868">
        <v>1.819</v>
      </c>
      <c r="K20" s="868">
        <v>1.7934999999999999</v>
      </c>
      <c r="L20" s="868">
        <v>1.7</v>
      </c>
      <c r="M20" s="868">
        <v>1.5469999999999999</v>
      </c>
      <c r="N20" s="868">
        <v>1.3089999999999999</v>
      </c>
      <c r="O20" s="868">
        <v>1.2435499999999999</v>
      </c>
      <c r="P20" s="869">
        <v>1.0472000000000001</v>
      </c>
      <c r="R20" s="559">
        <v>14</v>
      </c>
      <c r="S20" s="560">
        <f>S19</f>
        <v>1.3</v>
      </c>
      <c r="T20" s="561">
        <v>0.01</v>
      </c>
      <c r="U20" s="562">
        <v>0</v>
      </c>
      <c r="W20" s="563">
        <f>W19+1</f>
        <v>14</v>
      </c>
      <c r="X20" s="564">
        <v>2</v>
      </c>
      <c r="AA20" s="5" t="s">
        <v>409</v>
      </c>
      <c r="AB20" s="5"/>
      <c r="AC20" s="2"/>
      <c r="AD20" s="5" t="s">
        <v>615</v>
      </c>
      <c r="AE20" s="5" t="s">
        <v>622</v>
      </c>
      <c r="AF20" s="5" t="s">
        <v>616</v>
      </c>
    </row>
    <row r="21" spans="2:33" ht="15.75" customHeight="1" x14ac:dyDescent="0.25">
      <c r="B21" s="855" t="s">
        <v>470</v>
      </c>
      <c r="C21" s="568">
        <v>9</v>
      </c>
      <c r="D21" s="570">
        <v>1.58</v>
      </c>
      <c r="E21" s="569">
        <v>1.71</v>
      </c>
      <c r="F21" s="569">
        <v>1.84</v>
      </c>
      <c r="G21" s="569">
        <v>1.94</v>
      </c>
      <c r="H21" s="572">
        <v>2.0299999999999998</v>
      </c>
      <c r="I21" s="873">
        <v>1.7764999999999997</v>
      </c>
      <c r="J21" s="868">
        <v>1.7934999999999999</v>
      </c>
      <c r="K21" s="868">
        <v>1.7594999999999998</v>
      </c>
      <c r="L21" s="868">
        <v>1.6744999999999999</v>
      </c>
      <c r="M21" s="868">
        <v>1.5129999999999999</v>
      </c>
      <c r="N21" s="868">
        <v>1.2834999999999999</v>
      </c>
      <c r="O21" s="868">
        <v>1.2193249999999998</v>
      </c>
      <c r="P21" s="869">
        <v>1.0268000000000002</v>
      </c>
      <c r="R21" s="559">
        <v>15</v>
      </c>
      <c r="S21" s="560">
        <f t="shared" ref="S21:S59" si="16">S20</f>
        <v>1.3</v>
      </c>
      <c r="T21" s="561">
        <v>0.01</v>
      </c>
      <c r="U21" s="562">
        <v>0</v>
      </c>
      <c r="W21" s="563">
        <f t="shared" si="15"/>
        <v>15</v>
      </c>
      <c r="X21" s="564">
        <v>2</v>
      </c>
      <c r="AA21" s="556" t="s">
        <v>409</v>
      </c>
      <c r="AB21" s="558"/>
      <c r="AC21" s="2"/>
      <c r="AD21" s="565" t="s">
        <v>624</v>
      </c>
      <c r="AE21" s="566">
        <v>0.05</v>
      </c>
      <c r="AF21" s="566">
        <v>0</v>
      </c>
    </row>
    <row r="22" spans="2:33" x14ac:dyDescent="0.25">
      <c r="B22" s="855" t="s">
        <v>471</v>
      </c>
      <c r="C22" s="559">
        <v>10</v>
      </c>
      <c r="D22" s="569">
        <v>1.56</v>
      </c>
      <c r="E22" s="569">
        <v>1.7</v>
      </c>
      <c r="F22" s="569">
        <v>1.82</v>
      </c>
      <c r="G22" s="569">
        <v>1.92</v>
      </c>
      <c r="H22" s="572">
        <v>2.0099999999999998</v>
      </c>
      <c r="I22" s="873">
        <v>1.7509999999999999</v>
      </c>
      <c r="J22" s="868">
        <v>1.768</v>
      </c>
      <c r="K22" s="868">
        <v>1.734</v>
      </c>
      <c r="L22" s="868">
        <v>1.649</v>
      </c>
      <c r="M22" s="868">
        <v>1.4875</v>
      </c>
      <c r="N22" s="868">
        <v>1.258</v>
      </c>
      <c r="O22" s="868">
        <v>1.1950999999999998</v>
      </c>
      <c r="P22" s="869">
        <v>1.0064</v>
      </c>
      <c r="R22" s="559">
        <v>16</v>
      </c>
      <c r="S22" s="560">
        <f t="shared" si="16"/>
        <v>1.3</v>
      </c>
      <c r="T22" s="561">
        <v>0.01</v>
      </c>
      <c r="U22" s="562">
        <v>0</v>
      </c>
      <c r="W22" s="563">
        <v>16</v>
      </c>
      <c r="X22" s="564">
        <v>3</v>
      </c>
      <c r="AA22" s="565">
        <v>1</v>
      </c>
      <c r="AB22" s="566" t="s">
        <v>173</v>
      </c>
      <c r="AC22" s="2"/>
      <c r="AD22" s="565" t="s">
        <v>384</v>
      </c>
      <c r="AE22" s="566">
        <v>0</v>
      </c>
      <c r="AF22" s="566">
        <v>0</v>
      </c>
    </row>
    <row r="23" spans="2:33" x14ac:dyDescent="0.25">
      <c r="B23" s="855" t="s">
        <v>472</v>
      </c>
      <c r="C23" s="568">
        <v>11</v>
      </c>
      <c r="D23" s="569">
        <v>1.55</v>
      </c>
      <c r="E23" s="569">
        <v>1.68</v>
      </c>
      <c r="F23" s="569">
        <v>1.79</v>
      </c>
      <c r="G23" s="569">
        <v>1.9</v>
      </c>
      <c r="H23" s="572">
        <v>1.98</v>
      </c>
      <c r="I23" s="873">
        <v>1.7254999999999998</v>
      </c>
      <c r="J23" s="868">
        <v>1.7424999999999997</v>
      </c>
      <c r="K23" s="868">
        <v>1.7084999999999997</v>
      </c>
      <c r="L23" s="868">
        <v>1.6234999999999999</v>
      </c>
      <c r="M23" s="868">
        <v>1.4704999999999999</v>
      </c>
      <c r="N23" s="868">
        <v>1.2409999999999999</v>
      </c>
      <c r="O23" s="868">
        <v>1.1789499999999999</v>
      </c>
      <c r="P23" s="869">
        <v>0.9927999999999999</v>
      </c>
      <c r="R23" s="559">
        <v>17</v>
      </c>
      <c r="S23" s="560">
        <f t="shared" si="16"/>
        <v>1.3</v>
      </c>
      <c r="T23" s="561">
        <v>0.01</v>
      </c>
      <c r="U23" s="562">
        <v>0</v>
      </c>
      <c r="W23" s="563">
        <f t="shared" ref="W23:W89" si="17">W22+1</f>
        <v>17</v>
      </c>
      <c r="X23" s="564">
        <v>3</v>
      </c>
      <c r="AA23" s="565">
        <v>2</v>
      </c>
      <c r="AB23" s="566" t="s">
        <v>174</v>
      </c>
      <c r="AC23" s="2"/>
      <c r="AD23" s="565" t="s">
        <v>385</v>
      </c>
      <c r="AE23" s="566">
        <v>0.1</v>
      </c>
      <c r="AF23" s="566">
        <v>0.25</v>
      </c>
    </row>
    <row r="24" spans="2:33" x14ac:dyDescent="0.25">
      <c r="B24" s="855" t="s">
        <v>473</v>
      </c>
      <c r="C24" s="559">
        <v>12</v>
      </c>
      <c r="D24" s="569">
        <v>1.53</v>
      </c>
      <c r="E24" s="569">
        <v>1.66</v>
      </c>
      <c r="F24" s="569">
        <v>1.77</v>
      </c>
      <c r="G24" s="569">
        <v>1.87</v>
      </c>
      <c r="H24" s="572">
        <v>1.95</v>
      </c>
      <c r="I24" s="873">
        <v>1.7</v>
      </c>
      <c r="J24" s="868">
        <v>1.7169999999999999</v>
      </c>
      <c r="K24" s="868">
        <v>1.6830000000000001</v>
      </c>
      <c r="L24" s="868">
        <v>1.5979999999999999</v>
      </c>
      <c r="M24" s="868">
        <v>1.4449999999999998</v>
      </c>
      <c r="N24" s="868">
        <v>1.2155</v>
      </c>
      <c r="O24" s="868">
        <v>1.1547249999999998</v>
      </c>
      <c r="P24" s="869">
        <v>0.97239999999999993</v>
      </c>
      <c r="R24" s="559">
        <v>18</v>
      </c>
      <c r="S24" s="560">
        <f t="shared" si="16"/>
        <v>1.3</v>
      </c>
      <c r="T24" s="561">
        <v>0.01</v>
      </c>
      <c r="U24" s="562">
        <v>0</v>
      </c>
      <c r="W24" s="563">
        <f t="shared" si="17"/>
        <v>18</v>
      </c>
      <c r="X24" s="564">
        <v>3</v>
      </c>
      <c r="AA24" s="565">
        <v>3</v>
      </c>
      <c r="AB24" s="566" t="s">
        <v>175</v>
      </c>
      <c r="AC24" s="2"/>
      <c r="AD24" s="565" t="s">
        <v>386</v>
      </c>
      <c r="AE24" s="566">
        <v>0.1</v>
      </c>
      <c r="AF24" s="566">
        <v>0.25</v>
      </c>
    </row>
    <row r="25" spans="2:33" x14ac:dyDescent="0.25">
      <c r="B25" s="855" t="s">
        <v>474</v>
      </c>
      <c r="C25" s="568">
        <v>13</v>
      </c>
      <c r="D25" s="569">
        <v>1.51</v>
      </c>
      <c r="E25" s="569">
        <v>1.64</v>
      </c>
      <c r="F25" s="569">
        <v>1.75</v>
      </c>
      <c r="G25" s="569">
        <v>1.85</v>
      </c>
      <c r="H25" s="572">
        <v>1.93</v>
      </c>
      <c r="I25" s="873">
        <v>1.6830000000000001</v>
      </c>
      <c r="J25" s="868">
        <v>1.6915</v>
      </c>
      <c r="K25" s="868">
        <v>1.6575</v>
      </c>
      <c r="L25" s="868">
        <v>1.5725</v>
      </c>
      <c r="M25" s="868">
        <v>1.4195</v>
      </c>
      <c r="N25" s="868">
        <v>1.1984999999999999</v>
      </c>
      <c r="O25" s="868">
        <v>1.1385749999999999</v>
      </c>
      <c r="P25" s="869">
        <v>0.95879999999999987</v>
      </c>
      <c r="R25" s="559">
        <v>19</v>
      </c>
      <c r="S25" s="560">
        <f t="shared" si="16"/>
        <v>1.3</v>
      </c>
      <c r="T25" s="561">
        <v>0.01</v>
      </c>
      <c r="U25" s="562">
        <v>0</v>
      </c>
      <c r="W25" s="563">
        <f t="shared" si="17"/>
        <v>19</v>
      </c>
      <c r="X25" s="564">
        <v>3</v>
      </c>
      <c r="AA25" s="565">
        <v>4</v>
      </c>
      <c r="AB25" s="566" t="s">
        <v>176</v>
      </c>
      <c r="AC25" s="2"/>
      <c r="AD25" s="2"/>
      <c r="AE25" s="2"/>
      <c r="AF25" s="2"/>
    </row>
    <row r="26" spans="2:33" x14ac:dyDescent="0.25">
      <c r="B26" s="855" t="s">
        <v>475</v>
      </c>
      <c r="C26" s="559">
        <v>14</v>
      </c>
      <c r="D26" s="569">
        <v>1.5</v>
      </c>
      <c r="E26" s="569">
        <v>1.62</v>
      </c>
      <c r="F26" s="569">
        <v>1.73</v>
      </c>
      <c r="G26" s="569">
        <v>1.83</v>
      </c>
      <c r="H26" s="572">
        <v>1.9</v>
      </c>
      <c r="I26" s="873">
        <v>1.6575</v>
      </c>
      <c r="J26" s="868">
        <v>1.6659999999999999</v>
      </c>
      <c r="K26" s="868">
        <v>1.6319999999999999</v>
      </c>
      <c r="L26" s="868">
        <v>1.5469999999999999</v>
      </c>
      <c r="M26" s="868">
        <v>1.4024999999999999</v>
      </c>
      <c r="N26" s="868">
        <v>1.1815</v>
      </c>
      <c r="O26" s="868">
        <v>1.1224249999999998</v>
      </c>
      <c r="P26" s="869">
        <v>0.94519999999999982</v>
      </c>
      <c r="R26" s="559">
        <v>20</v>
      </c>
      <c r="S26" s="560">
        <f t="shared" si="16"/>
        <v>1.3</v>
      </c>
      <c r="T26" s="561">
        <v>0.01</v>
      </c>
      <c r="U26" s="562">
        <v>0</v>
      </c>
      <c r="W26" s="563">
        <f t="shared" si="17"/>
        <v>20</v>
      </c>
      <c r="X26" s="564">
        <v>3</v>
      </c>
      <c r="AA26" s="565">
        <v>5</v>
      </c>
      <c r="AB26" s="566" t="s">
        <v>177</v>
      </c>
      <c r="AC26" s="2"/>
      <c r="AD26" s="2"/>
      <c r="AE26" s="2"/>
      <c r="AF26" s="2"/>
    </row>
    <row r="27" spans="2:33" x14ac:dyDescent="0.25">
      <c r="B27" s="855" t="s">
        <v>476</v>
      </c>
      <c r="C27" s="568">
        <v>15</v>
      </c>
      <c r="D27" s="569">
        <v>1.48</v>
      </c>
      <c r="E27" s="569">
        <v>1.6</v>
      </c>
      <c r="F27" s="569">
        <v>1.71</v>
      </c>
      <c r="G27" s="569">
        <v>1.8</v>
      </c>
      <c r="H27" s="572">
        <v>1.88</v>
      </c>
      <c r="I27" s="873">
        <v>1.6404999999999998</v>
      </c>
      <c r="J27" s="868">
        <v>1.649</v>
      </c>
      <c r="K27" s="868">
        <v>1.615</v>
      </c>
      <c r="L27" s="868">
        <v>1.5215000000000001</v>
      </c>
      <c r="M27" s="868">
        <v>1.377</v>
      </c>
      <c r="N27" s="868">
        <v>1.1645000000000001</v>
      </c>
      <c r="O27" s="868">
        <v>1.1062750000000001</v>
      </c>
      <c r="P27" s="869">
        <v>0.93160000000000009</v>
      </c>
      <c r="R27" s="559">
        <v>21</v>
      </c>
      <c r="S27" s="560">
        <f t="shared" si="16"/>
        <v>1.3</v>
      </c>
      <c r="T27" s="561">
        <v>0.01</v>
      </c>
      <c r="U27" s="562">
        <v>0</v>
      </c>
      <c r="W27" s="573">
        <f t="shared" si="17"/>
        <v>21</v>
      </c>
      <c r="X27" s="564">
        <v>3</v>
      </c>
      <c r="AA27" s="565">
        <v>6</v>
      </c>
      <c r="AB27" s="566" t="s">
        <v>178</v>
      </c>
      <c r="AC27" s="2"/>
      <c r="AD27" s="2"/>
      <c r="AE27" s="2"/>
      <c r="AF27" s="2"/>
    </row>
    <row r="28" spans="2:33" x14ac:dyDescent="0.25">
      <c r="B28" s="855" t="s">
        <v>477</v>
      </c>
      <c r="C28" s="559">
        <v>16</v>
      </c>
      <c r="D28" s="569">
        <v>1.4</v>
      </c>
      <c r="E28" s="569">
        <v>1.51</v>
      </c>
      <c r="F28" s="569">
        <v>1.62</v>
      </c>
      <c r="G28" s="569">
        <v>1.7</v>
      </c>
      <c r="H28" s="572">
        <v>1.77</v>
      </c>
      <c r="I28" s="873">
        <v>1.5385</v>
      </c>
      <c r="J28" s="868">
        <v>1.5469999999999999</v>
      </c>
      <c r="K28" s="868">
        <v>1.5129999999999999</v>
      </c>
      <c r="L28" s="868">
        <v>1.4279999999999999</v>
      </c>
      <c r="M28" s="868">
        <v>1.2834999999999999</v>
      </c>
      <c r="N28" s="868">
        <v>1.0880000000000001</v>
      </c>
      <c r="O28" s="868">
        <v>1.0335999999999999</v>
      </c>
      <c r="P28" s="869">
        <v>0.87039999999999995</v>
      </c>
      <c r="Q28" s="32"/>
      <c r="R28" s="559">
        <v>22</v>
      </c>
      <c r="S28" s="560">
        <f t="shared" si="16"/>
        <v>1.3</v>
      </c>
      <c r="T28" s="561">
        <v>0.01</v>
      </c>
      <c r="U28" s="562">
        <v>0</v>
      </c>
      <c r="W28" s="573">
        <f t="shared" si="17"/>
        <v>22</v>
      </c>
      <c r="X28" s="564">
        <v>3</v>
      </c>
      <c r="AA28" s="565">
        <v>7</v>
      </c>
      <c r="AB28" s="566" t="s">
        <v>167</v>
      </c>
      <c r="AC28" s="2"/>
      <c r="AD28" s="2"/>
      <c r="AE28" s="2"/>
      <c r="AF28" s="2"/>
    </row>
    <row r="29" spans="2:33" x14ac:dyDescent="0.25">
      <c r="B29" s="855" t="s">
        <v>478</v>
      </c>
      <c r="C29" s="568">
        <v>17</v>
      </c>
      <c r="D29" s="569">
        <v>1.33</v>
      </c>
      <c r="E29" s="569">
        <v>1.44</v>
      </c>
      <c r="F29" s="569">
        <v>1.54</v>
      </c>
      <c r="G29" s="569">
        <v>1.62</v>
      </c>
      <c r="H29" s="572">
        <v>1.68</v>
      </c>
      <c r="I29" s="874">
        <v>1.4535</v>
      </c>
      <c r="J29" s="870">
        <v>1.462</v>
      </c>
      <c r="K29" s="870">
        <v>1.4279999999999999</v>
      </c>
      <c r="L29" s="870">
        <v>1.343</v>
      </c>
      <c r="M29" s="870">
        <v>1.2069999999999999</v>
      </c>
      <c r="N29" s="870">
        <v>1.02</v>
      </c>
      <c r="O29" s="870">
        <v>0.96899999999999986</v>
      </c>
      <c r="P29" s="871">
        <v>0.81599999999999995</v>
      </c>
      <c r="Q29" s="32"/>
      <c r="R29" s="559">
        <v>23</v>
      </c>
      <c r="S29" s="560">
        <f t="shared" si="16"/>
        <v>1.3</v>
      </c>
      <c r="T29" s="561">
        <v>0.01</v>
      </c>
      <c r="U29" s="562">
        <v>0</v>
      </c>
      <c r="W29" s="573">
        <f t="shared" si="17"/>
        <v>23</v>
      </c>
      <c r="X29" s="564">
        <v>3</v>
      </c>
      <c r="AA29" s="565">
        <v>8</v>
      </c>
      <c r="AB29" s="566" t="s">
        <v>168</v>
      </c>
      <c r="AC29" s="2"/>
      <c r="AD29" s="2"/>
      <c r="AE29" s="2"/>
      <c r="AF29" s="2"/>
    </row>
    <row r="30" spans="2:33" x14ac:dyDescent="0.25">
      <c r="B30" s="855" t="s">
        <v>479</v>
      </c>
      <c r="C30" s="559">
        <v>18</v>
      </c>
      <c r="D30" s="569">
        <v>1.27</v>
      </c>
      <c r="E30" s="569">
        <v>1.37</v>
      </c>
      <c r="F30" s="569">
        <v>1.47</v>
      </c>
      <c r="G30" s="569">
        <v>1.54</v>
      </c>
      <c r="H30" s="572">
        <v>1.6</v>
      </c>
      <c r="I30" s="873">
        <v>1.3855</v>
      </c>
      <c r="J30" s="868">
        <v>1.3855</v>
      </c>
      <c r="K30" s="868">
        <v>1.3514999999999999</v>
      </c>
      <c r="L30" s="868">
        <v>1.2749999999999999</v>
      </c>
      <c r="M30" s="868">
        <v>1.1475</v>
      </c>
      <c r="N30" s="868">
        <v>0.96049999999999991</v>
      </c>
      <c r="O30" s="868">
        <v>0.91247499999999993</v>
      </c>
      <c r="P30" s="871">
        <v>0.76839999999999986</v>
      </c>
      <c r="Q30" s="32"/>
      <c r="R30" s="559">
        <v>24</v>
      </c>
      <c r="S30" s="560">
        <f t="shared" si="16"/>
        <v>1.3</v>
      </c>
      <c r="T30" s="561">
        <v>0.01</v>
      </c>
      <c r="U30" s="562">
        <v>0</v>
      </c>
      <c r="W30" s="573">
        <f t="shared" si="17"/>
        <v>24</v>
      </c>
      <c r="X30" s="564">
        <v>3</v>
      </c>
      <c r="AA30" s="565">
        <v>9</v>
      </c>
      <c r="AB30" s="566" t="s">
        <v>169</v>
      </c>
      <c r="AC30" s="2"/>
      <c r="AD30" s="2"/>
      <c r="AE30" s="2"/>
      <c r="AF30" s="2"/>
    </row>
    <row r="31" spans="2:33" x14ac:dyDescent="0.25">
      <c r="B31" s="855" t="s">
        <v>480</v>
      </c>
      <c r="C31" s="568">
        <v>19</v>
      </c>
      <c r="D31" s="569">
        <v>1.22</v>
      </c>
      <c r="E31" s="569">
        <v>1.32</v>
      </c>
      <c r="F31" s="569">
        <v>1.4</v>
      </c>
      <c r="G31" s="569">
        <v>1.48</v>
      </c>
      <c r="H31" s="572">
        <v>1.53</v>
      </c>
      <c r="I31" s="873">
        <v>1.3260000000000001</v>
      </c>
      <c r="J31" s="868">
        <v>1.3260000000000001</v>
      </c>
      <c r="K31" s="868">
        <v>1.292</v>
      </c>
      <c r="L31" s="868">
        <v>1.2155</v>
      </c>
      <c r="M31" s="868">
        <v>1.0880000000000001</v>
      </c>
      <c r="N31" s="868">
        <v>0.91800000000000004</v>
      </c>
      <c r="O31" s="868">
        <v>0.87209999999999999</v>
      </c>
      <c r="P31" s="871">
        <v>0.73440000000000005</v>
      </c>
      <c r="Q31" s="32"/>
      <c r="R31" s="559">
        <v>25</v>
      </c>
      <c r="S31" s="560">
        <f t="shared" si="16"/>
        <v>1.3</v>
      </c>
      <c r="T31" s="561">
        <v>0.01</v>
      </c>
      <c r="U31" s="562">
        <v>0</v>
      </c>
      <c r="W31" s="573">
        <f t="shared" si="17"/>
        <v>25</v>
      </c>
      <c r="X31" s="564">
        <v>3</v>
      </c>
      <c r="AA31" s="565">
        <v>10</v>
      </c>
      <c r="AB31" s="566" t="s">
        <v>170</v>
      </c>
      <c r="AC31" s="2"/>
      <c r="AD31" s="2"/>
      <c r="AE31" s="2"/>
      <c r="AF31" s="2"/>
    </row>
    <row r="32" spans="2:33" x14ac:dyDescent="0.25">
      <c r="B32" s="855" t="s">
        <v>481</v>
      </c>
      <c r="C32" s="559">
        <v>20</v>
      </c>
      <c r="D32" s="569">
        <v>1.17</v>
      </c>
      <c r="E32" s="569">
        <v>1.27</v>
      </c>
      <c r="F32" s="569">
        <v>1.35</v>
      </c>
      <c r="G32" s="569">
        <v>1.42</v>
      </c>
      <c r="H32" s="572">
        <v>1.47</v>
      </c>
      <c r="I32" s="873">
        <v>1.2749999999999999</v>
      </c>
      <c r="J32" s="868">
        <v>1.2665</v>
      </c>
      <c r="K32" s="868">
        <v>1.2324999999999999</v>
      </c>
      <c r="L32" s="868">
        <v>1.1645000000000001</v>
      </c>
      <c r="M32" s="868">
        <v>1.0454999999999999</v>
      </c>
      <c r="N32" s="868">
        <v>0.87549999999999994</v>
      </c>
      <c r="O32" s="868">
        <v>0.83172499999999994</v>
      </c>
      <c r="P32" s="871">
        <v>0.70040000000000002</v>
      </c>
      <c r="Q32" s="32"/>
      <c r="R32" s="559">
        <v>26</v>
      </c>
      <c r="S32" s="560">
        <f t="shared" si="16"/>
        <v>1.3</v>
      </c>
      <c r="T32" s="561">
        <v>0.01</v>
      </c>
      <c r="U32" s="562">
        <v>0</v>
      </c>
      <c r="W32" s="573">
        <f t="shared" si="17"/>
        <v>26</v>
      </c>
      <c r="X32" s="564">
        <v>3</v>
      </c>
      <c r="AA32" s="565">
        <v>11</v>
      </c>
      <c r="AB32" s="566" t="s">
        <v>171</v>
      </c>
      <c r="AC32" s="2"/>
      <c r="AD32" s="2"/>
      <c r="AE32" s="2"/>
      <c r="AF32" s="2"/>
    </row>
    <row r="33" spans="2:32" x14ac:dyDescent="0.25">
      <c r="B33" s="855" t="s">
        <v>482</v>
      </c>
      <c r="C33" s="568">
        <v>21</v>
      </c>
      <c r="D33" s="569">
        <v>1.1299999999999999</v>
      </c>
      <c r="E33" s="569">
        <v>1.22</v>
      </c>
      <c r="F33" s="569">
        <v>1.3</v>
      </c>
      <c r="G33" s="569">
        <v>1.37</v>
      </c>
      <c r="H33" s="572">
        <v>1.42</v>
      </c>
      <c r="I33" s="873">
        <v>1.224</v>
      </c>
      <c r="J33" s="868">
        <v>1.224</v>
      </c>
      <c r="K33" s="868">
        <v>1.19</v>
      </c>
      <c r="L33" s="868">
        <v>1.1134999999999999</v>
      </c>
      <c r="M33" s="868">
        <v>1.0029999999999999</v>
      </c>
      <c r="N33" s="868">
        <v>0.84150000000000003</v>
      </c>
      <c r="O33" s="868">
        <v>0.79942499999999994</v>
      </c>
      <c r="P33" s="871">
        <v>0.67320000000000002</v>
      </c>
      <c r="Q33" s="32"/>
      <c r="R33" s="559">
        <v>27</v>
      </c>
      <c r="S33" s="560">
        <f t="shared" si="16"/>
        <v>1.3</v>
      </c>
      <c r="T33" s="561">
        <v>0.01</v>
      </c>
      <c r="U33" s="562">
        <v>0</v>
      </c>
      <c r="W33" s="573">
        <f t="shared" si="17"/>
        <v>27</v>
      </c>
      <c r="X33" s="564">
        <v>3</v>
      </c>
      <c r="AA33" s="565">
        <v>12</v>
      </c>
      <c r="AB33" s="566" t="s">
        <v>172</v>
      </c>
      <c r="AC33" s="2"/>
      <c r="AD33" s="2"/>
      <c r="AE33" s="2"/>
      <c r="AF33" s="2"/>
    </row>
    <row r="34" spans="2:32" x14ac:dyDescent="0.25">
      <c r="B34" s="855" t="s">
        <v>483</v>
      </c>
      <c r="C34" s="559">
        <v>22</v>
      </c>
      <c r="D34" s="569">
        <v>1.0900000000000001</v>
      </c>
      <c r="E34" s="569">
        <v>1.18</v>
      </c>
      <c r="F34" s="569">
        <v>1.26</v>
      </c>
      <c r="G34" s="569">
        <v>1.32</v>
      </c>
      <c r="H34" s="572">
        <v>1.37</v>
      </c>
      <c r="I34" s="873">
        <v>1.1815</v>
      </c>
      <c r="J34" s="868">
        <v>1.1815</v>
      </c>
      <c r="K34" s="868">
        <v>1.1475</v>
      </c>
      <c r="L34" s="868">
        <v>1.071</v>
      </c>
      <c r="M34" s="868">
        <v>0.96049999999999991</v>
      </c>
      <c r="N34" s="868">
        <v>0.8075</v>
      </c>
      <c r="O34" s="868">
        <v>0.76712499999999995</v>
      </c>
      <c r="P34" s="871">
        <v>0.64600000000000002</v>
      </c>
      <c r="Q34" s="32"/>
      <c r="R34" s="559">
        <v>28</v>
      </c>
      <c r="S34" s="560">
        <f t="shared" si="16"/>
        <v>1.3</v>
      </c>
      <c r="T34" s="561">
        <v>0.01</v>
      </c>
      <c r="U34" s="562">
        <v>0</v>
      </c>
      <c r="W34" s="573">
        <f t="shared" si="17"/>
        <v>28</v>
      </c>
      <c r="X34" s="564">
        <v>3</v>
      </c>
      <c r="AA34" s="565">
        <v>13</v>
      </c>
      <c r="AB34" s="566" t="s">
        <v>173</v>
      </c>
      <c r="AC34" s="2"/>
      <c r="AD34" s="2"/>
      <c r="AE34" s="2"/>
      <c r="AF34" s="2"/>
    </row>
    <row r="35" spans="2:32" x14ac:dyDescent="0.25">
      <c r="B35" s="855" t="s">
        <v>484</v>
      </c>
      <c r="C35" s="568">
        <v>23</v>
      </c>
      <c r="D35" s="569">
        <v>1.05</v>
      </c>
      <c r="E35" s="569">
        <v>1.1399999999999999</v>
      </c>
      <c r="F35" s="569">
        <v>1.22</v>
      </c>
      <c r="G35" s="569">
        <v>1.28</v>
      </c>
      <c r="H35" s="572">
        <v>1.32</v>
      </c>
      <c r="I35" s="873">
        <v>1.1475</v>
      </c>
      <c r="J35" s="868">
        <v>1.139</v>
      </c>
      <c r="K35" s="868">
        <v>1.105</v>
      </c>
      <c r="L35" s="868">
        <v>1.0369999999999999</v>
      </c>
      <c r="M35" s="868">
        <v>0.92649999999999999</v>
      </c>
      <c r="N35" s="868">
        <v>0.77349999999999997</v>
      </c>
      <c r="O35" s="868">
        <v>0.73482499999999995</v>
      </c>
      <c r="P35" s="871">
        <v>0.61880000000000002</v>
      </c>
      <c r="Q35" s="32"/>
      <c r="R35" s="559">
        <v>29</v>
      </c>
      <c r="S35" s="560">
        <f t="shared" si="16"/>
        <v>1.3</v>
      </c>
      <c r="T35" s="561">
        <v>0.01</v>
      </c>
      <c r="U35" s="562">
        <v>0</v>
      </c>
      <c r="W35" s="573">
        <f t="shared" si="17"/>
        <v>29</v>
      </c>
      <c r="X35" s="564">
        <v>3</v>
      </c>
      <c r="AA35" s="565">
        <v>14</v>
      </c>
      <c r="AB35" s="566" t="s">
        <v>174</v>
      </c>
      <c r="AC35" s="2"/>
      <c r="AD35" s="2"/>
      <c r="AE35" s="2"/>
      <c r="AF35" s="2"/>
    </row>
    <row r="36" spans="2:32" x14ac:dyDescent="0.25">
      <c r="B36" s="855" t="s">
        <v>485</v>
      </c>
      <c r="C36" s="559">
        <v>24</v>
      </c>
      <c r="D36" s="569">
        <v>1.02</v>
      </c>
      <c r="E36" s="569">
        <v>1.1100000000000001</v>
      </c>
      <c r="F36" s="569">
        <v>1.18</v>
      </c>
      <c r="G36" s="569">
        <v>1.24</v>
      </c>
      <c r="H36" s="572">
        <v>1.28</v>
      </c>
      <c r="I36" s="873">
        <v>1.105</v>
      </c>
      <c r="J36" s="868">
        <v>1.105</v>
      </c>
      <c r="K36" s="868">
        <v>1.071</v>
      </c>
      <c r="L36" s="868">
        <v>1.0029999999999999</v>
      </c>
      <c r="M36" s="868">
        <v>0.89249999999999996</v>
      </c>
      <c r="N36" s="868">
        <v>0.748</v>
      </c>
      <c r="O36" s="868">
        <v>0.7105999999999999</v>
      </c>
      <c r="P36" s="871">
        <v>0.59840000000000004</v>
      </c>
      <c r="Q36" s="32"/>
      <c r="R36" s="559">
        <v>30</v>
      </c>
      <c r="S36" s="560">
        <f t="shared" si="16"/>
        <v>1.3</v>
      </c>
      <c r="T36" s="561">
        <v>0.01</v>
      </c>
      <c r="U36" s="562">
        <v>0</v>
      </c>
      <c r="W36" s="573">
        <f t="shared" si="17"/>
        <v>30</v>
      </c>
      <c r="X36" s="564">
        <v>4</v>
      </c>
      <c r="AA36" s="565">
        <v>15</v>
      </c>
      <c r="AB36" s="566" t="s">
        <v>175</v>
      </c>
    </row>
    <row r="37" spans="2:32" x14ac:dyDescent="0.25">
      <c r="B37" s="855" t="s">
        <v>486</v>
      </c>
      <c r="C37" s="568">
        <v>25</v>
      </c>
      <c r="D37" s="569">
        <v>0.99</v>
      </c>
      <c r="E37" s="569">
        <v>1.08</v>
      </c>
      <c r="F37" s="569">
        <v>1.1499999999999999</v>
      </c>
      <c r="G37" s="569">
        <v>1.21</v>
      </c>
      <c r="H37" s="572">
        <v>1.25</v>
      </c>
      <c r="I37" s="873">
        <v>1.0794999999999999</v>
      </c>
      <c r="J37" s="868">
        <v>1.071</v>
      </c>
      <c r="K37" s="868">
        <v>1.0369999999999999</v>
      </c>
      <c r="L37" s="868">
        <v>0.96899999999999986</v>
      </c>
      <c r="M37" s="868">
        <v>0.86699999999999999</v>
      </c>
      <c r="N37" s="868">
        <v>0.72249999999999992</v>
      </c>
      <c r="O37" s="868">
        <v>0.68637499999999996</v>
      </c>
      <c r="P37" s="871">
        <v>0.57800000000000007</v>
      </c>
      <c r="Q37" s="32"/>
      <c r="R37" s="559">
        <v>31</v>
      </c>
      <c r="S37" s="560">
        <f t="shared" si="16"/>
        <v>1.3</v>
      </c>
      <c r="T37" s="561">
        <v>0.01</v>
      </c>
      <c r="U37" s="562">
        <v>0</v>
      </c>
      <c r="W37" s="573">
        <f t="shared" si="17"/>
        <v>31</v>
      </c>
      <c r="X37" s="564">
        <v>4</v>
      </c>
      <c r="AA37" s="565">
        <v>16</v>
      </c>
      <c r="AB37" s="566" t="s">
        <v>176</v>
      </c>
    </row>
    <row r="38" spans="2:32" x14ac:dyDescent="0.25">
      <c r="B38" s="855" t="s">
        <v>487</v>
      </c>
      <c r="C38" s="559">
        <v>26</v>
      </c>
      <c r="D38" s="569">
        <v>0.97</v>
      </c>
      <c r="E38" s="569">
        <v>1.05</v>
      </c>
      <c r="F38" s="569">
        <v>1.1200000000000001</v>
      </c>
      <c r="G38" s="569">
        <v>1.17</v>
      </c>
      <c r="H38" s="572">
        <v>1.21</v>
      </c>
      <c r="I38" s="873">
        <v>1.0454999999999999</v>
      </c>
      <c r="J38" s="868">
        <v>1.0369999999999999</v>
      </c>
      <c r="K38" s="868">
        <v>1.0114999999999998</v>
      </c>
      <c r="L38" s="868">
        <v>0.94350000000000001</v>
      </c>
      <c r="M38" s="868">
        <v>0.84150000000000003</v>
      </c>
      <c r="N38" s="868">
        <v>0.7054999999999999</v>
      </c>
      <c r="O38" s="868">
        <v>0.67022499999999996</v>
      </c>
      <c r="P38" s="871">
        <v>0.56440000000000001</v>
      </c>
      <c r="Q38" s="32"/>
      <c r="R38" s="559">
        <v>32</v>
      </c>
      <c r="S38" s="560">
        <f t="shared" si="16"/>
        <v>1.3</v>
      </c>
      <c r="T38" s="561">
        <v>0.01</v>
      </c>
      <c r="U38" s="562">
        <v>0</v>
      </c>
      <c r="W38" s="573">
        <f t="shared" si="17"/>
        <v>32</v>
      </c>
      <c r="X38" s="564">
        <v>4</v>
      </c>
      <c r="AA38" s="565">
        <v>17</v>
      </c>
      <c r="AB38" s="566" t="s">
        <v>177</v>
      </c>
    </row>
    <row r="39" spans="2:32" x14ac:dyDescent="0.25">
      <c r="B39" s="855" t="s">
        <v>488</v>
      </c>
      <c r="C39" s="568">
        <v>27</v>
      </c>
      <c r="D39" s="569">
        <v>0.94</v>
      </c>
      <c r="E39" s="569">
        <v>1.02</v>
      </c>
      <c r="F39" s="569">
        <v>1.0900000000000001</v>
      </c>
      <c r="G39" s="569">
        <v>1.1399999999999999</v>
      </c>
      <c r="H39" s="572">
        <v>1.18</v>
      </c>
      <c r="I39" s="873">
        <v>1.02</v>
      </c>
      <c r="J39" s="868">
        <v>1.0114999999999998</v>
      </c>
      <c r="K39" s="868">
        <v>0.97749999999999992</v>
      </c>
      <c r="L39" s="868">
        <v>0.91800000000000004</v>
      </c>
      <c r="M39" s="868">
        <v>0.81599999999999995</v>
      </c>
      <c r="N39" s="868">
        <v>0.68</v>
      </c>
      <c r="O39" s="868">
        <v>0.64600000000000002</v>
      </c>
      <c r="P39" s="871">
        <v>0.54400000000000004</v>
      </c>
      <c r="Q39" s="32"/>
      <c r="R39" s="559">
        <v>33</v>
      </c>
      <c r="S39" s="560">
        <f t="shared" si="16"/>
        <v>1.3</v>
      </c>
      <c r="T39" s="561">
        <v>0.01</v>
      </c>
      <c r="U39" s="562">
        <v>0</v>
      </c>
      <c r="W39" s="573">
        <f t="shared" si="17"/>
        <v>33</v>
      </c>
      <c r="X39" s="564">
        <v>4</v>
      </c>
      <c r="AA39" s="565">
        <v>18</v>
      </c>
      <c r="AB39" s="566" t="s">
        <v>178</v>
      </c>
    </row>
    <row r="40" spans="2:32" x14ac:dyDescent="0.25">
      <c r="B40" s="855" t="s">
        <v>489</v>
      </c>
      <c r="C40" s="559">
        <v>28</v>
      </c>
      <c r="D40" s="569">
        <v>0.92</v>
      </c>
      <c r="E40" s="569">
        <v>1</v>
      </c>
      <c r="F40" s="569">
        <v>1.06</v>
      </c>
      <c r="G40" s="569">
        <v>1.1200000000000001</v>
      </c>
      <c r="H40" s="572">
        <v>1.1499999999999999</v>
      </c>
      <c r="I40" s="873">
        <v>0.99449999999999994</v>
      </c>
      <c r="J40" s="868">
        <v>0.98599999999999988</v>
      </c>
      <c r="K40" s="868">
        <v>0.95200000000000007</v>
      </c>
      <c r="L40" s="868">
        <v>0.89249999999999996</v>
      </c>
      <c r="M40" s="868">
        <v>0.79049999999999998</v>
      </c>
      <c r="N40" s="868">
        <v>0.66300000000000003</v>
      </c>
      <c r="O40" s="868">
        <v>0.62985000000000002</v>
      </c>
      <c r="P40" s="871">
        <v>0.53040000000000009</v>
      </c>
      <c r="Q40" s="32"/>
      <c r="R40" s="559">
        <v>34</v>
      </c>
      <c r="S40" s="560">
        <f t="shared" si="16"/>
        <v>1.3</v>
      </c>
      <c r="T40" s="561">
        <v>0.01</v>
      </c>
      <c r="U40" s="562">
        <v>0</v>
      </c>
      <c r="W40" s="573">
        <f t="shared" si="17"/>
        <v>34</v>
      </c>
      <c r="X40" s="564">
        <v>4</v>
      </c>
      <c r="AA40" s="565">
        <v>19</v>
      </c>
      <c r="AB40" s="566" t="s">
        <v>167</v>
      </c>
    </row>
    <row r="41" spans="2:32" x14ac:dyDescent="0.25">
      <c r="B41" s="855" t="s">
        <v>490</v>
      </c>
      <c r="C41" s="568">
        <v>29</v>
      </c>
      <c r="D41" s="569">
        <v>0.9</v>
      </c>
      <c r="E41" s="569">
        <v>0.97</v>
      </c>
      <c r="F41" s="569">
        <v>1.04</v>
      </c>
      <c r="G41" s="569">
        <v>1.0900000000000001</v>
      </c>
      <c r="H41" s="572">
        <v>1.1200000000000001</v>
      </c>
      <c r="I41" s="873">
        <v>0.96899999999999986</v>
      </c>
      <c r="J41" s="868">
        <v>0.96049999999999991</v>
      </c>
      <c r="K41" s="868">
        <v>0.92649999999999999</v>
      </c>
      <c r="L41" s="868">
        <v>0.86699999999999999</v>
      </c>
      <c r="M41" s="868">
        <v>0.77349999999999997</v>
      </c>
      <c r="N41" s="868">
        <v>0.64600000000000002</v>
      </c>
      <c r="O41" s="868">
        <v>0.61369999999999991</v>
      </c>
      <c r="P41" s="871">
        <v>0.51680000000000004</v>
      </c>
      <c r="Q41" s="32"/>
      <c r="R41" s="559">
        <v>35</v>
      </c>
      <c r="S41" s="560">
        <f t="shared" si="16"/>
        <v>1.3</v>
      </c>
      <c r="T41" s="561">
        <v>0.01</v>
      </c>
      <c r="U41" s="562">
        <v>0</v>
      </c>
      <c r="W41" s="574">
        <f t="shared" si="17"/>
        <v>35</v>
      </c>
      <c r="X41" s="564">
        <v>4</v>
      </c>
      <c r="AA41" s="565">
        <v>20</v>
      </c>
      <c r="AB41" s="566" t="s">
        <v>168</v>
      </c>
    </row>
    <row r="42" spans="2:32" x14ac:dyDescent="0.25">
      <c r="B42" s="855" t="s">
        <v>491</v>
      </c>
      <c r="C42" s="559">
        <v>30</v>
      </c>
      <c r="D42" s="569">
        <v>0.88</v>
      </c>
      <c r="E42" s="569">
        <v>0.95</v>
      </c>
      <c r="F42" s="569">
        <v>1.01</v>
      </c>
      <c r="G42" s="569">
        <v>1.06</v>
      </c>
      <c r="H42" s="572">
        <v>1.1000000000000001</v>
      </c>
      <c r="I42" s="873">
        <v>0.94350000000000001</v>
      </c>
      <c r="J42" s="868">
        <v>0.94350000000000001</v>
      </c>
      <c r="K42" s="868">
        <v>0.90949999999999998</v>
      </c>
      <c r="L42" s="868">
        <v>0.85</v>
      </c>
      <c r="M42" s="868">
        <v>0.75649999999999995</v>
      </c>
      <c r="N42" s="868">
        <v>0.629</v>
      </c>
      <c r="O42" s="868">
        <v>0.59754999999999991</v>
      </c>
      <c r="P42" s="871">
        <v>0.50319999999999998</v>
      </c>
      <c r="Q42" s="32"/>
      <c r="R42" s="559">
        <v>36</v>
      </c>
      <c r="S42" s="560">
        <f t="shared" si="16"/>
        <v>1.3</v>
      </c>
      <c r="T42" s="561">
        <v>0.01</v>
      </c>
      <c r="U42" s="562">
        <v>0</v>
      </c>
      <c r="W42" s="574">
        <f t="shared" si="17"/>
        <v>36</v>
      </c>
      <c r="X42" s="564">
        <v>4</v>
      </c>
      <c r="AA42" s="565">
        <v>21</v>
      </c>
      <c r="AB42" s="566" t="s">
        <v>169</v>
      </c>
    </row>
    <row r="43" spans="2:32" x14ac:dyDescent="0.25">
      <c r="B43" s="855" t="s">
        <v>492</v>
      </c>
      <c r="C43" s="568">
        <v>31</v>
      </c>
      <c r="D43" s="569">
        <v>0.86</v>
      </c>
      <c r="E43" s="569">
        <v>0.93</v>
      </c>
      <c r="F43" s="569">
        <v>0.99</v>
      </c>
      <c r="G43" s="569">
        <v>1.04</v>
      </c>
      <c r="H43" s="572">
        <v>1.08</v>
      </c>
      <c r="I43" s="873">
        <v>0.92649999999999999</v>
      </c>
      <c r="J43" s="868">
        <v>0.91800000000000004</v>
      </c>
      <c r="K43" s="868">
        <v>0.88400000000000001</v>
      </c>
      <c r="L43" s="868">
        <v>0.82450000000000001</v>
      </c>
      <c r="M43" s="868">
        <v>0.73949999999999994</v>
      </c>
      <c r="N43" s="868">
        <v>0.61199999999999999</v>
      </c>
      <c r="O43" s="868">
        <v>0.58139999999999992</v>
      </c>
      <c r="P43" s="871">
        <v>0.48959999999999992</v>
      </c>
      <c r="Q43" s="32"/>
      <c r="R43" s="559">
        <v>37</v>
      </c>
      <c r="S43" s="560">
        <f t="shared" si="16"/>
        <v>1.3</v>
      </c>
      <c r="T43" s="561">
        <v>0.01</v>
      </c>
      <c r="U43" s="562">
        <v>0</v>
      </c>
      <c r="W43" s="574">
        <f t="shared" si="17"/>
        <v>37</v>
      </c>
      <c r="X43" s="564">
        <v>4</v>
      </c>
      <c r="AA43" s="565">
        <v>22</v>
      </c>
      <c r="AB43" s="566" t="s">
        <v>170</v>
      </c>
    </row>
    <row r="44" spans="2:32" x14ac:dyDescent="0.25">
      <c r="B44" s="855" t="s">
        <v>493</v>
      </c>
      <c r="C44" s="559">
        <v>32</v>
      </c>
      <c r="D44" s="569">
        <v>0.84</v>
      </c>
      <c r="E44" s="569">
        <v>0.91</v>
      </c>
      <c r="F44" s="569">
        <v>0.97</v>
      </c>
      <c r="G44" s="569">
        <v>1.02</v>
      </c>
      <c r="H44" s="572">
        <v>1.05</v>
      </c>
      <c r="I44" s="873">
        <v>0.90949999999999998</v>
      </c>
      <c r="J44" s="868">
        <v>0.90100000000000002</v>
      </c>
      <c r="K44" s="868">
        <v>0.86699999999999999</v>
      </c>
      <c r="L44" s="868">
        <v>0.8075</v>
      </c>
      <c r="M44" s="868">
        <v>0.72249999999999992</v>
      </c>
      <c r="N44" s="868">
        <v>0.59499999999999997</v>
      </c>
      <c r="O44" s="868">
        <v>0.56524999999999992</v>
      </c>
      <c r="P44" s="871">
        <v>0.47599999999999992</v>
      </c>
      <c r="Q44" s="32"/>
      <c r="R44" s="559">
        <v>38</v>
      </c>
      <c r="S44" s="560">
        <f t="shared" si="16"/>
        <v>1.3</v>
      </c>
      <c r="T44" s="561">
        <v>0.01</v>
      </c>
      <c r="U44" s="562">
        <v>0</v>
      </c>
      <c r="W44" s="574">
        <f t="shared" si="17"/>
        <v>38</v>
      </c>
      <c r="X44" s="564">
        <v>4</v>
      </c>
      <c r="AA44" s="565">
        <v>23</v>
      </c>
      <c r="AB44" s="566" t="s">
        <v>171</v>
      </c>
    </row>
    <row r="45" spans="2:32" x14ac:dyDescent="0.25">
      <c r="B45" s="855" t="s">
        <v>494</v>
      </c>
      <c r="C45" s="568">
        <v>33</v>
      </c>
      <c r="D45" s="569">
        <v>0.76</v>
      </c>
      <c r="E45" s="569">
        <v>0.83</v>
      </c>
      <c r="F45" s="569">
        <v>0.88</v>
      </c>
      <c r="G45" s="569">
        <v>0.93</v>
      </c>
      <c r="H45" s="572">
        <v>0.96</v>
      </c>
      <c r="I45" s="873">
        <v>0.82450000000000001</v>
      </c>
      <c r="J45" s="868">
        <v>0.81599999999999995</v>
      </c>
      <c r="K45" s="868">
        <v>0.78200000000000003</v>
      </c>
      <c r="L45" s="868">
        <v>0.73099999999999998</v>
      </c>
      <c r="M45" s="868">
        <v>0.64600000000000002</v>
      </c>
      <c r="N45" s="868">
        <v>0.53549999999999998</v>
      </c>
      <c r="O45" s="868">
        <v>0.50872499999999987</v>
      </c>
      <c r="P45" s="871">
        <v>0.4284</v>
      </c>
      <c r="Q45" s="32"/>
      <c r="R45" s="559">
        <v>39</v>
      </c>
      <c r="S45" s="560">
        <f t="shared" si="16"/>
        <v>1.3</v>
      </c>
      <c r="T45" s="561">
        <v>0.01</v>
      </c>
      <c r="U45" s="562">
        <v>0</v>
      </c>
      <c r="W45" s="574">
        <f t="shared" si="17"/>
        <v>39</v>
      </c>
      <c r="X45" s="564">
        <v>4</v>
      </c>
      <c r="AA45" s="565">
        <v>24</v>
      </c>
      <c r="AB45" s="566" t="s">
        <v>172</v>
      </c>
    </row>
    <row r="46" spans="2:32" x14ac:dyDescent="0.25">
      <c r="B46" s="855" t="s">
        <v>495</v>
      </c>
      <c r="C46" s="559">
        <v>34</v>
      </c>
      <c r="D46" s="569">
        <v>0.7</v>
      </c>
      <c r="E46" s="569">
        <v>0.76</v>
      </c>
      <c r="F46" s="569">
        <v>0.81</v>
      </c>
      <c r="G46" s="569">
        <v>0.85</v>
      </c>
      <c r="H46" s="572">
        <v>0.88</v>
      </c>
      <c r="I46" s="873">
        <v>0.75649999999999995</v>
      </c>
      <c r="J46" s="868">
        <v>0.748</v>
      </c>
      <c r="K46" s="868">
        <v>0.72249999999999992</v>
      </c>
      <c r="L46" s="868">
        <v>0.66300000000000003</v>
      </c>
      <c r="M46" s="868">
        <v>0.58649999999999991</v>
      </c>
      <c r="N46" s="868">
        <v>0.49299999999999994</v>
      </c>
      <c r="O46" s="868">
        <v>0.46834999999999993</v>
      </c>
      <c r="P46" s="871">
        <v>0.39439999999999997</v>
      </c>
      <c r="Q46" s="32"/>
      <c r="R46" s="559">
        <v>40</v>
      </c>
      <c r="S46" s="560">
        <f t="shared" si="16"/>
        <v>1.3</v>
      </c>
      <c r="T46" s="561">
        <v>0.01</v>
      </c>
      <c r="U46" s="562">
        <v>0</v>
      </c>
      <c r="W46" s="574">
        <f t="shared" si="17"/>
        <v>40</v>
      </c>
      <c r="X46" s="564">
        <v>4</v>
      </c>
      <c r="AA46" s="565">
        <v>25</v>
      </c>
      <c r="AB46" s="566" t="s">
        <v>173</v>
      </c>
    </row>
    <row r="47" spans="2:32" x14ac:dyDescent="0.25">
      <c r="B47" s="855" t="s">
        <v>496</v>
      </c>
      <c r="C47" s="568">
        <v>35</v>
      </c>
      <c r="D47" s="569">
        <v>0.65</v>
      </c>
      <c r="E47" s="569">
        <v>0.71</v>
      </c>
      <c r="F47" s="569">
        <v>0.76</v>
      </c>
      <c r="G47" s="569">
        <v>0.8</v>
      </c>
      <c r="H47" s="572">
        <v>0.82</v>
      </c>
      <c r="I47" s="873">
        <v>0.7054999999999999</v>
      </c>
      <c r="J47" s="868">
        <v>0.69699999999999995</v>
      </c>
      <c r="K47" s="868">
        <v>0.66300000000000003</v>
      </c>
      <c r="L47" s="868">
        <v>0.62049999999999994</v>
      </c>
      <c r="M47" s="868">
        <v>0.54400000000000004</v>
      </c>
      <c r="N47" s="868">
        <v>0.45050000000000001</v>
      </c>
      <c r="O47" s="868">
        <v>0.42797499999999994</v>
      </c>
      <c r="P47" s="871">
        <v>0.36040000000000005</v>
      </c>
      <c r="Q47" s="32"/>
      <c r="R47" s="559">
        <v>41</v>
      </c>
      <c r="S47" s="560">
        <f t="shared" si="16"/>
        <v>1.3</v>
      </c>
      <c r="T47" s="561">
        <v>0.01</v>
      </c>
      <c r="U47" s="562">
        <v>0</v>
      </c>
      <c r="W47" s="574">
        <f t="shared" si="17"/>
        <v>41</v>
      </c>
      <c r="X47" s="564">
        <v>4</v>
      </c>
      <c r="AA47" s="565">
        <v>26</v>
      </c>
      <c r="AB47" s="566" t="s">
        <v>174</v>
      </c>
    </row>
    <row r="48" spans="2:32" x14ac:dyDescent="0.25">
      <c r="B48" s="855" t="s">
        <v>497</v>
      </c>
      <c r="C48" s="559">
        <v>36</v>
      </c>
      <c r="D48" s="569">
        <v>0.61</v>
      </c>
      <c r="E48" s="569">
        <v>0.67</v>
      </c>
      <c r="F48" s="569">
        <v>0.71</v>
      </c>
      <c r="G48" s="569">
        <v>0.75</v>
      </c>
      <c r="H48" s="572">
        <v>0.77</v>
      </c>
      <c r="I48" s="873">
        <v>0.65449999999999997</v>
      </c>
      <c r="J48" s="868">
        <v>0.64600000000000002</v>
      </c>
      <c r="K48" s="868">
        <v>0.62049999999999994</v>
      </c>
      <c r="L48" s="868">
        <v>0.57800000000000007</v>
      </c>
      <c r="M48" s="868">
        <v>0.51</v>
      </c>
      <c r="N48" s="868">
        <v>0.41649999999999998</v>
      </c>
      <c r="O48" s="868">
        <v>0.39567499999999994</v>
      </c>
      <c r="P48" s="871">
        <v>0.3332</v>
      </c>
      <c r="Q48" s="32"/>
      <c r="R48" s="559">
        <v>42</v>
      </c>
      <c r="S48" s="560">
        <f t="shared" si="16"/>
        <v>1.3</v>
      </c>
      <c r="T48" s="561">
        <v>0.01</v>
      </c>
      <c r="U48" s="562">
        <v>0</v>
      </c>
      <c r="W48" s="574">
        <f t="shared" si="17"/>
        <v>42</v>
      </c>
      <c r="X48" s="564">
        <v>4</v>
      </c>
      <c r="AA48" s="565">
        <v>27</v>
      </c>
      <c r="AB48" s="566" t="s">
        <v>175</v>
      </c>
    </row>
    <row r="49" spans="2:28" x14ac:dyDescent="0.25">
      <c r="B49" s="855" t="s">
        <v>498</v>
      </c>
      <c r="C49" s="568">
        <v>37</v>
      </c>
      <c r="D49" s="569">
        <v>0.57999999999999996</v>
      </c>
      <c r="E49" s="569">
        <v>0.63</v>
      </c>
      <c r="F49" s="569">
        <v>0.67</v>
      </c>
      <c r="G49" s="569">
        <v>0.7</v>
      </c>
      <c r="H49" s="572">
        <v>0.72</v>
      </c>
      <c r="I49" s="873">
        <v>0.62049999999999994</v>
      </c>
      <c r="J49" s="868">
        <v>0.61199999999999999</v>
      </c>
      <c r="K49" s="868">
        <v>0.58649999999999991</v>
      </c>
      <c r="L49" s="868">
        <v>0.53549999999999998</v>
      </c>
      <c r="M49" s="868">
        <v>0.47600000000000003</v>
      </c>
      <c r="N49" s="868">
        <v>0.39100000000000001</v>
      </c>
      <c r="O49" s="868">
        <v>0.37145</v>
      </c>
      <c r="P49" s="871">
        <v>0.31280000000000002</v>
      </c>
      <c r="Q49" s="32"/>
      <c r="R49" s="559">
        <v>43</v>
      </c>
      <c r="S49" s="560">
        <f t="shared" si="16"/>
        <v>1.3</v>
      </c>
      <c r="T49" s="561">
        <v>0.01</v>
      </c>
      <c r="U49" s="562">
        <v>0</v>
      </c>
      <c r="W49" s="574">
        <f t="shared" si="17"/>
        <v>43</v>
      </c>
      <c r="X49" s="564">
        <v>4</v>
      </c>
      <c r="AA49" s="565">
        <v>28</v>
      </c>
      <c r="AB49" s="566" t="s">
        <v>176</v>
      </c>
    </row>
    <row r="50" spans="2:28" x14ac:dyDescent="0.25">
      <c r="B50" s="855" t="s">
        <v>499</v>
      </c>
      <c r="C50" s="559">
        <v>38</v>
      </c>
      <c r="D50" s="569">
        <v>0.55000000000000004</v>
      </c>
      <c r="E50" s="569">
        <v>0.6</v>
      </c>
      <c r="F50" s="569">
        <v>0.64</v>
      </c>
      <c r="G50" s="569">
        <v>0.67</v>
      </c>
      <c r="H50" s="572">
        <v>0.69</v>
      </c>
      <c r="I50" s="873">
        <v>0.58649999999999991</v>
      </c>
      <c r="J50" s="868">
        <v>0.57800000000000007</v>
      </c>
      <c r="K50" s="868">
        <v>0.55249999999999999</v>
      </c>
      <c r="L50" s="868">
        <v>0.51</v>
      </c>
      <c r="M50" s="868">
        <v>0.45050000000000001</v>
      </c>
      <c r="N50" s="868">
        <v>0.36549999999999999</v>
      </c>
      <c r="O50" s="868">
        <v>0.34722499999999995</v>
      </c>
      <c r="P50" s="871">
        <v>0.29239999999999999</v>
      </c>
      <c r="Q50" s="32"/>
      <c r="R50" s="559">
        <v>44</v>
      </c>
      <c r="S50" s="560">
        <f t="shared" si="16"/>
        <v>1.3</v>
      </c>
      <c r="T50" s="561">
        <v>0.01</v>
      </c>
      <c r="U50" s="562">
        <v>0</v>
      </c>
      <c r="W50" s="574">
        <f t="shared" si="17"/>
        <v>44</v>
      </c>
      <c r="X50" s="564">
        <v>4</v>
      </c>
      <c r="AA50" s="565">
        <v>29</v>
      </c>
      <c r="AB50" s="566" t="s">
        <v>177</v>
      </c>
    </row>
    <row r="51" spans="2:28" x14ac:dyDescent="0.25">
      <c r="B51" s="855" t="s">
        <v>500</v>
      </c>
      <c r="C51" s="568">
        <v>39</v>
      </c>
      <c r="D51" s="569">
        <v>0.52</v>
      </c>
      <c r="E51" s="569">
        <v>0.56999999999999995</v>
      </c>
      <c r="F51" s="569">
        <v>0.61</v>
      </c>
      <c r="G51" s="569">
        <v>0.64</v>
      </c>
      <c r="H51" s="572">
        <v>0.65</v>
      </c>
      <c r="I51" s="873">
        <v>0.56100000000000005</v>
      </c>
      <c r="J51" s="868">
        <v>0.55249999999999999</v>
      </c>
      <c r="K51" s="868">
        <v>0.52700000000000002</v>
      </c>
      <c r="L51" s="868">
        <v>0.48449999999999993</v>
      </c>
      <c r="M51" s="868">
        <v>0.42499999999999999</v>
      </c>
      <c r="N51" s="868">
        <v>0.34849999999999998</v>
      </c>
      <c r="O51" s="868">
        <v>0.33107499999999995</v>
      </c>
      <c r="P51" s="871">
        <v>0.27879999999999999</v>
      </c>
      <c r="Q51" s="32"/>
      <c r="R51" s="559">
        <v>45</v>
      </c>
      <c r="S51" s="560">
        <f t="shared" si="16"/>
        <v>1.3</v>
      </c>
      <c r="T51" s="561">
        <v>0.01</v>
      </c>
      <c r="U51" s="562">
        <v>0</v>
      </c>
      <c r="W51" s="574">
        <f t="shared" si="17"/>
        <v>45</v>
      </c>
      <c r="X51" s="564">
        <v>4</v>
      </c>
      <c r="AA51" s="565">
        <v>30</v>
      </c>
      <c r="AB51" s="566" t="s">
        <v>178</v>
      </c>
    </row>
    <row r="52" spans="2:28" x14ac:dyDescent="0.25">
      <c r="B52" s="855" t="s">
        <v>501</v>
      </c>
      <c r="C52" s="559">
        <v>40</v>
      </c>
      <c r="D52" s="569">
        <v>0.5</v>
      </c>
      <c r="E52" s="569">
        <v>0.54</v>
      </c>
      <c r="F52" s="569">
        <v>0.57999999999999996</v>
      </c>
      <c r="G52" s="569">
        <v>0.61</v>
      </c>
      <c r="H52" s="572">
        <v>0.62</v>
      </c>
      <c r="I52" s="873">
        <v>0.53549999999999998</v>
      </c>
      <c r="J52" s="868">
        <v>0.52700000000000002</v>
      </c>
      <c r="K52" s="868">
        <v>0.50149999999999995</v>
      </c>
      <c r="L52" s="868">
        <v>0.45900000000000002</v>
      </c>
      <c r="M52" s="868">
        <v>0.39949999999999997</v>
      </c>
      <c r="N52" s="868">
        <v>0.33150000000000002</v>
      </c>
      <c r="O52" s="868">
        <v>0.31492500000000001</v>
      </c>
      <c r="P52" s="871">
        <v>0.26520000000000005</v>
      </c>
      <c r="Q52" s="32"/>
      <c r="R52" s="559">
        <v>46</v>
      </c>
      <c r="S52" s="560">
        <f t="shared" si="16"/>
        <v>1.3</v>
      </c>
      <c r="T52" s="561">
        <v>0.01</v>
      </c>
      <c r="U52" s="562">
        <v>0</v>
      </c>
      <c r="W52" s="574">
        <f t="shared" si="17"/>
        <v>46</v>
      </c>
      <c r="X52" s="564">
        <v>4</v>
      </c>
      <c r="AA52" s="565">
        <v>31</v>
      </c>
      <c r="AB52" s="566" t="s">
        <v>167</v>
      </c>
    </row>
    <row r="53" spans="2:28" x14ac:dyDescent="0.25">
      <c r="B53" s="855" t="s">
        <v>502</v>
      </c>
      <c r="C53" s="568">
        <v>41</v>
      </c>
      <c r="D53" s="569">
        <v>0.48</v>
      </c>
      <c r="E53" s="569">
        <v>0.52</v>
      </c>
      <c r="F53" s="569">
        <v>0.56000000000000005</v>
      </c>
      <c r="G53" s="569">
        <v>0.57999999999999996</v>
      </c>
      <c r="H53" s="572">
        <v>0.6</v>
      </c>
      <c r="I53" s="875">
        <v>0.51</v>
      </c>
      <c r="J53" s="876">
        <v>0.50149999999999995</v>
      </c>
      <c r="K53" s="876">
        <v>0.47600000000000003</v>
      </c>
      <c r="L53" s="876">
        <v>0.442</v>
      </c>
      <c r="M53" s="876">
        <v>0.38250000000000001</v>
      </c>
      <c r="N53" s="876">
        <v>0.3145</v>
      </c>
      <c r="O53" s="876">
        <v>0.29877499999999996</v>
      </c>
      <c r="P53" s="877">
        <v>0.25159999999999999</v>
      </c>
      <c r="Q53" s="32"/>
      <c r="R53" s="559">
        <v>47</v>
      </c>
      <c r="S53" s="560">
        <f t="shared" si="16"/>
        <v>1.3</v>
      </c>
      <c r="T53" s="561">
        <v>0.01</v>
      </c>
      <c r="U53" s="562">
        <v>0</v>
      </c>
      <c r="W53" s="574">
        <f t="shared" si="17"/>
        <v>47</v>
      </c>
      <c r="X53" s="564">
        <v>4</v>
      </c>
      <c r="AA53" s="565">
        <v>32</v>
      </c>
      <c r="AB53" s="566" t="s">
        <v>168</v>
      </c>
    </row>
    <row r="54" spans="2:28" x14ac:dyDescent="0.25">
      <c r="B54" s="855" t="s">
        <v>503</v>
      </c>
      <c r="C54" s="559">
        <v>42</v>
      </c>
      <c r="D54" s="569">
        <v>0.46</v>
      </c>
      <c r="E54" s="569">
        <v>0.5</v>
      </c>
      <c r="F54" s="569">
        <v>0.54</v>
      </c>
      <c r="G54" s="569">
        <v>0.56000000000000005</v>
      </c>
      <c r="H54" s="569">
        <v>0.57999999999999996</v>
      </c>
      <c r="I54" s="570">
        <v>0.57999999999999996</v>
      </c>
      <c r="J54" s="570">
        <v>0.56999999999999995</v>
      </c>
      <c r="K54" s="570">
        <v>0.54</v>
      </c>
      <c r="L54" s="570">
        <v>0.49</v>
      </c>
      <c r="M54" s="570">
        <v>0.43</v>
      </c>
      <c r="N54" s="570">
        <v>0.36</v>
      </c>
      <c r="O54" s="571">
        <f>N54*0.95</f>
        <v>0.34199999999999997</v>
      </c>
      <c r="P54" s="878">
        <f>N54*0.8</f>
        <v>0.28799999999999998</v>
      </c>
      <c r="Q54" s="32"/>
      <c r="R54" s="559">
        <v>48</v>
      </c>
      <c r="S54" s="560">
        <f t="shared" si="16"/>
        <v>1.3</v>
      </c>
      <c r="T54" s="561">
        <v>0.01</v>
      </c>
      <c r="U54" s="562">
        <v>0</v>
      </c>
      <c r="W54" s="574">
        <f t="shared" si="17"/>
        <v>48</v>
      </c>
      <c r="X54" s="564">
        <v>4</v>
      </c>
      <c r="AA54" s="565">
        <v>33</v>
      </c>
      <c r="AB54" s="566" t="s">
        <v>169</v>
      </c>
    </row>
    <row r="55" spans="2:28" x14ac:dyDescent="0.25">
      <c r="B55" s="855" t="s">
        <v>504</v>
      </c>
      <c r="C55" s="568">
        <v>43</v>
      </c>
      <c r="D55" s="569">
        <v>0.44</v>
      </c>
      <c r="E55" s="569">
        <v>0.48</v>
      </c>
      <c r="F55" s="569">
        <v>0.52</v>
      </c>
      <c r="G55" s="569">
        <v>0.54</v>
      </c>
      <c r="H55" s="569">
        <v>0.55000000000000004</v>
      </c>
      <c r="I55" s="569">
        <v>0.56000000000000005</v>
      </c>
      <c r="J55" s="569">
        <v>0.54</v>
      </c>
      <c r="K55" s="569">
        <v>0.52</v>
      </c>
      <c r="L55" s="569">
        <v>0.47</v>
      </c>
      <c r="M55" s="569">
        <v>0.41</v>
      </c>
      <c r="N55" s="569">
        <v>0.34</v>
      </c>
      <c r="O55" s="567">
        <f>N55*0.95</f>
        <v>0.32300000000000001</v>
      </c>
      <c r="P55" s="879">
        <f>N55*0.8</f>
        <v>0.27200000000000002</v>
      </c>
      <c r="Q55" s="32"/>
      <c r="R55" s="559">
        <v>49</v>
      </c>
      <c r="S55" s="560">
        <f t="shared" si="16"/>
        <v>1.3</v>
      </c>
      <c r="T55" s="561">
        <v>0.01</v>
      </c>
      <c r="U55" s="562">
        <v>0</v>
      </c>
      <c r="W55" s="574">
        <f t="shared" si="17"/>
        <v>49</v>
      </c>
      <c r="X55" s="564">
        <v>4</v>
      </c>
      <c r="AA55" s="565">
        <v>34</v>
      </c>
      <c r="AB55" s="566" t="s">
        <v>170</v>
      </c>
    </row>
    <row r="56" spans="2:28" x14ac:dyDescent="0.25">
      <c r="B56" s="855" t="s">
        <v>505</v>
      </c>
      <c r="C56" s="568">
        <v>44</v>
      </c>
      <c r="D56" s="569">
        <v>0.43</v>
      </c>
      <c r="E56" s="569">
        <v>0.47</v>
      </c>
      <c r="F56" s="569">
        <v>0.5</v>
      </c>
      <c r="G56" s="569">
        <v>0.52</v>
      </c>
      <c r="H56" s="569">
        <v>0.53</v>
      </c>
      <c r="I56" s="569">
        <v>0.54</v>
      </c>
      <c r="J56" s="569">
        <v>0.52</v>
      </c>
      <c r="K56" s="569">
        <v>0.5</v>
      </c>
      <c r="L56" s="569">
        <v>0.46</v>
      </c>
      <c r="M56" s="569">
        <v>0.4</v>
      </c>
      <c r="N56" s="569">
        <v>0.33</v>
      </c>
      <c r="O56" s="567">
        <f>N56*0.95</f>
        <v>0.3135</v>
      </c>
      <c r="P56" s="879">
        <f>N56*0.8</f>
        <v>0.26400000000000001</v>
      </c>
      <c r="Q56" s="32"/>
      <c r="R56" s="559">
        <v>50</v>
      </c>
      <c r="S56" s="560">
        <f>S55</f>
        <v>1.3</v>
      </c>
      <c r="T56" s="561">
        <v>0.01</v>
      </c>
      <c r="U56" s="562">
        <v>0</v>
      </c>
      <c r="W56" s="574">
        <f t="shared" si="17"/>
        <v>50</v>
      </c>
      <c r="X56" s="564">
        <v>5</v>
      </c>
      <c r="AA56" s="565">
        <v>35</v>
      </c>
      <c r="AB56" s="566" t="s">
        <v>171</v>
      </c>
    </row>
    <row r="57" spans="2:28" x14ac:dyDescent="0.25">
      <c r="B57" s="855" t="s">
        <v>506</v>
      </c>
      <c r="C57" s="568">
        <v>45</v>
      </c>
      <c r="D57" s="569">
        <v>0.41</v>
      </c>
      <c r="E57" s="569">
        <v>0.45</v>
      </c>
      <c r="F57" s="569">
        <v>0.48</v>
      </c>
      <c r="G57" s="569">
        <v>0.51</v>
      </c>
      <c r="H57" s="569">
        <v>0.52</v>
      </c>
      <c r="I57" s="569">
        <v>0.52</v>
      </c>
      <c r="J57" s="569">
        <v>0.51</v>
      </c>
      <c r="K57" s="569">
        <v>0.48</v>
      </c>
      <c r="L57" s="569">
        <v>0.44</v>
      </c>
      <c r="M57" s="569">
        <v>0.38</v>
      </c>
      <c r="N57" s="569">
        <v>0.32</v>
      </c>
      <c r="O57" s="567">
        <f>N57*0.95</f>
        <v>0.30399999999999999</v>
      </c>
      <c r="P57" s="879">
        <f>N57*0.8</f>
        <v>0.25600000000000001</v>
      </c>
      <c r="Q57" s="32"/>
      <c r="R57" s="559">
        <v>51</v>
      </c>
      <c r="S57" s="560">
        <f t="shared" si="16"/>
        <v>1.3</v>
      </c>
      <c r="T57" s="561">
        <v>0.01</v>
      </c>
      <c r="U57" s="562">
        <v>0</v>
      </c>
      <c r="W57" s="574">
        <f t="shared" si="17"/>
        <v>51</v>
      </c>
      <c r="X57" s="564">
        <v>5</v>
      </c>
      <c r="AA57" s="565">
        <v>36</v>
      </c>
      <c r="AB57" s="566" t="s">
        <v>172</v>
      </c>
    </row>
    <row r="58" spans="2:28" x14ac:dyDescent="0.25">
      <c r="B58" s="855" t="s">
        <v>577</v>
      </c>
      <c r="C58" s="568">
        <v>46</v>
      </c>
      <c r="D58" s="569">
        <v>0.4</v>
      </c>
      <c r="E58" s="569">
        <v>0.44</v>
      </c>
      <c r="F58" s="569">
        <v>0.47</v>
      </c>
      <c r="G58" s="569">
        <v>0.49</v>
      </c>
      <c r="H58" s="569">
        <v>0.5</v>
      </c>
      <c r="I58" s="569">
        <v>0.5</v>
      </c>
      <c r="J58" s="569">
        <v>0.49</v>
      </c>
      <c r="K58" s="569">
        <v>0.46</v>
      </c>
      <c r="L58" s="569">
        <v>0.42</v>
      </c>
      <c r="M58" s="569">
        <v>0.37</v>
      </c>
      <c r="N58" s="569">
        <v>0.3</v>
      </c>
      <c r="O58" s="567">
        <f>N58*0.95</f>
        <v>0.28499999999999998</v>
      </c>
      <c r="P58" s="879">
        <f>N58*0.8</f>
        <v>0.24</v>
      </c>
      <c r="Q58" s="32"/>
      <c r="R58" s="559">
        <v>52</v>
      </c>
      <c r="S58" s="560">
        <f t="shared" si="16"/>
        <v>1.3</v>
      </c>
      <c r="T58" s="561">
        <v>0.01</v>
      </c>
      <c r="U58" s="562">
        <v>0</v>
      </c>
      <c r="W58" s="574"/>
      <c r="X58" s="564"/>
      <c r="AA58" s="736"/>
      <c r="AB58" s="841"/>
    </row>
    <row r="59" spans="2:28" x14ac:dyDescent="0.25">
      <c r="B59" s="855" t="s">
        <v>578</v>
      </c>
      <c r="C59" s="568">
        <v>47</v>
      </c>
      <c r="D59" s="569">
        <v>0.18044207999999998</v>
      </c>
      <c r="E59" s="569">
        <v>0.19894895999999998</v>
      </c>
      <c r="F59" s="569">
        <v>0.21282911999999998</v>
      </c>
      <c r="G59" s="569">
        <v>0.22208255999999996</v>
      </c>
      <c r="H59" s="569">
        <v>0.22670927999999996</v>
      </c>
      <c r="I59" s="569">
        <v>0.22670927999999996</v>
      </c>
      <c r="J59" s="569">
        <v>0.22208255999999996</v>
      </c>
      <c r="K59" s="569">
        <v>0.21745583999999998</v>
      </c>
      <c r="L59" s="569">
        <v>0.18969551999999998</v>
      </c>
      <c r="M59" s="569">
        <v>0.16656191999999997</v>
      </c>
      <c r="N59" s="569">
        <v>0.13417487999999997</v>
      </c>
      <c r="O59" s="567">
        <v>0.12746613599999998</v>
      </c>
      <c r="P59" s="879">
        <v>0.10733990399999994</v>
      </c>
      <c r="Q59" s="32"/>
      <c r="R59" s="559">
        <v>53</v>
      </c>
      <c r="S59" s="560">
        <f t="shared" si="16"/>
        <v>1.3</v>
      </c>
      <c r="T59" s="561">
        <v>0.01</v>
      </c>
      <c r="U59" s="562">
        <v>0</v>
      </c>
      <c r="W59" s="574"/>
      <c r="X59" s="564"/>
      <c r="AA59" s="736"/>
      <c r="AB59" s="841"/>
    </row>
    <row r="60" spans="2:28" x14ac:dyDescent="0.25">
      <c r="B60" s="855" t="s">
        <v>579</v>
      </c>
      <c r="C60" s="568">
        <v>48</v>
      </c>
      <c r="D60" s="569">
        <v>0.17581536</v>
      </c>
      <c r="E60" s="569">
        <v>0.19432223999999995</v>
      </c>
      <c r="F60" s="569">
        <v>0.20820239999999998</v>
      </c>
      <c r="G60" s="569">
        <v>0.21745583999999998</v>
      </c>
      <c r="H60" s="569">
        <v>0.22208255999999996</v>
      </c>
      <c r="I60" s="569">
        <v>0.22208255999999996</v>
      </c>
      <c r="J60" s="569">
        <v>0.21745583999999998</v>
      </c>
      <c r="K60" s="569">
        <v>0.21282911999999998</v>
      </c>
      <c r="L60" s="569">
        <v>0.18506880000000003</v>
      </c>
      <c r="M60" s="569">
        <v>0.16193519999999997</v>
      </c>
      <c r="N60" s="569">
        <v>0.12954816000000002</v>
      </c>
      <c r="O60" s="567">
        <v>0.12307075200000001</v>
      </c>
      <c r="P60" s="879">
        <v>0.10363852800000002</v>
      </c>
      <c r="Q60" s="32"/>
      <c r="R60" s="32"/>
      <c r="S60" s="32"/>
      <c r="T60" s="32"/>
      <c r="U60" s="32"/>
      <c r="W60" s="574"/>
      <c r="X60" s="564"/>
      <c r="AA60" s="736"/>
      <c r="AB60" s="841"/>
    </row>
    <row r="61" spans="2:28" x14ac:dyDescent="0.25">
      <c r="B61" s="855" t="s">
        <v>580</v>
      </c>
      <c r="C61" s="568">
        <v>49</v>
      </c>
      <c r="D61" s="569">
        <v>0.17118863999999995</v>
      </c>
      <c r="E61" s="569">
        <v>0.18969551999999998</v>
      </c>
      <c r="F61" s="569">
        <v>0.20357567999999998</v>
      </c>
      <c r="G61" s="569">
        <v>0.21282911999999998</v>
      </c>
      <c r="H61" s="569">
        <v>0.21745583999999998</v>
      </c>
      <c r="I61" s="569">
        <v>0.21745583999999998</v>
      </c>
      <c r="J61" s="569">
        <v>0.21282911999999998</v>
      </c>
      <c r="K61" s="569">
        <v>0.20820239999999998</v>
      </c>
      <c r="L61" s="569">
        <v>0.18044207999999998</v>
      </c>
      <c r="M61" s="569">
        <v>0.15730848000000003</v>
      </c>
      <c r="N61" s="569">
        <v>0.12492143999999999</v>
      </c>
      <c r="O61" s="567">
        <v>0.11867536800000002</v>
      </c>
      <c r="P61" s="879">
        <v>9.9937152000000001E-2</v>
      </c>
      <c r="Q61" s="32"/>
      <c r="R61" s="32"/>
      <c r="S61" s="32"/>
      <c r="T61" s="32"/>
      <c r="U61" s="32"/>
      <c r="W61" s="574">
        <f>W57+1</f>
        <v>52</v>
      </c>
      <c r="X61" s="564">
        <v>5</v>
      </c>
    </row>
    <row r="62" spans="2:28" x14ac:dyDescent="0.25">
      <c r="B62" s="855" t="s">
        <v>605</v>
      </c>
      <c r="C62" s="568">
        <v>50</v>
      </c>
      <c r="D62" s="569">
        <f>D61*0.95</f>
        <v>0.16262920799999994</v>
      </c>
      <c r="E62" s="569">
        <f t="shared" ref="E62:P62" si="18">E61*0.95</f>
        <v>0.18021074399999998</v>
      </c>
      <c r="F62" s="569">
        <f t="shared" si="18"/>
        <v>0.19339689599999998</v>
      </c>
      <c r="G62" s="569">
        <f t="shared" si="18"/>
        <v>0.20218766399999996</v>
      </c>
      <c r="H62" s="569">
        <f t="shared" si="18"/>
        <v>0.20658304799999996</v>
      </c>
      <c r="I62" s="569">
        <f t="shared" si="18"/>
        <v>0.20658304799999996</v>
      </c>
      <c r="J62" s="569">
        <f t="shared" si="18"/>
        <v>0.20218766399999996</v>
      </c>
      <c r="K62" s="569">
        <f t="shared" si="18"/>
        <v>0.19779227999999999</v>
      </c>
      <c r="L62" s="569">
        <f t="shared" si="18"/>
        <v>0.17141997599999997</v>
      </c>
      <c r="M62" s="569">
        <f t="shared" si="18"/>
        <v>0.14944305600000002</v>
      </c>
      <c r="N62" s="569">
        <f t="shared" si="18"/>
        <v>0.11867536799999999</v>
      </c>
      <c r="O62" s="569">
        <f t="shared" si="18"/>
        <v>0.11274159960000001</v>
      </c>
      <c r="P62" s="856">
        <f t="shared" si="18"/>
        <v>9.49402944E-2</v>
      </c>
      <c r="Q62" s="32"/>
      <c r="R62" s="32"/>
      <c r="S62" s="32"/>
      <c r="T62" s="32"/>
      <c r="U62" s="32"/>
      <c r="W62" s="574">
        <f>W61+1</f>
        <v>53</v>
      </c>
      <c r="X62" s="564">
        <v>5</v>
      </c>
    </row>
    <row r="63" spans="2:28" x14ac:dyDescent="0.25">
      <c r="B63" s="855" t="s">
        <v>606</v>
      </c>
      <c r="C63" s="568">
        <v>51</v>
      </c>
      <c r="D63" s="569">
        <f>D62*0.95</f>
        <v>0.15449774759999993</v>
      </c>
      <c r="E63" s="569">
        <f t="shared" ref="E63:P65" si="19">E62*0.95</f>
        <v>0.17120020679999998</v>
      </c>
      <c r="F63" s="569">
        <f t="shared" si="19"/>
        <v>0.18372705119999996</v>
      </c>
      <c r="G63" s="569">
        <f t="shared" si="19"/>
        <v>0.19207828079999995</v>
      </c>
      <c r="H63" s="569">
        <f t="shared" si="19"/>
        <v>0.19625389559999995</v>
      </c>
      <c r="I63" s="569">
        <f t="shared" si="19"/>
        <v>0.19625389559999995</v>
      </c>
      <c r="J63" s="569">
        <f t="shared" si="19"/>
        <v>0.19207828079999995</v>
      </c>
      <c r="K63" s="569">
        <f t="shared" si="19"/>
        <v>0.18790266599999997</v>
      </c>
      <c r="L63" s="569">
        <f t="shared" si="19"/>
        <v>0.16284897719999997</v>
      </c>
      <c r="M63" s="569">
        <f t="shared" si="19"/>
        <v>0.1419709032</v>
      </c>
      <c r="N63" s="569">
        <f t="shared" si="19"/>
        <v>0.11274159959999998</v>
      </c>
      <c r="O63" s="569">
        <f t="shared" si="19"/>
        <v>0.10710451962</v>
      </c>
      <c r="P63" s="856">
        <f t="shared" si="19"/>
        <v>9.0193279680000002E-2</v>
      </c>
      <c r="Q63" s="32"/>
      <c r="R63" s="32"/>
      <c r="S63" s="32"/>
      <c r="T63" s="32"/>
      <c r="U63" s="32"/>
      <c r="W63" s="574">
        <f t="shared" si="17"/>
        <v>54</v>
      </c>
      <c r="X63" s="564">
        <v>5</v>
      </c>
    </row>
    <row r="64" spans="2:28" x14ac:dyDescent="0.25">
      <c r="B64" s="855" t="s">
        <v>607</v>
      </c>
      <c r="C64" s="568">
        <v>52</v>
      </c>
      <c r="D64" s="569">
        <f>D63*0.95</f>
        <v>0.14677286021999994</v>
      </c>
      <c r="E64" s="569">
        <f t="shared" si="19"/>
        <v>0.16264019645999997</v>
      </c>
      <c r="F64" s="569">
        <f t="shared" si="19"/>
        <v>0.17454069863999996</v>
      </c>
      <c r="G64" s="569">
        <f t="shared" si="19"/>
        <v>0.18247436675999995</v>
      </c>
      <c r="H64" s="569">
        <f t="shared" si="19"/>
        <v>0.18644120081999993</v>
      </c>
      <c r="I64" s="569">
        <f t="shared" si="19"/>
        <v>0.18644120081999993</v>
      </c>
      <c r="J64" s="569">
        <f t="shared" si="19"/>
        <v>0.18247436675999995</v>
      </c>
      <c r="K64" s="569">
        <f t="shared" si="19"/>
        <v>0.17850753269999997</v>
      </c>
      <c r="L64" s="569">
        <f t="shared" si="19"/>
        <v>0.15470652833999995</v>
      </c>
      <c r="M64" s="569">
        <f t="shared" si="19"/>
        <v>0.13487235804</v>
      </c>
      <c r="N64" s="569">
        <f t="shared" si="19"/>
        <v>0.10710451961999998</v>
      </c>
      <c r="O64" s="569">
        <f t="shared" si="19"/>
        <v>0.101749293639</v>
      </c>
      <c r="P64" s="856">
        <f t="shared" si="19"/>
        <v>8.5683615695999998E-2</v>
      </c>
      <c r="Q64" s="32"/>
      <c r="R64" s="32"/>
      <c r="S64" s="32"/>
      <c r="T64" s="32"/>
      <c r="U64" s="32"/>
      <c r="W64" s="574">
        <f t="shared" si="17"/>
        <v>55</v>
      </c>
      <c r="X64" s="564">
        <v>5</v>
      </c>
    </row>
    <row r="65" spans="1:34" ht="15.75" thickBot="1" x14ac:dyDescent="0.3">
      <c r="B65" s="857" t="s">
        <v>608</v>
      </c>
      <c r="C65" s="865">
        <v>53</v>
      </c>
      <c r="D65" s="858">
        <f>D64*0.95</f>
        <v>0.13943421720899993</v>
      </c>
      <c r="E65" s="858">
        <f t="shared" si="19"/>
        <v>0.15450818663699997</v>
      </c>
      <c r="F65" s="858">
        <f t="shared" si="19"/>
        <v>0.16581366370799996</v>
      </c>
      <c r="G65" s="858">
        <f t="shared" si="19"/>
        <v>0.17335064842199996</v>
      </c>
      <c r="H65" s="858">
        <f t="shared" si="19"/>
        <v>0.17711914077899993</v>
      </c>
      <c r="I65" s="858">
        <f t="shared" si="19"/>
        <v>0.17711914077899993</v>
      </c>
      <c r="J65" s="858">
        <f t="shared" si="19"/>
        <v>0.17335064842199996</v>
      </c>
      <c r="K65" s="858">
        <f t="shared" si="19"/>
        <v>0.16958215606499996</v>
      </c>
      <c r="L65" s="858">
        <f t="shared" si="19"/>
        <v>0.14697120192299995</v>
      </c>
      <c r="M65" s="858">
        <f t="shared" si="19"/>
        <v>0.12812874013799999</v>
      </c>
      <c r="N65" s="858">
        <f t="shared" si="19"/>
        <v>0.10174929363899997</v>
      </c>
      <c r="O65" s="858">
        <f t="shared" si="19"/>
        <v>9.6661828957049986E-2</v>
      </c>
      <c r="P65" s="859">
        <f t="shared" si="19"/>
        <v>8.1399434911199997E-2</v>
      </c>
      <c r="Q65" s="32"/>
      <c r="R65" s="32"/>
      <c r="S65" s="32"/>
      <c r="T65" s="32"/>
      <c r="U65" s="32"/>
      <c r="W65" s="574">
        <f t="shared" si="17"/>
        <v>56</v>
      </c>
      <c r="X65" s="564">
        <v>5</v>
      </c>
    </row>
    <row r="66" spans="1:34" ht="15.75" x14ac:dyDescent="0.25">
      <c r="B66" s="498"/>
      <c r="C66" s="498"/>
      <c r="D66" s="498"/>
      <c r="E66" s="498"/>
      <c r="F66" s="498"/>
      <c r="G66" s="498"/>
      <c r="H66" s="498"/>
      <c r="I66" s="498"/>
      <c r="J66" s="32"/>
      <c r="K66" s="498"/>
      <c r="L66" s="498"/>
      <c r="M66" s="498"/>
      <c r="N66" s="498"/>
      <c r="O66" s="498"/>
      <c r="P66" s="498"/>
      <c r="Q66" s="575"/>
      <c r="R66" s="575"/>
      <c r="S66" s="32"/>
      <c r="T66" s="32"/>
      <c r="U66" s="32"/>
      <c r="W66" s="574">
        <f t="shared" si="17"/>
        <v>57</v>
      </c>
      <c r="X66" s="564">
        <v>5</v>
      </c>
    </row>
    <row r="67" spans="1:34" ht="15.75" x14ac:dyDescent="0.25">
      <c r="B67" s="880"/>
      <c r="C67" s="881"/>
      <c r="D67" s="882"/>
      <c r="E67" s="882"/>
      <c r="F67" s="882"/>
      <c r="G67" s="882"/>
      <c r="H67" s="882"/>
      <c r="I67" s="882"/>
      <c r="J67" s="882"/>
      <c r="K67" s="882"/>
      <c r="L67" s="882"/>
      <c r="M67" s="882"/>
      <c r="N67" s="882"/>
      <c r="O67" s="882"/>
      <c r="P67" s="882"/>
      <c r="Q67" s="32"/>
      <c r="R67" s="32"/>
      <c r="S67" s="32"/>
      <c r="T67" s="32"/>
      <c r="U67" s="32"/>
      <c r="W67" s="574">
        <f t="shared" si="17"/>
        <v>58</v>
      </c>
      <c r="X67" s="564">
        <v>5</v>
      </c>
    </row>
    <row r="68" spans="1:34" x14ac:dyDescent="0.25">
      <c r="B68" s="883"/>
      <c r="C68" s="881"/>
      <c r="D68" s="886"/>
      <c r="E68" s="886"/>
      <c r="F68" s="886"/>
      <c r="G68" s="886"/>
      <c r="H68" s="886"/>
      <c r="I68" s="886"/>
      <c r="J68" s="886"/>
      <c r="K68" s="886"/>
      <c r="L68" s="886"/>
      <c r="M68" s="886"/>
      <c r="N68" s="886"/>
      <c r="O68" s="886"/>
      <c r="P68" s="886"/>
      <c r="Q68" s="32"/>
      <c r="R68" s="32"/>
      <c r="S68" s="32"/>
      <c r="T68" s="32"/>
      <c r="U68" s="32"/>
      <c r="W68" s="574">
        <f t="shared" si="17"/>
        <v>59</v>
      </c>
      <c r="X68" s="564">
        <v>5</v>
      </c>
    </row>
    <row r="69" spans="1:34" x14ac:dyDescent="0.25">
      <c r="B69" s="884"/>
      <c r="C69" s="887"/>
      <c r="D69" s="885"/>
      <c r="E69" s="885"/>
      <c r="F69" s="885"/>
      <c r="G69" s="885"/>
      <c r="H69" s="885"/>
      <c r="I69" s="885"/>
      <c r="J69" s="885"/>
      <c r="K69" s="885"/>
      <c r="L69" s="885"/>
      <c r="M69" s="885"/>
      <c r="N69" s="885"/>
      <c r="O69" s="885"/>
      <c r="P69" s="885"/>
      <c r="Q69" s="32"/>
      <c r="R69" s="32"/>
      <c r="S69" s="32"/>
      <c r="T69" s="32"/>
      <c r="U69" s="32"/>
      <c r="W69" s="574">
        <f t="shared" si="17"/>
        <v>60</v>
      </c>
      <c r="X69" s="564">
        <v>6</v>
      </c>
    </row>
    <row r="70" spans="1:34" x14ac:dyDescent="0.25">
      <c r="B70" s="884"/>
      <c r="C70" s="887"/>
      <c r="D70" s="885"/>
      <c r="E70" s="885"/>
      <c r="F70" s="885"/>
      <c r="G70" s="885"/>
      <c r="H70" s="885"/>
      <c r="I70" s="885"/>
      <c r="J70" s="885"/>
      <c r="K70" s="885"/>
      <c r="L70" s="885"/>
      <c r="M70" s="885"/>
      <c r="N70" s="885"/>
      <c r="O70" s="885"/>
      <c r="P70" s="885"/>
      <c r="Q70" s="32"/>
      <c r="R70" s="32"/>
      <c r="S70" s="32"/>
      <c r="T70" s="32"/>
      <c r="U70" s="32"/>
      <c r="W70" s="574">
        <f t="shared" si="17"/>
        <v>61</v>
      </c>
      <c r="X70" s="564">
        <v>6</v>
      </c>
    </row>
    <row r="71" spans="1:34" x14ac:dyDescent="0.25">
      <c r="B71" s="884"/>
      <c r="C71" s="887"/>
      <c r="D71" s="885"/>
      <c r="E71" s="885"/>
      <c r="F71" s="885"/>
      <c r="G71" s="885"/>
      <c r="H71" s="885"/>
      <c r="I71" s="885"/>
      <c r="J71" s="885"/>
      <c r="K71" s="885"/>
      <c r="L71" s="885"/>
      <c r="M71" s="885"/>
      <c r="N71" s="885"/>
      <c r="O71" s="885"/>
      <c r="P71" s="885"/>
      <c r="Q71" s="32"/>
      <c r="R71" s="32"/>
      <c r="S71" s="32"/>
      <c r="T71" s="32"/>
      <c r="U71" s="32"/>
      <c r="W71" s="574">
        <f t="shared" si="17"/>
        <v>62</v>
      </c>
      <c r="X71" s="564">
        <v>6</v>
      </c>
    </row>
    <row r="72" spans="1:34" x14ac:dyDescent="0.25">
      <c r="B72" s="884"/>
      <c r="C72" s="887"/>
      <c r="D72" s="885"/>
      <c r="E72" s="885"/>
      <c r="F72" s="885"/>
      <c r="G72" s="885"/>
      <c r="H72" s="885"/>
      <c r="I72" s="885"/>
      <c r="J72" s="885"/>
      <c r="K72" s="885"/>
      <c r="L72" s="885"/>
      <c r="M72" s="885"/>
      <c r="N72" s="885"/>
      <c r="O72" s="885"/>
      <c r="P72" s="885"/>
      <c r="Q72" s="32"/>
      <c r="R72" s="32"/>
      <c r="S72" s="32"/>
      <c r="T72" s="32"/>
      <c r="U72" s="32"/>
      <c r="W72" s="574">
        <f t="shared" si="17"/>
        <v>63</v>
      </c>
      <c r="X72" s="564">
        <v>6</v>
      </c>
    </row>
    <row r="73" spans="1:34" x14ac:dyDescent="0.25">
      <c r="B73" s="884"/>
      <c r="C73" s="887"/>
      <c r="D73" s="885"/>
      <c r="E73" s="885"/>
      <c r="F73" s="885"/>
      <c r="G73" s="885"/>
      <c r="H73" s="885"/>
      <c r="I73" s="885"/>
      <c r="J73" s="885"/>
      <c r="K73" s="885"/>
      <c r="L73" s="885"/>
      <c r="M73" s="885"/>
      <c r="N73" s="885"/>
      <c r="O73" s="885"/>
      <c r="P73" s="885"/>
      <c r="Q73" s="32"/>
      <c r="R73" s="32"/>
      <c r="S73" s="32"/>
      <c r="T73" s="32"/>
      <c r="U73" s="32"/>
      <c r="W73" s="574">
        <f t="shared" si="17"/>
        <v>64</v>
      </c>
      <c r="X73" s="564">
        <v>6</v>
      </c>
    </row>
    <row r="74" spans="1:34" x14ac:dyDescent="0.25">
      <c r="B74" s="884"/>
      <c r="C74" s="887"/>
      <c r="D74" s="885"/>
      <c r="E74" s="885"/>
      <c r="F74" s="885"/>
      <c r="G74" s="885"/>
      <c r="H74" s="885"/>
      <c r="I74" s="885"/>
      <c r="J74" s="885"/>
      <c r="K74" s="885"/>
      <c r="L74" s="885"/>
      <c r="M74" s="885"/>
      <c r="N74" s="885"/>
      <c r="O74" s="885"/>
      <c r="P74" s="885"/>
      <c r="Q74" s="32"/>
      <c r="R74" s="32"/>
      <c r="S74" s="32"/>
      <c r="T74" s="32"/>
      <c r="U74" s="32"/>
      <c r="W74" s="574">
        <f t="shared" si="17"/>
        <v>65</v>
      </c>
      <c r="X74" s="564">
        <v>6</v>
      </c>
    </row>
    <row r="75" spans="1:34" x14ac:dyDescent="0.25">
      <c r="B75" s="884"/>
      <c r="C75" s="887"/>
      <c r="D75" s="885"/>
      <c r="E75" s="885"/>
      <c r="F75" s="885"/>
      <c r="G75" s="885"/>
      <c r="H75" s="885"/>
      <c r="I75" s="885"/>
      <c r="J75" s="885"/>
      <c r="K75" s="885"/>
      <c r="L75" s="885"/>
      <c r="M75" s="885"/>
      <c r="N75" s="885"/>
      <c r="O75" s="885"/>
      <c r="P75" s="885"/>
      <c r="Q75" s="32"/>
      <c r="R75" s="32"/>
      <c r="S75" s="32"/>
      <c r="T75" s="32"/>
      <c r="U75" s="32"/>
      <c r="W75" s="574">
        <f t="shared" si="17"/>
        <v>66</v>
      </c>
      <c r="X75" s="564">
        <v>6</v>
      </c>
    </row>
    <row r="76" spans="1:34" s="580" customFormat="1" ht="12.75" x14ac:dyDescent="0.2">
      <c r="A76" s="576"/>
      <c r="B76" s="884"/>
      <c r="C76" s="887"/>
      <c r="D76" s="885"/>
      <c r="E76" s="885"/>
      <c r="F76" s="885"/>
      <c r="G76" s="885"/>
      <c r="H76" s="885"/>
      <c r="I76" s="885"/>
      <c r="J76" s="885"/>
      <c r="K76" s="885"/>
      <c r="L76" s="885"/>
      <c r="M76" s="885"/>
      <c r="N76" s="885"/>
      <c r="O76" s="885"/>
      <c r="P76" s="885"/>
      <c r="Q76" s="577"/>
      <c r="R76" s="577"/>
      <c r="S76" s="577"/>
      <c r="T76" s="577"/>
      <c r="U76" s="577"/>
      <c r="V76" s="576"/>
      <c r="W76" s="578">
        <f t="shared" si="17"/>
        <v>67</v>
      </c>
      <c r="X76" s="579">
        <v>6</v>
      </c>
      <c r="Y76" s="576"/>
      <c r="Z76" s="576"/>
      <c r="AA76" s="576"/>
      <c r="AB76" s="576"/>
      <c r="AC76" s="576"/>
      <c r="AD76" s="576"/>
      <c r="AE76" s="576"/>
      <c r="AF76" s="576"/>
      <c r="AG76" s="576"/>
      <c r="AH76" s="576"/>
    </row>
    <row r="77" spans="1:34" s="583" customFormat="1" ht="12.75" x14ac:dyDescent="0.2">
      <c r="A77" s="7"/>
      <c r="B77" s="884"/>
      <c r="C77" s="887"/>
      <c r="D77" s="885"/>
      <c r="E77" s="885"/>
      <c r="F77" s="885"/>
      <c r="G77" s="885"/>
      <c r="H77" s="885"/>
      <c r="I77" s="885"/>
      <c r="J77" s="885"/>
      <c r="K77" s="885"/>
      <c r="L77" s="885"/>
      <c r="M77" s="885"/>
      <c r="N77" s="885"/>
      <c r="O77" s="885"/>
      <c r="P77" s="885"/>
      <c r="Q77" s="75"/>
      <c r="R77" s="75"/>
      <c r="S77" s="75"/>
      <c r="T77" s="75"/>
      <c r="U77" s="75"/>
      <c r="V77" s="7"/>
      <c r="W77" s="581">
        <f t="shared" si="17"/>
        <v>68</v>
      </c>
      <c r="X77" s="582">
        <v>6</v>
      </c>
      <c r="Y77" s="7"/>
      <c r="Z77" s="7"/>
      <c r="AA77" s="7"/>
      <c r="AB77" s="7"/>
      <c r="AC77" s="7"/>
      <c r="AD77" s="7"/>
      <c r="AE77" s="7"/>
      <c r="AF77" s="7"/>
      <c r="AG77" s="7"/>
      <c r="AH77" s="7"/>
    </row>
    <row r="78" spans="1:34" s="583" customFormat="1" ht="12.75" x14ac:dyDescent="0.2">
      <c r="A78" s="7"/>
      <c r="B78" s="884"/>
      <c r="C78" s="887"/>
      <c r="D78" s="885"/>
      <c r="E78" s="885"/>
      <c r="F78" s="885"/>
      <c r="G78" s="885"/>
      <c r="H78" s="885"/>
      <c r="I78" s="885"/>
      <c r="J78" s="885"/>
      <c r="K78" s="885"/>
      <c r="L78" s="885"/>
      <c r="M78" s="885"/>
      <c r="N78" s="885"/>
      <c r="O78" s="885"/>
      <c r="P78" s="885"/>
      <c r="Q78" s="584"/>
      <c r="R78" s="584"/>
      <c r="S78" s="584"/>
      <c r="T78" s="584"/>
      <c r="U78" s="584"/>
      <c r="V78" s="7"/>
      <c r="W78" s="581">
        <f>W77+1</f>
        <v>69</v>
      </c>
      <c r="X78" s="582">
        <v>6</v>
      </c>
      <c r="Y78" s="7"/>
      <c r="Z78" s="7"/>
      <c r="AA78" s="7"/>
      <c r="AB78" s="7"/>
      <c r="AC78" s="7"/>
      <c r="AD78" s="7"/>
      <c r="AE78" s="7"/>
      <c r="AF78" s="7"/>
      <c r="AG78" s="7"/>
      <c r="AH78" s="7"/>
    </row>
    <row r="79" spans="1:34" s="583" customFormat="1" ht="12.75" x14ac:dyDescent="0.2">
      <c r="A79" s="7"/>
      <c r="B79" s="884"/>
      <c r="C79" s="887"/>
      <c r="D79" s="885"/>
      <c r="E79" s="885"/>
      <c r="F79" s="885"/>
      <c r="G79" s="885"/>
      <c r="H79" s="885"/>
      <c r="I79" s="885"/>
      <c r="J79" s="885"/>
      <c r="K79" s="885"/>
      <c r="L79" s="885"/>
      <c r="M79" s="885"/>
      <c r="N79" s="885"/>
      <c r="O79" s="885"/>
      <c r="P79" s="885"/>
      <c r="Q79" s="75"/>
      <c r="R79" s="75"/>
      <c r="S79" s="75"/>
      <c r="T79" s="75"/>
      <c r="U79" s="75"/>
      <c r="V79" s="7"/>
      <c r="W79" s="581">
        <f t="shared" si="17"/>
        <v>70</v>
      </c>
      <c r="X79" s="582">
        <v>7</v>
      </c>
      <c r="Y79" s="7"/>
      <c r="Z79" s="7"/>
      <c r="AA79" s="7"/>
      <c r="AB79" s="7"/>
      <c r="AC79" s="7"/>
      <c r="AD79" s="7"/>
      <c r="AE79" s="7"/>
      <c r="AF79" s="7"/>
      <c r="AG79" s="7"/>
      <c r="AH79" s="7"/>
    </row>
    <row r="80" spans="1:34" s="583" customFormat="1" ht="12.75" x14ac:dyDescent="0.2">
      <c r="A80" s="7"/>
      <c r="B80" s="884"/>
      <c r="C80" s="887"/>
      <c r="D80" s="885"/>
      <c r="E80" s="885"/>
      <c r="F80" s="885"/>
      <c r="G80" s="885"/>
      <c r="H80" s="885"/>
      <c r="I80" s="885"/>
      <c r="J80" s="885"/>
      <c r="K80" s="885"/>
      <c r="L80" s="885"/>
      <c r="M80" s="885"/>
      <c r="N80" s="885"/>
      <c r="O80" s="885"/>
      <c r="P80" s="885"/>
      <c r="Q80" s="75"/>
      <c r="R80" s="75"/>
      <c r="S80" s="75"/>
      <c r="T80" s="75"/>
      <c r="U80" s="75"/>
      <c r="V80" s="7"/>
      <c r="W80" s="581">
        <f>W79+1</f>
        <v>71</v>
      </c>
      <c r="X80" s="582">
        <v>7</v>
      </c>
      <c r="Y80" s="7"/>
      <c r="Z80" s="7"/>
      <c r="AA80" s="7"/>
      <c r="AB80" s="7"/>
      <c r="AC80" s="7"/>
      <c r="AD80" s="7"/>
      <c r="AE80" s="7"/>
      <c r="AF80" s="7"/>
      <c r="AG80" s="7"/>
      <c r="AH80" s="7"/>
    </row>
    <row r="81" spans="1:34" s="583" customFormat="1" ht="12.75" x14ac:dyDescent="0.2">
      <c r="A81" s="7"/>
      <c r="B81" s="884"/>
      <c r="C81" s="887"/>
      <c r="D81" s="885"/>
      <c r="E81" s="885"/>
      <c r="F81" s="885"/>
      <c r="G81" s="885"/>
      <c r="H81" s="885"/>
      <c r="I81" s="885"/>
      <c r="J81" s="885"/>
      <c r="K81" s="885"/>
      <c r="L81" s="885"/>
      <c r="M81" s="885"/>
      <c r="N81" s="885"/>
      <c r="O81" s="885"/>
      <c r="P81" s="885"/>
      <c r="Q81" s="75"/>
      <c r="R81" s="75"/>
      <c r="S81" s="75"/>
      <c r="T81" s="75"/>
      <c r="U81" s="75"/>
      <c r="V81" s="7"/>
      <c r="W81" s="581">
        <f t="shared" si="17"/>
        <v>72</v>
      </c>
      <c r="X81" s="582">
        <v>7</v>
      </c>
      <c r="Y81" s="7"/>
      <c r="Z81" s="7"/>
      <c r="AA81" s="7"/>
      <c r="AB81" s="7"/>
      <c r="AC81" s="7"/>
      <c r="AD81" s="7"/>
      <c r="AE81" s="7"/>
      <c r="AF81" s="7"/>
      <c r="AG81" s="7"/>
      <c r="AH81" s="7"/>
    </row>
    <row r="82" spans="1:34" s="583" customFormat="1" ht="12.75" x14ac:dyDescent="0.2">
      <c r="A82" s="7"/>
      <c r="B82" s="884"/>
      <c r="C82" s="887"/>
      <c r="D82" s="885"/>
      <c r="E82" s="885"/>
      <c r="F82" s="885"/>
      <c r="G82" s="885"/>
      <c r="H82" s="885"/>
      <c r="I82" s="885"/>
      <c r="J82" s="885"/>
      <c r="K82" s="885"/>
      <c r="L82" s="885"/>
      <c r="M82" s="885"/>
      <c r="N82" s="885"/>
      <c r="O82" s="885"/>
      <c r="P82" s="885"/>
      <c r="Q82" s="75"/>
      <c r="R82" s="75"/>
      <c r="S82" s="75"/>
      <c r="T82" s="75"/>
      <c r="U82" s="75"/>
      <c r="V82" s="7"/>
      <c r="W82" s="581">
        <f t="shared" si="17"/>
        <v>73</v>
      </c>
      <c r="X82" s="582">
        <v>7</v>
      </c>
      <c r="Y82" s="7"/>
      <c r="Z82" s="7"/>
      <c r="AA82" s="7"/>
      <c r="AB82" s="7"/>
      <c r="AC82" s="7"/>
      <c r="AD82" s="7"/>
      <c r="AE82" s="7"/>
      <c r="AF82" s="7"/>
      <c r="AG82" s="7"/>
      <c r="AH82" s="7"/>
    </row>
    <row r="83" spans="1:34" s="583" customFormat="1" ht="12.75" x14ac:dyDescent="0.2">
      <c r="A83" s="7"/>
      <c r="B83" s="884"/>
      <c r="C83" s="887"/>
      <c r="D83" s="885"/>
      <c r="E83" s="885"/>
      <c r="F83" s="885"/>
      <c r="G83" s="885"/>
      <c r="H83" s="885"/>
      <c r="I83" s="885"/>
      <c r="J83" s="885"/>
      <c r="K83" s="885"/>
      <c r="L83" s="885"/>
      <c r="M83" s="885"/>
      <c r="N83" s="885"/>
      <c r="O83" s="885"/>
      <c r="P83" s="885"/>
      <c r="Q83" s="75"/>
      <c r="R83" s="75"/>
      <c r="S83" s="75"/>
      <c r="T83" s="75"/>
      <c r="U83" s="75"/>
      <c r="V83" s="7"/>
      <c r="W83" s="581">
        <f t="shared" si="17"/>
        <v>74</v>
      </c>
      <c r="X83" s="582">
        <v>7</v>
      </c>
      <c r="Y83" s="7"/>
      <c r="Z83" s="7"/>
      <c r="AA83" s="7"/>
      <c r="AB83" s="7"/>
      <c r="AC83" s="7"/>
      <c r="AD83" s="7"/>
      <c r="AE83" s="7"/>
      <c r="AF83" s="7"/>
      <c r="AG83" s="7"/>
      <c r="AH83" s="7"/>
    </row>
    <row r="84" spans="1:34" x14ac:dyDescent="0.25">
      <c r="B84" s="884"/>
      <c r="C84" s="887"/>
      <c r="D84" s="885"/>
      <c r="E84" s="885"/>
      <c r="F84" s="885"/>
      <c r="G84" s="885"/>
      <c r="H84" s="885"/>
      <c r="I84" s="885"/>
      <c r="J84" s="885"/>
      <c r="K84" s="885"/>
      <c r="L84" s="885"/>
      <c r="M84" s="885"/>
      <c r="N84" s="885"/>
      <c r="O84" s="885"/>
      <c r="P84" s="885"/>
      <c r="Q84" s="32"/>
      <c r="R84" s="32"/>
      <c r="S84" s="32"/>
      <c r="T84" s="32"/>
      <c r="U84" s="32"/>
      <c r="V84" s="6">
        <v>1983</v>
      </c>
      <c r="W84" s="574">
        <f t="shared" si="17"/>
        <v>75</v>
      </c>
      <c r="X84" s="564">
        <v>7</v>
      </c>
    </row>
    <row r="85" spans="1:34" x14ac:dyDescent="0.25">
      <c r="B85" s="884"/>
      <c r="C85" s="887"/>
      <c r="D85" s="885"/>
      <c r="E85" s="885"/>
      <c r="F85" s="885"/>
      <c r="G85" s="885"/>
      <c r="H85" s="885"/>
      <c r="I85" s="885"/>
      <c r="J85" s="885"/>
      <c r="K85" s="885"/>
      <c r="L85" s="885"/>
      <c r="M85" s="885"/>
      <c r="N85" s="885"/>
      <c r="O85" s="885"/>
      <c r="P85" s="885"/>
      <c r="Q85" s="32"/>
      <c r="R85" s="32"/>
      <c r="S85" s="32"/>
      <c r="T85" s="32"/>
      <c r="U85" s="32"/>
      <c r="W85" s="574">
        <f t="shared" si="17"/>
        <v>76</v>
      </c>
      <c r="X85" s="564">
        <v>7</v>
      </c>
    </row>
    <row r="86" spans="1:34" x14ac:dyDescent="0.25">
      <c r="B86" s="884"/>
      <c r="C86" s="887"/>
      <c r="D86" s="885"/>
      <c r="E86" s="885"/>
      <c r="F86" s="885"/>
      <c r="G86" s="885"/>
      <c r="H86" s="885"/>
      <c r="I86" s="885"/>
      <c r="J86" s="885"/>
      <c r="K86" s="885"/>
      <c r="L86" s="885"/>
      <c r="M86" s="885"/>
      <c r="N86" s="885"/>
      <c r="O86" s="885"/>
      <c r="P86" s="885"/>
      <c r="Q86" s="32"/>
      <c r="R86" s="32"/>
      <c r="S86" s="32"/>
      <c r="T86" s="32"/>
      <c r="U86" s="32"/>
      <c r="W86" s="574">
        <f t="shared" si="17"/>
        <v>77</v>
      </c>
      <c r="X86" s="564">
        <v>7</v>
      </c>
    </row>
    <row r="87" spans="1:34" x14ac:dyDescent="0.25">
      <c r="B87" s="884"/>
      <c r="C87" s="887"/>
      <c r="D87" s="885"/>
      <c r="E87" s="885"/>
      <c r="F87" s="885"/>
      <c r="G87" s="885"/>
      <c r="H87" s="885"/>
      <c r="I87" s="885"/>
      <c r="J87" s="885"/>
      <c r="K87" s="885"/>
      <c r="L87" s="885"/>
      <c r="M87" s="885"/>
      <c r="N87" s="885"/>
      <c r="O87" s="885"/>
      <c r="P87" s="885"/>
      <c r="Q87" s="32"/>
      <c r="R87" s="32"/>
      <c r="S87" s="32"/>
      <c r="T87" s="32"/>
      <c r="U87" s="32"/>
      <c r="W87" s="574">
        <f t="shared" si="17"/>
        <v>78</v>
      </c>
      <c r="X87" s="564">
        <v>7</v>
      </c>
    </row>
    <row r="88" spans="1:34" x14ac:dyDescent="0.25">
      <c r="B88" s="884"/>
      <c r="C88" s="887"/>
      <c r="D88" s="885"/>
      <c r="E88" s="885"/>
      <c r="F88" s="885"/>
      <c r="G88" s="885"/>
      <c r="H88" s="885"/>
      <c r="I88" s="885"/>
      <c r="J88" s="885"/>
      <c r="K88" s="885"/>
      <c r="L88" s="885"/>
      <c r="M88" s="885"/>
      <c r="N88" s="885"/>
      <c r="O88" s="885"/>
      <c r="P88" s="885"/>
      <c r="Q88" s="32"/>
      <c r="R88" s="32"/>
      <c r="S88" s="32"/>
      <c r="T88" s="32"/>
      <c r="U88" s="32"/>
      <c r="W88" s="574">
        <f t="shared" si="17"/>
        <v>79</v>
      </c>
      <c r="X88" s="564">
        <v>7</v>
      </c>
    </row>
    <row r="89" spans="1:34" x14ac:dyDescent="0.25">
      <c r="B89" s="884"/>
      <c r="C89" s="887"/>
      <c r="D89" s="885"/>
      <c r="E89" s="885"/>
      <c r="F89" s="885"/>
      <c r="G89" s="885"/>
      <c r="H89" s="885"/>
      <c r="I89" s="885"/>
      <c r="J89" s="885"/>
      <c r="K89" s="885"/>
      <c r="L89" s="885"/>
      <c r="M89" s="885"/>
      <c r="N89" s="885"/>
      <c r="O89" s="885"/>
      <c r="P89" s="885"/>
      <c r="Q89" s="32"/>
      <c r="R89" s="32"/>
      <c r="S89" s="32"/>
      <c r="T89" s="32"/>
      <c r="U89" s="32"/>
      <c r="W89" s="574">
        <f t="shared" si="17"/>
        <v>80</v>
      </c>
      <c r="X89" s="564">
        <v>8</v>
      </c>
    </row>
    <row r="90" spans="1:34" x14ac:dyDescent="0.25">
      <c r="B90" s="884"/>
      <c r="C90" s="887"/>
      <c r="D90" s="885"/>
      <c r="E90" s="885"/>
      <c r="F90" s="885"/>
      <c r="G90" s="885"/>
      <c r="H90" s="885"/>
      <c r="I90" s="885"/>
      <c r="J90" s="885"/>
      <c r="K90" s="885"/>
      <c r="L90" s="885"/>
      <c r="M90" s="885"/>
      <c r="N90" s="885"/>
      <c r="O90" s="885"/>
      <c r="P90" s="885"/>
      <c r="Q90" s="32"/>
      <c r="R90" s="32"/>
      <c r="S90" s="32"/>
      <c r="T90" s="32"/>
      <c r="U90" s="32"/>
      <c r="W90" s="574">
        <f t="shared" ref="W90:W153" si="20">W89+1</f>
        <v>81</v>
      </c>
      <c r="X90" s="564">
        <v>8</v>
      </c>
    </row>
    <row r="91" spans="1:34" x14ac:dyDescent="0.25">
      <c r="B91" s="884"/>
      <c r="C91" s="887"/>
      <c r="D91" s="885"/>
      <c r="E91" s="885"/>
      <c r="F91" s="885"/>
      <c r="G91" s="885"/>
      <c r="H91" s="885"/>
      <c r="I91" s="885"/>
      <c r="J91" s="885"/>
      <c r="K91" s="885"/>
      <c r="L91" s="885"/>
      <c r="M91" s="885"/>
      <c r="N91" s="885"/>
      <c r="O91" s="885"/>
      <c r="P91" s="885"/>
      <c r="Q91" s="32"/>
      <c r="R91" s="32"/>
      <c r="S91" s="32"/>
      <c r="T91" s="32"/>
      <c r="U91" s="32"/>
      <c r="W91" s="574">
        <f t="shared" si="20"/>
        <v>82</v>
      </c>
      <c r="X91" s="564">
        <v>8</v>
      </c>
    </row>
    <row r="92" spans="1:34" x14ac:dyDescent="0.25">
      <c r="B92" s="884"/>
      <c r="C92" s="887"/>
      <c r="D92" s="885"/>
      <c r="E92" s="885"/>
      <c r="F92" s="885"/>
      <c r="G92" s="885"/>
      <c r="H92" s="885"/>
      <c r="I92" s="885"/>
      <c r="J92" s="885"/>
      <c r="K92" s="885"/>
      <c r="L92" s="885"/>
      <c r="M92" s="885"/>
      <c r="N92" s="885"/>
      <c r="O92" s="885"/>
      <c r="P92" s="885"/>
      <c r="Q92" s="32"/>
      <c r="R92" s="32"/>
      <c r="S92" s="32"/>
      <c r="T92" s="32"/>
      <c r="U92" s="32"/>
      <c r="W92" s="574">
        <f t="shared" si="20"/>
        <v>83</v>
      </c>
      <c r="X92" s="564">
        <v>8</v>
      </c>
    </row>
    <row r="93" spans="1:34" x14ac:dyDescent="0.25">
      <c r="B93" s="884"/>
      <c r="C93" s="887"/>
      <c r="D93" s="885"/>
      <c r="E93" s="885"/>
      <c r="F93" s="885"/>
      <c r="G93" s="885"/>
      <c r="H93" s="885"/>
      <c r="I93" s="885"/>
      <c r="J93" s="885"/>
      <c r="K93" s="885"/>
      <c r="L93" s="885"/>
      <c r="M93" s="885"/>
      <c r="N93" s="885"/>
      <c r="O93" s="885"/>
      <c r="P93" s="885"/>
      <c r="Q93" s="32"/>
      <c r="R93" s="32"/>
      <c r="S93" s="32"/>
      <c r="T93" s="32"/>
      <c r="U93" s="32"/>
      <c r="W93" s="574">
        <f t="shared" si="20"/>
        <v>84</v>
      </c>
      <c r="X93" s="564">
        <v>8</v>
      </c>
    </row>
    <row r="94" spans="1:34" x14ac:dyDescent="0.25">
      <c r="B94" s="884"/>
      <c r="C94" s="887"/>
      <c r="D94" s="885"/>
      <c r="E94" s="885"/>
      <c r="F94" s="885"/>
      <c r="G94" s="885"/>
      <c r="H94" s="885"/>
      <c r="I94" s="885"/>
      <c r="J94" s="885"/>
      <c r="K94" s="885"/>
      <c r="L94" s="885"/>
      <c r="M94" s="885"/>
      <c r="N94" s="885"/>
      <c r="O94" s="885"/>
      <c r="P94" s="885"/>
      <c r="S94" s="6"/>
      <c r="W94" s="574">
        <f t="shared" si="20"/>
        <v>85</v>
      </c>
      <c r="X94" s="564">
        <v>8</v>
      </c>
    </row>
    <row r="95" spans="1:34" x14ac:dyDescent="0.25">
      <c r="B95" s="884"/>
      <c r="C95" s="887"/>
      <c r="D95" s="885"/>
      <c r="E95" s="885"/>
      <c r="F95" s="885"/>
      <c r="G95" s="885"/>
      <c r="H95" s="885"/>
      <c r="I95" s="885"/>
      <c r="J95" s="885"/>
      <c r="K95" s="885"/>
      <c r="L95" s="885"/>
      <c r="M95" s="885"/>
      <c r="N95" s="885"/>
      <c r="O95" s="885"/>
      <c r="P95" s="885"/>
      <c r="S95" s="6"/>
      <c r="W95" s="574">
        <f t="shared" si="20"/>
        <v>86</v>
      </c>
      <c r="X95" s="564">
        <v>8</v>
      </c>
    </row>
    <row r="96" spans="1:34" x14ac:dyDescent="0.25">
      <c r="B96" s="884"/>
      <c r="C96" s="887"/>
      <c r="D96" s="885"/>
      <c r="E96" s="885"/>
      <c r="F96" s="885"/>
      <c r="G96" s="885"/>
      <c r="H96" s="885"/>
      <c r="I96" s="885"/>
      <c r="J96" s="885"/>
      <c r="K96" s="885"/>
      <c r="L96" s="885"/>
      <c r="M96" s="885"/>
      <c r="N96" s="885"/>
      <c r="O96" s="885"/>
      <c r="P96" s="885"/>
      <c r="S96" s="6"/>
      <c r="W96" s="574">
        <f t="shared" si="20"/>
        <v>87</v>
      </c>
      <c r="X96" s="564">
        <v>8</v>
      </c>
    </row>
    <row r="97" spans="2:24" x14ac:dyDescent="0.25">
      <c r="B97" s="884"/>
      <c r="C97" s="887"/>
      <c r="D97" s="885"/>
      <c r="E97" s="885"/>
      <c r="F97" s="885"/>
      <c r="G97" s="885"/>
      <c r="H97" s="885"/>
      <c r="I97" s="885"/>
      <c r="J97" s="885"/>
      <c r="K97" s="885"/>
      <c r="L97" s="885"/>
      <c r="M97" s="885"/>
      <c r="N97" s="885"/>
      <c r="O97" s="885"/>
      <c r="P97" s="885"/>
      <c r="S97" s="6"/>
      <c r="W97" s="574">
        <f t="shared" si="20"/>
        <v>88</v>
      </c>
      <c r="X97" s="564">
        <v>8</v>
      </c>
    </row>
    <row r="98" spans="2:24" x14ac:dyDescent="0.25">
      <c r="B98" s="884"/>
      <c r="C98" s="887"/>
      <c r="D98" s="885"/>
      <c r="E98" s="885"/>
      <c r="F98" s="885"/>
      <c r="G98" s="885"/>
      <c r="H98" s="885"/>
      <c r="I98" s="885"/>
      <c r="J98" s="885"/>
      <c r="K98" s="885"/>
      <c r="L98" s="885"/>
      <c r="M98" s="885"/>
      <c r="N98" s="885"/>
      <c r="O98" s="885"/>
      <c r="P98" s="885"/>
      <c r="S98" s="6"/>
      <c r="W98" s="574">
        <f t="shared" si="20"/>
        <v>89</v>
      </c>
      <c r="X98" s="564">
        <v>8</v>
      </c>
    </row>
    <row r="99" spans="2:24" x14ac:dyDescent="0.25">
      <c r="B99" s="884"/>
      <c r="C99" s="887"/>
      <c r="D99" s="885"/>
      <c r="E99" s="885"/>
      <c r="F99" s="885"/>
      <c r="G99" s="885"/>
      <c r="H99" s="885"/>
      <c r="I99" s="885"/>
      <c r="J99" s="885"/>
      <c r="K99" s="885"/>
      <c r="L99" s="885"/>
      <c r="M99" s="885"/>
      <c r="N99" s="885"/>
      <c r="O99" s="885"/>
      <c r="P99" s="885"/>
      <c r="S99" s="6"/>
      <c r="W99" s="574">
        <f t="shared" si="20"/>
        <v>90</v>
      </c>
      <c r="X99" s="564">
        <v>9</v>
      </c>
    </row>
    <row r="100" spans="2:24" x14ac:dyDescent="0.25">
      <c r="B100" s="884"/>
      <c r="C100" s="887"/>
      <c r="D100" s="885"/>
      <c r="E100" s="885"/>
      <c r="F100" s="885"/>
      <c r="G100" s="885"/>
      <c r="H100" s="885"/>
      <c r="I100" s="885"/>
      <c r="J100" s="885"/>
      <c r="K100" s="885"/>
      <c r="L100" s="885"/>
      <c r="M100" s="885"/>
      <c r="N100" s="885"/>
      <c r="O100" s="885"/>
      <c r="P100" s="885"/>
      <c r="S100" s="6"/>
      <c r="W100" s="574">
        <f t="shared" si="20"/>
        <v>91</v>
      </c>
      <c r="X100" s="564">
        <v>9</v>
      </c>
    </row>
    <row r="101" spans="2:24" x14ac:dyDescent="0.25">
      <c r="B101" s="884"/>
      <c r="C101" s="887"/>
      <c r="D101" s="885"/>
      <c r="E101" s="885"/>
      <c r="F101" s="885"/>
      <c r="G101" s="885"/>
      <c r="H101" s="885"/>
      <c r="I101" s="885"/>
      <c r="J101" s="885"/>
      <c r="K101" s="885"/>
      <c r="L101" s="885"/>
      <c r="M101" s="885"/>
      <c r="N101" s="885"/>
      <c r="O101" s="885"/>
      <c r="P101" s="885"/>
      <c r="S101" s="6"/>
      <c r="W101" s="574">
        <f t="shared" si="20"/>
        <v>92</v>
      </c>
      <c r="X101" s="564">
        <v>9</v>
      </c>
    </row>
    <row r="102" spans="2:24" x14ac:dyDescent="0.25">
      <c r="B102" s="884"/>
      <c r="C102" s="887"/>
      <c r="D102" s="885"/>
      <c r="E102" s="885"/>
      <c r="F102" s="885"/>
      <c r="G102" s="885"/>
      <c r="H102" s="885"/>
      <c r="I102" s="885"/>
      <c r="J102" s="885"/>
      <c r="K102" s="885"/>
      <c r="L102" s="885"/>
      <c r="M102" s="885"/>
      <c r="N102" s="885"/>
      <c r="O102" s="885"/>
      <c r="P102" s="885"/>
      <c r="S102" s="6"/>
      <c r="W102" s="574">
        <f t="shared" si="20"/>
        <v>93</v>
      </c>
      <c r="X102" s="564">
        <v>9</v>
      </c>
    </row>
    <row r="103" spans="2:24" x14ac:dyDescent="0.25">
      <c r="B103" s="884"/>
      <c r="C103" s="887"/>
      <c r="D103" s="885"/>
      <c r="E103" s="885"/>
      <c r="F103" s="885"/>
      <c r="G103" s="885"/>
      <c r="H103" s="885"/>
      <c r="I103" s="885"/>
      <c r="J103" s="885"/>
      <c r="K103" s="885"/>
      <c r="L103" s="885"/>
      <c r="M103" s="885"/>
      <c r="N103" s="885"/>
      <c r="O103" s="885"/>
      <c r="P103" s="885"/>
      <c r="S103" s="6"/>
      <c r="W103" s="574">
        <f t="shared" si="20"/>
        <v>94</v>
      </c>
      <c r="X103" s="564">
        <v>9</v>
      </c>
    </row>
    <row r="104" spans="2:24" x14ac:dyDescent="0.25">
      <c r="B104" s="884"/>
      <c r="C104" s="887"/>
      <c r="D104" s="885"/>
      <c r="E104" s="885"/>
      <c r="F104" s="885"/>
      <c r="G104" s="885"/>
      <c r="H104" s="885"/>
      <c r="I104" s="885"/>
      <c r="J104" s="885"/>
      <c r="K104" s="885"/>
      <c r="L104" s="885"/>
      <c r="M104" s="885"/>
      <c r="N104" s="885"/>
      <c r="O104" s="885"/>
      <c r="P104" s="885"/>
      <c r="S104" s="6"/>
      <c r="W104" s="574">
        <f t="shared" si="20"/>
        <v>95</v>
      </c>
      <c r="X104" s="564">
        <v>9</v>
      </c>
    </row>
    <row r="105" spans="2:24" x14ac:dyDescent="0.25">
      <c r="B105" s="884"/>
      <c r="C105" s="887"/>
      <c r="D105" s="885"/>
      <c r="E105" s="885"/>
      <c r="F105" s="885"/>
      <c r="G105" s="885"/>
      <c r="H105" s="885"/>
      <c r="I105" s="885"/>
      <c r="J105" s="885"/>
      <c r="K105" s="885"/>
      <c r="L105" s="885"/>
      <c r="M105" s="885"/>
      <c r="N105" s="885"/>
      <c r="O105" s="885"/>
      <c r="P105" s="885"/>
      <c r="S105" s="6"/>
      <c r="W105" s="574">
        <f t="shared" si="20"/>
        <v>96</v>
      </c>
      <c r="X105" s="564">
        <v>9</v>
      </c>
    </row>
    <row r="106" spans="2:24" x14ac:dyDescent="0.25">
      <c r="B106" s="884"/>
      <c r="C106" s="887"/>
      <c r="D106" s="885"/>
      <c r="E106" s="885"/>
      <c r="F106" s="885"/>
      <c r="G106" s="885"/>
      <c r="H106" s="885"/>
      <c r="I106" s="885"/>
      <c r="J106" s="885"/>
      <c r="K106" s="885"/>
      <c r="L106" s="885"/>
      <c r="M106" s="885"/>
      <c r="N106" s="885"/>
      <c r="O106" s="885"/>
      <c r="P106" s="885"/>
      <c r="S106" s="6"/>
      <c r="W106" s="574">
        <f t="shared" si="20"/>
        <v>97</v>
      </c>
      <c r="X106" s="564">
        <v>9</v>
      </c>
    </row>
    <row r="107" spans="2:24" x14ac:dyDescent="0.25">
      <c r="B107" s="884"/>
      <c r="C107" s="887"/>
      <c r="D107" s="885"/>
      <c r="E107" s="885"/>
      <c r="F107" s="885"/>
      <c r="G107" s="885"/>
      <c r="H107" s="885"/>
      <c r="I107" s="885"/>
      <c r="J107" s="885"/>
      <c r="K107" s="885"/>
      <c r="L107" s="885"/>
      <c r="M107" s="885"/>
      <c r="N107" s="885"/>
      <c r="O107" s="885"/>
      <c r="P107" s="885"/>
      <c r="S107" s="6"/>
      <c r="W107" s="574">
        <f t="shared" si="20"/>
        <v>98</v>
      </c>
      <c r="X107" s="564">
        <v>9</v>
      </c>
    </row>
    <row r="108" spans="2:24" x14ac:dyDescent="0.25">
      <c r="B108" s="884"/>
      <c r="C108" s="887"/>
      <c r="D108" s="885"/>
      <c r="E108" s="885"/>
      <c r="F108" s="885"/>
      <c r="G108" s="885"/>
      <c r="H108" s="885"/>
      <c r="I108" s="885"/>
      <c r="J108" s="885"/>
      <c r="K108" s="885"/>
      <c r="L108" s="885"/>
      <c r="M108" s="885"/>
      <c r="N108" s="885"/>
      <c r="O108" s="885"/>
      <c r="P108" s="885"/>
      <c r="S108" s="6"/>
      <c r="W108" s="574">
        <f t="shared" si="20"/>
        <v>99</v>
      </c>
      <c r="X108" s="564">
        <v>9</v>
      </c>
    </row>
    <row r="109" spans="2:24" x14ac:dyDescent="0.25">
      <c r="B109" s="884"/>
      <c r="C109" s="887"/>
      <c r="D109" s="885"/>
      <c r="E109" s="885"/>
      <c r="F109" s="885"/>
      <c r="G109" s="885"/>
      <c r="H109" s="885"/>
      <c r="I109" s="885"/>
      <c r="J109" s="885"/>
      <c r="K109" s="885"/>
      <c r="L109" s="885"/>
      <c r="M109" s="885"/>
      <c r="N109" s="885"/>
      <c r="O109" s="885"/>
      <c r="P109" s="885"/>
      <c r="S109" s="6"/>
      <c r="W109" s="574">
        <f t="shared" si="20"/>
        <v>100</v>
      </c>
      <c r="X109" s="564">
        <v>10</v>
      </c>
    </row>
    <row r="110" spans="2:24" x14ac:dyDescent="0.25">
      <c r="B110" s="884"/>
      <c r="C110" s="887"/>
      <c r="D110" s="885"/>
      <c r="E110" s="885"/>
      <c r="F110" s="885"/>
      <c r="G110" s="885"/>
      <c r="H110" s="885"/>
      <c r="I110" s="885"/>
      <c r="J110" s="885"/>
      <c r="K110" s="885"/>
      <c r="L110" s="885"/>
      <c r="M110" s="885"/>
      <c r="N110" s="885"/>
      <c r="O110" s="885"/>
      <c r="P110" s="885"/>
      <c r="S110" s="6"/>
      <c r="W110" s="574">
        <f t="shared" si="20"/>
        <v>101</v>
      </c>
      <c r="X110" s="564">
        <v>10</v>
      </c>
    </row>
    <row r="111" spans="2:24" x14ac:dyDescent="0.25">
      <c r="B111" s="884"/>
      <c r="C111" s="887"/>
      <c r="D111" s="885"/>
      <c r="E111" s="885"/>
      <c r="F111" s="885"/>
      <c r="G111" s="885"/>
      <c r="H111" s="885"/>
      <c r="I111" s="885"/>
      <c r="J111" s="885"/>
      <c r="K111" s="885"/>
      <c r="L111" s="885"/>
      <c r="M111" s="885"/>
      <c r="N111" s="885"/>
      <c r="O111" s="885"/>
      <c r="P111" s="885"/>
      <c r="S111" s="6"/>
      <c r="W111" s="574">
        <f t="shared" si="20"/>
        <v>102</v>
      </c>
      <c r="X111" s="564">
        <v>10</v>
      </c>
    </row>
    <row r="112" spans="2:24" x14ac:dyDescent="0.25">
      <c r="B112" s="884"/>
      <c r="C112" s="887"/>
      <c r="D112" s="885"/>
      <c r="E112" s="885"/>
      <c r="F112" s="885"/>
      <c r="G112" s="885"/>
      <c r="H112" s="885"/>
      <c r="I112" s="885"/>
      <c r="J112" s="885"/>
      <c r="K112" s="885"/>
      <c r="L112" s="885"/>
      <c r="M112" s="885"/>
      <c r="N112" s="885"/>
      <c r="O112" s="885"/>
      <c r="P112" s="885"/>
      <c r="S112" s="6"/>
      <c r="W112" s="574">
        <f t="shared" si="20"/>
        <v>103</v>
      </c>
      <c r="X112" s="564">
        <v>10</v>
      </c>
    </row>
    <row r="113" spans="2:34" x14ac:dyDescent="0.25">
      <c r="B113" s="884"/>
      <c r="C113" s="887"/>
      <c r="D113" s="885"/>
      <c r="E113" s="885"/>
      <c r="F113" s="885"/>
      <c r="G113" s="885"/>
      <c r="H113" s="885"/>
      <c r="I113" s="885"/>
      <c r="J113" s="885"/>
      <c r="K113" s="885"/>
      <c r="L113" s="885"/>
      <c r="M113" s="885"/>
      <c r="N113" s="885"/>
      <c r="O113" s="885"/>
      <c r="P113" s="885"/>
      <c r="S113" s="6"/>
      <c r="W113" s="574">
        <f t="shared" si="20"/>
        <v>104</v>
      </c>
      <c r="X113" s="564">
        <v>10</v>
      </c>
    </row>
    <row r="114" spans="2:34" x14ac:dyDescent="0.25">
      <c r="B114" s="884"/>
      <c r="C114" s="887"/>
      <c r="D114" s="885"/>
      <c r="E114" s="885"/>
      <c r="F114" s="885"/>
      <c r="G114" s="885"/>
      <c r="H114" s="885"/>
      <c r="I114" s="885"/>
      <c r="J114" s="885"/>
      <c r="K114" s="885"/>
      <c r="L114" s="885"/>
      <c r="M114" s="885"/>
      <c r="N114" s="885"/>
      <c r="O114" s="885"/>
      <c r="P114" s="885"/>
      <c r="S114" s="6"/>
      <c r="W114" s="574">
        <f t="shared" si="20"/>
        <v>105</v>
      </c>
      <c r="X114" s="564">
        <v>10</v>
      </c>
    </row>
    <row r="115" spans="2:34" x14ac:dyDescent="0.25">
      <c r="B115" s="884"/>
      <c r="C115" s="887"/>
      <c r="D115" s="885"/>
      <c r="E115" s="885"/>
      <c r="F115" s="885"/>
      <c r="G115" s="885"/>
      <c r="H115" s="885"/>
      <c r="I115" s="885"/>
      <c r="J115" s="885"/>
      <c r="K115" s="885"/>
      <c r="L115" s="885"/>
      <c r="M115" s="885"/>
      <c r="N115" s="885"/>
      <c r="O115" s="885"/>
      <c r="P115" s="885"/>
      <c r="S115" s="6"/>
      <c r="W115" s="574">
        <f t="shared" si="20"/>
        <v>106</v>
      </c>
      <c r="X115" s="564">
        <v>10</v>
      </c>
    </row>
    <row r="116" spans="2:34" x14ac:dyDescent="0.25">
      <c r="B116" s="884"/>
      <c r="C116" s="887"/>
      <c r="D116" s="885"/>
      <c r="E116" s="885"/>
      <c r="F116" s="885"/>
      <c r="G116" s="885"/>
      <c r="H116" s="885"/>
      <c r="I116" s="885"/>
      <c r="J116" s="885"/>
      <c r="K116" s="885"/>
      <c r="L116" s="885"/>
      <c r="M116" s="885"/>
      <c r="N116" s="885"/>
      <c r="O116" s="885"/>
      <c r="P116" s="885"/>
      <c r="S116" s="6"/>
      <c r="W116" s="574">
        <f t="shared" si="20"/>
        <v>107</v>
      </c>
      <c r="X116" s="564">
        <v>10</v>
      </c>
    </row>
    <row r="117" spans="2:34" x14ac:dyDescent="0.25">
      <c r="B117" s="884"/>
      <c r="C117" s="887"/>
      <c r="D117" s="885"/>
      <c r="E117" s="885"/>
      <c r="F117" s="885"/>
      <c r="G117" s="885"/>
      <c r="H117" s="885"/>
      <c r="I117" s="885"/>
      <c r="J117" s="885"/>
      <c r="K117" s="885"/>
      <c r="L117" s="885"/>
      <c r="M117" s="885"/>
      <c r="N117" s="885"/>
      <c r="O117" s="885"/>
      <c r="P117" s="885"/>
      <c r="S117" s="6"/>
      <c r="W117" s="574">
        <f t="shared" si="20"/>
        <v>108</v>
      </c>
      <c r="X117" s="564">
        <v>10</v>
      </c>
    </row>
    <row r="118" spans="2:34" x14ac:dyDescent="0.25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S118" s="6"/>
      <c r="W118" s="574">
        <f t="shared" si="20"/>
        <v>109</v>
      </c>
      <c r="X118" s="564">
        <v>10</v>
      </c>
    </row>
    <row r="119" spans="2:34" x14ac:dyDescent="0.25">
      <c r="B119" s="32"/>
      <c r="C119" s="32"/>
      <c r="D119" s="32"/>
      <c r="E119" s="32"/>
      <c r="F119" s="32"/>
      <c r="G119" s="32"/>
      <c r="H119" s="32"/>
      <c r="I119" s="608"/>
      <c r="J119" s="608"/>
      <c r="K119" s="608"/>
      <c r="L119" s="608"/>
      <c r="M119" s="608"/>
      <c r="N119" s="608"/>
      <c r="O119" s="608"/>
      <c r="P119" s="608"/>
      <c r="S119" s="6"/>
      <c r="W119" s="574">
        <f t="shared" si="20"/>
        <v>110</v>
      </c>
      <c r="X119" s="564">
        <v>11</v>
      </c>
    </row>
    <row r="120" spans="2:34" x14ac:dyDescent="0.25">
      <c r="B120" s="32"/>
      <c r="C120" s="32"/>
      <c r="D120" s="32"/>
      <c r="E120" s="32"/>
      <c r="F120" s="32"/>
      <c r="G120" s="32"/>
      <c r="H120" s="32"/>
      <c r="I120" s="608"/>
      <c r="J120" s="608"/>
      <c r="K120" s="608"/>
      <c r="L120" s="608"/>
      <c r="M120" s="608"/>
      <c r="N120" s="608"/>
      <c r="O120" s="608"/>
      <c r="P120" s="608"/>
      <c r="S120" s="6"/>
      <c r="W120" s="574">
        <f t="shared" si="20"/>
        <v>111</v>
      </c>
      <c r="X120" s="564">
        <v>11</v>
      </c>
    </row>
    <row r="121" spans="2:34" x14ac:dyDescent="0.25">
      <c r="B121" s="32"/>
      <c r="C121" s="32"/>
      <c r="D121" s="32"/>
      <c r="E121" s="32"/>
      <c r="F121" s="32"/>
      <c r="G121" s="32"/>
      <c r="H121" s="32"/>
      <c r="I121" s="608"/>
      <c r="J121" s="608"/>
      <c r="K121" s="608"/>
      <c r="L121" s="608"/>
      <c r="M121" s="608"/>
      <c r="N121" s="608"/>
      <c r="O121" s="608"/>
      <c r="P121" s="608"/>
      <c r="S121" s="6"/>
      <c r="W121" s="574">
        <f t="shared" si="20"/>
        <v>112</v>
      </c>
      <c r="X121" s="564">
        <v>11</v>
      </c>
    </row>
    <row r="122" spans="2:34" x14ac:dyDescent="0.25">
      <c r="B122" s="32"/>
      <c r="C122" s="32"/>
      <c r="D122" s="32"/>
      <c r="E122" s="32"/>
      <c r="F122" s="32"/>
      <c r="G122" s="32"/>
      <c r="H122" s="32"/>
      <c r="I122" s="608"/>
      <c r="J122" s="608"/>
      <c r="K122" s="608"/>
      <c r="L122" s="608"/>
      <c r="M122" s="608"/>
      <c r="N122" s="608"/>
      <c r="O122" s="608"/>
      <c r="P122" s="608"/>
      <c r="W122" s="574">
        <f t="shared" si="20"/>
        <v>113</v>
      </c>
      <c r="X122" s="564">
        <v>11</v>
      </c>
      <c r="Z122"/>
      <c r="AA122"/>
      <c r="AB122"/>
      <c r="AC122"/>
      <c r="AD122"/>
      <c r="AE122"/>
      <c r="AF122"/>
      <c r="AG122"/>
      <c r="AH122"/>
    </row>
    <row r="123" spans="2:34" x14ac:dyDescent="0.25">
      <c r="B123" s="32"/>
      <c r="C123" s="32"/>
      <c r="D123" s="32"/>
      <c r="E123" s="32"/>
      <c r="F123" s="32"/>
      <c r="G123" s="32"/>
      <c r="H123" s="32"/>
      <c r="I123" s="608"/>
      <c r="J123" s="608"/>
      <c r="K123" s="608"/>
      <c r="L123" s="608"/>
      <c r="M123" s="608"/>
      <c r="N123" s="608"/>
      <c r="O123" s="608"/>
      <c r="P123" s="608"/>
      <c r="W123" s="574">
        <f t="shared" si="20"/>
        <v>114</v>
      </c>
      <c r="X123" s="564">
        <v>11</v>
      </c>
      <c r="Z123"/>
      <c r="AA123"/>
      <c r="AB123"/>
      <c r="AC123"/>
      <c r="AD123"/>
      <c r="AE123"/>
      <c r="AF123"/>
      <c r="AG123"/>
      <c r="AH123"/>
    </row>
    <row r="124" spans="2:34" x14ac:dyDescent="0.25">
      <c r="B124" s="32"/>
      <c r="C124" s="32"/>
      <c r="D124" s="32"/>
      <c r="E124" s="32"/>
      <c r="F124" s="32"/>
      <c r="G124" s="32"/>
      <c r="H124" s="32"/>
      <c r="I124" s="608"/>
      <c r="J124" s="608"/>
      <c r="K124" s="608"/>
      <c r="L124" s="608"/>
      <c r="M124" s="608"/>
      <c r="N124" s="608"/>
      <c r="O124" s="608"/>
      <c r="P124" s="608"/>
      <c r="W124" s="574">
        <f t="shared" si="20"/>
        <v>115</v>
      </c>
      <c r="X124" s="564">
        <v>11</v>
      </c>
      <c r="Z124"/>
      <c r="AA124"/>
      <c r="AB124"/>
      <c r="AC124"/>
      <c r="AD124"/>
      <c r="AE124"/>
      <c r="AF124"/>
      <c r="AG124"/>
      <c r="AH124"/>
    </row>
    <row r="125" spans="2:34" x14ac:dyDescent="0.25">
      <c r="B125" s="32"/>
      <c r="C125" s="32"/>
      <c r="D125" s="32"/>
      <c r="E125" s="32"/>
      <c r="F125" s="32"/>
      <c r="G125" s="32"/>
      <c r="H125" s="32"/>
      <c r="I125" s="608"/>
      <c r="J125" s="608"/>
      <c r="K125" s="608"/>
      <c r="L125" s="608"/>
      <c r="M125" s="608"/>
      <c r="N125" s="608"/>
      <c r="O125" s="608"/>
      <c r="P125" s="608"/>
      <c r="W125" s="574">
        <f t="shared" si="20"/>
        <v>116</v>
      </c>
      <c r="X125" s="564">
        <v>11</v>
      </c>
      <c r="Z125"/>
      <c r="AA125"/>
      <c r="AB125"/>
      <c r="AC125"/>
      <c r="AD125"/>
      <c r="AE125"/>
      <c r="AF125"/>
      <c r="AG125"/>
      <c r="AH125"/>
    </row>
    <row r="126" spans="2:34" x14ac:dyDescent="0.25">
      <c r="B126" s="32"/>
      <c r="C126" s="32"/>
      <c r="D126" s="32"/>
      <c r="E126" s="32"/>
      <c r="F126" s="32"/>
      <c r="G126" s="32"/>
      <c r="H126" s="32"/>
      <c r="I126" s="608"/>
      <c r="J126" s="608"/>
      <c r="K126" s="608"/>
      <c r="L126" s="608"/>
      <c r="M126" s="608"/>
      <c r="N126" s="608"/>
      <c r="O126" s="608"/>
      <c r="P126" s="608"/>
      <c r="W126" s="574">
        <f t="shared" si="20"/>
        <v>117</v>
      </c>
      <c r="X126" s="564">
        <v>11</v>
      </c>
      <c r="Z126"/>
      <c r="AA126"/>
      <c r="AB126"/>
      <c r="AC126"/>
      <c r="AD126"/>
      <c r="AE126"/>
      <c r="AF126"/>
      <c r="AG126"/>
      <c r="AH126"/>
    </row>
    <row r="127" spans="2:34" x14ac:dyDescent="0.25">
      <c r="B127" s="32"/>
      <c r="C127" s="32"/>
      <c r="D127" s="32"/>
      <c r="E127" s="32"/>
      <c r="F127" s="32"/>
      <c r="G127" s="32"/>
      <c r="H127" s="32"/>
      <c r="I127" s="608"/>
      <c r="J127" s="608"/>
      <c r="K127" s="608"/>
      <c r="L127" s="608"/>
      <c r="M127" s="608"/>
      <c r="N127" s="608"/>
      <c r="O127" s="608"/>
      <c r="P127" s="608"/>
      <c r="W127" s="574">
        <f t="shared" si="20"/>
        <v>118</v>
      </c>
      <c r="X127" s="564">
        <v>11</v>
      </c>
      <c r="Z127"/>
      <c r="AA127"/>
      <c r="AB127"/>
      <c r="AC127"/>
      <c r="AD127"/>
      <c r="AE127"/>
      <c r="AF127"/>
      <c r="AG127"/>
      <c r="AH127"/>
    </row>
    <row r="128" spans="2:34" x14ac:dyDescent="0.25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W128" s="574">
        <f t="shared" si="20"/>
        <v>119</v>
      </c>
      <c r="X128" s="564">
        <v>11</v>
      </c>
      <c r="Z128"/>
      <c r="AA128"/>
      <c r="AB128"/>
      <c r="AC128"/>
      <c r="AD128"/>
      <c r="AE128"/>
      <c r="AF128"/>
      <c r="AG128"/>
      <c r="AH128"/>
    </row>
    <row r="129" spans="2:34" x14ac:dyDescent="0.25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W129" s="574">
        <f t="shared" si="20"/>
        <v>120</v>
      </c>
      <c r="X129" s="564">
        <v>12</v>
      </c>
      <c r="Z129"/>
      <c r="AA129"/>
      <c r="AB129"/>
      <c r="AC129"/>
      <c r="AD129"/>
      <c r="AE129"/>
      <c r="AF129"/>
      <c r="AG129"/>
      <c r="AH129"/>
    </row>
    <row r="130" spans="2:34" x14ac:dyDescent="0.25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W130" s="574">
        <f t="shared" si="20"/>
        <v>121</v>
      </c>
      <c r="X130" s="564">
        <v>12</v>
      </c>
      <c r="Z130"/>
      <c r="AA130"/>
      <c r="AB130"/>
      <c r="AC130"/>
      <c r="AD130"/>
      <c r="AE130"/>
      <c r="AF130"/>
      <c r="AG130"/>
      <c r="AH130"/>
    </row>
    <row r="131" spans="2:34" x14ac:dyDescent="0.25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W131" s="574">
        <f t="shared" si="20"/>
        <v>122</v>
      </c>
      <c r="X131" s="564">
        <v>12</v>
      </c>
      <c r="Z131"/>
      <c r="AA131"/>
      <c r="AB131"/>
      <c r="AC131"/>
      <c r="AD131"/>
      <c r="AE131"/>
      <c r="AF131"/>
      <c r="AG131"/>
      <c r="AH131"/>
    </row>
    <row r="132" spans="2:34" x14ac:dyDescent="0.25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W132" s="574">
        <f t="shared" si="20"/>
        <v>123</v>
      </c>
      <c r="X132" s="564">
        <v>12</v>
      </c>
      <c r="Z132"/>
      <c r="AA132"/>
      <c r="AB132"/>
      <c r="AC132"/>
      <c r="AD132"/>
      <c r="AE132"/>
      <c r="AF132"/>
      <c r="AG132"/>
      <c r="AH132"/>
    </row>
    <row r="133" spans="2:34" x14ac:dyDescent="0.25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/>
      <c r="R133"/>
      <c r="W133" s="574">
        <f t="shared" si="20"/>
        <v>124</v>
      </c>
      <c r="X133" s="564">
        <v>12</v>
      </c>
      <c r="Z133"/>
      <c r="AA133"/>
      <c r="AB133"/>
      <c r="AC133"/>
      <c r="AD133"/>
      <c r="AE133"/>
      <c r="AF133"/>
      <c r="AG133"/>
      <c r="AH133"/>
    </row>
    <row r="134" spans="2:34" x14ac:dyDescent="0.25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W134" s="574">
        <f t="shared" si="20"/>
        <v>125</v>
      </c>
      <c r="X134" s="564">
        <v>12</v>
      </c>
      <c r="Z134"/>
      <c r="AA134"/>
      <c r="AB134"/>
      <c r="AC134"/>
      <c r="AD134"/>
      <c r="AE134"/>
      <c r="AF134"/>
      <c r="AG134"/>
      <c r="AH134"/>
    </row>
    <row r="135" spans="2:34" x14ac:dyDescent="0.25">
      <c r="B135" s="32"/>
      <c r="C135" s="32"/>
      <c r="D135" s="32"/>
      <c r="E135" s="32"/>
      <c r="F135" s="32"/>
      <c r="G135" s="32"/>
      <c r="H135" s="32"/>
      <c r="I135" s="608"/>
      <c r="J135" s="608"/>
      <c r="K135" s="608"/>
      <c r="L135" s="608"/>
      <c r="M135" s="608"/>
      <c r="N135" s="608"/>
      <c r="O135" s="608"/>
      <c r="P135" s="608"/>
      <c r="W135" s="574">
        <f t="shared" si="20"/>
        <v>126</v>
      </c>
      <c r="X135" s="564">
        <v>12</v>
      </c>
      <c r="Z135"/>
      <c r="AA135"/>
      <c r="AB135"/>
      <c r="AC135"/>
      <c r="AD135"/>
      <c r="AE135"/>
      <c r="AF135"/>
      <c r="AG135"/>
      <c r="AH135"/>
    </row>
    <row r="136" spans="2:34" x14ac:dyDescent="0.25">
      <c r="B136" s="32"/>
      <c r="C136" s="32"/>
      <c r="D136" s="32"/>
      <c r="E136" s="32"/>
      <c r="F136" s="32"/>
      <c r="G136" s="32"/>
      <c r="H136" s="32"/>
      <c r="I136" s="608"/>
      <c r="J136" s="608"/>
      <c r="K136" s="608"/>
      <c r="L136" s="608"/>
      <c r="M136" s="608"/>
      <c r="N136" s="608"/>
      <c r="O136" s="608"/>
      <c r="P136" s="608"/>
      <c r="W136" s="574">
        <f t="shared" si="20"/>
        <v>127</v>
      </c>
      <c r="X136" s="564">
        <v>12</v>
      </c>
      <c r="Z136"/>
      <c r="AA136"/>
      <c r="AB136"/>
      <c r="AC136"/>
      <c r="AD136"/>
      <c r="AE136"/>
      <c r="AF136"/>
      <c r="AG136"/>
      <c r="AH136"/>
    </row>
    <row r="137" spans="2:34" ht="15.75" x14ac:dyDescent="0.25">
      <c r="B137" s="498"/>
      <c r="C137" s="498"/>
      <c r="D137" s="498"/>
      <c r="E137" s="498"/>
      <c r="F137" s="498"/>
      <c r="G137" s="498"/>
      <c r="H137" s="498"/>
      <c r="I137" s="498"/>
      <c r="J137" s="32"/>
      <c r="K137" s="498"/>
      <c r="L137" s="498"/>
      <c r="M137" s="498"/>
      <c r="N137" s="498"/>
      <c r="O137" s="498"/>
      <c r="P137" s="498"/>
      <c r="W137" s="574">
        <f t="shared" si="20"/>
        <v>128</v>
      </c>
      <c r="X137" s="564">
        <v>12</v>
      </c>
      <c r="Z137"/>
      <c r="AA137"/>
      <c r="AB137"/>
      <c r="AC137"/>
      <c r="AD137"/>
      <c r="AE137"/>
      <c r="AF137"/>
      <c r="AG137"/>
      <c r="AH137"/>
    </row>
    <row r="138" spans="2:34" ht="15.75" x14ac:dyDescent="0.25">
      <c r="B138" s="880"/>
      <c r="C138" s="881"/>
      <c r="D138" s="882"/>
      <c r="E138" s="882"/>
      <c r="F138" s="882"/>
      <c r="G138" s="882"/>
      <c r="H138" s="882"/>
      <c r="I138" s="882"/>
      <c r="J138" s="882"/>
      <c r="K138" s="882"/>
      <c r="L138" s="882"/>
      <c r="M138" s="882"/>
      <c r="N138" s="882"/>
      <c r="O138" s="882"/>
      <c r="P138" s="882"/>
      <c r="W138" s="574">
        <f t="shared" si="20"/>
        <v>129</v>
      </c>
      <c r="X138" s="564">
        <v>12</v>
      </c>
      <c r="Z138"/>
      <c r="AA138"/>
      <c r="AB138"/>
      <c r="AC138"/>
      <c r="AD138"/>
      <c r="AE138"/>
      <c r="AF138"/>
      <c r="AG138"/>
      <c r="AH138"/>
    </row>
    <row r="139" spans="2:34" x14ac:dyDescent="0.25">
      <c r="B139" s="883"/>
      <c r="C139" s="881"/>
      <c r="D139" s="886"/>
      <c r="E139" s="886"/>
      <c r="F139" s="886"/>
      <c r="G139" s="886"/>
      <c r="H139" s="886"/>
      <c r="I139" s="886"/>
      <c r="J139" s="886"/>
      <c r="K139" s="886"/>
      <c r="L139" s="886"/>
      <c r="M139" s="886"/>
      <c r="N139" s="886"/>
      <c r="O139" s="886"/>
      <c r="P139" s="886"/>
      <c r="W139" s="574">
        <f t="shared" si="20"/>
        <v>130</v>
      </c>
      <c r="X139" s="564">
        <v>13</v>
      </c>
      <c r="Z139"/>
      <c r="AA139"/>
      <c r="AB139"/>
      <c r="AC139"/>
      <c r="AD139"/>
      <c r="AE139"/>
      <c r="AF139"/>
      <c r="AG139"/>
      <c r="AH139"/>
    </row>
    <row r="140" spans="2:34" x14ac:dyDescent="0.25">
      <c r="B140" s="884"/>
      <c r="C140" s="887"/>
      <c r="D140" s="885"/>
      <c r="E140" s="885"/>
      <c r="F140" s="885"/>
      <c r="G140" s="885"/>
      <c r="H140" s="885"/>
      <c r="I140" s="885"/>
      <c r="J140" s="885"/>
      <c r="K140" s="885"/>
      <c r="L140" s="885"/>
      <c r="M140" s="885"/>
      <c r="N140" s="885"/>
      <c r="O140" s="885"/>
      <c r="P140" s="885"/>
      <c r="W140" s="574">
        <f t="shared" si="20"/>
        <v>131</v>
      </c>
      <c r="X140" s="564">
        <v>13</v>
      </c>
      <c r="Z140"/>
      <c r="AA140"/>
      <c r="AB140"/>
      <c r="AC140"/>
      <c r="AD140"/>
      <c r="AE140"/>
      <c r="AF140"/>
      <c r="AG140"/>
      <c r="AH140"/>
    </row>
    <row r="141" spans="2:34" x14ac:dyDescent="0.25">
      <c r="B141" s="884"/>
      <c r="C141" s="887"/>
      <c r="D141" s="885"/>
      <c r="E141" s="885"/>
      <c r="F141" s="885"/>
      <c r="G141" s="885"/>
      <c r="H141" s="885"/>
      <c r="I141" s="885"/>
      <c r="J141" s="885"/>
      <c r="K141" s="885"/>
      <c r="L141" s="885"/>
      <c r="M141" s="885"/>
      <c r="N141" s="885"/>
      <c r="O141" s="885"/>
      <c r="P141" s="885"/>
      <c r="W141" s="574">
        <f t="shared" si="20"/>
        <v>132</v>
      </c>
      <c r="X141" s="564">
        <v>13</v>
      </c>
      <c r="Z141"/>
      <c r="AA141"/>
      <c r="AB141"/>
      <c r="AC141"/>
      <c r="AD141"/>
      <c r="AE141"/>
      <c r="AF141"/>
      <c r="AG141"/>
      <c r="AH141"/>
    </row>
    <row r="142" spans="2:34" x14ac:dyDescent="0.25">
      <c r="B142" s="884"/>
      <c r="C142" s="887"/>
      <c r="D142" s="885"/>
      <c r="E142" s="885"/>
      <c r="F142" s="885"/>
      <c r="G142" s="885"/>
      <c r="H142" s="885"/>
      <c r="I142" s="885"/>
      <c r="J142" s="885"/>
      <c r="K142" s="885"/>
      <c r="L142" s="885"/>
      <c r="M142" s="885"/>
      <c r="N142" s="885"/>
      <c r="O142" s="885"/>
      <c r="P142" s="885"/>
      <c r="W142" s="574">
        <f t="shared" si="20"/>
        <v>133</v>
      </c>
      <c r="X142" s="564">
        <v>13</v>
      </c>
      <c r="Z142"/>
      <c r="AA142"/>
      <c r="AB142"/>
      <c r="AC142"/>
      <c r="AD142"/>
      <c r="AE142"/>
      <c r="AF142"/>
      <c r="AG142"/>
      <c r="AH142"/>
    </row>
    <row r="143" spans="2:34" x14ac:dyDescent="0.25">
      <c r="B143" s="884"/>
      <c r="C143" s="887"/>
      <c r="D143" s="885"/>
      <c r="E143" s="885"/>
      <c r="F143" s="885"/>
      <c r="G143" s="885"/>
      <c r="H143" s="885"/>
      <c r="I143" s="885"/>
      <c r="J143" s="885"/>
      <c r="K143" s="885"/>
      <c r="L143" s="885"/>
      <c r="M143" s="885"/>
      <c r="N143" s="885"/>
      <c r="O143" s="885"/>
      <c r="P143" s="885"/>
      <c r="W143" s="574">
        <f t="shared" si="20"/>
        <v>134</v>
      </c>
      <c r="X143" s="564">
        <v>13</v>
      </c>
      <c r="Z143"/>
      <c r="AA143"/>
      <c r="AB143"/>
      <c r="AC143"/>
      <c r="AD143"/>
      <c r="AE143"/>
      <c r="AF143"/>
      <c r="AG143"/>
      <c r="AH143"/>
    </row>
    <row r="144" spans="2:34" x14ac:dyDescent="0.25">
      <c r="B144" s="884"/>
      <c r="C144" s="887"/>
      <c r="D144" s="835"/>
      <c r="E144" s="835"/>
      <c r="F144" s="835"/>
      <c r="G144" s="835"/>
      <c r="H144" s="835"/>
      <c r="I144" s="835"/>
      <c r="J144" s="835"/>
      <c r="K144" s="835"/>
      <c r="L144" s="835"/>
      <c r="M144" s="835"/>
      <c r="N144" s="835"/>
      <c r="O144" s="835"/>
      <c r="P144" s="835"/>
      <c r="W144" s="574">
        <f t="shared" si="20"/>
        <v>135</v>
      </c>
      <c r="X144" s="564">
        <v>13</v>
      </c>
    </row>
    <row r="145" spans="2:24" x14ac:dyDescent="0.25">
      <c r="B145" s="884"/>
      <c r="C145" s="887"/>
      <c r="D145" s="835"/>
      <c r="E145" s="835"/>
      <c r="F145" s="835"/>
      <c r="G145" s="835"/>
      <c r="H145" s="835"/>
      <c r="I145" s="835"/>
      <c r="J145" s="835"/>
      <c r="K145" s="835"/>
      <c r="L145" s="835"/>
      <c r="M145" s="835"/>
      <c r="N145" s="835"/>
      <c r="O145" s="835"/>
      <c r="P145" s="835"/>
      <c r="W145" s="574">
        <f t="shared" si="20"/>
        <v>136</v>
      </c>
      <c r="X145" s="564">
        <v>13</v>
      </c>
    </row>
    <row r="146" spans="2:24" x14ac:dyDescent="0.25">
      <c r="B146" s="884"/>
      <c r="C146" s="887"/>
      <c r="D146" s="835"/>
      <c r="E146" s="835"/>
      <c r="F146" s="835"/>
      <c r="G146" s="835"/>
      <c r="H146" s="835"/>
      <c r="I146" s="835"/>
      <c r="J146" s="835"/>
      <c r="K146" s="835"/>
      <c r="L146" s="835"/>
      <c r="M146" s="835"/>
      <c r="N146" s="835"/>
      <c r="O146" s="835"/>
      <c r="P146" s="835"/>
      <c r="W146" s="574">
        <f t="shared" si="20"/>
        <v>137</v>
      </c>
      <c r="X146" s="564">
        <v>13</v>
      </c>
    </row>
    <row r="147" spans="2:24" x14ac:dyDescent="0.25">
      <c r="B147" s="884"/>
      <c r="C147" s="887"/>
      <c r="D147" s="835"/>
      <c r="E147" s="835"/>
      <c r="F147" s="835"/>
      <c r="G147" s="835"/>
      <c r="H147" s="835"/>
      <c r="I147" s="835"/>
      <c r="J147" s="835"/>
      <c r="K147" s="835"/>
      <c r="L147" s="835"/>
      <c r="M147" s="835"/>
      <c r="N147" s="835"/>
      <c r="O147" s="835"/>
      <c r="P147" s="835"/>
      <c r="W147" s="574">
        <f t="shared" si="20"/>
        <v>138</v>
      </c>
      <c r="X147" s="564">
        <v>13</v>
      </c>
    </row>
    <row r="148" spans="2:24" x14ac:dyDescent="0.25">
      <c r="B148" s="884"/>
      <c r="C148" s="887"/>
      <c r="D148" s="835"/>
      <c r="E148" s="835"/>
      <c r="F148" s="835"/>
      <c r="G148" s="835"/>
      <c r="H148" s="835"/>
      <c r="I148" s="835"/>
      <c r="J148" s="835"/>
      <c r="K148" s="835"/>
      <c r="L148" s="835"/>
      <c r="M148" s="835"/>
      <c r="N148" s="835"/>
      <c r="O148" s="835"/>
      <c r="P148" s="835"/>
      <c r="W148" s="574">
        <f t="shared" si="20"/>
        <v>139</v>
      </c>
      <c r="X148" s="564">
        <v>13</v>
      </c>
    </row>
    <row r="149" spans="2:24" x14ac:dyDescent="0.25">
      <c r="B149" s="884"/>
      <c r="C149" s="887"/>
      <c r="D149" s="835"/>
      <c r="E149" s="835"/>
      <c r="F149" s="835"/>
      <c r="G149" s="835"/>
      <c r="H149" s="835"/>
      <c r="I149" s="835"/>
      <c r="J149" s="835"/>
      <c r="K149" s="835"/>
      <c r="L149" s="835"/>
      <c r="M149" s="835"/>
      <c r="N149" s="835"/>
      <c r="O149" s="835"/>
      <c r="P149" s="835"/>
      <c r="W149" s="574">
        <f t="shared" si="20"/>
        <v>140</v>
      </c>
      <c r="X149" s="564">
        <v>14</v>
      </c>
    </row>
    <row r="150" spans="2:24" x14ac:dyDescent="0.25">
      <c r="B150" s="884"/>
      <c r="C150" s="887"/>
      <c r="D150" s="835"/>
      <c r="E150" s="835"/>
      <c r="F150" s="835"/>
      <c r="G150" s="835"/>
      <c r="H150" s="835"/>
      <c r="I150" s="835"/>
      <c r="J150" s="835"/>
      <c r="K150" s="835"/>
      <c r="L150" s="835"/>
      <c r="M150" s="835"/>
      <c r="N150" s="835"/>
      <c r="O150" s="835"/>
      <c r="P150" s="835"/>
      <c r="W150" s="574">
        <f t="shared" si="20"/>
        <v>141</v>
      </c>
      <c r="X150" s="564">
        <v>14</v>
      </c>
    </row>
    <row r="151" spans="2:24" x14ac:dyDescent="0.25">
      <c r="B151" s="884"/>
      <c r="C151" s="887"/>
      <c r="D151" s="835"/>
      <c r="E151" s="835"/>
      <c r="F151" s="835"/>
      <c r="G151" s="835"/>
      <c r="H151" s="835"/>
      <c r="I151" s="835"/>
      <c r="J151" s="835"/>
      <c r="K151" s="835"/>
      <c r="L151" s="835"/>
      <c r="M151" s="835"/>
      <c r="N151" s="835"/>
      <c r="O151" s="835"/>
      <c r="P151" s="835"/>
      <c r="W151" s="574">
        <f t="shared" si="20"/>
        <v>142</v>
      </c>
      <c r="X151" s="564">
        <v>14</v>
      </c>
    </row>
    <row r="152" spans="2:24" x14ac:dyDescent="0.25">
      <c r="B152" s="884"/>
      <c r="C152" s="887"/>
      <c r="D152" s="835"/>
      <c r="E152" s="835"/>
      <c r="F152" s="835"/>
      <c r="G152" s="835"/>
      <c r="H152" s="835"/>
      <c r="I152" s="835"/>
      <c r="J152" s="835"/>
      <c r="K152" s="835"/>
      <c r="L152" s="835"/>
      <c r="M152" s="835"/>
      <c r="N152" s="835"/>
      <c r="O152" s="835"/>
      <c r="P152" s="835"/>
      <c r="W152" s="574">
        <f t="shared" si="20"/>
        <v>143</v>
      </c>
      <c r="X152" s="564">
        <v>14</v>
      </c>
    </row>
    <row r="153" spans="2:24" x14ac:dyDescent="0.25">
      <c r="B153" s="884"/>
      <c r="C153" s="887"/>
      <c r="D153" s="835"/>
      <c r="E153" s="835"/>
      <c r="F153" s="835"/>
      <c r="G153" s="835"/>
      <c r="H153" s="835"/>
      <c r="I153" s="835"/>
      <c r="J153" s="835"/>
      <c r="K153" s="835"/>
      <c r="L153" s="835"/>
      <c r="M153" s="835"/>
      <c r="N153" s="835"/>
      <c r="O153" s="835"/>
      <c r="P153" s="835"/>
      <c r="W153" s="574">
        <f t="shared" si="20"/>
        <v>144</v>
      </c>
      <c r="X153" s="564">
        <v>14</v>
      </c>
    </row>
    <row r="154" spans="2:24" x14ac:dyDescent="0.25">
      <c r="B154" s="884"/>
      <c r="C154" s="887"/>
      <c r="D154" s="835"/>
      <c r="E154" s="835"/>
      <c r="F154" s="835"/>
      <c r="G154" s="835"/>
      <c r="H154" s="835"/>
      <c r="I154" s="835"/>
      <c r="J154" s="835"/>
      <c r="K154" s="835"/>
      <c r="L154" s="835"/>
      <c r="M154" s="835"/>
      <c r="N154" s="835"/>
      <c r="O154" s="835"/>
      <c r="P154" s="835"/>
      <c r="W154" s="574">
        <f t="shared" ref="W154:W217" si="21">W153+1</f>
        <v>145</v>
      </c>
      <c r="X154" s="564">
        <v>14</v>
      </c>
    </row>
    <row r="155" spans="2:24" x14ac:dyDescent="0.25">
      <c r="B155" s="884"/>
      <c r="C155" s="887"/>
      <c r="D155" s="835"/>
      <c r="E155" s="835"/>
      <c r="F155" s="835"/>
      <c r="G155" s="835"/>
      <c r="H155" s="835"/>
      <c r="I155" s="835"/>
      <c r="J155" s="835"/>
      <c r="K155" s="835"/>
      <c r="L155" s="835"/>
      <c r="M155" s="835"/>
      <c r="N155" s="835"/>
      <c r="O155" s="835"/>
      <c r="P155" s="835"/>
      <c r="W155" s="574">
        <f t="shared" si="21"/>
        <v>146</v>
      </c>
      <c r="X155" s="564">
        <v>14</v>
      </c>
    </row>
    <row r="156" spans="2:24" x14ac:dyDescent="0.25">
      <c r="B156" s="884"/>
      <c r="C156" s="887"/>
      <c r="D156" s="835"/>
      <c r="E156" s="835"/>
      <c r="F156" s="835"/>
      <c r="G156" s="835"/>
      <c r="H156" s="835"/>
      <c r="I156" s="835"/>
      <c r="J156" s="835"/>
      <c r="K156" s="835"/>
      <c r="L156" s="835"/>
      <c r="M156" s="835"/>
      <c r="N156" s="835"/>
      <c r="O156" s="835"/>
      <c r="P156" s="835"/>
      <c r="W156" s="574">
        <f t="shared" si="21"/>
        <v>147</v>
      </c>
      <c r="X156" s="564">
        <v>14</v>
      </c>
    </row>
    <row r="157" spans="2:24" x14ac:dyDescent="0.25">
      <c r="B157" s="884"/>
      <c r="C157" s="887"/>
      <c r="D157" s="835"/>
      <c r="E157" s="835"/>
      <c r="F157" s="835"/>
      <c r="G157" s="835"/>
      <c r="H157" s="835"/>
      <c r="I157" s="835"/>
      <c r="J157" s="835"/>
      <c r="K157" s="835"/>
      <c r="L157" s="835"/>
      <c r="M157" s="835"/>
      <c r="N157" s="835"/>
      <c r="O157" s="835"/>
      <c r="P157" s="835"/>
      <c r="W157" s="574">
        <f t="shared" si="21"/>
        <v>148</v>
      </c>
      <c r="X157" s="564">
        <v>14</v>
      </c>
    </row>
    <row r="158" spans="2:24" x14ac:dyDescent="0.25">
      <c r="B158" s="884"/>
      <c r="C158" s="887"/>
      <c r="D158" s="835"/>
      <c r="E158" s="835"/>
      <c r="F158" s="835"/>
      <c r="G158" s="835"/>
      <c r="H158" s="835"/>
      <c r="I158" s="835"/>
      <c r="J158" s="835"/>
      <c r="K158" s="835"/>
      <c r="L158" s="835"/>
      <c r="M158" s="835"/>
      <c r="N158" s="835"/>
      <c r="O158" s="835"/>
      <c r="P158" s="835"/>
      <c r="W158" s="574">
        <f t="shared" si="21"/>
        <v>149</v>
      </c>
      <c r="X158" s="564">
        <v>14</v>
      </c>
    </row>
    <row r="159" spans="2:24" x14ac:dyDescent="0.25">
      <c r="B159" s="884"/>
      <c r="C159" s="887"/>
      <c r="D159" s="835"/>
      <c r="E159" s="835"/>
      <c r="F159" s="835"/>
      <c r="G159" s="835"/>
      <c r="H159" s="835"/>
      <c r="I159" s="835"/>
      <c r="J159" s="835"/>
      <c r="K159" s="835"/>
      <c r="L159" s="835"/>
      <c r="M159" s="835"/>
      <c r="N159" s="835"/>
      <c r="O159" s="835"/>
      <c r="P159" s="835"/>
      <c r="W159" s="574">
        <f t="shared" si="21"/>
        <v>150</v>
      </c>
      <c r="X159" s="564">
        <v>15</v>
      </c>
    </row>
    <row r="160" spans="2:24" x14ac:dyDescent="0.25">
      <c r="B160" s="884"/>
      <c r="C160" s="887"/>
      <c r="D160" s="835"/>
      <c r="E160" s="835"/>
      <c r="F160" s="835"/>
      <c r="G160" s="835"/>
      <c r="H160" s="835"/>
      <c r="I160" s="835"/>
      <c r="J160" s="835"/>
      <c r="K160" s="835"/>
      <c r="L160" s="835"/>
      <c r="M160" s="835"/>
      <c r="N160" s="835"/>
      <c r="O160" s="835"/>
      <c r="P160" s="835"/>
      <c r="W160" s="574">
        <f t="shared" si="21"/>
        <v>151</v>
      </c>
      <c r="X160" s="564">
        <v>15</v>
      </c>
    </row>
    <row r="161" spans="2:24" x14ac:dyDescent="0.25">
      <c r="B161" s="884"/>
      <c r="C161" s="887"/>
      <c r="D161" s="835"/>
      <c r="E161" s="835"/>
      <c r="F161" s="835"/>
      <c r="G161" s="835"/>
      <c r="H161" s="835"/>
      <c r="I161" s="835"/>
      <c r="J161" s="835"/>
      <c r="K161" s="835"/>
      <c r="L161" s="835"/>
      <c r="M161" s="835"/>
      <c r="N161" s="835"/>
      <c r="O161" s="835"/>
      <c r="P161" s="835"/>
      <c r="W161" s="574">
        <f t="shared" si="21"/>
        <v>152</v>
      </c>
      <c r="X161" s="564">
        <v>15</v>
      </c>
    </row>
    <row r="162" spans="2:24" x14ac:dyDescent="0.25">
      <c r="B162" s="884"/>
      <c r="C162" s="887"/>
      <c r="D162" s="835"/>
      <c r="E162" s="835"/>
      <c r="F162" s="835"/>
      <c r="G162" s="835"/>
      <c r="H162" s="835"/>
      <c r="I162" s="835"/>
      <c r="J162" s="835"/>
      <c r="K162" s="835"/>
      <c r="L162" s="835"/>
      <c r="M162" s="835"/>
      <c r="N162" s="835"/>
      <c r="O162" s="835"/>
      <c r="P162" s="835"/>
      <c r="W162" s="574">
        <f t="shared" si="21"/>
        <v>153</v>
      </c>
      <c r="X162" s="564">
        <v>15</v>
      </c>
    </row>
    <row r="163" spans="2:24" x14ac:dyDescent="0.25">
      <c r="B163" s="884"/>
      <c r="C163" s="887"/>
      <c r="D163" s="835"/>
      <c r="E163" s="835"/>
      <c r="F163" s="835"/>
      <c r="G163" s="835"/>
      <c r="H163" s="835"/>
      <c r="I163" s="835"/>
      <c r="J163" s="835"/>
      <c r="K163" s="835"/>
      <c r="L163" s="835"/>
      <c r="M163" s="835"/>
      <c r="N163" s="835"/>
      <c r="O163" s="835"/>
      <c r="P163" s="835"/>
      <c r="W163" s="574">
        <f t="shared" si="21"/>
        <v>154</v>
      </c>
      <c r="X163" s="564">
        <v>15</v>
      </c>
    </row>
    <row r="164" spans="2:24" x14ac:dyDescent="0.25">
      <c r="B164" s="884"/>
      <c r="C164" s="887"/>
      <c r="D164" s="835"/>
      <c r="E164" s="835"/>
      <c r="F164" s="835"/>
      <c r="G164" s="835"/>
      <c r="H164" s="835"/>
      <c r="I164" s="835"/>
      <c r="J164" s="835"/>
      <c r="K164" s="835"/>
      <c r="L164" s="835"/>
      <c r="M164" s="835"/>
      <c r="N164" s="835"/>
      <c r="O164" s="835"/>
      <c r="P164" s="835"/>
      <c r="W164" s="574">
        <f t="shared" si="21"/>
        <v>155</v>
      </c>
      <c r="X164" s="564">
        <v>15</v>
      </c>
    </row>
    <row r="165" spans="2:24" x14ac:dyDescent="0.25">
      <c r="B165" s="884"/>
      <c r="C165" s="887"/>
      <c r="D165" s="835"/>
      <c r="E165" s="835"/>
      <c r="F165" s="835"/>
      <c r="G165" s="835"/>
      <c r="H165" s="835"/>
      <c r="I165" s="835"/>
      <c r="J165" s="835"/>
      <c r="K165" s="835"/>
      <c r="L165" s="835"/>
      <c r="M165" s="835"/>
      <c r="N165" s="835"/>
      <c r="O165" s="835"/>
      <c r="P165" s="835"/>
      <c r="W165" s="574">
        <f t="shared" si="21"/>
        <v>156</v>
      </c>
      <c r="X165" s="564">
        <v>15</v>
      </c>
    </row>
    <row r="166" spans="2:24" x14ac:dyDescent="0.25">
      <c r="B166" s="884"/>
      <c r="C166" s="887"/>
      <c r="D166" s="835"/>
      <c r="E166" s="835"/>
      <c r="F166" s="835"/>
      <c r="G166" s="835"/>
      <c r="H166" s="835"/>
      <c r="I166" s="835"/>
      <c r="J166" s="835"/>
      <c r="K166" s="835"/>
      <c r="L166" s="835"/>
      <c r="M166" s="835"/>
      <c r="N166" s="835"/>
      <c r="O166" s="835"/>
      <c r="P166" s="835"/>
      <c r="W166" s="574">
        <f t="shared" si="21"/>
        <v>157</v>
      </c>
      <c r="X166" s="564">
        <v>15</v>
      </c>
    </row>
    <row r="167" spans="2:24" x14ac:dyDescent="0.25">
      <c r="B167" s="884"/>
      <c r="C167" s="887"/>
      <c r="D167" s="835"/>
      <c r="E167" s="835"/>
      <c r="F167" s="835"/>
      <c r="G167" s="835"/>
      <c r="H167" s="835"/>
      <c r="I167" s="835"/>
      <c r="J167" s="835"/>
      <c r="K167" s="835"/>
      <c r="L167" s="835"/>
      <c r="M167" s="835"/>
      <c r="N167" s="835"/>
      <c r="O167" s="835"/>
      <c r="P167" s="835"/>
      <c r="W167" s="574">
        <f t="shared" si="21"/>
        <v>158</v>
      </c>
      <c r="X167" s="564">
        <v>15</v>
      </c>
    </row>
    <row r="168" spans="2:24" x14ac:dyDescent="0.25">
      <c r="B168" s="884"/>
      <c r="C168" s="887"/>
      <c r="D168" s="835"/>
      <c r="E168" s="835"/>
      <c r="F168" s="835"/>
      <c r="G168" s="835"/>
      <c r="H168" s="835"/>
      <c r="I168" s="835"/>
      <c r="J168" s="835"/>
      <c r="K168" s="835"/>
      <c r="L168" s="835"/>
      <c r="M168" s="835"/>
      <c r="N168" s="835"/>
      <c r="O168" s="835"/>
      <c r="P168" s="835"/>
      <c r="W168" s="574">
        <f t="shared" si="21"/>
        <v>159</v>
      </c>
      <c r="X168" s="564">
        <v>15</v>
      </c>
    </row>
    <row r="169" spans="2:24" x14ac:dyDescent="0.25">
      <c r="B169" s="884"/>
      <c r="C169" s="887"/>
      <c r="D169" s="835"/>
      <c r="E169" s="835"/>
      <c r="F169" s="835"/>
      <c r="G169" s="835"/>
      <c r="H169" s="835"/>
      <c r="I169" s="835"/>
      <c r="J169" s="835"/>
      <c r="K169" s="835"/>
      <c r="L169" s="835"/>
      <c r="M169" s="835"/>
      <c r="N169" s="835"/>
      <c r="O169" s="835"/>
      <c r="P169" s="835"/>
      <c r="W169" s="574">
        <f t="shared" si="21"/>
        <v>160</v>
      </c>
      <c r="X169" s="564">
        <v>15</v>
      </c>
    </row>
    <row r="170" spans="2:24" x14ac:dyDescent="0.25">
      <c r="B170" s="884"/>
      <c r="C170" s="887"/>
      <c r="D170" s="835"/>
      <c r="E170" s="835"/>
      <c r="F170" s="835"/>
      <c r="G170" s="835"/>
      <c r="H170" s="835"/>
      <c r="I170" s="835"/>
      <c r="J170" s="835"/>
      <c r="K170" s="835"/>
      <c r="L170" s="835"/>
      <c r="M170" s="835"/>
      <c r="N170" s="835"/>
      <c r="O170" s="835"/>
      <c r="P170" s="835"/>
      <c r="W170" s="574">
        <f t="shared" si="21"/>
        <v>161</v>
      </c>
      <c r="X170" s="564">
        <v>15</v>
      </c>
    </row>
    <row r="171" spans="2:24" x14ac:dyDescent="0.25">
      <c r="B171" s="884"/>
      <c r="C171" s="887"/>
      <c r="D171" s="835"/>
      <c r="E171" s="835"/>
      <c r="F171" s="835"/>
      <c r="G171" s="835"/>
      <c r="H171" s="835"/>
      <c r="I171" s="835"/>
      <c r="J171" s="835"/>
      <c r="K171" s="835"/>
      <c r="L171" s="835"/>
      <c r="M171" s="835"/>
      <c r="N171" s="835"/>
      <c r="O171" s="835"/>
      <c r="P171" s="835"/>
      <c r="W171" s="574">
        <f t="shared" si="21"/>
        <v>162</v>
      </c>
      <c r="X171" s="564">
        <v>15</v>
      </c>
    </row>
    <row r="172" spans="2:24" x14ac:dyDescent="0.25">
      <c r="B172" s="884"/>
      <c r="C172" s="887"/>
      <c r="D172" s="835"/>
      <c r="E172" s="835"/>
      <c r="F172" s="835"/>
      <c r="G172" s="835"/>
      <c r="H172" s="835"/>
      <c r="I172" s="835"/>
      <c r="J172" s="835"/>
      <c r="K172" s="835"/>
      <c r="L172" s="835"/>
      <c r="M172" s="835"/>
      <c r="N172" s="835"/>
      <c r="O172" s="835"/>
      <c r="P172" s="835"/>
      <c r="W172" s="574">
        <f t="shared" si="21"/>
        <v>163</v>
      </c>
      <c r="X172" s="564">
        <v>15</v>
      </c>
    </row>
    <row r="173" spans="2:24" x14ac:dyDescent="0.25">
      <c r="B173" s="884"/>
      <c r="C173" s="887"/>
      <c r="D173" s="835"/>
      <c r="E173" s="835"/>
      <c r="F173" s="835"/>
      <c r="G173" s="835"/>
      <c r="H173" s="835"/>
      <c r="I173" s="835"/>
      <c r="J173" s="835"/>
      <c r="K173" s="835"/>
      <c r="L173" s="835"/>
      <c r="M173" s="835"/>
      <c r="N173" s="835"/>
      <c r="O173" s="835"/>
      <c r="P173" s="835"/>
      <c r="W173" s="574">
        <f t="shared" si="21"/>
        <v>164</v>
      </c>
      <c r="X173" s="564">
        <v>15</v>
      </c>
    </row>
    <row r="174" spans="2:24" x14ac:dyDescent="0.25">
      <c r="B174" s="884"/>
      <c r="C174" s="887"/>
      <c r="D174" s="835"/>
      <c r="E174" s="835"/>
      <c r="F174" s="835"/>
      <c r="G174" s="835"/>
      <c r="H174" s="835"/>
      <c r="I174" s="835"/>
      <c r="J174" s="835"/>
      <c r="K174" s="835"/>
      <c r="L174" s="835"/>
      <c r="M174" s="835"/>
      <c r="N174" s="835"/>
      <c r="O174" s="835"/>
      <c r="P174" s="835"/>
      <c r="W174" s="574">
        <f t="shared" si="21"/>
        <v>165</v>
      </c>
      <c r="X174" s="564">
        <v>15</v>
      </c>
    </row>
    <row r="175" spans="2:24" x14ac:dyDescent="0.25">
      <c r="B175" s="884"/>
      <c r="C175" s="887"/>
      <c r="D175" s="835"/>
      <c r="E175" s="835"/>
      <c r="F175" s="835"/>
      <c r="G175" s="835"/>
      <c r="H175" s="835"/>
      <c r="I175" s="835"/>
      <c r="J175" s="835"/>
      <c r="K175" s="835"/>
      <c r="L175" s="835"/>
      <c r="M175" s="835"/>
      <c r="N175" s="835"/>
      <c r="O175" s="835"/>
      <c r="P175" s="835"/>
      <c r="W175" s="574">
        <f t="shared" si="21"/>
        <v>166</v>
      </c>
      <c r="X175" s="564">
        <v>15</v>
      </c>
    </row>
    <row r="176" spans="2:24" x14ac:dyDescent="0.25">
      <c r="B176" s="884"/>
      <c r="C176" s="887"/>
      <c r="D176" s="835"/>
      <c r="E176" s="835"/>
      <c r="F176" s="835"/>
      <c r="G176" s="835"/>
      <c r="H176" s="835"/>
      <c r="I176" s="835"/>
      <c r="J176" s="835"/>
      <c r="K176" s="835"/>
      <c r="L176" s="835"/>
      <c r="M176" s="835"/>
      <c r="N176" s="835"/>
      <c r="O176" s="835"/>
      <c r="P176" s="835"/>
      <c r="W176" s="574">
        <f t="shared" si="21"/>
        <v>167</v>
      </c>
      <c r="X176" s="564">
        <v>15</v>
      </c>
    </row>
    <row r="177" spans="2:24" x14ac:dyDescent="0.25">
      <c r="B177" s="884"/>
      <c r="C177" s="887"/>
      <c r="D177" s="835"/>
      <c r="E177" s="835"/>
      <c r="F177" s="835"/>
      <c r="G177" s="835"/>
      <c r="H177" s="835"/>
      <c r="I177" s="835"/>
      <c r="J177" s="835"/>
      <c r="K177" s="835"/>
      <c r="L177" s="835"/>
      <c r="M177" s="835"/>
      <c r="N177" s="835"/>
      <c r="O177" s="835"/>
      <c r="P177" s="835"/>
      <c r="W177" s="574">
        <f t="shared" si="21"/>
        <v>168</v>
      </c>
      <c r="X177" s="564">
        <v>15</v>
      </c>
    </row>
    <row r="178" spans="2:24" x14ac:dyDescent="0.25">
      <c r="B178" s="884"/>
      <c r="C178" s="887"/>
      <c r="D178" s="835"/>
      <c r="E178" s="835"/>
      <c r="F178" s="835"/>
      <c r="G178" s="835"/>
      <c r="H178" s="835"/>
      <c r="I178" s="835"/>
      <c r="J178" s="835"/>
      <c r="K178" s="835"/>
      <c r="L178" s="835"/>
      <c r="M178" s="835"/>
      <c r="N178" s="835"/>
      <c r="O178" s="835"/>
      <c r="P178" s="835"/>
      <c r="W178" s="574">
        <f t="shared" si="21"/>
        <v>169</v>
      </c>
      <c r="X178" s="564">
        <v>15</v>
      </c>
    </row>
    <row r="179" spans="2:24" x14ac:dyDescent="0.25">
      <c r="B179" s="884"/>
      <c r="C179" s="887"/>
      <c r="D179" s="835"/>
      <c r="E179" s="835"/>
      <c r="F179" s="835"/>
      <c r="G179" s="835"/>
      <c r="H179" s="835"/>
      <c r="I179" s="835"/>
      <c r="J179" s="835"/>
      <c r="K179" s="835"/>
      <c r="L179" s="835"/>
      <c r="M179" s="835"/>
      <c r="N179" s="835"/>
      <c r="O179" s="835"/>
      <c r="P179" s="835"/>
      <c r="W179" s="574">
        <f t="shared" si="21"/>
        <v>170</v>
      </c>
      <c r="X179" s="564">
        <v>15</v>
      </c>
    </row>
    <row r="180" spans="2:24" x14ac:dyDescent="0.25">
      <c r="B180" s="884"/>
      <c r="C180" s="887"/>
      <c r="D180" s="835"/>
      <c r="E180" s="835"/>
      <c r="F180" s="835"/>
      <c r="G180" s="835"/>
      <c r="H180" s="835"/>
      <c r="I180" s="835"/>
      <c r="J180" s="835"/>
      <c r="K180" s="835"/>
      <c r="L180" s="835"/>
      <c r="M180" s="835"/>
      <c r="N180" s="835"/>
      <c r="O180" s="835"/>
      <c r="P180" s="835"/>
      <c r="W180" s="574">
        <f t="shared" si="21"/>
        <v>171</v>
      </c>
      <c r="X180" s="564">
        <v>15</v>
      </c>
    </row>
    <row r="181" spans="2:24" x14ac:dyDescent="0.25">
      <c r="B181" s="884"/>
      <c r="C181" s="887"/>
      <c r="D181" s="835"/>
      <c r="E181" s="835"/>
      <c r="F181" s="835"/>
      <c r="G181" s="835"/>
      <c r="H181" s="835"/>
      <c r="I181" s="835"/>
      <c r="J181" s="835"/>
      <c r="K181" s="835"/>
      <c r="L181" s="835"/>
      <c r="M181" s="835"/>
      <c r="N181" s="835"/>
      <c r="O181" s="835"/>
      <c r="P181" s="835"/>
      <c r="W181" s="574">
        <f t="shared" si="21"/>
        <v>172</v>
      </c>
      <c r="X181" s="564">
        <v>15</v>
      </c>
    </row>
    <row r="182" spans="2:24" x14ac:dyDescent="0.25">
      <c r="B182" s="884"/>
      <c r="C182" s="887"/>
      <c r="D182" s="835"/>
      <c r="E182" s="835"/>
      <c r="F182" s="835"/>
      <c r="G182" s="835"/>
      <c r="H182" s="835"/>
      <c r="I182" s="835"/>
      <c r="J182" s="835"/>
      <c r="K182" s="835"/>
      <c r="L182" s="835"/>
      <c r="M182" s="835"/>
      <c r="N182" s="835"/>
      <c r="O182" s="835"/>
      <c r="P182" s="835"/>
      <c r="W182" s="574">
        <f t="shared" si="21"/>
        <v>173</v>
      </c>
      <c r="X182" s="564">
        <v>15</v>
      </c>
    </row>
    <row r="183" spans="2:24" x14ac:dyDescent="0.25">
      <c r="B183" s="884"/>
      <c r="C183" s="887"/>
      <c r="D183" s="835"/>
      <c r="E183" s="835"/>
      <c r="F183" s="835"/>
      <c r="G183" s="835"/>
      <c r="H183" s="835"/>
      <c r="I183" s="835"/>
      <c r="J183" s="835"/>
      <c r="K183" s="835"/>
      <c r="L183" s="835"/>
      <c r="M183" s="835"/>
      <c r="N183" s="835"/>
      <c r="O183" s="835"/>
      <c r="P183" s="835"/>
      <c r="W183" s="574">
        <f t="shared" si="21"/>
        <v>174</v>
      </c>
      <c r="X183" s="564">
        <v>15</v>
      </c>
    </row>
    <row r="184" spans="2:24" x14ac:dyDescent="0.25">
      <c r="B184" s="884"/>
      <c r="C184" s="887"/>
      <c r="D184" s="835"/>
      <c r="E184" s="835"/>
      <c r="F184" s="835"/>
      <c r="G184" s="835"/>
      <c r="H184" s="835"/>
      <c r="I184" s="835"/>
      <c r="J184" s="835"/>
      <c r="K184" s="835"/>
      <c r="L184" s="835"/>
      <c r="M184" s="835"/>
      <c r="N184" s="835"/>
      <c r="O184" s="835"/>
      <c r="P184" s="835"/>
      <c r="W184" s="574">
        <f t="shared" si="21"/>
        <v>175</v>
      </c>
      <c r="X184" s="564">
        <v>15</v>
      </c>
    </row>
    <row r="185" spans="2:24" x14ac:dyDescent="0.25">
      <c r="B185" s="884"/>
      <c r="C185" s="887"/>
      <c r="D185" s="835"/>
      <c r="E185" s="835"/>
      <c r="F185" s="835"/>
      <c r="G185" s="835"/>
      <c r="H185" s="835"/>
      <c r="I185" s="835"/>
      <c r="J185" s="835"/>
      <c r="K185" s="835"/>
      <c r="L185" s="835"/>
      <c r="M185" s="835"/>
      <c r="N185" s="835"/>
      <c r="O185" s="835"/>
      <c r="P185" s="835"/>
      <c r="W185" s="574">
        <f t="shared" si="21"/>
        <v>176</v>
      </c>
      <c r="X185" s="564">
        <v>15</v>
      </c>
    </row>
    <row r="186" spans="2:24" x14ac:dyDescent="0.25">
      <c r="B186" s="32"/>
      <c r="C186" s="32"/>
      <c r="D186" s="32"/>
      <c r="E186" s="32"/>
      <c r="F186" s="32"/>
      <c r="G186" s="32"/>
      <c r="H186" s="32"/>
      <c r="I186" s="608"/>
      <c r="J186" s="608"/>
      <c r="K186" s="608"/>
      <c r="L186" s="608"/>
      <c r="M186" s="608"/>
      <c r="N186" s="608"/>
      <c r="O186" s="608"/>
      <c r="P186" s="608"/>
      <c r="W186" s="574">
        <f t="shared" si="21"/>
        <v>177</v>
      </c>
      <c r="X186" s="564">
        <v>15</v>
      </c>
    </row>
    <row r="187" spans="2:24" x14ac:dyDescent="0.25">
      <c r="B187" s="32"/>
      <c r="C187" s="32"/>
      <c r="D187" s="835"/>
      <c r="E187" s="32"/>
      <c r="F187" s="32"/>
      <c r="G187" s="32"/>
      <c r="H187" s="32"/>
      <c r="I187" s="608"/>
      <c r="J187" s="608"/>
      <c r="K187" s="608"/>
      <c r="L187" s="608"/>
      <c r="M187" s="608"/>
      <c r="N187" s="608"/>
      <c r="O187" s="608"/>
      <c r="P187" s="608"/>
      <c r="W187" s="574">
        <f t="shared" si="21"/>
        <v>178</v>
      </c>
      <c r="X187" s="564">
        <v>15</v>
      </c>
    </row>
    <row r="188" spans="2:24" ht="15.75" x14ac:dyDescent="0.25">
      <c r="B188" s="498"/>
      <c r="C188" s="498"/>
      <c r="D188" s="498"/>
      <c r="E188" s="498"/>
      <c r="F188" s="498"/>
      <c r="G188" s="498"/>
      <c r="H188" s="498"/>
      <c r="I188" s="498"/>
      <c r="J188" s="32"/>
      <c r="K188" s="498"/>
      <c r="L188" s="498"/>
      <c r="M188" s="498"/>
      <c r="N188" s="498"/>
      <c r="O188" s="498"/>
      <c r="P188" s="498"/>
      <c r="W188" s="574">
        <f t="shared" si="21"/>
        <v>179</v>
      </c>
      <c r="X188" s="564">
        <v>15</v>
      </c>
    </row>
    <row r="189" spans="2:24" ht="15.75" x14ac:dyDescent="0.25">
      <c r="B189" s="880"/>
      <c r="C189" s="881"/>
      <c r="D189" s="882"/>
      <c r="E189" s="882"/>
      <c r="F189" s="882"/>
      <c r="G189" s="882"/>
      <c r="H189" s="882"/>
      <c r="I189" s="882"/>
      <c r="J189" s="882"/>
      <c r="K189" s="882"/>
      <c r="L189" s="882"/>
      <c r="M189" s="882"/>
      <c r="N189" s="882"/>
      <c r="O189" s="882"/>
      <c r="P189" s="882"/>
      <c r="W189" s="574">
        <f t="shared" si="21"/>
        <v>180</v>
      </c>
      <c r="X189" s="564">
        <v>15</v>
      </c>
    </row>
    <row r="190" spans="2:24" x14ac:dyDescent="0.25">
      <c r="B190" s="883"/>
      <c r="C190" s="881"/>
      <c r="D190" s="886"/>
      <c r="E190" s="886"/>
      <c r="F190" s="886"/>
      <c r="G190" s="886"/>
      <c r="H190" s="886"/>
      <c r="I190" s="886"/>
      <c r="J190" s="886"/>
      <c r="K190" s="886"/>
      <c r="L190" s="886"/>
      <c r="M190" s="886"/>
      <c r="N190" s="886"/>
      <c r="O190" s="886"/>
      <c r="P190" s="886"/>
      <c r="W190" s="574">
        <f t="shared" si="21"/>
        <v>181</v>
      </c>
      <c r="X190" s="564">
        <v>15</v>
      </c>
    </row>
    <row r="191" spans="2:24" x14ac:dyDescent="0.25">
      <c r="B191" s="884"/>
      <c r="C191" s="887"/>
      <c r="D191" s="885"/>
      <c r="E191" s="885"/>
      <c r="F191" s="885"/>
      <c r="G191" s="885"/>
      <c r="H191" s="885"/>
      <c r="I191" s="885"/>
      <c r="J191" s="885"/>
      <c r="K191" s="885"/>
      <c r="L191" s="885"/>
      <c r="M191" s="885"/>
      <c r="N191" s="885"/>
      <c r="O191" s="885"/>
      <c r="P191" s="885"/>
      <c r="W191" s="574">
        <f t="shared" si="21"/>
        <v>182</v>
      </c>
      <c r="X191" s="564">
        <v>15</v>
      </c>
    </row>
    <row r="192" spans="2:24" x14ac:dyDescent="0.25">
      <c r="B192" s="884"/>
      <c r="C192" s="887"/>
      <c r="D192" s="885"/>
      <c r="E192" s="885"/>
      <c r="F192" s="885"/>
      <c r="G192" s="885"/>
      <c r="H192" s="885"/>
      <c r="I192" s="885"/>
      <c r="J192" s="885"/>
      <c r="K192" s="885"/>
      <c r="L192" s="885"/>
      <c r="M192" s="885"/>
      <c r="N192" s="885"/>
      <c r="O192" s="885"/>
      <c r="P192" s="885"/>
      <c r="W192" s="574">
        <f t="shared" si="21"/>
        <v>183</v>
      </c>
      <c r="X192" s="564">
        <v>15</v>
      </c>
    </row>
    <row r="193" spans="2:24" x14ac:dyDescent="0.25">
      <c r="B193" s="884"/>
      <c r="C193" s="887"/>
      <c r="D193" s="885"/>
      <c r="E193" s="885"/>
      <c r="F193" s="885"/>
      <c r="G193" s="885"/>
      <c r="H193" s="885"/>
      <c r="I193" s="885"/>
      <c r="J193" s="885"/>
      <c r="K193" s="885"/>
      <c r="L193" s="885"/>
      <c r="M193" s="885"/>
      <c r="N193" s="885"/>
      <c r="O193" s="885"/>
      <c r="P193" s="885"/>
      <c r="W193" s="574">
        <f t="shared" si="21"/>
        <v>184</v>
      </c>
      <c r="X193" s="564">
        <v>15</v>
      </c>
    </row>
    <row r="194" spans="2:24" x14ac:dyDescent="0.25">
      <c r="B194" s="884"/>
      <c r="C194" s="887"/>
      <c r="D194" s="885"/>
      <c r="E194" s="885"/>
      <c r="F194" s="885"/>
      <c r="G194" s="885"/>
      <c r="H194" s="885"/>
      <c r="I194" s="885"/>
      <c r="J194" s="885"/>
      <c r="K194" s="885"/>
      <c r="L194" s="885"/>
      <c r="M194" s="885"/>
      <c r="N194" s="885"/>
      <c r="O194" s="885"/>
      <c r="P194" s="885"/>
      <c r="W194" s="574">
        <f t="shared" si="21"/>
        <v>185</v>
      </c>
      <c r="X194" s="564">
        <v>15</v>
      </c>
    </row>
    <row r="195" spans="2:24" x14ac:dyDescent="0.25">
      <c r="B195" s="884"/>
      <c r="C195" s="887"/>
      <c r="D195" s="885"/>
      <c r="E195" s="885"/>
      <c r="F195" s="885"/>
      <c r="G195" s="885"/>
      <c r="H195" s="885"/>
      <c r="I195" s="885"/>
      <c r="J195" s="885"/>
      <c r="K195" s="885"/>
      <c r="L195" s="885"/>
      <c r="M195" s="885"/>
      <c r="N195" s="885"/>
      <c r="O195" s="885"/>
      <c r="P195" s="885"/>
      <c r="W195" s="574">
        <f t="shared" si="21"/>
        <v>186</v>
      </c>
      <c r="X195" s="564">
        <v>15</v>
      </c>
    </row>
    <row r="196" spans="2:24" x14ac:dyDescent="0.25">
      <c r="B196" s="884"/>
      <c r="C196" s="887"/>
      <c r="D196" s="885"/>
      <c r="E196" s="885"/>
      <c r="F196" s="885"/>
      <c r="G196" s="885"/>
      <c r="H196" s="885"/>
      <c r="I196" s="885"/>
      <c r="J196" s="885"/>
      <c r="K196" s="885"/>
      <c r="L196" s="885"/>
      <c r="M196" s="885"/>
      <c r="N196" s="885"/>
      <c r="O196" s="885"/>
      <c r="P196" s="885"/>
      <c r="W196" s="574">
        <f t="shared" si="21"/>
        <v>187</v>
      </c>
      <c r="X196" s="564">
        <v>15</v>
      </c>
    </row>
    <row r="197" spans="2:24" x14ac:dyDescent="0.25">
      <c r="B197" s="884"/>
      <c r="C197" s="887"/>
      <c r="D197" s="885"/>
      <c r="E197" s="885"/>
      <c r="F197" s="885"/>
      <c r="G197" s="885"/>
      <c r="H197" s="885"/>
      <c r="I197" s="885"/>
      <c r="J197" s="885"/>
      <c r="K197" s="885"/>
      <c r="L197" s="885"/>
      <c r="M197" s="885"/>
      <c r="N197" s="885"/>
      <c r="O197" s="885"/>
      <c r="P197" s="885"/>
      <c r="W197" s="574">
        <f t="shared" si="21"/>
        <v>188</v>
      </c>
      <c r="X197" s="564">
        <v>15</v>
      </c>
    </row>
    <row r="198" spans="2:24" x14ac:dyDescent="0.25">
      <c r="B198" s="884"/>
      <c r="C198" s="887"/>
      <c r="D198" s="885"/>
      <c r="E198" s="885"/>
      <c r="F198" s="885"/>
      <c r="G198" s="885"/>
      <c r="H198" s="885"/>
      <c r="I198" s="885"/>
      <c r="J198" s="885"/>
      <c r="K198" s="885"/>
      <c r="L198" s="885"/>
      <c r="M198" s="885"/>
      <c r="N198" s="885"/>
      <c r="O198" s="885"/>
      <c r="P198" s="885"/>
      <c r="W198" s="574">
        <f t="shared" si="21"/>
        <v>189</v>
      </c>
      <c r="X198" s="564">
        <v>15</v>
      </c>
    </row>
    <row r="199" spans="2:24" x14ac:dyDescent="0.25">
      <c r="B199" s="884"/>
      <c r="C199" s="887"/>
      <c r="D199" s="885"/>
      <c r="E199" s="885"/>
      <c r="F199" s="885"/>
      <c r="G199" s="885"/>
      <c r="H199" s="885"/>
      <c r="I199" s="885"/>
      <c r="J199" s="885"/>
      <c r="K199" s="885"/>
      <c r="L199" s="885"/>
      <c r="M199" s="885"/>
      <c r="N199" s="885"/>
      <c r="O199" s="885"/>
      <c r="P199" s="885"/>
      <c r="W199" s="574">
        <f t="shared" si="21"/>
        <v>190</v>
      </c>
      <c r="X199" s="564">
        <v>15</v>
      </c>
    </row>
    <row r="200" spans="2:24" x14ac:dyDescent="0.25">
      <c r="B200" s="884"/>
      <c r="C200" s="887"/>
      <c r="D200" s="885"/>
      <c r="E200" s="885"/>
      <c r="F200" s="885"/>
      <c r="G200" s="885"/>
      <c r="H200" s="885"/>
      <c r="I200" s="885"/>
      <c r="J200" s="885"/>
      <c r="K200" s="885"/>
      <c r="L200" s="885"/>
      <c r="M200" s="885"/>
      <c r="N200" s="885"/>
      <c r="O200" s="885"/>
      <c r="P200" s="885"/>
      <c r="W200" s="574">
        <f t="shared" si="21"/>
        <v>191</v>
      </c>
      <c r="X200" s="564">
        <v>15</v>
      </c>
    </row>
    <row r="201" spans="2:24" x14ac:dyDescent="0.25">
      <c r="B201" s="884"/>
      <c r="C201" s="887"/>
      <c r="D201" s="885"/>
      <c r="E201" s="885"/>
      <c r="F201" s="885"/>
      <c r="G201" s="885"/>
      <c r="H201" s="885"/>
      <c r="I201" s="885"/>
      <c r="J201" s="885"/>
      <c r="K201" s="885"/>
      <c r="L201" s="885"/>
      <c r="M201" s="885"/>
      <c r="N201" s="885"/>
      <c r="O201" s="885"/>
      <c r="P201" s="885"/>
      <c r="W201" s="574">
        <f t="shared" si="21"/>
        <v>192</v>
      </c>
      <c r="X201" s="564">
        <v>15</v>
      </c>
    </row>
    <row r="202" spans="2:24" x14ac:dyDescent="0.25">
      <c r="B202" s="884"/>
      <c r="C202" s="887"/>
      <c r="D202" s="885"/>
      <c r="E202" s="885"/>
      <c r="F202" s="885"/>
      <c r="G202" s="885"/>
      <c r="H202" s="885"/>
      <c r="I202" s="885"/>
      <c r="J202" s="885"/>
      <c r="K202" s="885"/>
      <c r="L202" s="885"/>
      <c r="M202" s="885"/>
      <c r="N202" s="885"/>
      <c r="O202" s="885"/>
      <c r="P202" s="885"/>
      <c r="W202" s="574">
        <f t="shared" si="21"/>
        <v>193</v>
      </c>
      <c r="X202" s="564">
        <v>15</v>
      </c>
    </row>
    <row r="203" spans="2:24" x14ac:dyDescent="0.25">
      <c r="B203" s="884"/>
      <c r="C203" s="887"/>
      <c r="D203" s="885"/>
      <c r="E203" s="885"/>
      <c r="F203" s="885"/>
      <c r="G203" s="885"/>
      <c r="H203" s="885"/>
      <c r="I203" s="885"/>
      <c r="J203" s="885"/>
      <c r="K203" s="885"/>
      <c r="L203" s="885"/>
      <c r="M203" s="885"/>
      <c r="N203" s="885"/>
      <c r="O203" s="885"/>
      <c r="P203" s="885"/>
      <c r="W203" s="574">
        <f t="shared" si="21"/>
        <v>194</v>
      </c>
      <c r="X203" s="564">
        <v>15</v>
      </c>
    </row>
    <row r="204" spans="2:24" x14ac:dyDescent="0.25">
      <c r="B204" s="884"/>
      <c r="C204" s="887"/>
      <c r="D204" s="885"/>
      <c r="E204" s="885"/>
      <c r="F204" s="885"/>
      <c r="G204" s="885"/>
      <c r="H204" s="885"/>
      <c r="I204" s="885"/>
      <c r="J204" s="885"/>
      <c r="K204" s="885"/>
      <c r="L204" s="885"/>
      <c r="M204" s="885"/>
      <c r="N204" s="885"/>
      <c r="O204" s="885"/>
      <c r="P204" s="885"/>
      <c r="W204" s="574">
        <f t="shared" si="21"/>
        <v>195</v>
      </c>
      <c r="X204" s="564">
        <v>15</v>
      </c>
    </row>
    <row r="205" spans="2:24" x14ac:dyDescent="0.25">
      <c r="B205" s="884"/>
      <c r="C205" s="887"/>
      <c r="D205" s="885"/>
      <c r="E205" s="885"/>
      <c r="F205" s="885"/>
      <c r="G205" s="885"/>
      <c r="H205" s="885"/>
      <c r="I205" s="885"/>
      <c r="J205" s="885"/>
      <c r="K205" s="885"/>
      <c r="L205" s="885"/>
      <c r="M205" s="885"/>
      <c r="N205" s="885"/>
      <c r="O205" s="885"/>
      <c r="P205" s="885"/>
      <c r="W205" s="574">
        <f t="shared" si="21"/>
        <v>196</v>
      </c>
      <c r="X205" s="564">
        <v>15</v>
      </c>
    </row>
    <row r="206" spans="2:24" x14ac:dyDescent="0.25">
      <c r="B206" s="884"/>
      <c r="C206" s="887"/>
      <c r="D206" s="885"/>
      <c r="E206" s="885"/>
      <c r="F206" s="885"/>
      <c r="G206" s="885"/>
      <c r="H206" s="885"/>
      <c r="I206" s="885"/>
      <c r="J206" s="885"/>
      <c r="K206" s="885"/>
      <c r="L206" s="885"/>
      <c r="M206" s="885"/>
      <c r="N206" s="885"/>
      <c r="O206" s="885"/>
      <c r="P206" s="885"/>
      <c r="W206" s="574">
        <f t="shared" si="21"/>
        <v>197</v>
      </c>
      <c r="X206" s="564">
        <v>15</v>
      </c>
    </row>
    <row r="207" spans="2:24" x14ac:dyDescent="0.25">
      <c r="B207" s="884"/>
      <c r="C207" s="887"/>
      <c r="D207" s="885"/>
      <c r="E207" s="885"/>
      <c r="F207" s="885"/>
      <c r="G207" s="885"/>
      <c r="H207" s="885"/>
      <c r="I207" s="885"/>
      <c r="J207" s="885"/>
      <c r="K207" s="885"/>
      <c r="L207" s="885"/>
      <c r="M207" s="885"/>
      <c r="N207" s="885"/>
      <c r="O207" s="885"/>
      <c r="P207" s="885"/>
      <c r="W207" s="574">
        <f t="shared" si="21"/>
        <v>198</v>
      </c>
      <c r="X207" s="564">
        <v>15</v>
      </c>
    </row>
    <row r="208" spans="2:24" x14ac:dyDescent="0.25">
      <c r="B208" s="884"/>
      <c r="C208" s="887"/>
      <c r="D208" s="885"/>
      <c r="E208" s="885"/>
      <c r="F208" s="885"/>
      <c r="G208" s="885"/>
      <c r="H208" s="885"/>
      <c r="I208" s="885"/>
      <c r="J208" s="885"/>
      <c r="K208" s="885"/>
      <c r="L208" s="885"/>
      <c r="M208" s="885"/>
      <c r="N208" s="885"/>
      <c r="O208" s="885"/>
      <c r="P208" s="885"/>
      <c r="W208" s="574">
        <f t="shared" si="21"/>
        <v>199</v>
      </c>
      <c r="X208" s="564">
        <v>15</v>
      </c>
    </row>
    <row r="209" spans="2:24" x14ac:dyDescent="0.25">
      <c r="B209" s="884"/>
      <c r="C209" s="887"/>
      <c r="D209" s="885"/>
      <c r="E209" s="885"/>
      <c r="F209" s="885"/>
      <c r="G209" s="885"/>
      <c r="H209" s="885"/>
      <c r="I209" s="885"/>
      <c r="J209" s="885"/>
      <c r="K209" s="885"/>
      <c r="L209" s="885"/>
      <c r="M209" s="885"/>
      <c r="N209" s="885"/>
      <c r="O209" s="885"/>
      <c r="P209" s="885"/>
      <c r="W209" s="574">
        <f t="shared" si="21"/>
        <v>200</v>
      </c>
      <c r="X209" s="564">
        <v>16</v>
      </c>
    </row>
    <row r="210" spans="2:24" x14ac:dyDescent="0.25">
      <c r="B210" s="884"/>
      <c r="C210" s="887"/>
      <c r="D210" s="885"/>
      <c r="E210" s="885"/>
      <c r="F210" s="885"/>
      <c r="G210" s="885"/>
      <c r="H210" s="885"/>
      <c r="I210" s="885"/>
      <c r="J210" s="885"/>
      <c r="K210" s="885"/>
      <c r="L210" s="885"/>
      <c r="M210" s="885"/>
      <c r="N210" s="885"/>
      <c r="O210" s="885"/>
      <c r="P210" s="885"/>
      <c r="W210" s="574">
        <f t="shared" si="21"/>
        <v>201</v>
      </c>
      <c r="X210" s="564">
        <v>16</v>
      </c>
    </row>
    <row r="211" spans="2:24" x14ac:dyDescent="0.25">
      <c r="B211" s="884"/>
      <c r="C211" s="887"/>
      <c r="D211" s="885"/>
      <c r="E211" s="885"/>
      <c r="F211" s="885"/>
      <c r="G211" s="885"/>
      <c r="H211" s="885"/>
      <c r="I211" s="885"/>
      <c r="J211" s="885"/>
      <c r="K211" s="885"/>
      <c r="L211" s="885"/>
      <c r="M211" s="885"/>
      <c r="N211" s="885"/>
      <c r="O211" s="885"/>
      <c r="P211" s="885"/>
      <c r="W211" s="574">
        <f t="shared" si="21"/>
        <v>202</v>
      </c>
      <c r="X211" s="564">
        <v>16</v>
      </c>
    </row>
    <row r="212" spans="2:24" x14ac:dyDescent="0.25">
      <c r="B212" s="884"/>
      <c r="C212" s="887"/>
      <c r="D212" s="885"/>
      <c r="E212" s="885"/>
      <c r="F212" s="885"/>
      <c r="G212" s="885"/>
      <c r="H212" s="885"/>
      <c r="I212" s="885"/>
      <c r="J212" s="885"/>
      <c r="K212" s="885"/>
      <c r="L212" s="885"/>
      <c r="M212" s="885"/>
      <c r="N212" s="885"/>
      <c r="O212" s="885"/>
      <c r="P212" s="885"/>
      <c r="W212" s="574">
        <f t="shared" si="21"/>
        <v>203</v>
      </c>
      <c r="X212" s="564">
        <v>16</v>
      </c>
    </row>
    <row r="213" spans="2:24" x14ac:dyDescent="0.25">
      <c r="B213" s="884"/>
      <c r="C213" s="887"/>
      <c r="D213" s="885"/>
      <c r="E213" s="885"/>
      <c r="F213" s="885"/>
      <c r="G213" s="885"/>
      <c r="H213" s="885"/>
      <c r="I213" s="885"/>
      <c r="J213" s="885"/>
      <c r="K213" s="885"/>
      <c r="L213" s="885"/>
      <c r="M213" s="885"/>
      <c r="N213" s="885"/>
      <c r="O213" s="885"/>
      <c r="P213" s="885"/>
      <c r="W213" s="574">
        <f t="shared" si="21"/>
        <v>204</v>
      </c>
      <c r="X213" s="564">
        <v>16</v>
      </c>
    </row>
    <row r="214" spans="2:24" x14ac:dyDescent="0.25">
      <c r="B214" s="884"/>
      <c r="C214" s="887"/>
      <c r="D214" s="885"/>
      <c r="E214" s="885"/>
      <c r="F214" s="885"/>
      <c r="G214" s="885"/>
      <c r="H214" s="885"/>
      <c r="I214" s="885"/>
      <c r="J214" s="885"/>
      <c r="K214" s="885"/>
      <c r="L214" s="885"/>
      <c r="M214" s="885"/>
      <c r="N214" s="885"/>
      <c r="O214" s="885"/>
      <c r="P214" s="885"/>
      <c r="W214" s="574">
        <f t="shared" si="21"/>
        <v>205</v>
      </c>
      <c r="X214" s="564">
        <v>16</v>
      </c>
    </row>
    <row r="215" spans="2:24" x14ac:dyDescent="0.25">
      <c r="B215" s="884"/>
      <c r="C215" s="887"/>
      <c r="D215" s="885"/>
      <c r="E215" s="885"/>
      <c r="F215" s="885"/>
      <c r="G215" s="885"/>
      <c r="H215" s="885"/>
      <c r="I215" s="885"/>
      <c r="J215" s="885"/>
      <c r="K215" s="885"/>
      <c r="L215" s="885"/>
      <c r="M215" s="885"/>
      <c r="N215" s="885"/>
      <c r="O215" s="885"/>
      <c r="P215" s="885"/>
      <c r="W215" s="574">
        <f t="shared" si="21"/>
        <v>206</v>
      </c>
      <c r="X215" s="564">
        <v>16</v>
      </c>
    </row>
    <row r="216" spans="2:24" x14ac:dyDescent="0.25">
      <c r="B216" s="884"/>
      <c r="C216" s="887"/>
      <c r="D216" s="885"/>
      <c r="E216" s="885"/>
      <c r="F216" s="885"/>
      <c r="G216" s="885"/>
      <c r="H216" s="885"/>
      <c r="I216" s="885"/>
      <c r="J216" s="885"/>
      <c r="K216" s="885"/>
      <c r="L216" s="885"/>
      <c r="M216" s="885"/>
      <c r="N216" s="885"/>
      <c r="O216" s="885"/>
      <c r="P216" s="885"/>
      <c r="W216" s="574">
        <f t="shared" si="21"/>
        <v>207</v>
      </c>
      <c r="X216" s="564">
        <v>16</v>
      </c>
    </row>
    <row r="217" spans="2:24" x14ac:dyDescent="0.25">
      <c r="B217" s="884"/>
      <c r="C217" s="887"/>
      <c r="D217" s="885"/>
      <c r="E217" s="885"/>
      <c r="F217" s="885"/>
      <c r="G217" s="885"/>
      <c r="H217" s="885"/>
      <c r="I217" s="885"/>
      <c r="J217" s="885"/>
      <c r="K217" s="885"/>
      <c r="L217" s="885"/>
      <c r="M217" s="885"/>
      <c r="N217" s="885"/>
      <c r="O217" s="885"/>
      <c r="P217" s="885"/>
      <c r="W217" s="574">
        <f t="shared" si="21"/>
        <v>208</v>
      </c>
      <c r="X217" s="564">
        <v>16</v>
      </c>
    </row>
    <row r="218" spans="2:24" x14ac:dyDescent="0.25">
      <c r="B218" s="884"/>
      <c r="C218" s="887"/>
      <c r="D218" s="885"/>
      <c r="E218" s="885"/>
      <c r="F218" s="885"/>
      <c r="G218" s="885"/>
      <c r="H218" s="885"/>
      <c r="I218" s="885"/>
      <c r="J218" s="885"/>
      <c r="K218" s="885"/>
      <c r="L218" s="885"/>
      <c r="M218" s="885"/>
      <c r="N218" s="885"/>
      <c r="O218" s="885"/>
      <c r="P218" s="885"/>
      <c r="W218" s="574">
        <f t="shared" ref="W218:W281" si="22">W217+1</f>
        <v>209</v>
      </c>
      <c r="X218" s="564">
        <v>16</v>
      </c>
    </row>
    <row r="219" spans="2:24" x14ac:dyDescent="0.25">
      <c r="B219" s="884"/>
      <c r="C219" s="887"/>
      <c r="D219" s="885"/>
      <c r="E219" s="885"/>
      <c r="F219" s="885"/>
      <c r="G219" s="885"/>
      <c r="H219" s="885"/>
      <c r="I219" s="885"/>
      <c r="J219" s="885"/>
      <c r="K219" s="885"/>
      <c r="L219" s="885"/>
      <c r="M219" s="885"/>
      <c r="N219" s="885"/>
      <c r="O219" s="885"/>
      <c r="P219" s="885"/>
      <c r="W219" s="574">
        <f t="shared" si="22"/>
        <v>210</v>
      </c>
      <c r="X219" s="564">
        <v>16</v>
      </c>
    </row>
    <row r="220" spans="2:24" x14ac:dyDescent="0.25">
      <c r="B220" s="884"/>
      <c r="C220" s="887"/>
      <c r="D220" s="885"/>
      <c r="E220" s="885"/>
      <c r="F220" s="885"/>
      <c r="G220" s="885"/>
      <c r="H220" s="885"/>
      <c r="I220" s="885"/>
      <c r="J220" s="885"/>
      <c r="K220" s="885"/>
      <c r="L220" s="885"/>
      <c r="M220" s="885"/>
      <c r="N220" s="885"/>
      <c r="O220" s="885"/>
      <c r="P220" s="885"/>
      <c r="W220" s="574">
        <f t="shared" si="22"/>
        <v>211</v>
      </c>
      <c r="X220" s="564">
        <v>16</v>
      </c>
    </row>
    <row r="221" spans="2:24" x14ac:dyDescent="0.25">
      <c r="B221" s="884"/>
      <c r="C221" s="887"/>
      <c r="D221" s="885"/>
      <c r="E221" s="885"/>
      <c r="F221" s="885"/>
      <c r="G221" s="885"/>
      <c r="H221" s="885"/>
      <c r="I221" s="885"/>
      <c r="J221" s="885"/>
      <c r="K221" s="885"/>
      <c r="L221" s="885"/>
      <c r="M221" s="885"/>
      <c r="N221" s="885"/>
      <c r="O221" s="885"/>
      <c r="P221" s="885"/>
      <c r="W221" s="574">
        <f t="shared" si="22"/>
        <v>212</v>
      </c>
      <c r="X221" s="564">
        <v>16</v>
      </c>
    </row>
    <row r="222" spans="2:24" x14ac:dyDescent="0.25">
      <c r="B222" s="884"/>
      <c r="C222" s="887"/>
      <c r="D222" s="885"/>
      <c r="E222" s="885"/>
      <c r="F222" s="885"/>
      <c r="G222" s="885"/>
      <c r="H222" s="885"/>
      <c r="I222" s="885"/>
      <c r="J222" s="885"/>
      <c r="K222" s="885"/>
      <c r="L222" s="885"/>
      <c r="M222" s="885"/>
      <c r="N222" s="885"/>
      <c r="O222" s="885"/>
      <c r="P222" s="885"/>
      <c r="W222" s="574">
        <f t="shared" si="22"/>
        <v>213</v>
      </c>
      <c r="X222" s="564">
        <v>16</v>
      </c>
    </row>
    <row r="223" spans="2:24" x14ac:dyDescent="0.25">
      <c r="B223" s="884"/>
      <c r="C223" s="887"/>
      <c r="D223" s="885"/>
      <c r="E223" s="885"/>
      <c r="F223" s="885"/>
      <c r="G223" s="885"/>
      <c r="H223" s="885"/>
      <c r="I223" s="885"/>
      <c r="J223" s="885"/>
      <c r="K223" s="885"/>
      <c r="L223" s="885"/>
      <c r="M223" s="885"/>
      <c r="N223" s="885"/>
      <c r="O223" s="885"/>
      <c r="P223" s="885"/>
      <c r="W223" s="574">
        <f t="shared" si="22"/>
        <v>214</v>
      </c>
      <c r="X223" s="564">
        <v>16</v>
      </c>
    </row>
    <row r="224" spans="2:24" x14ac:dyDescent="0.25">
      <c r="B224" s="884"/>
      <c r="C224" s="887"/>
      <c r="D224" s="885"/>
      <c r="E224" s="885"/>
      <c r="F224" s="885"/>
      <c r="G224" s="885"/>
      <c r="H224" s="885"/>
      <c r="I224" s="885"/>
      <c r="J224" s="885"/>
      <c r="K224" s="885"/>
      <c r="L224" s="885"/>
      <c r="M224" s="885"/>
      <c r="N224" s="885"/>
      <c r="O224" s="885"/>
      <c r="P224" s="885"/>
      <c r="W224" s="574">
        <f t="shared" si="22"/>
        <v>215</v>
      </c>
      <c r="X224" s="564">
        <v>16</v>
      </c>
    </row>
    <row r="225" spans="2:24" x14ac:dyDescent="0.25">
      <c r="B225" s="884"/>
      <c r="C225" s="887"/>
      <c r="D225" s="885"/>
      <c r="E225" s="885"/>
      <c r="F225" s="885"/>
      <c r="G225" s="885"/>
      <c r="H225" s="885"/>
      <c r="I225" s="885"/>
      <c r="J225" s="885"/>
      <c r="K225" s="885"/>
      <c r="L225" s="885"/>
      <c r="M225" s="885"/>
      <c r="N225" s="885"/>
      <c r="O225" s="885"/>
      <c r="P225" s="885"/>
      <c r="W225" s="574">
        <f t="shared" si="22"/>
        <v>216</v>
      </c>
      <c r="X225" s="564">
        <v>16</v>
      </c>
    </row>
    <row r="226" spans="2:24" x14ac:dyDescent="0.25">
      <c r="B226" s="884"/>
      <c r="C226" s="887"/>
      <c r="D226" s="885"/>
      <c r="E226" s="885"/>
      <c r="F226" s="885"/>
      <c r="G226" s="885"/>
      <c r="H226" s="885"/>
      <c r="I226" s="885"/>
      <c r="J226" s="885"/>
      <c r="K226" s="885"/>
      <c r="L226" s="885"/>
      <c r="M226" s="885"/>
      <c r="N226" s="885"/>
      <c r="O226" s="885"/>
      <c r="P226" s="885"/>
      <c r="W226" s="574">
        <f t="shared" si="22"/>
        <v>217</v>
      </c>
      <c r="X226" s="564">
        <v>16</v>
      </c>
    </row>
    <row r="227" spans="2:24" x14ac:dyDescent="0.25">
      <c r="B227" s="884"/>
      <c r="C227" s="887"/>
      <c r="D227" s="885"/>
      <c r="E227" s="885"/>
      <c r="F227" s="885"/>
      <c r="G227" s="885"/>
      <c r="H227" s="885"/>
      <c r="I227" s="885"/>
      <c r="J227" s="885"/>
      <c r="K227" s="885"/>
      <c r="L227" s="885"/>
      <c r="M227" s="885"/>
      <c r="N227" s="885"/>
      <c r="O227" s="885"/>
      <c r="P227" s="885"/>
      <c r="W227" s="574">
        <f t="shared" si="22"/>
        <v>218</v>
      </c>
      <c r="X227" s="564">
        <v>16</v>
      </c>
    </row>
    <row r="228" spans="2:24" x14ac:dyDescent="0.25">
      <c r="B228" s="884"/>
      <c r="C228" s="887"/>
      <c r="D228" s="885"/>
      <c r="E228" s="885"/>
      <c r="F228" s="885"/>
      <c r="G228" s="885"/>
      <c r="H228" s="885"/>
      <c r="I228" s="885"/>
      <c r="J228" s="885"/>
      <c r="K228" s="885"/>
      <c r="L228" s="885"/>
      <c r="M228" s="885"/>
      <c r="N228" s="885"/>
      <c r="O228" s="885"/>
      <c r="P228" s="885"/>
      <c r="W228" s="574">
        <f t="shared" si="22"/>
        <v>219</v>
      </c>
      <c r="X228" s="564">
        <v>16</v>
      </c>
    </row>
    <row r="229" spans="2:24" x14ac:dyDescent="0.25">
      <c r="B229" s="884"/>
      <c r="C229" s="887"/>
      <c r="D229" s="885"/>
      <c r="E229" s="885"/>
      <c r="F229" s="885"/>
      <c r="G229" s="885"/>
      <c r="H229" s="885"/>
      <c r="I229" s="885"/>
      <c r="J229" s="885"/>
      <c r="K229" s="885"/>
      <c r="L229" s="885"/>
      <c r="M229" s="885"/>
      <c r="N229" s="885"/>
      <c r="O229" s="885"/>
      <c r="P229" s="885"/>
      <c r="W229" s="574">
        <f t="shared" si="22"/>
        <v>220</v>
      </c>
      <c r="X229" s="564">
        <v>16</v>
      </c>
    </row>
    <row r="230" spans="2:24" x14ac:dyDescent="0.25">
      <c r="B230" s="884"/>
      <c r="C230" s="887"/>
      <c r="D230" s="885"/>
      <c r="E230" s="885"/>
      <c r="F230" s="885"/>
      <c r="G230" s="885"/>
      <c r="H230" s="885"/>
      <c r="I230" s="885"/>
      <c r="J230" s="885"/>
      <c r="K230" s="885"/>
      <c r="L230" s="885"/>
      <c r="M230" s="885"/>
      <c r="N230" s="885"/>
      <c r="O230" s="885"/>
      <c r="P230" s="885"/>
      <c r="W230" s="574">
        <f t="shared" si="22"/>
        <v>221</v>
      </c>
      <c r="X230" s="564">
        <v>16</v>
      </c>
    </row>
    <row r="231" spans="2:24" x14ac:dyDescent="0.25">
      <c r="B231" s="884"/>
      <c r="C231" s="887"/>
      <c r="D231" s="885"/>
      <c r="E231" s="885"/>
      <c r="F231" s="885"/>
      <c r="G231" s="885"/>
      <c r="H231" s="885"/>
      <c r="I231" s="885"/>
      <c r="J231" s="885"/>
      <c r="K231" s="885"/>
      <c r="L231" s="885"/>
      <c r="M231" s="885"/>
      <c r="N231" s="885"/>
      <c r="O231" s="885"/>
      <c r="P231" s="885"/>
      <c r="W231" s="574">
        <f t="shared" si="22"/>
        <v>222</v>
      </c>
      <c r="X231" s="564">
        <v>16</v>
      </c>
    </row>
    <row r="232" spans="2:24" x14ac:dyDescent="0.25">
      <c r="B232" s="884"/>
      <c r="C232" s="887"/>
      <c r="D232" s="885"/>
      <c r="E232" s="885"/>
      <c r="F232" s="885"/>
      <c r="G232" s="885"/>
      <c r="H232" s="885"/>
      <c r="I232" s="885"/>
      <c r="J232" s="885"/>
      <c r="K232" s="885"/>
      <c r="L232" s="885"/>
      <c r="M232" s="885"/>
      <c r="N232" s="885"/>
      <c r="O232" s="885"/>
      <c r="P232" s="885"/>
      <c r="W232" s="574">
        <f t="shared" si="22"/>
        <v>223</v>
      </c>
      <c r="X232" s="564">
        <v>16</v>
      </c>
    </row>
    <row r="233" spans="2:24" x14ac:dyDescent="0.25">
      <c r="B233" s="884"/>
      <c r="C233" s="887"/>
      <c r="D233" s="885"/>
      <c r="E233" s="885"/>
      <c r="F233" s="885"/>
      <c r="G233" s="885"/>
      <c r="H233" s="885"/>
      <c r="I233" s="885"/>
      <c r="J233" s="885"/>
      <c r="K233" s="885"/>
      <c r="L233" s="885"/>
      <c r="M233" s="885"/>
      <c r="N233" s="885"/>
      <c r="O233" s="885"/>
      <c r="P233" s="885"/>
      <c r="W233" s="574">
        <f t="shared" si="22"/>
        <v>224</v>
      </c>
      <c r="X233" s="564">
        <v>16</v>
      </c>
    </row>
    <row r="234" spans="2:24" x14ac:dyDescent="0.25">
      <c r="B234" s="884"/>
      <c r="C234" s="887"/>
      <c r="D234" s="885"/>
      <c r="E234" s="885"/>
      <c r="F234" s="885"/>
      <c r="G234" s="885"/>
      <c r="H234" s="885"/>
      <c r="I234" s="885"/>
      <c r="J234" s="885"/>
      <c r="K234" s="885"/>
      <c r="L234" s="885"/>
      <c r="M234" s="885"/>
      <c r="N234" s="885"/>
      <c r="O234" s="885"/>
      <c r="P234" s="885"/>
      <c r="W234" s="574">
        <f t="shared" si="22"/>
        <v>225</v>
      </c>
      <c r="X234" s="564">
        <v>16</v>
      </c>
    </row>
    <row r="235" spans="2:24" x14ac:dyDescent="0.25">
      <c r="B235" s="884"/>
      <c r="C235" s="887"/>
      <c r="D235" s="885"/>
      <c r="E235" s="885"/>
      <c r="F235" s="885"/>
      <c r="G235" s="885"/>
      <c r="H235" s="885"/>
      <c r="I235" s="885"/>
      <c r="J235" s="885"/>
      <c r="K235" s="885"/>
      <c r="L235" s="885"/>
      <c r="M235" s="885"/>
      <c r="N235" s="885"/>
      <c r="O235" s="885"/>
      <c r="P235" s="885"/>
      <c r="W235" s="574">
        <f t="shared" si="22"/>
        <v>226</v>
      </c>
      <c r="X235" s="564">
        <v>16</v>
      </c>
    </row>
    <row r="236" spans="2:24" x14ac:dyDescent="0.25">
      <c r="B236" s="884"/>
      <c r="C236" s="887"/>
      <c r="D236" s="885"/>
      <c r="E236" s="885"/>
      <c r="F236" s="885"/>
      <c r="G236" s="885"/>
      <c r="H236" s="885"/>
      <c r="I236" s="885"/>
      <c r="J236" s="885"/>
      <c r="K236" s="885"/>
      <c r="L236" s="885"/>
      <c r="M236" s="885"/>
      <c r="N236" s="885"/>
      <c r="O236" s="885"/>
      <c r="P236" s="885"/>
      <c r="W236" s="574">
        <f t="shared" si="22"/>
        <v>227</v>
      </c>
      <c r="X236" s="564">
        <v>16</v>
      </c>
    </row>
    <row r="237" spans="2:24" x14ac:dyDescent="0.25">
      <c r="W237" s="574">
        <f t="shared" si="22"/>
        <v>228</v>
      </c>
      <c r="X237" s="564">
        <v>16</v>
      </c>
    </row>
    <row r="238" spans="2:24" x14ac:dyDescent="0.25">
      <c r="W238" s="574">
        <f t="shared" si="22"/>
        <v>229</v>
      </c>
      <c r="X238" s="564">
        <v>16</v>
      </c>
    </row>
    <row r="239" spans="2:24" x14ac:dyDescent="0.25">
      <c r="W239" s="574">
        <f t="shared" si="22"/>
        <v>230</v>
      </c>
      <c r="X239" s="564">
        <v>16</v>
      </c>
    </row>
    <row r="240" spans="2:24" x14ac:dyDescent="0.25">
      <c r="W240" s="574">
        <f t="shared" si="22"/>
        <v>231</v>
      </c>
      <c r="X240" s="564">
        <v>16</v>
      </c>
    </row>
    <row r="241" spans="23:24" x14ac:dyDescent="0.25">
      <c r="W241" s="574">
        <f t="shared" si="22"/>
        <v>232</v>
      </c>
      <c r="X241" s="564">
        <v>16</v>
      </c>
    </row>
    <row r="242" spans="23:24" x14ac:dyDescent="0.25">
      <c r="W242" s="574">
        <f t="shared" si="22"/>
        <v>233</v>
      </c>
      <c r="X242" s="564">
        <v>16</v>
      </c>
    </row>
    <row r="243" spans="23:24" x14ac:dyDescent="0.25">
      <c r="W243" s="574">
        <f t="shared" si="22"/>
        <v>234</v>
      </c>
      <c r="X243" s="564">
        <v>16</v>
      </c>
    </row>
    <row r="244" spans="23:24" x14ac:dyDescent="0.25">
      <c r="W244" s="574">
        <f t="shared" si="22"/>
        <v>235</v>
      </c>
      <c r="X244" s="564">
        <v>16</v>
      </c>
    </row>
    <row r="245" spans="23:24" x14ac:dyDescent="0.25">
      <c r="W245" s="574">
        <f t="shared" si="22"/>
        <v>236</v>
      </c>
      <c r="X245" s="564">
        <v>16</v>
      </c>
    </row>
    <row r="246" spans="23:24" x14ac:dyDescent="0.25">
      <c r="W246" s="574">
        <f t="shared" si="22"/>
        <v>237</v>
      </c>
      <c r="X246" s="564">
        <v>16</v>
      </c>
    </row>
    <row r="247" spans="23:24" x14ac:dyDescent="0.25">
      <c r="W247" s="574">
        <f t="shared" si="22"/>
        <v>238</v>
      </c>
      <c r="X247" s="564">
        <v>16</v>
      </c>
    </row>
    <row r="248" spans="23:24" x14ac:dyDescent="0.25">
      <c r="W248" s="574">
        <f t="shared" si="22"/>
        <v>239</v>
      </c>
      <c r="X248" s="564">
        <v>16</v>
      </c>
    </row>
    <row r="249" spans="23:24" x14ac:dyDescent="0.25">
      <c r="W249" s="574">
        <f t="shared" si="22"/>
        <v>240</v>
      </c>
      <c r="X249" s="564">
        <v>16</v>
      </c>
    </row>
    <row r="250" spans="23:24" x14ac:dyDescent="0.25">
      <c r="W250" s="574">
        <f t="shared" si="22"/>
        <v>241</v>
      </c>
      <c r="X250" s="564">
        <v>16</v>
      </c>
    </row>
    <row r="251" spans="23:24" x14ac:dyDescent="0.25">
      <c r="W251" s="574">
        <f t="shared" si="22"/>
        <v>242</v>
      </c>
      <c r="X251" s="564">
        <v>16</v>
      </c>
    </row>
    <row r="252" spans="23:24" x14ac:dyDescent="0.25">
      <c r="W252" s="574">
        <f t="shared" si="22"/>
        <v>243</v>
      </c>
      <c r="X252" s="564">
        <v>16</v>
      </c>
    </row>
    <row r="253" spans="23:24" x14ac:dyDescent="0.25">
      <c r="W253" s="574">
        <f t="shared" si="22"/>
        <v>244</v>
      </c>
      <c r="X253" s="564">
        <v>16</v>
      </c>
    </row>
    <row r="254" spans="23:24" x14ac:dyDescent="0.25">
      <c r="W254" s="574">
        <f t="shared" si="22"/>
        <v>245</v>
      </c>
      <c r="X254" s="564">
        <v>16</v>
      </c>
    </row>
    <row r="255" spans="23:24" x14ac:dyDescent="0.25">
      <c r="W255" s="574">
        <f t="shared" si="22"/>
        <v>246</v>
      </c>
      <c r="X255" s="564">
        <v>16</v>
      </c>
    </row>
    <row r="256" spans="23:24" x14ac:dyDescent="0.25">
      <c r="W256" s="574">
        <f t="shared" si="22"/>
        <v>247</v>
      </c>
      <c r="X256" s="564">
        <v>16</v>
      </c>
    </row>
    <row r="257" spans="23:24" x14ac:dyDescent="0.25">
      <c r="W257" s="574">
        <f t="shared" si="22"/>
        <v>248</v>
      </c>
      <c r="X257" s="564">
        <v>16</v>
      </c>
    </row>
    <row r="258" spans="23:24" x14ac:dyDescent="0.25">
      <c r="W258" s="574">
        <f t="shared" si="22"/>
        <v>249</v>
      </c>
      <c r="X258" s="564">
        <v>16</v>
      </c>
    </row>
    <row r="259" spans="23:24" x14ac:dyDescent="0.25">
      <c r="W259" s="574">
        <f t="shared" si="22"/>
        <v>250</v>
      </c>
      <c r="X259" s="564">
        <v>17</v>
      </c>
    </row>
    <row r="260" spans="23:24" x14ac:dyDescent="0.25">
      <c r="W260" s="574">
        <f t="shared" si="22"/>
        <v>251</v>
      </c>
      <c r="X260" s="564">
        <v>17</v>
      </c>
    </row>
    <row r="261" spans="23:24" x14ac:dyDescent="0.25">
      <c r="W261" s="574">
        <f t="shared" si="22"/>
        <v>252</v>
      </c>
      <c r="X261" s="564">
        <v>17</v>
      </c>
    </row>
    <row r="262" spans="23:24" x14ac:dyDescent="0.25">
      <c r="W262" s="574">
        <f t="shared" si="22"/>
        <v>253</v>
      </c>
      <c r="X262" s="564">
        <v>17</v>
      </c>
    </row>
    <row r="263" spans="23:24" x14ac:dyDescent="0.25">
      <c r="W263" s="574">
        <f t="shared" si="22"/>
        <v>254</v>
      </c>
      <c r="X263" s="564">
        <v>17</v>
      </c>
    </row>
    <row r="264" spans="23:24" x14ac:dyDescent="0.25">
      <c r="W264" s="574">
        <f t="shared" si="22"/>
        <v>255</v>
      </c>
      <c r="X264" s="564">
        <v>17</v>
      </c>
    </row>
    <row r="265" spans="23:24" x14ac:dyDescent="0.25">
      <c r="W265" s="574">
        <f t="shared" si="22"/>
        <v>256</v>
      </c>
      <c r="X265" s="564">
        <v>17</v>
      </c>
    </row>
    <row r="266" spans="23:24" x14ac:dyDescent="0.25">
      <c r="W266" s="574">
        <f t="shared" si="22"/>
        <v>257</v>
      </c>
      <c r="X266" s="564">
        <v>17</v>
      </c>
    </row>
    <row r="267" spans="23:24" x14ac:dyDescent="0.25">
      <c r="W267" s="574">
        <f t="shared" si="22"/>
        <v>258</v>
      </c>
      <c r="X267" s="564">
        <v>17</v>
      </c>
    </row>
    <row r="268" spans="23:24" x14ac:dyDescent="0.25">
      <c r="W268" s="574">
        <f t="shared" si="22"/>
        <v>259</v>
      </c>
      <c r="X268" s="564">
        <v>17</v>
      </c>
    </row>
    <row r="269" spans="23:24" x14ac:dyDescent="0.25">
      <c r="W269" s="574">
        <f t="shared" si="22"/>
        <v>260</v>
      </c>
      <c r="X269" s="564">
        <v>17</v>
      </c>
    </row>
    <row r="270" spans="23:24" x14ac:dyDescent="0.25">
      <c r="W270" s="574">
        <f t="shared" si="22"/>
        <v>261</v>
      </c>
      <c r="X270" s="564">
        <v>17</v>
      </c>
    </row>
    <row r="271" spans="23:24" x14ac:dyDescent="0.25">
      <c r="W271" s="574">
        <f t="shared" si="22"/>
        <v>262</v>
      </c>
      <c r="X271" s="564">
        <v>17</v>
      </c>
    </row>
    <row r="272" spans="23:24" x14ac:dyDescent="0.25">
      <c r="W272" s="574">
        <f t="shared" si="22"/>
        <v>263</v>
      </c>
      <c r="X272" s="564">
        <v>17</v>
      </c>
    </row>
    <row r="273" spans="23:24" x14ac:dyDescent="0.25">
      <c r="W273" s="574">
        <f t="shared" si="22"/>
        <v>264</v>
      </c>
      <c r="X273" s="564">
        <v>17</v>
      </c>
    </row>
    <row r="274" spans="23:24" x14ac:dyDescent="0.25">
      <c r="W274" s="574">
        <f t="shared" si="22"/>
        <v>265</v>
      </c>
      <c r="X274" s="564">
        <v>17</v>
      </c>
    </row>
    <row r="275" spans="23:24" x14ac:dyDescent="0.25">
      <c r="W275" s="574">
        <f t="shared" si="22"/>
        <v>266</v>
      </c>
      <c r="X275" s="564">
        <v>17</v>
      </c>
    </row>
    <row r="276" spans="23:24" x14ac:dyDescent="0.25">
      <c r="W276" s="574">
        <f t="shared" si="22"/>
        <v>267</v>
      </c>
      <c r="X276" s="564">
        <v>17</v>
      </c>
    </row>
    <row r="277" spans="23:24" x14ac:dyDescent="0.25">
      <c r="W277" s="574">
        <f t="shared" si="22"/>
        <v>268</v>
      </c>
      <c r="X277" s="564">
        <v>17</v>
      </c>
    </row>
    <row r="278" spans="23:24" x14ac:dyDescent="0.25">
      <c r="W278" s="574">
        <f t="shared" si="22"/>
        <v>269</v>
      </c>
      <c r="X278" s="564">
        <v>17</v>
      </c>
    </row>
    <row r="279" spans="23:24" x14ac:dyDescent="0.25">
      <c r="W279" s="574">
        <f t="shared" si="22"/>
        <v>270</v>
      </c>
      <c r="X279" s="564">
        <v>17</v>
      </c>
    </row>
    <row r="280" spans="23:24" x14ac:dyDescent="0.25">
      <c r="W280" s="574">
        <f t="shared" si="22"/>
        <v>271</v>
      </c>
      <c r="X280" s="564">
        <v>17</v>
      </c>
    </row>
    <row r="281" spans="23:24" x14ac:dyDescent="0.25">
      <c r="W281" s="574">
        <f t="shared" si="22"/>
        <v>272</v>
      </c>
      <c r="X281" s="564">
        <v>17</v>
      </c>
    </row>
    <row r="282" spans="23:24" x14ac:dyDescent="0.25">
      <c r="W282" s="574">
        <f t="shared" ref="W282:W345" si="23">W281+1</f>
        <v>273</v>
      </c>
      <c r="X282" s="564">
        <v>17</v>
      </c>
    </row>
    <row r="283" spans="23:24" x14ac:dyDescent="0.25">
      <c r="W283" s="574">
        <f t="shared" si="23"/>
        <v>274</v>
      </c>
      <c r="X283" s="564">
        <v>17</v>
      </c>
    </row>
    <row r="284" spans="23:24" x14ac:dyDescent="0.25">
      <c r="W284" s="574">
        <f t="shared" si="23"/>
        <v>275</v>
      </c>
      <c r="X284" s="564">
        <v>17</v>
      </c>
    </row>
    <row r="285" spans="23:24" x14ac:dyDescent="0.25">
      <c r="W285" s="574">
        <f t="shared" si="23"/>
        <v>276</v>
      </c>
      <c r="X285" s="564">
        <v>17</v>
      </c>
    </row>
    <row r="286" spans="23:24" x14ac:dyDescent="0.25">
      <c r="W286" s="574">
        <f t="shared" si="23"/>
        <v>277</v>
      </c>
      <c r="X286" s="564">
        <v>17</v>
      </c>
    </row>
    <row r="287" spans="23:24" x14ac:dyDescent="0.25">
      <c r="W287" s="574">
        <f t="shared" si="23"/>
        <v>278</v>
      </c>
      <c r="X287" s="564">
        <v>17</v>
      </c>
    </row>
    <row r="288" spans="23:24" x14ac:dyDescent="0.25">
      <c r="W288" s="574">
        <f t="shared" si="23"/>
        <v>279</v>
      </c>
      <c r="X288" s="564">
        <v>17</v>
      </c>
    </row>
    <row r="289" spans="23:24" x14ac:dyDescent="0.25">
      <c r="W289" s="574">
        <f t="shared" si="23"/>
        <v>280</v>
      </c>
      <c r="X289" s="564">
        <v>17</v>
      </c>
    </row>
    <row r="290" spans="23:24" x14ac:dyDescent="0.25">
      <c r="W290" s="574">
        <f t="shared" si="23"/>
        <v>281</v>
      </c>
      <c r="X290" s="564">
        <v>17</v>
      </c>
    </row>
    <row r="291" spans="23:24" x14ac:dyDescent="0.25">
      <c r="W291" s="574">
        <f t="shared" si="23"/>
        <v>282</v>
      </c>
      <c r="X291" s="564">
        <v>17</v>
      </c>
    </row>
    <row r="292" spans="23:24" x14ac:dyDescent="0.25">
      <c r="W292" s="574">
        <f t="shared" si="23"/>
        <v>283</v>
      </c>
      <c r="X292" s="564">
        <v>17</v>
      </c>
    </row>
    <row r="293" spans="23:24" x14ac:dyDescent="0.25">
      <c r="W293" s="574">
        <f t="shared" si="23"/>
        <v>284</v>
      </c>
      <c r="X293" s="564">
        <v>17</v>
      </c>
    </row>
    <row r="294" spans="23:24" x14ac:dyDescent="0.25">
      <c r="W294" s="574">
        <f t="shared" si="23"/>
        <v>285</v>
      </c>
      <c r="X294" s="564">
        <v>17</v>
      </c>
    </row>
    <row r="295" spans="23:24" x14ac:dyDescent="0.25">
      <c r="W295" s="574">
        <f t="shared" si="23"/>
        <v>286</v>
      </c>
      <c r="X295" s="564">
        <v>17</v>
      </c>
    </row>
    <row r="296" spans="23:24" x14ac:dyDescent="0.25">
      <c r="W296" s="574">
        <f t="shared" si="23"/>
        <v>287</v>
      </c>
      <c r="X296" s="564">
        <v>17</v>
      </c>
    </row>
    <row r="297" spans="23:24" x14ac:dyDescent="0.25">
      <c r="W297" s="574">
        <f t="shared" si="23"/>
        <v>288</v>
      </c>
      <c r="X297" s="564">
        <v>17</v>
      </c>
    </row>
    <row r="298" spans="23:24" x14ac:dyDescent="0.25">
      <c r="W298" s="574">
        <f t="shared" si="23"/>
        <v>289</v>
      </c>
      <c r="X298" s="564">
        <v>17</v>
      </c>
    </row>
    <row r="299" spans="23:24" x14ac:dyDescent="0.25">
      <c r="W299" s="574">
        <f t="shared" si="23"/>
        <v>290</v>
      </c>
      <c r="X299" s="564">
        <v>17</v>
      </c>
    </row>
    <row r="300" spans="23:24" x14ac:dyDescent="0.25">
      <c r="W300" s="574">
        <f t="shared" si="23"/>
        <v>291</v>
      </c>
      <c r="X300" s="564">
        <v>17</v>
      </c>
    </row>
    <row r="301" spans="23:24" x14ac:dyDescent="0.25">
      <c r="W301" s="574">
        <f t="shared" si="23"/>
        <v>292</v>
      </c>
      <c r="X301" s="564">
        <v>17</v>
      </c>
    </row>
    <row r="302" spans="23:24" x14ac:dyDescent="0.25">
      <c r="W302" s="574">
        <f t="shared" si="23"/>
        <v>293</v>
      </c>
      <c r="X302" s="564">
        <v>17</v>
      </c>
    </row>
    <row r="303" spans="23:24" x14ac:dyDescent="0.25">
      <c r="W303" s="574">
        <f t="shared" si="23"/>
        <v>294</v>
      </c>
      <c r="X303" s="564">
        <v>17</v>
      </c>
    </row>
    <row r="304" spans="23:24" x14ac:dyDescent="0.25">
      <c r="W304" s="574">
        <f t="shared" si="23"/>
        <v>295</v>
      </c>
      <c r="X304" s="564">
        <v>17</v>
      </c>
    </row>
    <row r="305" spans="23:24" x14ac:dyDescent="0.25">
      <c r="W305" s="574">
        <f t="shared" si="23"/>
        <v>296</v>
      </c>
      <c r="X305" s="564">
        <v>17</v>
      </c>
    </row>
    <row r="306" spans="23:24" x14ac:dyDescent="0.25">
      <c r="W306" s="574">
        <f t="shared" si="23"/>
        <v>297</v>
      </c>
      <c r="X306" s="564">
        <v>17</v>
      </c>
    </row>
    <row r="307" spans="23:24" x14ac:dyDescent="0.25">
      <c r="W307" s="574">
        <f t="shared" si="23"/>
        <v>298</v>
      </c>
      <c r="X307" s="564">
        <v>17</v>
      </c>
    </row>
    <row r="308" spans="23:24" x14ac:dyDescent="0.25">
      <c r="W308" s="574">
        <f t="shared" si="23"/>
        <v>299</v>
      </c>
      <c r="X308" s="564">
        <v>17</v>
      </c>
    </row>
    <row r="309" spans="23:24" x14ac:dyDescent="0.25">
      <c r="W309" s="574">
        <f t="shared" si="23"/>
        <v>300</v>
      </c>
      <c r="X309" s="564">
        <v>18</v>
      </c>
    </row>
    <row r="310" spans="23:24" x14ac:dyDescent="0.25">
      <c r="W310" s="574">
        <f t="shared" si="23"/>
        <v>301</v>
      </c>
      <c r="X310" s="564">
        <v>18</v>
      </c>
    </row>
    <row r="311" spans="23:24" x14ac:dyDescent="0.25">
      <c r="W311" s="574">
        <f t="shared" si="23"/>
        <v>302</v>
      </c>
      <c r="X311" s="564">
        <v>18</v>
      </c>
    </row>
    <row r="312" spans="23:24" x14ac:dyDescent="0.25">
      <c r="W312" s="574">
        <f t="shared" si="23"/>
        <v>303</v>
      </c>
      <c r="X312" s="564">
        <v>18</v>
      </c>
    </row>
    <row r="313" spans="23:24" x14ac:dyDescent="0.25">
      <c r="W313" s="574">
        <f t="shared" si="23"/>
        <v>304</v>
      </c>
      <c r="X313" s="564">
        <v>18</v>
      </c>
    </row>
    <row r="314" spans="23:24" x14ac:dyDescent="0.25">
      <c r="W314" s="574">
        <f t="shared" si="23"/>
        <v>305</v>
      </c>
      <c r="X314" s="564">
        <v>18</v>
      </c>
    </row>
    <row r="315" spans="23:24" x14ac:dyDescent="0.25">
      <c r="W315" s="574">
        <f t="shared" si="23"/>
        <v>306</v>
      </c>
      <c r="X315" s="564">
        <v>18</v>
      </c>
    </row>
    <row r="316" spans="23:24" x14ac:dyDescent="0.25">
      <c r="W316" s="574">
        <f t="shared" si="23"/>
        <v>307</v>
      </c>
      <c r="X316" s="564">
        <v>18</v>
      </c>
    </row>
    <row r="317" spans="23:24" x14ac:dyDescent="0.25">
      <c r="W317" s="574">
        <f t="shared" si="23"/>
        <v>308</v>
      </c>
      <c r="X317" s="564">
        <v>18</v>
      </c>
    </row>
    <row r="318" spans="23:24" x14ac:dyDescent="0.25">
      <c r="W318" s="574">
        <f t="shared" si="23"/>
        <v>309</v>
      </c>
      <c r="X318" s="564">
        <v>18</v>
      </c>
    </row>
    <row r="319" spans="23:24" x14ac:dyDescent="0.25">
      <c r="W319" s="574">
        <f t="shared" si="23"/>
        <v>310</v>
      </c>
      <c r="X319" s="564">
        <v>18</v>
      </c>
    </row>
    <row r="320" spans="23:24" x14ac:dyDescent="0.25">
      <c r="W320" s="574">
        <f t="shared" si="23"/>
        <v>311</v>
      </c>
      <c r="X320" s="564">
        <v>18</v>
      </c>
    </row>
    <row r="321" spans="23:24" x14ac:dyDescent="0.25">
      <c r="W321" s="574">
        <f t="shared" si="23"/>
        <v>312</v>
      </c>
      <c r="X321" s="564">
        <v>18</v>
      </c>
    </row>
    <row r="322" spans="23:24" x14ac:dyDescent="0.25">
      <c r="W322" s="574">
        <f t="shared" si="23"/>
        <v>313</v>
      </c>
      <c r="X322" s="564">
        <v>18</v>
      </c>
    </row>
    <row r="323" spans="23:24" x14ac:dyDescent="0.25">
      <c r="W323" s="574">
        <f t="shared" si="23"/>
        <v>314</v>
      </c>
      <c r="X323" s="564">
        <v>18</v>
      </c>
    </row>
    <row r="324" spans="23:24" x14ac:dyDescent="0.25">
      <c r="W324" s="574">
        <f t="shared" si="23"/>
        <v>315</v>
      </c>
      <c r="X324" s="564">
        <v>18</v>
      </c>
    </row>
    <row r="325" spans="23:24" x14ac:dyDescent="0.25">
      <c r="W325" s="574">
        <f t="shared" si="23"/>
        <v>316</v>
      </c>
      <c r="X325" s="564">
        <v>18</v>
      </c>
    </row>
    <row r="326" spans="23:24" x14ac:dyDescent="0.25">
      <c r="W326" s="574">
        <f t="shared" si="23"/>
        <v>317</v>
      </c>
      <c r="X326" s="564">
        <v>18</v>
      </c>
    </row>
    <row r="327" spans="23:24" x14ac:dyDescent="0.25">
      <c r="W327" s="574">
        <f t="shared" si="23"/>
        <v>318</v>
      </c>
      <c r="X327" s="564">
        <v>18</v>
      </c>
    </row>
    <row r="328" spans="23:24" x14ac:dyDescent="0.25">
      <c r="W328" s="574">
        <f t="shared" si="23"/>
        <v>319</v>
      </c>
      <c r="X328" s="564">
        <v>18</v>
      </c>
    </row>
    <row r="329" spans="23:24" x14ac:dyDescent="0.25">
      <c r="W329" s="574">
        <f t="shared" si="23"/>
        <v>320</v>
      </c>
      <c r="X329" s="564">
        <v>18</v>
      </c>
    </row>
    <row r="330" spans="23:24" x14ac:dyDescent="0.25">
      <c r="W330" s="574">
        <f t="shared" si="23"/>
        <v>321</v>
      </c>
      <c r="X330" s="564">
        <v>18</v>
      </c>
    </row>
    <row r="331" spans="23:24" x14ac:dyDescent="0.25">
      <c r="W331" s="574">
        <f t="shared" si="23"/>
        <v>322</v>
      </c>
      <c r="X331" s="564">
        <v>18</v>
      </c>
    </row>
    <row r="332" spans="23:24" x14ac:dyDescent="0.25">
      <c r="W332" s="574">
        <f t="shared" si="23"/>
        <v>323</v>
      </c>
      <c r="X332" s="564">
        <v>18</v>
      </c>
    </row>
    <row r="333" spans="23:24" x14ac:dyDescent="0.25">
      <c r="W333" s="574">
        <f t="shared" si="23"/>
        <v>324</v>
      </c>
      <c r="X333" s="564">
        <v>18</v>
      </c>
    </row>
    <row r="334" spans="23:24" x14ac:dyDescent="0.25">
      <c r="W334" s="574">
        <f t="shared" si="23"/>
        <v>325</v>
      </c>
      <c r="X334" s="564">
        <v>18</v>
      </c>
    </row>
    <row r="335" spans="23:24" x14ac:dyDescent="0.25">
      <c r="W335" s="574">
        <f t="shared" si="23"/>
        <v>326</v>
      </c>
      <c r="X335" s="564">
        <v>18</v>
      </c>
    </row>
    <row r="336" spans="23:24" x14ac:dyDescent="0.25">
      <c r="W336" s="574">
        <f t="shared" si="23"/>
        <v>327</v>
      </c>
      <c r="X336" s="564">
        <v>18</v>
      </c>
    </row>
    <row r="337" spans="23:24" x14ac:dyDescent="0.25">
      <c r="W337" s="574">
        <f t="shared" si="23"/>
        <v>328</v>
      </c>
      <c r="X337" s="564">
        <v>18</v>
      </c>
    </row>
    <row r="338" spans="23:24" x14ac:dyDescent="0.25">
      <c r="W338" s="574">
        <f t="shared" si="23"/>
        <v>329</v>
      </c>
      <c r="X338" s="564">
        <v>18</v>
      </c>
    </row>
    <row r="339" spans="23:24" x14ac:dyDescent="0.25">
      <c r="W339" s="574">
        <f t="shared" si="23"/>
        <v>330</v>
      </c>
      <c r="X339" s="564">
        <v>18</v>
      </c>
    </row>
    <row r="340" spans="23:24" x14ac:dyDescent="0.25">
      <c r="W340" s="574">
        <f t="shared" si="23"/>
        <v>331</v>
      </c>
      <c r="X340" s="564">
        <v>18</v>
      </c>
    </row>
    <row r="341" spans="23:24" x14ac:dyDescent="0.25">
      <c r="W341" s="574">
        <f t="shared" si="23"/>
        <v>332</v>
      </c>
      <c r="X341" s="564">
        <v>18</v>
      </c>
    </row>
    <row r="342" spans="23:24" x14ac:dyDescent="0.25">
      <c r="W342" s="574">
        <f t="shared" si="23"/>
        <v>333</v>
      </c>
      <c r="X342" s="564">
        <v>18</v>
      </c>
    </row>
    <row r="343" spans="23:24" x14ac:dyDescent="0.25">
      <c r="W343" s="574">
        <f t="shared" si="23"/>
        <v>334</v>
      </c>
      <c r="X343" s="564">
        <v>18</v>
      </c>
    </row>
    <row r="344" spans="23:24" x14ac:dyDescent="0.25">
      <c r="W344" s="574">
        <f t="shared" si="23"/>
        <v>335</v>
      </c>
      <c r="X344" s="564">
        <v>18</v>
      </c>
    </row>
    <row r="345" spans="23:24" x14ac:dyDescent="0.25">
      <c r="W345" s="574">
        <f t="shared" si="23"/>
        <v>336</v>
      </c>
      <c r="X345" s="564">
        <v>18</v>
      </c>
    </row>
    <row r="346" spans="23:24" x14ac:dyDescent="0.25">
      <c r="W346" s="574">
        <f t="shared" ref="W346:W409" si="24">W345+1</f>
        <v>337</v>
      </c>
      <c r="X346" s="564">
        <v>18</v>
      </c>
    </row>
    <row r="347" spans="23:24" x14ac:dyDescent="0.25">
      <c r="W347" s="574">
        <f t="shared" si="24"/>
        <v>338</v>
      </c>
      <c r="X347" s="564">
        <v>18</v>
      </c>
    </row>
    <row r="348" spans="23:24" x14ac:dyDescent="0.25">
      <c r="W348" s="574">
        <f t="shared" si="24"/>
        <v>339</v>
      </c>
      <c r="X348" s="564">
        <v>18</v>
      </c>
    </row>
    <row r="349" spans="23:24" x14ac:dyDescent="0.25">
      <c r="W349" s="574">
        <f t="shared" si="24"/>
        <v>340</v>
      </c>
      <c r="X349" s="564">
        <v>18</v>
      </c>
    </row>
    <row r="350" spans="23:24" x14ac:dyDescent="0.25">
      <c r="W350" s="574">
        <f t="shared" si="24"/>
        <v>341</v>
      </c>
      <c r="X350" s="564">
        <v>18</v>
      </c>
    </row>
    <row r="351" spans="23:24" x14ac:dyDescent="0.25">
      <c r="W351" s="574">
        <f t="shared" si="24"/>
        <v>342</v>
      </c>
      <c r="X351" s="564">
        <v>18</v>
      </c>
    </row>
    <row r="352" spans="23:24" x14ac:dyDescent="0.25">
      <c r="W352" s="574">
        <f t="shared" si="24"/>
        <v>343</v>
      </c>
      <c r="X352" s="564">
        <v>18</v>
      </c>
    </row>
    <row r="353" spans="23:24" x14ac:dyDescent="0.25">
      <c r="W353" s="574">
        <f t="shared" si="24"/>
        <v>344</v>
      </c>
      <c r="X353" s="564">
        <v>18</v>
      </c>
    </row>
    <row r="354" spans="23:24" x14ac:dyDescent="0.25">
      <c r="W354" s="574">
        <f t="shared" si="24"/>
        <v>345</v>
      </c>
      <c r="X354" s="564">
        <v>18</v>
      </c>
    </row>
    <row r="355" spans="23:24" x14ac:dyDescent="0.25">
      <c r="W355" s="574">
        <f t="shared" si="24"/>
        <v>346</v>
      </c>
      <c r="X355" s="564">
        <v>18</v>
      </c>
    </row>
    <row r="356" spans="23:24" x14ac:dyDescent="0.25">
      <c r="W356" s="574">
        <f t="shared" si="24"/>
        <v>347</v>
      </c>
      <c r="X356" s="564">
        <v>18</v>
      </c>
    </row>
    <row r="357" spans="23:24" x14ac:dyDescent="0.25">
      <c r="W357" s="574">
        <f t="shared" si="24"/>
        <v>348</v>
      </c>
      <c r="X357" s="564">
        <v>18</v>
      </c>
    </row>
    <row r="358" spans="23:24" x14ac:dyDescent="0.25">
      <c r="W358" s="574">
        <f t="shared" si="24"/>
        <v>349</v>
      </c>
      <c r="X358" s="564">
        <v>18</v>
      </c>
    </row>
    <row r="359" spans="23:24" x14ac:dyDescent="0.25">
      <c r="W359" s="574">
        <f t="shared" si="24"/>
        <v>350</v>
      </c>
      <c r="X359" s="564">
        <v>19</v>
      </c>
    </row>
    <row r="360" spans="23:24" x14ac:dyDescent="0.25">
      <c r="W360" s="574">
        <f t="shared" si="24"/>
        <v>351</v>
      </c>
      <c r="X360" s="564">
        <v>19</v>
      </c>
    </row>
    <row r="361" spans="23:24" x14ac:dyDescent="0.25">
      <c r="W361" s="574">
        <f t="shared" si="24"/>
        <v>352</v>
      </c>
      <c r="X361" s="564">
        <v>19</v>
      </c>
    </row>
    <row r="362" spans="23:24" x14ac:dyDescent="0.25">
      <c r="W362" s="574">
        <f t="shared" si="24"/>
        <v>353</v>
      </c>
      <c r="X362" s="564">
        <v>19</v>
      </c>
    </row>
    <row r="363" spans="23:24" x14ac:dyDescent="0.25">
      <c r="W363" s="574">
        <f t="shared" si="24"/>
        <v>354</v>
      </c>
      <c r="X363" s="564">
        <v>19</v>
      </c>
    </row>
    <row r="364" spans="23:24" x14ac:dyDescent="0.25">
      <c r="W364" s="574">
        <f t="shared" si="24"/>
        <v>355</v>
      </c>
      <c r="X364" s="564">
        <v>19</v>
      </c>
    </row>
    <row r="365" spans="23:24" x14ac:dyDescent="0.25">
      <c r="W365" s="574">
        <f t="shared" si="24"/>
        <v>356</v>
      </c>
      <c r="X365" s="564">
        <v>19</v>
      </c>
    </row>
    <row r="366" spans="23:24" x14ac:dyDescent="0.25">
      <c r="W366" s="574">
        <f t="shared" si="24"/>
        <v>357</v>
      </c>
      <c r="X366" s="564">
        <v>19</v>
      </c>
    </row>
    <row r="367" spans="23:24" x14ac:dyDescent="0.25">
      <c r="W367" s="574">
        <f t="shared" si="24"/>
        <v>358</v>
      </c>
      <c r="X367" s="564">
        <v>19</v>
      </c>
    </row>
    <row r="368" spans="23:24" x14ac:dyDescent="0.25">
      <c r="W368" s="574">
        <f t="shared" si="24"/>
        <v>359</v>
      </c>
      <c r="X368" s="564">
        <v>19</v>
      </c>
    </row>
    <row r="369" spans="23:24" x14ac:dyDescent="0.25">
      <c r="W369" s="574">
        <f t="shared" si="24"/>
        <v>360</v>
      </c>
      <c r="X369" s="564">
        <v>19</v>
      </c>
    </row>
    <row r="370" spans="23:24" x14ac:dyDescent="0.25">
      <c r="W370" s="574">
        <f t="shared" si="24"/>
        <v>361</v>
      </c>
      <c r="X370" s="564">
        <v>19</v>
      </c>
    </row>
    <row r="371" spans="23:24" x14ac:dyDescent="0.25">
      <c r="W371" s="574">
        <f t="shared" si="24"/>
        <v>362</v>
      </c>
      <c r="X371" s="564">
        <v>19</v>
      </c>
    </row>
    <row r="372" spans="23:24" x14ac:dyDescent="0.25">
      <c r="W372" s="574">
        <f t="shared" si="24"/>
        <v>363</v>
      </c>
      <c r="X372" s="564">
        <v>19</v>
      </c>
    </row>
    <row r="373" spans="23:24" x14ac:dyDescent="0.25">
      <c r="W373" s="574">
        <f t="shared" si="24"/>
        <v>364</v>
      </c>
      <c r="X373" s="564">
        <v>19</v>
      </c>
    </row>
    <row r="374" spans="23:24" x14ac:dyDescent="0.25">
      <c r="W374" s="574">
        <f t="shared" si="24"/>
        <v>365</v>
      </c>
      <c r="X374" s="564">
        <v>19</v>
      </c>
    </row>
    <row r="375" spans="23:24" x14ac:dyDescent="0.25">
      <c r="W375" s="574">
        <f t="shared" si="24"/>
        <v>366</v>
      </c>
      <c r="X375" s="564">
        <v>19</v>
      </c>
    </row>
    <row r="376" spans="23:24" x14ac:dyDescent="0.25">
      <c r="W376" s="574">
        <f t="shared" si="24"/>
        <v>367</v>
      </c>
      <c r="X376" s="564">
        <v>19</v>
      </c>
    </row>
    <row r="377" spans="23:24" x14ac:dyDescent="0.25">
      <c r="W377" s="574">
        <f t="shared" si="24"/>
        <v>368</v>
      </c>
      <c r="X377" s="564">
        <v>19</v>
      </c>
    </row>
    <row r="378" spans="23:24" x14ac:dyDescent="0.25">
      <c r="W378" s="574">
        <f t="shared" si="24"/>
        <v>369</v>
      </c>
      <c r="X378" s="564">
        <v>19</v>
      </c>
    </row>
    <row r="379" spans="23:24" x14ac:dyDescent="0.25">
      <c r="W379" s="574">
        <f t="shared" si="24"/>
        <v>370</v>
      </c>
      <c r="X379" s="564">
        <v>19</v>
      </c>
    </row>
    <row r="380" spans="23:24" x14ac:dyDescent="0.25">
      <c r="W380" s="574">
        <f t="shared" si="24"/>
        <v>371</v>
      </c>
      <c r="X380" s="564">
        <v>19</v>
      </c>
    </row>
    <row r="381" spans="23:24" x14ac:dyDescent="0.25">
      <c r="W381" s="574">
        <f t="shared" si="24"/>
        <v>372</v>
      </c>
      <c r="X381" s="564">
        <v>19</v>
      </c>
    </row>
    <row r="382" spans="23:24" x14ac:dyDescent="0.25">
      <c r="W382" s="574">
        <f t="shared" si="24"/>
        <v>373</v>
      </c>
      <c r="X382" s="564">
        <v>19</v>
      </c>
    </row>
    <row r="383" spans="23:24" x14ac:dyDescent="0.25">
      <c r="W383" s="574">
        <f t="shared" si="24"/>
        <v>374</v>
      </c>
      <c r="X383" s="564">
        <v>19</v>
      </c>
    </row>
    <row r="384" spans="23:24" x14ac:dyDescent="0.25">
      <c r="W384" s="574">
        <f t="shared" si="24"/>
        <v>375</v>
      </c>
      <c r="X384" s="564">
        <v>19</v>
      </c>
    </row>
    <row r="385" spans="23:24" x14ac:dyDescent="0.25">
      <c r="W385" s="574">
        <f t="shared" si="24"/>
        <v>376</v>
      </c>
      <c r="X385" s="564">
        <v>19</v>
      </c>
    </row>
    <row r="386" spans="23:24" x14ac:dyDescent="0.25">
      <c r="W386" s="574">
        <f t="shared" si="24"/>
        <v>377</v>
      </c>
      <c r="X386" s="564">
        <v>19</v>
      </c>
    </row>
    <row r="387" spans="23:24" x14ac:dyDescent="0.25">
      <c r="W387" s="574">
        <f t="shared" si="24"/>
        <v>378</v>
      </c>
      <c r="X387" s="564">
        <v>19</v>
      </c>
    </row>
    <row r="388" spans="23:24" x14ac:dyDescent="0.25">
      <c r="W388" s="574">
        <f t="shared" si="24"/>
        <v>379</v>
      </c>
      <c r="X388" s="564">
        <v>19</v>
      </c>
    </row>
    <row r="389" spans="23:24" x14ac:dyDescent="0.25">
      <c r="W389" s="574">
        <f t="shared" si="24"/>
        <v>380</v>
      </c>
      <c r="X389" s="564">
        <v>19</v>
      </c>
    </row>
    <row r="390" spans="23:24" x14ac:dyDescent="0.25">
      <c r="W390" s="574">
        <f t="shared" si="24"/>
        <v>381</v>
      </c>
      <c r="X390" s="564">
        <v>19</v>
      </c>
    </row>
    <row r="391" spans="23:24" x14ac:dyDescent="0.25">
      <c r="W391" s="574">
        <f t="shared" si="24"/>
        <v>382</v>
      </c>
      <c r="X391" s="564">
        <v>19</v>
      </c>
    </row>
    <row r="392" spans="23:24" x14ac:dyDescent="0.25">
      <c r="W392" s="574">
        <f t="shared" si="24"/>
        <v>383</v>
      </c>
      <c r="X392" s="564">
        <v>19</v>
      </c>
    </row>
    <row r="393" spans="23:24" x14ac:dyDescent="0.25">
      <c r="W393" s="574">
        <f t="shared" si="24"/>
        <v>384</v>
      </c>
      <c r="X393" s="564">
        <v>19</v>
      </c>
    </row>
    <row r="394" spans="23:24" x14ac:dyDescent="0.25">
      <c r="W394" s="574">
        <f t="shared" si="24"/>
        <v>385</v>
      </c>
      <c r="X394" s="564">
        <v>19</v>
      </c>
    </row>
    <row r="395" spans="23:24" x14ac:dyDescent="0.25">
      <c r="W395" s="574">
        <f t="shared" si="24"/>
        <v>386</v>
      </c>
      <c r="X395" s="564">
        <v>19</v>
      </c>
    </row>
    <row r="396" spans="23:24" x14ac:dyDescent="0.25">
      <c r="W396" s="574">
        <f t="shared" si="24"/>
        <v>387</v>
      </c>
      <c r="X396" s="564">
        <v>19</v>
      </c>
    </row>
    <row r="397" spans="23:24" x14ac:dyDescent="0.25">
      <c r="W397" s="574">
        <f t="shared" si="24"/>
        <v>388</v>
      </c>
      <c r="X397" s="564">
        <v>19</v>
      </c>
    </row>
    <row r="398" spans="23:24" x14ac:dyDescent="0.25">
      <c r="W398" s="574">
        <f t="shared" si="24"/>
        <v>389</v>
      </c>
      <c r="X398" s="564">
        <v>19</v>
      </c>
    </row>
    <row r="399" spans="23:24" x14ac:dyDescent="0.25">
      <c r="W399" s="574">
        <f t="shared" si="24"/>
        <v>390</v>
      </c>
      <c r="X399" s="564">
        <v>19</v>
      </c>
    </row>
    <row r="400" spans="23:24" x14ac:dyDescent="0.25">
      <c r="W400" s="574">
        <f t="shared" si="24"/>
        <v>391</v>
      </c>
      <c r="X400" s="564">
        <v>19</v>
      </c>
    </row>
    <row r="401" spans="23:24" x14ac:dyDescent="0.25">
      <c r="W401" s="574">
        <f t="shared" si="24"/>
        <v>392</v>
      </c>
      <c r="X401" s="564">
        <v>19</v>
      </c>
    </row>
    <row r="402" spans="23:24" x14ac:dyDescent="0.25">
      <c r="W402" s="574">
        <f t="shared" si="24"/>
        <v>393</v>
      </c>
      <c r="X402" s="564">
        <v>19</v>
      </c>
    </row>
    <row r="403" spans="23:24" x14ac:dyDescent="0.25">
      <c r="W403" s="574">
        <f t="shared" si="24"/>
        <v>394</v>
      </c>
      <c r="X403" s="564">
        <v>19</v>
      </c>
    </row>
    <row r="404" spans="23:24" x14ac:dyDescent="0.25">
      <c r="W404" s="574">
        <f t="shared" si="24"/>
        <v>395</v>
      </c>
      <c r="X404" s="564">
        <v>19</v>
      </c>
    </row>
    <row r="405" spans="23:24" x14ac:dyDescent="0.25">
      <c r="W405" s="574">
        <f t="shared" si="24"/>
        <v>396</v>
      </c>
      <c r="X405" s="564">
        <v>19</v>
      </c>
    </row>
    <row r="406" spans="23:24" x14ac:dyDescent="0.25">
      <c r="W406" s="574">
        <f t="shared" si="24"/>
        <v>397</v>
      </c>
      <c r="X406" s="564">
        <v>19</v>
      </c>
    </row>
    <row r="407" spans="23:24" x14ac:dyDescent="0.25">
      <c r="W407" s="574">
        <f t="shared" si="24"/>
        <v>398</v>
      </c>
      <c r="X407" s="564">
        <v>19</v>
      </c>
    </row>
    <row r="408" spans="23:24" x14ac:dyDescent="0.25">
      <c r="W408" s="574">
        <f t="shared" si="24"/>
        <v>399</v>
      </c>
      <c r="X408" s="564">
        <v>19</v>
      </c>
    </row>
    <row r="409" spans="23:24" x14ac:dyDescent="0.25">
      <c r="W409" s="574">
        <f t="shared" si="24"/>
        <v>400</v>
      </c>
      <c r="X409" s="564">
        <v>20</v>
      </c>
    </row>
    <row r="410" spans="23:24" x14ac:dyDescent="0.25">
      <c r="W410" s="574">
        <f t="shared" ref="W410:W473" si="25">W409+1</f>
        <v>401</v>
      </c>
      <c r="X410" s="564">
        <v>20</v>
      </c>
    </row>
    <row r="411" spans="23:24" x14ac:dyDescent="0.25">
      <c r="W411" s="574">
        <f t="shared" si="25"/>
        <v>402</v>
      </c>
      <c r="X411" s="564">
        <v>20</v>
      </c>
    </row>
    <row r="412" spans="23:24" x14ac:dyDescent="0.25">
      <c r="W412" s="574">
        <f t="shared" si="25"/>
        <v>403</v>
      </c>
      <c r="X412" s="564">
        <v>20</v>
      </c>
    </row>
    <row r="413" spans="23:24" x14ac:dyDescent="0.25">
      <c r="W413" s="574">
        <f t="shared" si="25"/>
        <v>404</v>
      </c>
      <c r="X413" s="564">
        <v>20</v>
      </c>
    </row>
    <row r="414" spans="23:24" x14ac:dyDescent="0.25">
      <c r="W414" s="574">
        <f t="shared" si="25"/>
        <v>405</v>
      </c>
      <c r="X414" s="564">
        <v>20</v>
      </c>
    </row>
    <row r="415" spans="23:24" x14ac:dyDescent="0.25">
      <c r="W415" s="574">
        <f t="shared" si="25"/>
        <v>406</v>
      </c>
      <c r="X415" s="564">
        <v>20</v>
      </c>
    </row>
    <row r="416" spans="23:24" x14ac:dyDescent="0.25">
      <c r="W416" s="574">
        <f t="shared" si="25"/>
        <v>407</v>
      </c>
      <c r="X416" s="564">
        <v>20</v>
      </c>
    </row>
    <row r="417" spans="23:24" x14ac:dyDescent="0.25">
      <c r="W417" s="574">
        <f t="shared" si="25"/>
        <v>408</v>
      </c>
      <c r="X417" s="564">
        <v>20</v>
      </c>
    </row>
    <row r="418" spans="23:24" x14ac:dyDescent="0.25">
      <c r="W418" s="574">
        <f t="shared" si="25"/>
        <v>409</v>
      </c>
      <c r="X418" s="564">
        <v>20</v>
      </c>
    </row>
    <row r="419" spans="23:24" x14ac:dyDescent="0.25">
      <c r="W419" s="574">
        <f t="shared" si="25"/>
        <v>410</v>
      </c>
      <c r="X419" s="564">
        <v>20</v>
      </c>
    </row>
    <row r="420" spans="23:24" x14ac:dyDescent="0.25">
      <c r="W420" s="574">
        <f t="shared" si="25"/>
        <v>411</v>
      </c>
      <c r="X420" s="564">
        <v>20</v>
      </c>
    </row>
    <row r="421" spans="23:24" x14ac:dyDescent="0.25">
      <c r="W421" s="574">
        <f t="shared" si="25"/>
        <v>412</v>
      </c>
      <c r="X421" s="564">
        <v>20</v>
      </c>
    </row>
    <row r="422" spans="23:24" x14ac:dyDescent="0.25">
      <c r="W422" s="574">
        <f t="shared" si="25"/>
        <v>413</v>
      </c>
      <c r="X422" s="564">
        <v>20</v>
      </c>
    </row>
    <row r="423" spans="23:24" x14ac:dyDescent="0.25">
      <c r="W423" s="574">
        <f t="shared" si="25"/>
        <v>414</v>
      </c>
      <c r="X423" s="564">
        <v>20</v>
      </c>
    </row>
    <row r="424" spans="23:24" x14ac:dyDescent="0.25">
      <c r="W424" s="574">
        <f t="shared" si="25"/>
        <v>415</v>
      </c>
      <c r="X424" s="564">
        <v>20</v>
      </c>
    </row>
    <row r="425" spans="23:24" x14ac:dyDescent="0.25">
      <c r="W425" s="574">
        <f t="shared" si="25"/>
        <v>416</v>
      </c>
      <c r="X425" s="564">
        <v>20</v>
      </c>
    </row>
    <row r="426" spans="23:24" x14ac:dyDescent="0.25">
      <c r="W426" s="574">
        <f t="shared" si="25"/>
        <v>417</v>
      </c>
      <c r="X426" s="564">
        <v>20</v>
      </c>
    </row>
    <row r="427" spans="23:24" x14ac:dyDescent="0.25">
      <c r="W427" s="574">
        <f t="shared" si="25"/>
        <v>418</v>
      </c>
      <c r="X427" s="564">
        <v>20</v>
      </c>
    </row>
    <row r="428" spans="23:24" x14ac:dyDescent="0.25">
      <c r="W428" s="574">
        <f t="shared" si="25"/>
        <v>419</v>
      </c>
      <c r="X428" s="564">
        <v>20</v>
      </c>
    </row>
    <row r="429" spans="23:24" x14ac:dyDescent="0.25">
      <c r="W429" s="574">
        <f t="shared" si="25"/>
        <v>420</v>
      </c>
      <c r="X429" s="564">
        <v>20</v>
      </c>
    </row>
    <row r="430" spans="23:24" x14ac:dyDescent="0.25">
      <c r="W430" s="574">
        <f t="shared" si="25"/>
        <v>421</v>
      </c>
      <c r="X430" s="564">
        <v>20</v>
      </c>
    </row>
    <row r="431" spans="23:24" x14ac:dyDescent="0.25">
      <c r="W431" s="574">
        <f t="shared" si="25"/>
        <v>422</v>
      </c>
      <c r="X431" s="564">
        <v>20</v>
      </c>
    </row>
    <row r="432" spans="23:24" x14ac:dyDescent="0.25">
      <c r="W432" s="574">
        <f t="shared" si="25"/>
        <v>423</v>
      </c>
      <c r="X432" s="564">
        <v>20</v>
      </c>
    </row>
    <row r="433" spans="23:24" x14ac:dyDescent="0.25">
      <c r="W433" s="574">
        <f t="shared" si="25"/>
        <v>424</v>
      </c>
      <c r="X433" s="564">
        <v>20</v>
      </c>
    </row>
    <row r="434" spans="23:24" x14ac:dyDescent="0.25">
      <c r="W434" s="574">
        <f t="shared" si="25"/>
        <v>425</v>
      </c>
      <c r="X434" s="564">
        <v>20</v>
      </c>
    </row>
    <row r="435" spans="23:24" x14ac:dyDescent="0.25">
      <c r="W435" s="574">
        <f t="shared" si="25"/>
        <v>426</v>
      </c>
      <c r="X435" s="564">
        <v>20</v>
      </c>
    </row>
    <row r="436" spans="23:24" x14ac:dyDescent="0.25">
      <c r="W436" s="574">
        <f t="shared" si="25"/>
        <v>427</v>
      </c>
      <c r="X436" s="564">
        <v>20</v>
      </c>
    </row>
    <row r="437" spans="23:24" x14ac:dyDescent="0.25">
      <c r="W437" s="574">
        <f t="shared" si="25"/>
        <v>428</v>
      </c>
      <c r="X437" s="564">
        <v>20</v>
      </c>
    </row>
    <row r="438" spans="23:24" x14ac:dyDescent="0.25">
      <c r="W438" s="574">
        <f t="shared" si="25"/>
        <v>429</v>
      </c>
      <c r="X438" s="564">
        <v>20</v>
      </c>
    </row>
    <row r="439" spans="23:24" x14ac:dyDescent="0.25">
      <c r="W439" s="574">
        <f t="shared" si="25"/>
        <v>430</v>
      </c>
      <c r="X439" s="564">
        <v>20</v>
      </c>
    </row>
    <row r="440" spans="23:24" x14ac:dyDescent="0.25">
      <c r="W440" s="574">
        <f t="shared" si="25"/>
        <v>431</v>
      </c>
      <c r="X440" s="564">
        <v>20</v>
      </c>
    </row>
    <row r="441" spans="23:24" x14ac:dyDescent="0.25">
      <c r="W441" s="574">
        <f t="shared" si="25"/>
        <v>432</v>
      </c>
      <c r="X441" s="564">
        <v>20</v>
      </c>
    </row>
    <row r="442" spans="23:24" x14ac:dyDescent="0.25">
      <c r="W442" s="574">
        <f t="shared" si="25"/>
        <v>433</v>
      </c>
      <c r="X442" s="564">
        <v>20</v>
      </c>
    </row>
    <row r="443" spans="23:24" x14ac:dyDescent="0.25">
      <c r="W443" s="574">
        <f t="shared" si="25"/>
        <v>434</v>
      </c>
      <c r="X443" s="564">
        <v>20</v>
      </c>
    </row>
    <row r="444" spans="23:24" x14ac:dyDescent="0.25">
      <c r="W444" s="574">
        <f t="shared" si="25"/>
        <v>435</v>
      </c>
      <c r="X444" s="564">
        <v>20</v>
      </c>
    </row>
    <row r="445" spans="23:24" x14ac:dyDescent="0.25">
      <c r="W445" s="574">
        <f t="shared" si="25"/>
        <v>436</v>
      </c>
      <c r="X445" s="564">
        <v>20</v>
      </c>
    </row>
    <row r="446" spans="23:24" x14ac:dyDescent="0.25">
      <c r="W446" s="574">
        <f t="shared" si="25"/>
        <v>437</v>
      </c>
      <c r="X446" s="564">
        <v>20</v>
      </c>
    </row>
    <row r="447" spans="23:24" x14ac:dyDescent="0.25">
      <c r="W447" s="574">
        <f t="shared" si="25"/>
        <v>438</v>
      </c>
      <c r="X447" s="564">
        <v>20</v>
      </c>
    </row>
    <row r="448" spans="23:24" x14ac:dyDescent="0.25">
      <c r="W448" s="574">
        <f t="shared" si="25"/>
        <v>439</v>
      </c>
      <c r="X448" s="564">
        <v>20</v>
      </c>
    </row>
    <row r="449" spans="23:24" x14ac:dyDescent="0.25">
      <c r="W449" s="574">
        <f t="shared" si="25"/>
        <v>440</v>
      </c>
      <c r="X449" s="564">
        <v>20</v>
      </c>
    </row>
    <row r="450" spans="23:24" x14ac:dyDescent="0.25">
      <c r="W450" s="574">
        <f t="shared" si="25"/>
        <v>441</v>
      </c>
      <c r="X450" s="564">
        <v>20</v>
      </c>
    </row>
    <row r="451" spans="23:24" x14ac:dyDescent="0.25">
      <c r="W451" s="574">
        <f t="shared" si="25"/>
        <v>442</v>
      </c>
      <c r="X451" s="564">
        <v>20</v>
      </c>
    </row>
    <row r="452" spans="23:24" x14ac:dyDescent="0.25">
      <c r="W452" s="574">
        <f t="shared" si="25"/>
        <v>443</v>
      </c>
      <c r="X452" s="564">
        <v>20</v>
      </c>
    </row>
    <row r="453" spans="23:24" x14ac:dyDescent="0.25">
      <c r="W453" s="574">
        <f t="shared" si="25"/>
        <v>444</v>
      </c>
      <c r="X453" s="564">
        <v>20</v>
      </c>
    </row>
    <row r="454" spans="23:24" x14ac:dyDescent="0.25">
      <c r="W454" s="574">
        <f t="shared" si="25"/>
        <v>445</v>
      </c>
      <c r="X454" s="564">
        <v>20</v>
      </c>
    </row>
    <row r="455" spans="23:24" x14ac:dyDescent="0.25">
      <c r="W455" s="574">
        <f t="shared" si="25"/>
        <v>446</v>
      </c>
      <c r="X455" s="564">
        <v>20</v>
      </c>
    </row>
    <row r="456" spans="23:24" x14ac:dyDescent="0.25">
      <c r="W456" s="574">
        <f t="shared" si="25"/>
        <v>447</v>
      </c>
      <c r="X456" s="564">
        <v>20</v>
      </c>
    </row>
    <row r="457" spans="23:24" x14ac:dyDescent="0.25">
      <c r="W457" s="574">
        <f t="shared" si="25"/>
        <v>448</v>
      </c>
      <c r="X457" s="564">
        <v>20</v>
      </c>
    </row>
    <row r="458" spans="23:24" x14ac:dyDescent="0.25">
      <c r="W458" s="574">
        <f t="shared" si="25"/>
        <v>449</v>
      </c>
      <c r="X458" s="564">
        <v>20</v>
      </c>
    </row>
    <row r="459" spans="23:24" x14ac:dyDescent="0.25">
      <c r="W459" s="574">
        <f t="shared" si="25"/>
        <v>450</v>
      </c>
      <c r="X459" s="564">
        <v>21</v>
      </c>
    </row>
    <row r="460" spans="23:24" x14ac:dyDescent="0.25">
      <c r="W460" s="574">
        <f t="shared" si="25"/>
        <v>451</v>
      </c>
      <c r="X460" s="564">
        <v>21</v>
      </c>
    </row>
    <row r="461" spans="23:24" x14ac:dyDescent="0.25">
      <c r="W461" s="574">
        <f t="shared" si="25"/>
        <v>452</v>
      </c>
      <c r="X461" s="564">
        <v>21</v>
      </c>
    </row>
    <row r="462" spans="23:24" x14ac:dyDescent="0.25">
      <c r="W462" s="574">
        <f t="shared" si="25"/>
        <v>453</v>
      </c>
      <c r="X462" s="564">
        <v>21</v>
      </c>
    </row>
    <row r="463" spans="23:24" x14ac:dyDescent="0.25">
      <c r="W463" s="574">
        <f t="shared" si="25"/>
        <v>454</v>
      </c>
      <c r="X463" s="564">
        <v>21</v>
      </c>
    </row>
    <row r="464" spans="23:24" x14ac:dyDescent="0.25">
      <c r="W464" s="574">
        <f t="shared" si="25"/>
        <v>455</v>
      </c>
      <c r="X464" s="564">
        <v>21</v>
      </c>
    </row>
    <row r="465" spans="23:24" x14ac:dyDescent="0.25">
      <c r="W465" s="574">
        <f t="shared" si="25"/>
        <v>456</v>
      </c>
      <c r="X465" s="564">
        <v>21</v>
      </c>
    </row>
    <row r="466" spans="23:24" x14ac:dyDescent="0.25">
      <c r="W466" s="574">
        <f t="shared" si="25"/>
        <v>457</v>
      </c>
      <c r="X466" s="564">
        <v>21</v>
      </c>
    </row>
    <row r="467" spans="23:24" x14ac:dyDescent="0.25">
      <c r="W467" s="574">
        <f t="shared" si="25"/>
        <v>458</v>
      </c>
      <c r="X467" s="564">
        <v>21</v>
      </c>
    </row>
    <row r="468" spans="23:24" x14ac:dyDescent="0.25">
      <c r="W468" s="574">
        <f t="shared" si="25"/>
        <v>459</v>
      </c>
      <c r="X468" s="564">
        <v>21</v>
      </c>
    </row>
    <row r="469" spans="23:24" x14ac:dyDescent="0.25">
      <c r="W469" s="574">
        <f t="shared" si="25"/>
        <v>460</v>
      </c>
      <c r="X469" s="564">
        <v>21</v>
      </c>
    </row>
    <row r="470" spans="23:24" x14ac:dyDescent="0.25">
      <c r="W470" s="574">
        <f t="shared" si="25"/>
        <v>461</v>
      </c>
      <c r="X470" s="564">
        <v>21</v>
      </c>
    </row>
    <row r="471" spans="23:24" x14ac:dyDescent="0.25">
      <c r="W471" s="574">
        <f t="shared" si="25"/>
        <v>462</v>
      </c>
      <c r="X471" s="564">
        <v>21</v>
      </c>
    </row>
    <row r="472" spans="23:24" x14ac:dyDescent="0.25">
      <c r="W472" s="574">
        <f t="shared" si="25"/>
        <v>463</v>
      </c>
      <c r="X472" s="564">
        <v>21</v>
      </c>
    </row>
    <row r="473" spans="23:24" x14ac:dyDescent="0.25">
      <c r="W473" s="574">
        <f t="shared" si="25"/>
        <v>464</v>
      </c>
      <c r="X473" s="564">
        <v>21</v>
      </c>
    </row>
    <row r="474" spans="23:24" x14ac:dyDescent="0.25">
      <c r="W474" s="574">
        <f t="shared" ref="W474:W537" si="26">W473+1</f>
        <v>465</v>
      </c>
      <c r="X474" s="564">
        <v>21</v>
      </c>
    </row>
    <row r="475" spans="23:24" x14ac:dyDescent="0.25">
      <c r="W475" s="574">
        <f t="shared" si="26"/>
        <v>466</v>
      </c>
      <c r="X475" s="564">
        <v>21</v>
      </c>
    </row>
    <row r="476" spans="23:24" x14ac:dyDescent="0.25">
      <c r="W476" s="574">
        <f t="shared" si="26"/>
        <v>467</v>
      </c>
      <c r="X476" s="564">
        <v>21</v>
      </c>
    </row>
    <row r="477" spans="23:24" x14ac:dyDescent="0.25">
      <c r="W477" s="574">
        <f t="shared" si="26"/>
        <v>468</v>
      </c>
      <c r="X477" s="564">
        <v>21</v>
      </c>
    </row>
    <row r="478" spans="23:24" x14ac:dyDescent="0.25">
      <c r="W478" s="574">
        <f t="shared" si="26"/>
        <v>469</v>
      </c>
      <c r="X478" s="564">
        <v>21</v>
      </c>
    </row>
    <row r="479" spans="23:24" x14ac:dyDescent="0.25">
      <c r="W479" s="574">
        <f t="shared" si="26"/>
        <v>470</v>
      </c>
      <c r="X479" s="564">
        <v>21</v>
      </c>
    </row>
    <row r="480" spans="23:24" x14ac:dyDescent="0.25">
      <c r="W480" s="574">
        <f t="shared" si="26"/>
        <v>471</v>
      </c>
      <c r="X480" s="564">
        <v>21</v>
      </c>
    </row>
    <row r="481" spans="23:24" x14ac:dyDescent="0.25">
      <c r="W481" s="574">
        <f t="shared" si="26"/>
        <v>472</v>
      </c>
      <c r="X481" s="564">
        <v>21</v>
      </c>
    </row>
    <row r="482" spans="23:24" x14ac:dyDescent="0.25">
      <c r="W482" s="574">
        <f t="shared" si="26"/>
        <v>473</v>
      </c>
      <c r="X482" s="564">
        <v>21</v>
      </c>
    </row>
    <row r="483" spans="23:24" x14ac:dyDescent="0.25">
      <c r="W483" s="574">
        <f t="shared" si="26"/>
        <v>474</v>
      </c>
      <c r="X483" s="564">
        <v>21</v>
      </c>
    </row>
    <row r="484" spans="23:24" x14ac:dyDescent="0.25">
      <c r="W484" s="574">
        <f t="shared" si="26"/>
        <v>475</v>
      </c>
      <c r="X484" s="564">
        <v>21</v>
      </c>
    </row>
    <row r="485" spans="23:24" x14ac:dyDescent="0.25">
      <c r="W485" s="574">
        <f t="shared" si="26"/>
        <v>476</v>
      </c>
      <c r="X485" s="564">
        <v>21</v>
      </c>
    </row>
    <row r="486" spans="23:24" x14ac:dyDescent="0.25">
      <c r="W486" s="574">
        <f t="shared" si="26"/>
        <v>477</v>
      </c>
      <c r="X486" s="564">
        <v>21</v>
      </c>
    </row>
    <row r="487" spans="23:24" x14ac:dyDescent="0.25">
      <c r="W487" s="574">
        <f t="shared" si="26"/>
        <v>478</v>
      </c>
      <c r="X487" s="564">
        <v>21</v>
      </c>
    </row>
    <row r="488" spans="23:24" x14ac:dyDescent="0.25">
      <c r="W488" s="574">
        <f t="shared" si="26"/>
        <v>479</v>
      </c>
      <c r="X488" s="564">
        <v>21</v>
      </c>
    </row>
    <row r="489" spans="23:24" x14ac:dyDescent="0.25">
      <c r="W489" s="574">
        <f t="shared" si="26"/>
        <v>480</v>
      </c>
      <c r="X489" s="564">
        <v>21</v>
      </c>
    </row>
    <row r="490" spans="23:24" x14ac:dyDescent="0.25">
      <c r="W490" s="574">
        <f t="shared" si="26"/>
        <v>481</v>
      </c>
      <c r="X490" s="564">
        <v>21</v>
      </c>
    </row>
    <row r="491" spans="23:24" x14ac:dyDescent="0.25">
      <c r="W491" s="574">
        <f t="shared" si="26"/>
        <v>482</v>
      </c>
      <c r="X491" s="564">
        <v>21</v>
      </c>
    </row>
    <row r="492" spans="23:24" x14ac:dyDescent="0.25">
      <c r="W492" s="574">
        <f t="shared" si="26"/>
        <v>483</v>
      </c>
      <c r="X492" s="564">
        <v>21</v>
      </c>
    </row>
    <row r="493" spans="23:24" x14ac:dyDescent="0.25">
      <c r="W493" s="574">
        <f t="shared" si="26"/>
        <v>484</v>
      </c>
      <c r="X493" s="564">
        <v>21</v>
      </c>
    </row>
    <row r="494" spans="23:24" x14ac:dyDescent="0.25">
      <c r="W494" s="574">
        <f t="shared" si="26"/>
        <v>485</v>
      </c>
      <c r="X494" s="564">
        <v>21</v>
      </c>
    </row>
    <row r="495" spans="23:24" x14ac:dyDescent="0.25">
      <c r="W495" s="574">
        <f t="shared" si="26"/>
        <v>486</v>
      </c>
      <c r="X495" s="564">
        <v>21</v>
      </c>
    </row>
    <row r="496" spans="23:24" x14ac:dyDescent="0.25">
      <c r="W496" s="574">
        <f t="shared" si="26"/>
        <v>487</v>
      </c>
      <c r="X496" s="564">
        <v>21</v>
      </c>
    </row>
    <row r="497" spans="23:24" x14ac:dyDescent="0.25">
      <c r="W497" s="574">
        <f t="shared" si="26"/>
        <v>488</v>
      </c>
      <c r="X497" s="564">
        <v>21</v>
      </c>
    </row>
    <row r="498" spans="23:24" x14ac:dyDescent="0.25">
      <c r="W498" s="574">
        <f t="shared" si="26"/>
        <v>489</v>
      </c>
      <c r="X498" s="564">
        <v>21</v>
      </c>
    </row>
    <row r="499" spans="23:24" x14ac:dyDescent="0.25">
      <c r="W499" s="574">
        <f t="shared" si="26"/>
        <v>490</v>
      </c>
      <c r="X499" s="564">
        <v>21</v>
      </c>
    </row>
    <row r="500" spans="23:24" x14ac:dyDescent="0.25">
      <c r="W500" s="574">
        <f t="shared" si="26"/>
        <v>491</v>
      </c>
      <c r="X500" s="564">
        <v>21</v>
      </c>
    </row>
    <row r="501" spans="23:24" x14ac:dyDescent="0.25">
      <c r="W501" s="574">
        <f t="shared" si="26"/>
        <v>492</v>
      </c>
      <c r="X501" s="564">
        <v>21</v>
      </c>
    </row>
    <row r="502" spans="23:24" x14ac:dyDescent="0.25">
      <c r="W502" s="574">
        <f t="shared" si="26"/>
        <v>493</v>
      </c>
      <c r="X502" s="564">
        <v>21</v>
      </c>
    </row>
    <row r="503" spans="23:24" x14ac:dyDescent="0.25">
      <c r="W503" s="574">
        <f t="shared" si="26"/>
        <v>494</v>
      </c>
      <c r="X503" s="564">
        <v>21</v>
      </c>
    </row>
    <row r="504" spans="23:24" x14ac:dyDescent="0.25">
      <c r="W504" s="574">
        <f t="shared" si="26"/>
        <v>495</v>
      </c>
      <c r="X504" s="564">
        <v>21</v>
      </c>
    </row>
    <row r="505" spans="23:24" x14ac:dyDescent="0.25">
      <c r="W505" s="574">
        <f t="shared" si="26"/>
        <v>496</v>
      </c>
      <c r="X505" s="564">
        <v>21</v>
      </c>
    </row>
    <row r="506" spans="23:24" x14ac:dyDescent="0.25">
      <c r="W506" s="574">
        <f t="shared" si="26"/>
        <v>497</v>
      </c>
      <c r="X506" s="564">
        <v>21</v>
      </c>
    </row>
    <row r="507" spans="23:24" x14ac:dyDescent="0.25">
      <c r="W507" s="574">
        <f t="shared" si="26"/>
        <v>498</v>
      </c>
      <c r="X507" s="564">
        <v>21</v>
      </c>
    </row>
    <row r="508" spans="23:24" x14ac:dyDescent="0.25">
      <c r="W508" s="574">
        <f t="shared" si="26"/>
        <v>499</v>
      </c>
      <c r="X508" s="564">
        <v>21</v>
      </c>
    </row>
    <row r="509" spans="23:24" x14ac:dyDescent="0.25">
      <c r="W509" s="574">
        <f t="shared" si="26"/>
        <v>500</v>
      </c>
      <c r="X509" s="564">
        <v>22</v>
      </c>
    </row>
    <row r="510" spans="23:24" x14ac:dyDescent="0.25">
      <c r="W510" s="574">
        <f t="shared" si="26"/>
        <v>501</v>
      </c>
      <c r="X510" s="564">
        <v>22</v>
      </c>
    </row>
    <row r="511" spans="23:24" x14ac:dyDescent="0.25">
      <c r="W511" s="574">
        <f t="shared" si="26"/>
        <v>502</v>
      </c>
      <c r="X511" s="564">
        <v>22</v>
      </c>
    </row>
    <row r="512" spans="23:24" x14ac:dyDescent="0.25">
      <c r="W512" s="574">
        <f t="shared" si="26"/>
        <v>503</v>
      </c>
      <c r="X512" s="564">
        <v>22</v>
      </c>
    </row>
    <row r="513" spans="23:24" x14ac:dyDescent="0.25">
      <c r="W513" s="574">
        <f t="shared" si="26"/>
        <v>504</v>
      </c>
      <c r="X513" s="564">
        <v>22</v>
      </c>
    </row>
    <row r="514" spans="23:24" x14ac:dyDescent="0.25">
      <c r="W514" s="574">
        <f t="shared" si="26"/>
        <v>505</v>
      </c>
      <c r="X514" s="564">
        <v>22</v>
      </c>
    </row>
    <row r="515" spans="23:24" x14ac:dyDescent="0.25">
      <c r="W515" s="574">
        <f t="shared" si="26"/>
        <v>506</v>
      </c>
      <c r="X515" s="564">
        <v>22</v>
      </c>
    </row>
    <row r="516" spans="23:24" x14ac:dyDescent="0.25">
      <c r="W516" s="574">
        <f t="shared" si="26"/>
        <v>507</v>
      </c>
      <c r="X516" s="564">
        <v>22</v>
      </c>
    </row>
    <row r="517" spans="23:24" x14ac:dyDescent="0.25">
      <c r="W517" s="574">
        <f t="shared" si="26"/>
        <v>508</v>
      </c>
      <c r="X517" s="564">
        <v>22</v>
      </c>
    </row>
    <row r="518" spans="23:24" x14ac:dyDescent="0.25">
      <c r="W518" s="574">
        <f t="shared" si="26"/>
        <v>509</v>
      </c>
      <c r="X518" s="564">
        <v>22</v>
      </c>
    </row>
    <row r="519" spans="23:24" x14ac:dyDescent="0.25">
      <c r="W519" s="574">
        <f t="shared" si="26"/>
        <v>510</v>
      </c>
      <c r="X519" s="564">
        <v>22</v>
      </c>
    </row>
    <row r="520" spans="23:24" x14ac:dyDescent="0.25">
      <c r="W520" s="574">
        <f t="shared" si="26"/>
        <v>511</v>
      </c>
      <c r="X520" s="564">
        <v>22</v>
      </c>
    </row>
    <row r="521" spans="23:24" x14ac:dyDescent="0.25">
      <c r="W521" s="574">
        <f t="shared" si="26"/>
        <v>512</v>
      </c>
      <c r="X521" s="564">
        <v>22</v>
      </c>
    </row>
    <row r="522" spans="23:24" x14ac:dyDescent="0.25">
      <c r="W522" s="574">
        <f t="shared" si="26"/>
        <v>513</v>
      </c>
      <c r="X522" s="564">
        <v>22</v>
      </c>
    </row>
    <row r="523" spans="23:24" x14ac:dyDescent="0.25">
      <c r="W523" s="574">
        <f t="shared" si="26"/>
        <v>514</v>
      </c>
      <c r="X523" s="564">
        <v>22</v>
      </c>
    </row>
    <row r="524" spans="23:24" x14ac:dyDescent="0.25">
      <c r="W524" s="574">
        <f t="shared" si="26"/>
        <v>515</v>
      </c>
      <c r="X524" s="564">
        <v>22</v>
      </c>
    </row>
    <row r="525" spans="23:24" x14ac:dyDescent="0.25">
      <c r="W525" s="574">
        <f t="shared" si="26"/>
        <v>516</v>
      </c>
      <c r="X525" s="564">
        <v>22</v>
      </c>
    </row>
    <row r="526" spans="23:24" x14ac:dyDescent="0.25">
      <c r="W526" s="574">
        <f t="shared" si="26"/>
        <v>517</v>
      </c>
      <c r="X526" s="564">
        <v>22</v>
      </c>
    </row>
    <row r="527" spans="23:24" x14ac:dyDescent="0.25">
      <c r="W527" s="574">
        <f t="shared" si="26"/>
        <v>518</v>
      </c>
      <c r="X527" s="564">
        <v>22</v>
      </c>
    </row>
    <row r="528" spans="23:24" x14ac:dyDescent="0.25">
      <c r="W528" s="574">
        <f t="shared" si="26"/>
        <v>519</v>
      </c>
      <c r="X528" s="564">
        <v>22</v>
      </c>
    </row>
    <row r="529" spans="23:24" x14ac:dyDescent="0.25">
      <c r="W529" s="574">
        <f t="shared" si="26"/>
        <v>520</v>
      </c>
      <c r="X529" s="564">
        <v>22</v>
      </c>
    </row>
    <row r="530" spans="23:24" x14ac:dyDescent="0.25">
      <c r="W530" s="574">
        <f t="shared" si="26"/>
        <v>521</v>
      </c>
      <c r="X530" s="564">
        <v>22</v>
      </c>
    </row>
    <row r="531" spans="23:24" x14ac:dyDescent="0.25">
      <c r="W531" s="574">
        <f t="shared" si="26"/>
        <v>522</v>
      </c>
      <c r="X531" s="564">
        <v>22</v>
      </c>
    </row>
    <row r="532" spans="23:24" x14ac:dyDescent="0.25">
      <c r="W532" s="574">
        <f t="shared" si="26"/>
        <v>523</v>
      </c>
      <c r="X532" s="564">
        <v>22</v>
      </c>
    </row>
    <row r="533" spans="23:24" x14ac:dyDescent="0.25">
      <c r="W533" s="574">
        <f t="shared" si="26"/>
        <v>524</v>
      </c>
      <c r="X533" s="564">
        <v>22</v>
      </c>
    </row>
    <row r="534" spans="23:24" x14ac:dyDescent="0.25">
      <c r="W534" s="574">
        <f t="shared" si="26"/>
        <v>525</v>
      </c>
      <c r="X534" s="564">
        <v>22</v>
      </c>
    </row>
    <row r="535" spans="23:24" x14ac:dyDescent="0.25">
      <c r="W535" s="574">
        <f t="shared" si="26"/>
        <v>526</v>
      </c>
      <c r="X535" s="564">
        <v>22</v>
      </c>
    </row>
    <row r="536" spans="23:24" x14ac:dyDescent="0.25">
      <c r="W536" s="574">
        <f t="shared" si="26"/>
        <v>527</v>
      </c>
      <c r="X536" s="564">
        <v>22</v>
      </c>
    </row>
    <row r="537" spans="23:24" x14ac:dyDescent="0.25">
      <c r="W537" s="574">
        <f t="shared" si="26"/>
        <v>528</v>
      </c>
      <c r="X537" s="564">
        <v>22</v>
      </c>
    </row>
    <row r="538" spans="23:24" x14ac:dyDescent="0.25">
      <c r="W538" s="574">
        <f t="shared" ref="W538:W601" si="27">W537+1</f>
        <v>529</v>
      </c>
      <c r="X538" s="564">
        <v>22</v>
      </c>
    </row>
    <row r="539" spans="23:24" x14ac:dyDescent="0.25">
      <c r="W539" s="574">
        <f t="shared" si="27"/>
        <v>530</v>
      </c>
      <c r="X539" s="564">
        <v>22</v>
      </c>
    </row>
    <row r="540" spans="23:24" x14ac:dyDescent="0.25">
      <c r="W540" s="574">
        <f t="shared" si="27"/>
        <v>531</v>
      </c>
      <c r="X540" s="564">
        <v>22</v>
      </c>
    </row>
    <row r="541" spans="23:24" x14ac:dyDescent="0.25">
      <c r="W541" s="574">
        <f t="shared" si="27"/>
        <v>532</v>
      </c>
      <c r="X541" s="564">
        <v>22</v>
      </c>
    </row>
    <row r="542" spans="23:24" x14ac:dyDescent="0.25">
      <c r="W542" s="574">
        <f t="shared" si="27"/>
        <v>533</v>
      </c>
      <c r="X542" s="564">
        <v>22</v>
      </c>
    </row>
    <row r="543" spans="23:24" x14ac:dyDescent="0.25">
      <c r="W543" s="574">
        <f t="shared" si="27"/>
        <v>534</v>
      </c>
      <c r="X543" s="564">
        <v>22</v>
      </c>
    </row>
    <row r="544" spans="23:24" x14ac:dyDescent="0.25">
      <c r="W544" s="574">
        <f t="shared" si="27"/>
        <v>535</v>
      </c>
      <c r="X544" s="564">
        <v>22</v>
      </c>
    </row>
    <row r="545" spans="23:24" x14ac:dyDescent="0.25">
      <c r="W545" s="574">
        <f t="shared" si="27"/>
        <v>536</v>
      </c>
      <c r="X545" s="564">
        <v>22</v>
      </c>
    </row>
    <row r="546" spans="23:24" x14ac:dyDescent="0.25">
      <c r="W546" s="574">
        <f t="shared" si="27"/>
        <v>537</v>
      </c>
      <c r="X546" s="564">
        <v>22</v>
      </c>
    </row>
    <row r="547" spans="23:24" x14ac:dyDescent="0.25">
      <c r="W547" s="574">
        <f t="shared" si="27"/>
        <v>538</v>
      </c>
      <c r="X547" s="564">
        <v>22</v>
      </c>
    </row>
    <row r="548" spans="23:24" x14ac:dyDescent="0.25">
      <c r="W548" s="574">
        <f t="shared" si="27"/>
        <v>539</v>
      </c>
      <c r="X548" s="564">
        <v>22</v>
      </c>
    </row>
    <row r="549" spans="23:24" x14ac:dyDescent="0.25">
      <c r="W549" s="574">
        <f t="shared" si="27"/>
        <v>540</v>
      </c>
      <c r="X549" s="564">
        <v>22</v>
      </c>
    </row>
    <row r="550" spans="23:24" x14ac:dyDescent="0.25">
      <c r="W550" s="574">
        <f t="shared" si="27"/>
        <v>541</v>
      </c>
      <c r="X550" s="564">
        <v>22</v>
      </c>
    </row>
    <row r="551" spans="23:24" x14ac:dyDescent="0.25">
      <c r="W551" s="574">
        <f t="shared" si="27"/>
        <v>542</v>
      </c>
      <c r="X551" s="564">
        <v>22</v>
      </c>
    </row>
    <row r="552" spans="23:24" x14ac:dyDescent="0.25">
      <c r="W552" s="574">
        <f t="shared" si="27"/>
        <v>543</v>
      </c>
      <c r="X552" s="564">
        <v>22</v>
      </c>
    </row>
    <row r="553" spans="23:24" x14ac:dyDescent="0.25">
      <c r="W553" s="574">
        <f t="shared" si="27"/>
        <v>544</v>
      </c>
      <c r="X553" s="564">
        <v>22</v>
      </c>
    </row>
    <row r="554" spans="23:24" x14ac:dyDescent="0.25">
      <c r="W554" s="574">
        <f t="shared" si="27"/>
        <v>545</v>
      </c>
      <c r="X554" s="564">
        <v>22</v>
      </c>
    </row>
    <row r="555" spans="23:24" x14ac:dyDescent="0.25">
      <c r="W555" s="574">
        <f t="shared" si="27"/>
        <v>546</v>
      </c>
      <c r="X555" s="564">
        <v>22</v>
      </c>
    </row>
    <row r="556" spans="23:24" x14ac:dyDescent="0.25">
      <c r="W556" s="574">
        <f t="shared" si="27"/>
        <v>547</v>
      </c>
      <c r="X556" s="564">
        <v>22</v>
      </c>
    </row>
    <row r="557" spans="23:24" x14ac:dyDescent="0.25">
      <c r="W557" s="574">
        <f t="shared" si="27"/>
        <v>548</v>
      </c>
      <c r="X557" s="564">
        <v>22</v>
      </c>
    </row>
    <row r="558" spans="23:24" x14ac:dyDescent="0.25">
      <c r="W558" s="574">
        <f t="shared" si="27"/>
        <v>549</v>
      </c>
      <c r="X558" s="564">
        <v>22</v>
      </c>
    </row>
    <row r="559" spans="23:24" x14ac:dyDescent="0.25">
      <c r="W559" s="574">
        <f t="shared" si="27"/>
        <v>550</v>
      </c>
      <c r="X559" s="564">
        <v>23</v>
      </c>
    </row>
    <row r="560" spans="23:24" x14ac:dyDescent="0.25">
      <c r="W560" s="574">
        <f t="shared" si="27"/>
        <v>551</v>
      </c>
      <c r="X560" s="564">
        <v>23</v>
      </c>
    </row>
    <row r="561" spans="23:24" x14ac:dyDescent="0.25">
      <c r="W561" s="574">
        <f t="shared" si="27"/>
        <v>552</v>
      </c>
      <c r="X561" s="564">
        <v>23</v>
      </c>
    </row>
    <row r="562" spans="23:24" x14ac:dyDescent="0.25">
      <c r="W562" s="574">
        <f t="shared" si="27"/>
        <v>553</v>
      </c>
      <c r="X562" s="564">
        <v>23</v>
      </c>
    </row>
    <row r="563" spans="23:24" x14ac:dyDescent="0.25">
      <c r="W563" s="574">
        <f t="shared" si="27"/>
        <v>554</v>
      </c>
      <c r="X563" s="564">
        <v>23</v>
      </c>
    </row>
    <row r="564" spans="23:24" x14ac:dyDescent="0.25">
      <c r="W564" s="574">
        <f t="shared" si="27"/>
        <v>555</v>
      </c>
      <c r="X564" s="564">
        <v>23</v>
      </c>
    </row>
    <row r="565" spans="23:24" x14ac:dyDescent="0.25">
      <c r="W565" s="574">
        <f t="shared" si="27"/>
        <v>556</v>
      </c>
      <c r="X565" s="564">
        <v>23</v>
      </c>
    </row>
    <row r="566" spans="23:24" x14ac:dyDescent="0.25">
      <c r="W566" s="574">
        <f t="shared" si="27"/>
        <v>557</v>
      </c>
      <c r="X566" s="564">
        <v>23</v>
      </c>
    </row>
    <row r="567" spans="23:24" x14ac:dyDescent="0.25">
      <c r="W567" s="574">
        <f t="shared" si="27"/>
        <v>558</v>
      </c>
      <c r="X567" s="564">
        <v>23</v>
      </c>
    </row>
    <row r="568" spans="23:24" x14ac:dyDescent="0.25">
      <c r="W568" s="574">
        <f t="shared" si="27"/>
        <v>559</v>
      </c>
      <c r="X568" s="564">
        <v>23</v>
      </c>
    </row>
    <row r="569" spans="23:24" x14ac:dyDescent="0.25">
      <c r="W569" s="574">
        <f t="shared" si="27"/>
        <v>560</v>
      </c>
      <c r="X569" s="564">
        <v>23</v>
      </c>
    </row>
    <row r="570" spans="23:24" x14ac:dyDescent="0.25">
      <c r="W570" s="574">
        <f t="shared" si="27"/>
        <v>561</v>
      </c>
      <c r="X570" s="564">
        <v>23</v>
      </c>
    </row>
    <row r="571" spans="23:24" x14ac:dyDescent="0.25">
      <c r="W571" s="574">
        <f t="shared" si="27"/>
        <v>562</v>
      </c>
      <c r="X571" s="564">
        <v>23</v>
      </c>
    </row>
    <row r="572" spans="23:24" x14ac:dyDescent="0.25">
      <c r="W572" s="574">
        <f t="shared" si="27"/>
        <v>563</v>
      </c>
      <c r="X572" s="564">
        <v>23</v>
      </c>
    </row>
    <row r="573" spans="23:24" x14ac:dyDescent="0.25">
      <c r="W573" s="574">
        <f t="shared" si="27"/>
        <v>564</v>
      </c>
      <c r="X573" s="564">
        <v>23</v>
      </c>
    </row>
    <row r="574" spans="23:24" x14ac:dyDescent="0.25">
      <c r="W574" s="574">
        <f t="shared" si="27"/>
        <v>565</v>
      </c>
      <c r="X574" s="564">
        <v>23</v>
      </c>
    </row>
    <row r="575" spans="23:24" x14ac:dyDescent="0.25">
      <c r="W575" s="574">
        <f t="shared" si="27"/>
        <v>566</v>
      </c>
      <c r="X575" s="564">
        <v>23</v>
      </c>
    </row>
    <row r="576" spans="23:24" x14ac:dyDescent="0.25">
      <c r="W576" s="574">
        <f t="shared" si="27"/>
        <v>567</v>
      </c>
      <c r="X576" s="564">
        <v>23</v>
      </c>
    </row>
    <row r="577" spans="23:24" x14ac:dyDescent="0.25">
      <c r="W577" s="574">
        <f t="shared" si="27"/>
        <v>568</v>
      </c>
      <c r="X577" s="564">
        <v>23</v>
      </c>
    </row>
    <row r="578" spans="23:24" x14ac:dyDescent="0.25">
      <c r="W578" s="574">
        <f t="shared" si="27"/>
        <v>569</v>
      </c>
      <c r="X578" s="564">
        <v>23</v>
      </c>
    </row>
    <row r="579" spans="23:24" x14ac:dyDescent="0.25">
      <c r="W579" s="574">
        <f t="shared" si="27"/>
        <v>570</v>
      </c>
      <c r="X579" s="564">
        <v>23</v>
      </c>
    </row>
    <row r="580" spans="23:24" x14ac:dyDescent="0.25">
      <c r="W580" s="574">
        <f t="shared" si="27"/>
        <v>571</v>
      </c>
      <c r="X580" s="564">
        <v>23</v>
      </c>
    </row>
    <row r="581" spans="23:24" x14ac:dyDescent="0.25">
      <c r="W581" s="574">
        <f t="shared" si="27"/>
        <v>572</v>
      </c>
      <c r="X581" s="564">
        <v>23</v>
      </c>
    </row>
    <row r="582" spans="23:24" x14ac:dyDescent="0.25">
      <c r="W582" s="574">
        <f t="shared" si="27"/>
        <v>573</v>
      </c>
      <c r="X582" s="564">
        <v>23</v>
      </c>
    </row>
    <row r="583" spans="23:24" x14ac:dyDescent="0.25">
      <c r="W583" s="574">
        <f t="shared" si="27"/>
        <v>574</v>
      </c>
      <c r="X583" s="564">
        <v>23</v>
      </c>
    </row>
    <row r="584" spans="23:24" x14ac:dyDescent="0.25">
      <c r="W584" s="574">
        <f t="shared" si="27"/>
        <v>575</v>
      </c>
      <c r="X584" s="564">
        <v>23</v>
      </c>
    </row>
    <row r="585" spans="23:24" x14ac:dyDescent="0.25">
      <c r="W585" s="574">
        <f t="shared" si="27"/>
        <v>576</v>
      </c>
      <c r="X585" s="564">
        <v>23</v>
      </c>
    </row>
    <row r="586" spans="23:24" x14ac:dyDescent="0.25">
      <c r="W586" s="574">
        <f t="shared" si="27"/>
        <v>577</v>
      </c>
      <c r="X586" s="564">
        <v>23</v>
      </c>
    </row>
    <row r="587" spans="23:24" x14ac:dyDescent="0.25">
      <c r="W587" s="574">
        <f t="shared" si="27"/>
        <v>578</v>
      </c>
      <c r="X587" s="564">
        <v>23</v>
      </c>
    </row>
    <row r="588" spans="23:24" x14ac:dyDescent="0.25">
      <c r="W588" s="574">
        <f t="shared" si="27"/>
        <v>579</v>
      </c>
      <c r="X588" s="564">
        <v>23</v>
      </c>
    </row>
    <row r="589" spans="23:24" x14ac:dyDescent="0.25">
      <c r="W589" s="574">
        <f t="shared" si="27"/>
        <v>580</v>
      </c>
      <c r="X589" s="564">
        <v>23</v>
      </c>
    </row>
    <row r="590" spans="23:24" x14ac:dyDescent="0.25">
      <c r="W590" s="574">
        <f t="shared" si="27"/>
        <v>581</v>
      </c>
      <c r="X590" s="564">
        <v>23</v>
      </c>
    </row>
    <row r="591" spans="23:24" x14ac:dyDescent="0.25">
      <c r="W591" s="574">
        <f t="shared" si="27"/>
        <v>582</v>
      </c>
      <c r="X591" s="564">
        <v>23</v>
      </c>
    </row>
    <row r="592" spans="23:24" x14ac:dyDescent="0.25">
      <c r="W592" s="574">
        <f t="shared" si="27"/>
        <v>583</v>
      </c>
      <c r="X592" s="564">
        <v>23</v>
      </c>
    </row>
    <row r="593" spans="23:24" x14ac:dyDescent="0.25">
      <c r="W593" s="574">
        <f t="shared" si="27"/>
        <v>584</v>
      </c>
      <c r="X593" s="564">
        <v>23</v>
      </c>
    </row>
    <row r="594" spans="23:24" x14ac:dyDescent="0.25">
      <c r="W594" s="574">
        <f t="shared" si="27"/>
        <v>585</v>
      </c>
      <c r="X594" s="564">
        <v>23</v>
      </c>
    </row>
    <row r="595" spans="23:24" x14ac:dyDescent="0.25">
      <c r="W595" s="574">
        <f t="shared" si="27"/>
        <v>586</v>
      </c>
      <c r="X595" s="564">
        <v>23</v>
      </c>
    </row>
    <row r="596" spans="23:24" x14ac:dyDescent="0.25">
      <c r="W596" s="574">
        <f t="shared" si="27"/>
        <v>587</v>
      </c>
      <c r="X596" s="564">
        <v>23</v>
      </c>
    </row>
    <row r="597" spans="23:24" x14ac:dyDescent="0.25">
      <c r="W597" s="574">
        <f t="shared" si="27"/>
        <v>588</v>
      </c>
      <c r="X597" s="564">
        <v>23</v>
      </c>
    </row>
    <row r="598" spans="23:24" x14ac:dyDescent="0.25">
      <c r="W598" s="574">
        <f t="shared" si="27"/>
        <v>589</v>
      </c>
      <c r="X598" s="564">
        <v>23</v>
      </c>
    </row>
    <row r="599" spans="23:24" x14ac:dyDescent="0.25">
      <c r="W599" s="574">
        <f t="shared" si="27"/>
        <v>590</v>
      </c>
      <c r="X599" s="564">
        <v>23</v>
      </c>
    </row>
    <row r="600" spans="23:24" x14ac:dyDescent="0.25">
      <c r="W600" s="574">
        <f t="shared" si="27"/>
        <v>591</v>
      </c>
      <c r="X600" s="564">
        <v>23</v>
      </c>
    </row>
    <row r="601" spans="23:24" x14ac:dyDescent="0.25">
      <c r="W601" s="574">
        <f t="shared" si="27"/>
        <v>592</v>
      </c>
      <c r="X601" s="564">
        <v>23</v>
      </c>
    </row>
    <row r="602" spans="23:24" x14ac:dyDescent="0.25">
      <c r="W602" s="574">
        <f t="shared" ref="W602:W665" si="28">W601+1</f>
        <v>593</v>
      </c>
      <c r="X602" s="564">
        <v>23</v>
      </c>
    </row>
    <row r="603" spans="23:24" x14ac:dyDescent="0.25">
      <c r="W603" s="574">
        <f t="shared" si="28"/>
        <v>594</v>
      </c>
      <c r="X603" s="564">
        <v>23</v>
      </c>
    </row>
    <row r="604" spans="23:24" x14ac:dyDescent="0.25">
      <c r="W604" s="574">
        <f t="shared" si="28"/>
        <v>595</v>
      </c>
      <c r="X604" s="564">
        <v>23</v>
      </c>
    </row>
    <row r="605" spans="23:24" x14ac:dyDescent="0.25">
      <c r="W605" s="574">
        <f t="shared" si="28"/>
        <v>596</v>
      </c>
      <c r="X605" s="564">
        <v>23</v>
      </c>
    </row>
    <row r="606" spans="23:24" x14ac:dyDescent="0.25">
      <c r="W606" s="574">
        <f t="shared" si="28"/>
        <v>597</v>
      </c>
      <c r="X606" s="564">
        <v>23</v>
      </c>
    </row>
    <row r="607" spans="23:24" x14ac:dyDescent="0.25">
      <c r="W607" s="574">
        <f t="shared" si="28"/>
        <v>598</v>
      </c>
      <c r="X607" s="564">
        <v>23</v>
      </c>
    </row>
    <row r="608" spans="23:24" x14ac:dyDescent="0.25">
      <c r="W608" s="574">
        <f t="shared" si="28"/>
        <v>599</v>
      </c>
      <c r="X608" s="564">
        <v>23</v>
      </c>
    </row>
    <row r="609" spans="23:24" x14ac:dyDescent="0.25">
      <c r="W609" s="574">
        <f t="shared" si="28"/>
        <v>600</v>
      </c>
      <c r="X609" s="564">
        <v>24</v>
      </c>
    </row>
    <row r="610" spans="23:24" x14ac:dyDescent="0.25">
      <c r="W610" s="574">
        <f t="shared" si="28"/>
        <v>601</v>
      </c>
      <c r="X610" s="564">
        <v>24</v>
      </c>
    </row>
    <row r="611" spans="23:24" x14ac:dyDescent="0.25">
      <c r="W611" s="574">
        <f t="shared" si="28"/>
        <v>602</v>
      </c>
      <c r="X611" s="564">
        <v>24</v>
      </c>
    </row>
    <row r="612" spans="23:24" x14ac:dyDescent="0.25">
      <c r="W612" s="574">
        <f t="shared" si="28"/>
        <v>603</v>
      </c>
      <c r="X612" s="564">
        <v>24</v>
      </c>
    </row>
    <row r="613" spans="23:24" x14ac:dyDescent="0.25">
      <c r="W613" s="574">
        <f t="shared" si="28"/>
        <v>604</v>
      </c>
      <c r="X613" s="564">
        <v>24</v>
      </c>
    </row>
    <row r="614" spans="23:24" x14ac:dyDescent="0.25">
      <c r="W614" s="574">
        <f t="shared" si="28"/>
        <v>605</v>
      </c>
      <c r="X614" s="564">
        <v>24</v>
      </c>
    </row>
    <row r="615" spans="23:24" x14ac:dyDescent="0.25">
      <c r="W615" s="574">
        <f t="shared" si="28"/>
        <v>606</v>
      </c>
      <c r="X615" s="564">
        <v>24</v>
      </c>
    </row>
    <row r="616" spans="23:24" x14ac:dyDescent="0.25">
      <c r="W616" s="574">
        <f t="shared" si="28"/>
        <v>607</v>
      </c>
      <c r="X616" s="564">
        <v>24</v>
      </c>
    </row>
    <row r="617" spans="23:24" x14ac:dyDescent="0.25">
      <c r="W617" s="574">
        <f t="shared" si="28"/>
        <v>608</v>
      </c>
      <c r="X617" s="564">
        <v>24</v>
      </c>
    </row>
    <row r="618" spans="23:24" x14ac:dyDescent="0.25">
      <c r="W618" s="574">
        <f t="shared" si="28"/>
        <v>609</v>
      </c>
      <c r="X618" s="564">
        <v>24</v>
      </c>
    </row>
    <row r="619" spans="23:24" x14ac:dyDescent="0.25">
      <c r="W619" s="574">
        <f t="shared" si="28"/>
        <v>610</v>
      </c>
      <c r="X619" s="564">
        <v>24</v>
      </c>
    </row>
    <row r="620" spans="23:24" x14ac:dyDescent="0.25">
      <c r="W620" s="574">
        <f t="shared" si="28"/>
        <v>611</v>
      </c>
      <c r="X620" s="564">
        <v>24</v>
      </c>
    </row>
    <row r="621" spans="23:24" x14ac:dyDescent="0.25">
      <c r="W621" s="574">
        <f t="shared" si="28"/>
        <v>612</v>
      </c>
      <c r="X621" s="564">
        <v>24</v>
      </c>
    </row>
    <row r="622" spans="23:24" x14ac:dyDescent="0.25">
      <c r="W622" s="574">
        <f t="shared" si="28"/>
        <v>613</v>
      </c>
      <c r="X622" s="564">
        <v>24</v>
      </c>
    </row>
    <row r="623" spans="23:24" x14ac:dyDescent="0.25">
      <c r="W623" s="574">
        <f t="shared" si="28"/>
        <v>614</v>
      </c>
      <c r="X623" s="564">
        <v>24</v>
      </c>
    </row>
    <row r="624" spans="23:24" x14ac:dyDescent="0.25">
      <c r="W624" s="574">
        <f t="shared" si="28"/>
        <v>615</v>
      </c>
      <c r="X624" s="564">
        <v>24</v>
      </c>
    </row>
    <row r="625" spans="23:24" x14ac:dyDescent="0.25">
      <c r="W625" s="574">
        <f t="shared" si="28"/>
        <v>616</v>
      </c>
      <c r="X625" s="564">
        <v>24</v>
      </c>
    </row>
    <row r="626" spans="23:24" x14ac:dyDescent="0.25">
      <c r="W626" s="574">
        <f t="shared" si="28"/>
        <v>617</v>
      </c>
      <c r="X626" s="564">
        <v>24</v>
      </c>
    </row>
    <row r="627" spans="23:24" x14ac:dyDescent="0.25">
      <c r="W627" s="574">
        <f t="shared" si="28"/>
        <v>618</v>
      </c>
      <c r="X627" s="564">
        <v>24</v>
      </c>
    </row>
    <row r="628" spans="23:24" x14ac:dyDescent="0.25">
      <c r="W628" s="574">
        <f t="shared" si="28"/>
        <v>619</v>
      </c>
      <c r="X628" s="564">
        <v>24</v>
      </c>
    </row>
    <row r="629" spans="23:24" x14ac:dyDescent="0.25">
      <c r="W629" s="574">
        <f t="shared" si="28"/>
        <v>620</v>
      </c>
      <c r="X629" s="564">
        <v>24</v>
      </c>
    </row>
    <row r="630" spans="23:24" x14ac:dyDescent="0.25">
      <c r="W630" s="574">
        <f t="shared" si="28"/>
        <v>621</v>
      </c>
      <c r="X630" s="564">
        <v>24</v>
      </c>
    </row>
    <row r="631" spans="23:24" x14ac:dyDescent="0.25">
      <c r="W631" s="574">
        <f t="shared" si="28"/>
        <v>622</v>
      </c>
      <c r="X631" s="564">
        <v>24</v>
      </c>
    </row>
    <row r="632" spans="23:24" x14ac:dyDescent="0.25">
      <c r="W632" s="574">
        <f t="shared" si="28"/>
        <v>623</v>
      </c>
      <c r="X632" s="564">
        <v>24</v>
      </c>
    </row>
    <row r="633" spans="23:24" x14ac:dyDescent="0.25">
      <c r="W633" s="574">
        <f t="shared" si="28"/>
        <v>624</v>
      </c>
      <c r="X633" s="564">
        <v>24</v>
      </c>
    </row>
    <row r="634" spans="23:24" x14ac:dyDescent="0.25">
      <c r="W634" s="574">
        <f t="shared" si="28"/>
        <v>625</v>
      </c>
      <c r="X634" s="564">
        <v>24</v>
      </c>
    </row>
    <row r="635" spans="23:24" x14ac:dyDescent="0.25">
      <c r="W635" s="574">
        <f t="shared" si="28"/>
        <v>626</v>
      </c>
      <c r="X635" s="564">
        <v>24</v>
      </c>
    </row>
    <row r="636" spans="23:24" x14ac:dyDescent="0.25">
      <c r="W636" s="574">
        <f t="shared" si="28"/>
        <v>627</v>
      </c>
      <c r="X636" s="564">
        <v>24</v>
      </c>
    </row>
    <row r="637" spans="23:24" x14ac:dyDescent="0.25">
      <c r="W637" s="574">
        <f t="shared" si="28"/>
        <v>628</v>
      </c>
      <c r="X637" s="564">
        <v>24</v>
      </c>
    </row>
    <row r="638" spans="23:24" x14ac:dyDescent="0.25">
      <c r="W638" s="574">
        <f t="shared" si="28"/>
        <v>629</v>
      </c>
      <c r="X638" s="564">
        <v>24</v>
      </c>
    </row>
    <row r="639" spans="23:24" x14ac:dyDescent="0.25">
      <c r="W639" s="574">
        <f t="shared" si="28"/>
        <v>630</v>
      </c>
      <c r="X639" s="564">
        <v>24</v>
      </c>
    </row>
    <row r="640" spans="23:24" x14ac:dyDescent="0.25">
      <c r="W640" s="574">
        <f t="shared" si="28"/>
        <v>631</v>
      </c>
      <c r="X640" s="564">
        <v>24</v>
      </c>
    </row>
    <row r="641" spans="23:24" x14ac:dyDescent="0.25">
      <c r="W641" s="574">
        <f t="shared" si="28"/>
        <v>632</v>
      </c>
      <c r="X641" s="564">
        <v>24</v>
      </c>
    </row>
    <row r="642" spans="23:24" x14ac:dyDescent="0.25">
      <c r="W642" s="574">
        <f t="shared" si="28"/>
        <v>633</v>
      </c>
      <c r="X642" s="564">
        <v>24</v>
      </c>
    </row>
    <row r="643" spans="23:24" x14ac:dyDescent="0.25">
      <c r="W643" s="574">
        <f t="shared" si="28"/>
        <v>634</v>
      </c>
      <c r="X643" s="564">
        <v>24</v>
      </c>
    </row>
    <row r="644" spans="23:24" x14ac:dyDescent="0.25">
      <c r="W644" s="574">
        <f t="shared" si="28"/>
        <v>635</v>
      </c>
      <c r="X644" s="564">
        <v>24</v>
      </c>
    </row>
    <row r="645" spans="23:24" x14ac:dyDescent="0.25">
      <c r="W645" s="574">
        <f t="shared" si="28"/>
        <v>636</v>
      </c>
      <c r="X645" s="564">
        <v>24</v>
      </c>
    </row>
    <row r="646" spans="23:24" x14ac:dyDescent="0.25">
      <c r="W646" s="574">
        <f t="shared" si="28"/>
        <v>637</v>
      </c>
      <c r="X646" s="564">
        <v>24</v>
      </c>
    </row>
    <row r="647" spans="23:24" x14ac:dyDescent="0.25">
      <c r="W647" s="574">
        <f t="shared" si="28"/>
        <v>638</v>
      </c>
      <c r="X647" s="564">
        <v>24</v>
      </c>
    </row>
    <row r="648" spans="23:24" x14ac:dyDescent="0.25">
      <c r="W648" s="574">
        <f t="shared" si="28"/>
        <v>639</v>
      </c>
      <c r="X648" s="564">
        <v>24</v>
      </c>
    </row>
    <row r="649" spans="23:24" x14ac:dyDescent="0.25">
      <c r="W649" s="574">
        <f t="shared" si="28"/>
        <v>640</v>
      </c>
      <c r="X649" s="564">
        <v>24</v>
      </c>
    </row>
    <row r="650" spans="23:24" x14ac:dyDescent="0.25">
      <c r="W650" s="574">
        <f t="shared" si="28"/>
        <v>641</v>
      </c>
      <c r="X650" s="564">
        <v>24</v>
      </c>
    </row>
    <row r="651" spans="23:24" x14ac:dyDescent="0.25">
      <c r="W651" s="574">
        <f t="shared" si="28"/>
        <v>642</v>
      </c>
      <c r="X651" s="564">
        <v>24</v>
      </c>
    </row>
    <row r="652" spans="23:24" x14ac:dyDescent="0.25">
      <c r="W652" s="574">
        <f t="shared" si="28"/>
        <v>643</v>
      </c>
      <c r="X652" s="564">
        <v>24</v>
      </c>
    </row>
    <row r="653" spans="23:24" x14ac:dyDescent="0.25">
      <c r="W653" s="574">
        <f t="shared" si="28"/>
        <v>644</v>
      </c>
      <c r="X653" s="564">
        <v>24</v>
      </c>
    </row>
    <row r="654" spans="23:24" x14ac:dyDescent="0.25">
      <c r="W654" s="574">
        <f t="shared" si="28"/>
        <v>645</v>
      </c>
      <c r="X654" s="564">
        <v>24</v>
      </c>
    </row>
    <row r="655" spans="23:24" x14ac:dyDescent="0.25">
      <c r="W655" s="574">
        <f t="shared" si="28"/>
        <v>646</v>
      </c>
      <c r="X655" s="564">
        <v>24</v>
      </c>
    </row>
    <row r="656" spans="23:24" x14ac:dyDescent="0.25">
      <c r="W656" s="574">
        <f t="shared" si="28"/>
        <v>647</v>
      </c>
      <c r="X656" s="564">
        <v>24</v>
      </c>
    </row>
    <row r="657" spans="23:24" x14ac:dyDescent="0.25">
      <c r="W657" s="574">
        <f t="shared" si="28"/>
        <v>648</v>
      </c>
      <c r="X657" s="564">
        <v>24</v>
      </c>
    </row>
    <row r="658" spans="23:24" x14ac:dyDescent="0.25">
      <c r="W658" s="574">
        <f t="shared" si="28"/>
        <v>649</v>
      </c>
      <c r="X658" s="564">
        <v>24</v>
      </c>
    </row>
    <row r="659" spans="23:24" x14ac:dyDescent="0.25">
      <c r="W659" s="574">
        <f t="shared" si="28"/>
        <v>650</v>
      </c>
      <c r="X659" s="564">
        <v>25</v>
      </c>
    </row>
    <row r="660" spans="23:24" x14ac:dyDescent="0.25">
      <c r="W660" s="574">
        <f t="shared" si="28"/>
        <v>651</v>
      </c>
      <c r="X660" s="564">
        <v>25</v>
      </c>
    </row>
    <row r="661" spans="23:24" x14ac:dyDescent="0.25">
      <c r="W661" s="574">
        <f t="shared" si="28"/>
        <v>652</v>
      </c>
      <c r="X661" s="564">
        <v>25</v>
      </c>
    </row>
    <row r="662" spans="23:24" x14ac:dyDescent="0.25">
      <c r="W662" s="574">
        <f t="shared" si="28"/>
        <v>653</v>
      </c>
      <c r="X662" s="564">
        <v>25</v>
      </c>
    </row>
    <row r="663" spans="23:24" x14ac:dyDescent="0.25">
      <c r="W663" s="574">
        <f t="shared" si="28"/>
        <v>654</v>
      </c>
      <c r="X663" s="564">
        <v>25</v>
      </c>
    </row>
    <row r="664" spans="23:24" x14ac:dyDescent="0.25">
      <c r="W664" s="574">
        <f t="shared" si="28"/>
        <v>655</v>
      </c>
      <c r="X664" s="564">
        <v>25</v>
      </c>
    </row>
    <row r="665" spans="23:24" x14ac:dyDescent="0.25">
      <c r="W665" s="574">
        <f t="shared" si="28"/>
        <v>656</v>
      </c>
      <c r="X665" s="564">
        <v>25</v>
      </c>
    </row>
    <row r="666" spans="23:24" x14ac:dyDescent="0.25">
      <c r="W666" s="574">
        <f t="shared" ref="W666:W729" si="29">W665+1</f>
        <v>657</v>
      </c>
      <c r="X666" s="564">
        <v>25</v>
      </c>
    </row>
    <row r="667" spans="23:24" x14ac:dyDescent="0.25">
      <c r="W667" s="574">
        <f t="shared" si="29"/>
        <v>658</v>
      </c>
      <c r="X667" s="564">
        <v>25</v>
      </c>
    </row>
    <row r="668" spans="23:24" x14ac:dyDescent="0.25">
      <c r="W668" s="574">
        <f t="shared" si="29"/>
        <v>659</v>
      </c>
      <c r="X668" s="564">
        <v>25</v>
      </c>
    </row>
    <row r="669" spans="23:24" x14ac:dyDescent="0.25">
      <c r="W669" s="574">
        <f t="shared" si="29"/>
        <v>660</v>
      </c>
      <c r="X669" s="564">
        <v>25</v>
      </c>
    </row>
    <row r="670" spans="23:24" x14ac:dyDescent="0.25">
      <c r="W670" s="574">
        <f t="shared" si="29"/>
        <v>661</v>
      </c>
      <c r="X670" s="564">
        <v>25</v>
      </c>
    </row>
    <row r="671" spans="23:24" x14ac:dyDescent="0.25">
      <c r="W671" s="574">
        <f t="shared" si="29"/>
        <v>662</v>
      </c>
      <c r="X671" s="564">
        <v>25</v>
      </c>
    </row>
    <row r="672" spans="23:24" x14ac:dyDescent="0.25">
      <c r="W672" s="574">
        <f t="shared" si="29"/>
        <v>663</v>
      </c>
      <c r="X672" s="564">
        <v>25</v>
      </c>
    </row>
    <row r="673" spans="23:24" x14ac:dyDescent="0.25">
      <c r="W673" s="574">
        <f t="shared" si="29"/>
        <v>664</v>
      </c>
      <c r="X673" s="564">
        <v>25</v>
      </c>
    </row>
    <row r="674" spans="23:24" x14ac:dyDescent="0.25">
      <c r="W674" s="574">
        <f t="shared" si="29"/>
        <v>665</v>
      </c>
      <c r="X674" s="564">
        <v>25</v>
      </c>
    </row>
    <row r="675" spans="23:24" x14ac:dyDescent="0.25">
      <c r="W675" s="574">
        <f t="shared" si="29"/>
        <v>666</v>
      </c>
      <c r="X675" s="564">
        <v>25</v>
      </c>
    </row>
    <row r="676" spans="23:24" x14ac:dyDescent="0.25">
      <c r="W676" s="574">
        <f t="shared" si="29"/>
        <v>667</v>
      </c>
      <c r="X676" s="564">
        <v>25</v>
      </c>
    </row>
    <row r="677" spans="23:24" x14ac:dyDescent="0.25">
      <c r="W677" s="574">
        <f t="shared" si="29"/>
        <v>668</v>
      </c>
      <c r="X677" s="564">
        <v>25</v>
      </c>
    </row>
    <row r="678" spans="23:24" x14ac:dyDescent="0.25">
      <c r="W678" s="574">
        <f t="shared" si="29"/>
        <v>669</v>
      </c>
      <c r="X678" s="564">
        <v>25</v>
      </c>
    </row>
    <row r="679" spans="23:24" x14ac:dyDescent="0.25">
      <c r="W679" s="574">
        <f t="shared" si="29"/>
        <v>670</v>
      </c>
      <c r="X679" s="564">
        <v>25</v>
      </c>
    </row>
    <row r="680" spans="23:24" x14ac:dyDescent="0.25">
      <c r="W680" s="574">
        <f t="shared" si="29"/>
        <v>671</v>
      </c>
      <c r="X680" s="564">
        <v>25</v>
      </c>
    </row>
    <row r="681" spans="23:24" x14ac:dyDescent="0.25">
      <c r="W681" s="574">
        <f t="shared" si="29"/>
        <v>672</v>
      </c>
      <c r="X681" s="564">
        <v>25</v>
      </c>
    </row>
    <row r="682" spans="23:24" x14ac:dyDescent="0.25">
      <c r="W682" s="574">
        <f t="shared" si="29"/>
        <v>673</v>
      </c>
      <c r="X682" s="564">
        <v>25</v>
      </c>
    </row>
    <row r="683" spans="23:24" x14ac:dyDescent="0.25">
      <c r="W683" s="574">
        <f t="shared" si="29"/>
        <v>674</v>
      </c>
      <c r="X683" s="564">
        <v>25</v>
      </c>
    </row>
    <row r="684" spans="23:24" x14ac:dyDescent="0.25">
      <c r="W684" s="574">
        <f t="shared" si="29"/>
        <v>675</v>
      </c>
      <c r="X684" s="564">
        <v>25</v>
      </c>
    </row>
    <row r="685" spans="23:24" x14ac:dyDescent="0.25">
      <c r="W685" s="574">
        <f t="shared" si="29"/>
        <v>676</v>
      </c>
      <c r="X685" s="564">
        <v>25</v>
      </c>
    </row>
    <row r="686" spans="23:24" x14ac:dyDescent="0.25">
      <c r="W686" s="574">
        <f t="shared" si="29"/>
        <v>677</v>
      </c>
      <c r="X686" s="564">
        <v>25</v>
      </c>
    </row>
    <row r="687" spans="23:24" x14ac:dyDescent="0.25">
      <c r="W687" s="574">
        <f t="shared" si="29"/>
        <v>678</v>
      </c>
      <c r="X687" s="564">
        <v>25</v>
      </c>
    </row>
    <row r="688" spans="23:24" x14ac:dyDescent="0.25">
      <c r="W688" s="574">
        <f t="shared" si="29"/>
        <v>679</v>
      </c>
      <c r="X688" s="564">
        <v>25</v>
      </c>
    </row>
    <row r="689" spans="23:24" x14ac:dyDescent="0.25">
      <c r="W689" s="574">
        <f t="shared" si="29"/>
        <v>680</v>
      </c>
      <c r="X689" s="564">
        <v>25</v>
      </c>
    </row>
    <row r="690" spans="23:24" x14ac:dyDescent="0.25">
      <c r="W690" s="574">
        <f t="shared" si="29"/>
        <v>681</v>
      </c>
      <c r="X690" s="564">
        <v>25</v>
      </c>
    </row>
    <row r="691" spans="23:24" x14ac:dyDescent="0.25">
      <c r="W691" s="574">
        <f t="shared" si="29"/>
        <v>682</v>
      </c>
      <c r="X691" s="564">
        <v>25</v>
      </c>
    </row>
    <row r="692" spans="23:24" x14ac:dyDescent="0.25">
      <c r="W692" s="574">
        <f t="shared" si="29"/>
        <v>683</v>
      </c>
      <c r="X692" s="564">
        <v>25</v>
      </c>
    </row>
    <row r="693" spans="23:24" x14ac:dyDescent="0.25">
      <c r="W693" s="574">
        <f t="shared" si="29"/>
        <v>684</v>
      </c>
      <c r="X693" s="564">
        <v>25</v>
      </c>
    </row>
    <row r="694" spans="23:24" x14ac:dyDescent="0.25">
      <c r="W694" s="574">
        <f t="shared" si="29"/>
        <v>685</v>
      </c>
      <c r="X694" s="564">
        <v>25</v>
      </c>
    </row>
    <row r="695" spans="23:24" x14ac:dyDescent="0.25">
      <c r="W695" s="574">
        <f t="shared" si="29"/>
        <v>686</v>
      </c>
      <c r="X695" s="564">
        <v>25</v>
      </c>
    </row>
    <row r="696" spans="23:24" x14ac:dyDescent="0.25">
      <c r="W696" s="574">
        <f t="shared" si="29"/>
        <v>687</v>
      </c>
      <c r="X696" s="564">
        <v>25</v>
      </c>
    </row>
    <row r="697" spans="23:24" x14ac:dyDescent="0.25">
      <c r="W697" s="574">
        <f t="shared" si="29"/>
        <v>688</v>
      </c>
      <c r="X697" s="564">
        <v>25</v>
      </c>
    </row>
    <row r="698" spans="23:24" x14ac:dyDescent="0.25">
      <c r="W698" s="574">
        <f t="shared" si="29"/>
        <v>689</v>
      </c>
      <c r="X698" s="564">
        <v>25</v>
      </c>
    </row>
    <row r="699" spans="23:24" x14ac:dyDescent="0.25">
      <c r="W699" s="574">
        <f t="shared" si="29"/>
        <v>690</v>
      </c>
      <c r="X699" s="564">
        <v>25</v>
      </c>
    </row>
    <row r="700" spans="23:24" x14ac:dyDescent="0.25">
      <c r="W700" s="574">
        <f t="shared" si="29"/>
        <v>691</v>
      </c>
      <c r="X700" s="564">
        <v>25</v>
      </c>
    </row>
    <row r="701" spans="23:24" x14ac:dyDescent="0.25">
      <c r="W701" s="574">
        <f t="shared" si="29"/>
        <v>692</v>
      </c>
      <c r="X701" s="564">
        <v>25</v>
      </c>
    </row>
    <row r="702" spans="23:24" x14ac:dyDescent="0.25">
      <c r="W702" s="574">
        <f t="shared" si="29"/>
        <v>693</v>
      </c>
      <c r="X702" s="564">
        <v>25</v>
      </c>
    </row>
    <row r="703" spans="23:24" x14ac:dyDescent="0.25">
      <c r="W703" s="574">
        <f t="shared" si="29"/>
        <v>694</v>
      </c>
      <c r="X703" s="564">
        <v>25</v>
      </c>
    </row>
    <row r="704" spans="23:24" x14ac:dyDescent="0.25">
      <c r="W704" s="574">
        <f t="shared" si="29"/>
        <v>695</v>
      </c>
      <c r="X704" s="564">
        <v>25</v>
      </c>
    </row>
    <row r="705" spans="23:24" x14ac:dyDescent="0.25">
      <c r="W705" s="574">
        <f t="shared" si="29"/>
        <v>696</v>
      </c>
      <c r="X705" s="564">
        <v>25</v>
      </c>
    </row>
    <row r="706" spans="23:24" x14ac:dyDescent="0.25">
      <c r="W706" s="574">
        <f t="shared" si="29"/>
        <v>697</v>
      </c>
      <c r="X706" s="564">
        <v>25</v>
      </c>
    </row>
    <row r="707" spans="23:24" x14ac:dyDescent="0.25">
      <c r="W707" s="574">
        <f t="shared" si="29"/>
        <v>698</v>
      </c>
      <c r="X707" s="564">
        <v>25</v>
      </c>
    </row>
    <row r="708" spans="23:24" x14ac:dyDescent="0.25">
      <c r="W708" s="574">
        <f t="shared" si="29"/>
        <v>699</v>
      </c>
      <c r="X708" s="564">
        <v>25</v>
      </c>
    </row>
    <row r="709" spans="23:24" x14ac:dyDescent="0.25">
      <c r="W709" s="574">
        <f t="shared" si="29"/>
        <v>700</v>
      </c>
      <c r="X709" s="564">
        <v>26</v>
      </c>
    </row>
    <row r="710" spans="23:24" x14ac:dyDescent="0.25">
      <c r="W710" s="574">
        <f t="shared" si="29"/>
        <v>701</v>
      </c>
      <c r="X710" s="564">
        <v>26</v>
      </c>
    </row>
    <row r="711" spans="23:24" x14ac:dyDescent="0.25">
      <c r="W711" s="574">
        <f t="shared" si="29"/>
        <v>702</v>
      </c>
      <c r="X711" s="564">
        <v>26</v>
      </c>
    </row>
    <row r="712" spans="23:24" x14ac:dyDescent="0.25">
      <c r="W712" s="574">
        <f t="shared" si="29"/>
        <v>703</v>
      </c>
      <c r="X712" s="564">
        <v>26</v>
      </c>
    </row>
    <row r="713" spans="23:24" x14ac:dyDescent="0.25">
      <c r="W713" s="574">
        <f t="shared" si="29"/>
        <v>704</v>
      </c>
      <c r="X713" s="564">
        <v>26</v>
      </c>
    </row>
    <row r="714" spans="23:24" x14ac:dyDescent="0.25">
      <c r="W714" s="574">
        <f t="shared" si="29"/>
        <v>705</v>
      </c>
      <c r="X714" s="564">
        <v>26</v>
      </c>
    </row>
    <row r="715" spans="23:24" x14ac:dyDescent="0.25">
      <c r="W715" s="574">
        <f t="shared" si="29"/>
        <v>706</v>
      </c>
      <c r="X715" s="564">
        <v>26</v>
      </c>
    </row>
    <row r="716" spans="23:24" x14ac:dyDescent="0.25">
      <c r="W716" s="574">
        <f t="shared" si="29"/>
        <v>707</v>
      </c>
      <c r="X716" s="564">
        <v>26</v>
      </c>
    </row>
    <row r="717" spans="23:24" x14ac:dyDescent="0.25">
      <c r="W717" s="574">
        <f t="shared" si="29"/>
        <v>708</v>
      </c>
      <c r="X717" s="564">
        <v>26</v>
      </c>
    </row>
    <row r="718" spans="23:24" x14ac:dyDescent="0.25">
      <c r="W718" s="574">
        <f t="shared" si="29"/>
        <v>709</v>
      </c>
      <c r="X718" s="564">
        <v>26</v>
      </c>
    </row>
    <row r="719" spans="23:24" x14ac:dyDescent="0.25">
      <c r="W719" s="574">
        <f t="shared" si="29"/>
        <v>710</v>
      </c>
      <c r="X719" s="564">
        <v>26</v>
      </c>
    </row>
    <row r="720" spans="23:24" x14ac:dyDescent="0.25">
      <c r="W720" s="574">
        <f t="shared" si="29"/>
        <v>711</v>
      </c>
      <c r="X720" s="564">
        <v>26</v>
      </c>
    </row>
    <row r="721" spans="23:24" x14ac:dyDescent="0.25">
      <c r="W721" s="574">
        <f t="shared" si="29"/>
        <v>712</v>
      </c>
      <c r="X721" s="564">
        <v>26</v>
      </c>
    </row>
    <row r="722" spans="23:24" x14ac:dyDescent="0.25">
      <c r="W722" s="574">
        <f t="shared" si="29"/>
        <v>713</v>
      </c>
      <c r="X722" s="564">
        <v>26</v>
      </c>
    </row>
    <row r="723" spans="23:24" x14ac:dyDescent="0.25">
      <c r="W723" s="574">
        <f t="shared" si="29"/>
        <v>714</v>
      </c>
      <c r="X723" s="564">
        <v>26</v>
      </c>
    </row>
    <row r="724" spans="23:24" x14ac:dyDescent="0.25">
      <c r="W724" s="574">
        <f t="shared" si="29"/>
        <v>715</v>
      </c>
      <c r="X724" s="564">
        <v>26</v>
      </c>
    </row>
    <row r="725" spans="23:24" x14ac:dyDescent="0.25">
      <c r="W725" s="574">
        <f t="shared" si="29"/>
        <v>716</v>
      </c>
      <c r="X725" s="564">
        <v>26</v>
      </c>
    </row>
    <row r="726" spans="23:24" x14ac:dyDescent="0.25">
      <c r="W726" s="574">
        <f t="shared" si="29"/>
        <v>717</v>
      </c>
      <c r="X726" s="564">
        <v>26</v>
      </c>
    </row>
    <row r="727" spans="23:24" x14ac:dyDescent="0.25">
      <c r="W727" s="574">
        <f t="shared" si="29"/>
        <v>718</v>
      </c>
      <c r="X727" s="564">
        <v>26</v>
      </c>
    </row>
    <row r="728" spans="23:24" x14ac:dyDescent="0.25">
      <c r="W728" s="574">
        <f t="shared" si="29"/>
        <v>719</v>
      </c>
      <c r="X728" s="564">
        <v>26</v>
      </c>
    </row>
    <row r="729" spans="23:24" x14ac:dyDescent="0.25">
      <c r="W729" s="574">
        <f t="shared" si="29"/>
        <v>720</v>
      </c>
      <c r="X729" s="564">
        <v>26</v>
      </c>
    </row>
    <row r="730" spans="23:24" x14ac:dyDescent="0.25">
      <c r="W730" s="574">
        <f t="shared" ref="W730:W793" si="30">W729+1</f>
        <v>721</v>
      </c>
      <c r="X730" s="564">
        <v>26</v>
      </c>
    </row>
    <row r="731" spans="23:24" x14ac:dyDescent="0.25">
      <c r="W731" s="574">
        <f t="shared" si="30"/>
        <v>722</v>
      </c>
      <c r="X731" s="564">
        <v>26</v>
      </c>
    </row>
    <row r="732" spans="23:24" x14ac:dyDescent="0.25">
      <c r="W732" s="574">
        <f t="shared" si="30"/>
        <v>723</v>
      </c>
      <c r="X732" s="564">
        <v>26</v>
      </c>
    </row>
    <row r="733" spans="23:24" x14ac:dyDescent="0.25">
      <c r="W733" s="574">
        <f t="shared" si="30"/>
        <v>724</v>
      </c>
      <c r="X733" s="564">
        <v>26</v>
      </c>
    </row>
    <row r="734" spans="23:24" x14ac:dyDescent="0.25">
      <c r="W734" s="574">
        <f t="shared" si="30"/>
        <v>725</v>
      </c>
      <c r="X734" s="564">
        <v>26</v>
      </c>
    </row>
    <row r="735" spans="23:24" x14ac:dyDescent="0.25">
      <c r="W735" s="574">
        <f t="shared" si="30"/>
        <v>726</v>
      </c>
      <c r="X735" s="564">
        <v>26</v>
      </c>
    </row>
    <row r="736" spans="23:24" x14ac:dyDescent="0.25">
      <c r="W736" s="574">
        <f t="shared" si="30"/>
        <v>727</v>
      </c>
      <c r="X736" s="564">
        <v>26</v>
      </c>
    </row>
    <row r="737" spans="23:24" x14ac:dyDescent="0.25">
      <c r="W737" s="574">
        <f t="shared" si="30"/>
        <v>728</v>
      </c>
      <c r="X737" s="564">
        <v>26</v>
      </c>
    </row>
    <row r="738" spans="23:24" x14ac:dyDescent="0.25">
      <c r="W738" s="574">
        <f t="shared" si="30"/>
        <v>729</v>
      </c>
      <c r="X738" s="564">
        <v>26</v>
      </c>
    </row>
    <row r="739" spans="23:24" x14ac:dyDescent="0.25">
      <c r="W739" s="574">
        <f t="shared" si="30"/>
        <v>730</v>
      </c>
      <c r="X739" s="564">
        <v>26</v>
      </c>
    </row>
    <row r="740" spans="23:24" x14ac:dyDescent="0.25">
      <c r="W740" s="574">
        <f t="shared" si="30"/>
        <v>731</v>
      </c>
      <c r="X740" s="564">
        <v>26</v>
      </c>
    </row>
    <row r="741" spans="23:24" x14ac:dyDescent="0.25">
      <c r="W741" s="574">
        <f t="shared" si="30"/>
        <v>732</v>
      </c>
      <c r="X741" s="564">
        <v>26</v>
      </c>
    </row>
    <row r="742" spans="23:24" x14ac:dyDescent="0.25">
      <c r="W742" s="574">
        <f t="shared" si="30"/>
        <v>733</v>
      </c>
      <c r="X742" s="564">
        <v>26</v>
      </c>
    </row>
    <row r="743" spans="23:24" x14ac:dyDescent="0.25">
      <c r="W743" s="574">
        <f t="shared" si="30"/>
        <v>734</v>
      </c>
      <c r="X743" s="564">
        <v>26</v>
      </c>
    </row>
    <row r="744" spans="23:24" x14ac:dyDescent="0.25">
      <c r="W744" s="574">
        <f t="shared" si="30"/>
        <v>735</v>
      </c>
      <c r="X744" s="564">
        <v>26</v>
      </c>
    </row>
    <row r="745" spans="23:24" x14ac:dyDescent="0.25">
      <c r="W745" s="574">
        <f t="shared" si="30"/>
        <v>736</v>
      </c>
      <c r="X745" s="564">
        <v>26</v>
      </c>
    </row>
    <row r="746" spans="23:24" x14ac:dyDescent="0.25">
      <c r="W746" s="574">
        <f t="shared" si="30"/>
        <v>737</v>
      </c>
      <c r="X746" s="564">
        <v>26</v>
      </c>
    </row>
    <row r="747" spans="23:24" x14ac:dyDescent="0.25">
      <c r="W747" s="574">
        <f t="shared" si="30"/>
        <v>738</v>
      </c>
      <c r="X747" s="564">
        <v>26</v>
      </c>
    </row>
    <row r="748" spans="23:24" x14ac:dyDescent="0.25">
      <c r="W748" s="574">
        <f t="shared" si="30"/>
        <v>739</v>
      </c>
      <c r="X748" s="564">
        <v>26</v>
      </c>
    </row>
    <row r="749" spans="23:24" x14ac:dyDescent="0.25">
      <c r="W749" s="574">
        <f t="shared" si="30"/>
        <v>740</v>
      </c>
      <c r="X749" s="564">
        <v>26</v>
      </c>
    </row>
    <row r="750" spans="23:24" x14ac:dyDescent="0.25">
      <c r="W750" s="574">
        <f t="shared" si="30"/>
        <v>741</v>
      </c>
      <c r="X750" s="564">
        <v>26</v>
      </c>
    </row>
    <row r="751" spans="23:24" x14ac:dyDescent="0.25">
      <c r="W751" s="574">
        <f t="shared" si="30"/>
        <v>742</v>
      </c>
      <c r="X751" s="564">
        <v>26</v>
      </c>
    </row>
    <row r="752" spans="23:24" x14ac:dyDescent="0.25">
      <c r="W752" s="574">
        <f t="shared" si="30"/>
        <v>743</v>
      </c>
      <c r="X752" s="564">
        <v>26</v>
      </c>
    </row>
    <row r="753" spans="23:24" x14ac:dyDescent="0.25">
      <c r="W753" s="574">
        <f t="shared" si="30"/>
        <v>744</v>
      </c>
      <c r="X753" s="564">
        <v>26</v>
      </c>
    </row>
    <row r="754" spans="23:24" x14ac:dyDescent="0.25">
      <c r="W754" s="574">
        <f t="shared" si="30"/>
        <v>745</v>
      </c>
      <c r="X754" s="564">
        <v>26</v>
      </c>
    </row>
    <row r="755" spans="23:24" x14ac:dyDescent="0.25">
      <c r="W755" s="574">
        <f t="shared" si="30"/>
        <v>746</v>
      </c>
      <c r="X755" s="564">
        <v>26</v>
      </c>
    </row>
    <row r="756" spans="23:24" x14ac:dyDescent="0.25">
      <c r="W756" s="574">
        <f t="shared" si="30"/>
        <v>747</v>
      </c>
      <c r="X756" s="564">
        <v>26</v>
      </c>
    </row>
    <row r="757" spans="23:24" x14ac:dyDescent="0.25">
      <c r="W757" s="574">
        <f t="shared" si="30"/>
        <v>748</v>
      </c>
      <c r="X757" s="564">
        <v>26</v>
      </c>
    </row>
    <row r="758" spans="23:24" x14ac:dyDescent="0.25">
      <c r="W758" s="574">
        <f t="shared" si="30"/>
        <v>749</v>
      </c>
      <c r="X758" s="564">
        <v>26</v>
      </c>
    </row>
    <row r="759" spans="23:24" x14ac:dyDescent="0.25">
      <c r="W759" s="574">
        <f t="shared" si="30"/>
        <v>750</v>
      </c>
      <c r="X759" s="564">
        <v>27</v>
      </c>
    </row>
    <row r="760" spans="23:24" x14ac:dyDescent="0.25">
      <c r="W760" s="574">
        <f t="shared" si="30"/>
        <v>751</v>
      </c>
      <c r="X760" s="564">
        <v>27</v>
      </c>
    </row>
    <row r="761" spans="23:24" x14ac:dyDescent="0.25">
      <c r="W761" s="574">
        <f t="shared" si="30"/>
        <v>752</v>
      </c>
      <c r="X761" s="564">
        <v>27</v>
      </c>
    </row>
    <row r="762" spans="23:24" x14ac:dyDescent="0.25">
      <c r="W762" s="574">
        <f t="shared" si="30"/>
        <v>753</v>
      </c>
      <c r="X762" s="564">
        <v>27</v>
      </c>
    </row>
    <row r="763" spans="23:24" x14ac:dyDescent="0.25">
      <c r="W763" s="574">
        <f t="shared" si="30"/>
        <v>754</v>
      </c>
      <c r="X763" s="564">
        <v>27</v>
      </c>
    </row>
    <row r="764" spans="23:24" x14ac:dyDescent="0.25">
      <c r="W764" s="574">
        <f t="shared" si="30"/>
        <v>755</v>
      </c>
      <c r="X764" s="564">
        <v>27</v>
      </c>
    </row>
    <row r="765" spans="23:24" x14ac:dyDescent="0.25">
      <c r="W765" s="574">
        <f t="shared" si="30"/>
        <v>756</v>
      </c>
      <c r="X765" s="564">
        <v>27</v>
      </c>
    </row>
    <row r="766" spans="23:24" x14ac:dyDescent="0.25">
      <c r="W766" s="574">
        <f t="shared" si="30"/>
        <v>757</v>
      </c>
      <c r="X766" s="564">
        <v>27</v>
      </c>
    </row>
    <row r="767" spans="23:24" x14ac:dyDescent="0.25">
      <c r="W767" s="574">
        <f t="shared" si="30"/>
        <v>758</v>
      </c>
      <c r="X767" s="564">
        <v>27</v>
      </c>
    </row>
    <row r="768" spans="23:24" x14ac:dyDescent="0.25">
      <c r="W768" s="574">
        <f t="shared" si="30"/>
        <v>759</v>
      </c>
      <c r="X768" s="564">
        <v>27</v>
      </c>
    </row>
    <row r="769" spans="23:24" x14ac:dyDescent="0.25">
      <c r="W769" s="574">
        <f t="shared" si="30"/>
        <v>760</v>
      </c>
      <c r="X769" s="564">
        <v>27</v>
      </c>
    </row>
    <row r="770" spans="23:24" x14ac:dyDescent="0.25">
      <c r="W770" s="574">
        <f t="shared" si="30"/>
        <v>761</v>
      </c>
      <c r="X770" s="564">
        <v>27</v>
      </c>
    </row>
    <row r="771" spans="23:24" x14ac:dyDescent="0.25">
      <c r="W771" s="574">
        <f t="shared" si="30"/>
        <v>762</v>
      </c>
      <c r="X771" s="564">
        <v>27</v>
      </c>
    </row>
    <row r="772" spans="23:24" x14ac:dyDescent="0.25">
      <c r="W772" s="574">
        <f t="shared" si="30"/>
        <v>763</v>
      </c>
      <c r="X772" s="564">
        <v>27</v>
      </c>
    </row>
    <row r="773" spans="23:24" x14ac:dyDescent="0.25">
      <c r="W773" s="574">
        <f t="shared" si="30"/>
        <v>764</v>
      </c>
      <c r="X773" s="564">
        <v>27</v>
      </c>
    </row>
    <row r="774" spans="23:24" x14ac:dyDescent="0.25">
      <c r="W774" s="574">
        <f t="shared" si="30"/>
        <v>765</v>
      </c>
      <c r="X774" s="564">
        <v>27</v>
      </c>
    </row>
    <row r="775" spans="23:24" x14ac:dyDescent="0.25">
      <c r="W775" s="574">
        <f t="shared" si="30"/>
        <v>766</v>
      </c>
      <c r="X775" s="564">
        <v>27</v>
      </c>
    </row>
    <row r="776" spans="23:24" x14ac:dyDescent="0.25">
      <c r="W776" s="574">
        <f t="shared" si="30"/>
        <v>767</v>
      </c>
      <c r="X776" s="564">
        <v>27</v>
      </c>
    </row>
    <row r="777" spans="23:24" x14ac:dyDescent="0.25">
      <c r="W777" s="574">
        <f t="shared" si="30"/>
        <v>768</v>
      </c>
      <c r="X777" s="564">
        <v>27</v>
      </c>
    </row>
    <row r="778" spans="23:24" x14ac:dyDescent="0.25">
      <c r="W778" s="574">
        <f t="shared" si="30"/>
        <v>769</v>
      </c>
      <c r="X778" s="564">
        <v>27</v>
      </c>
    </row>
    <row r="779" spans="23:24" x14ac:dyDescent="0.25">
      <c r="W779" s="574">
        <f t="shared" si="30"/>
        <v>770</v>
      </c>
      <c r="X779" s="564">
        <v>27</v>
      </c>
    </row>
    <row r="780" spans="23:24" x14ac:dyDescent="0.25">
      <c r="W780" s="574">
        <f t="shared" si="30"/>
        <v>771</v>
      </c>
      <c r="X780" s="564">
        <v>27</v>
      </c>
    </row>
    <row r="781" spans="23:24" x14ac:dyDescent="0.25">
      <c r="W781" s="574">
        <f t="shared" si="30"/>
        <v>772</v>
      </c>
      <c r="X781" s="564">
        <v>27</v>
      </c>
    </row>
    <row r="782" spans="23:24" x14ac:dyDescent="0.25">
      <c r="W782" s="574">
        <f t="shared" si="30"/>
        <v>773</v>
      </c>
      <c r="X782" s="564">
        <v>27</v>
      </c>
    </row>
    <row r="783" spans="23:24" x14ac:dyDescent="0.25">
      <c r="W783" s="574">
        <f t="shared" si="30"/>
        <v>774</v>
      </c>
      <c r="X783" s="564">
        <v>27</v>
      </c>
    </row>
    <row r="784" spans="23:24" x14ac:dyDescent="0.25">
      <c r="W784" s="574">
        <f t="shared" si="30"/>
        <v>775</v>
      </c>
      <c r="X784" s="564">
        <v>27</v>
      </c>
    </row>
    <row r="785" spans="23:24" x14ac:dyDescent="0.25">
      <c r="W785" s="574">
        <f t="shared" si="30"/>
        <v>776</v>
      </c>
      <c r="X785" s="564">
        <v>27</v>
      </c>
    </row>
    <row r="786" spans="23:24" x14ac:dyDescent="0.25">
      <c r="W786" s="574">
        <f t="shared" si="30"/>
        <v>777</v>
      </c>
      <c r="X786" s="564">
        <v>27</v>
      </c>
    </row>
    <row r="787" spans="23:24" x14ac:dyDescent="0.25">
      <c r="W787" s="574">
        <f t="shared" si="30"/>
        <v>778</v>
      </c>
      <c r="X787" s="564">
        <v>27</v>
      </c>
    </row>
    <row r="788" spans="23:24" x14ac:dyDescent="0.25">
      <c r="W788" s="574">
        <f t="shared" si="30"/>
        <v>779</v>
      </c>
      <c r="X788" s="564">
        <v>27</v>
      </c>
    </row>
    <row r="789" spans="23:24" x14ac:dyDescent="0.25">
      <c r="W789" s="574">
        <f t="shared" si="30"/>
        <v>780</v>
      </c>
      <c r="X789" s="564">
        <v>27</v>
      </c>
    </row>
    <row r="790" spans="23:24" x14ac:dyDescent="0.25">
      <c r="W790" s="574">
        <f t="shared" si="30"/>
        <v>781</v>
      </c>
      <c r="X790" s="564">
        <v>27</v>
      </c>
    </row>
    <row r="791" spans="23:24" x14ac:dyDescent="0.25">
      <c r="W791" s="574">
        <f t="shared" si="30"/>
        <v>782</v>
      </c>
      <c r="X791" s="564">
        <v>27</v>
      </c>
    </row>
    <row r="792" spans="23:24" x14ac:dyDescent="0.25">
      <c r="W792" s="574">
        <f t="shared" si="30"/>
        <v>783</v>
      </c>
      <c r="X792" s="564">
        <v>27</v>
      </c>
    </row>
    <row r="793" spans="23:24" x14ac:dyDescent="0.25">
      <c r="W793" s="574">
        <f t="shared" si="30"/>
        <v>784</v>
      </c>
      <c r="X793" s="564">
        <v>27</v>
      </c>
    </row>
    <row r="794" spans="23:24" x14ac:dyDescent="0.25">
      <c r="W794" s="574">
        <f t="shared" ref="W794:W857" si="31">W793+1</f>
        <v>785</v>
      </c>
      <c r="X794" s="564">
        <v>27</v>
      </c>
    </row>
    <row r="795" spans="23:24" x14ac:dyDescent="0.25">
      <c r="W795" s="574">
        <f t="shared" si="31"/>
        <v>786</v>
      </c>
      <c r="X795" s="564">
        <v>27</v>
      </c>
    </row>
    <row r="796" spans="23:24" x14ac:dyDescent="0.25">
      <c r="W796" s="574">
        <f t="shared" si="31"/>
        <v>787</v>
      </c>
      <c r="X796" s="564">
        <v>27</v>
      </c>
    </row>
    <row r="797" spans="23:24" x14ac:dyDescent="0.25">
      <c r="W797" s="574">
        <f t="shared" si="31"/>
        <v>788</v>
      </c>
      <c r="X797" s="564">
        <v>27</v>
      </c>
    </row>
    <row r="798" spans="23:24" x14ac:dyDescent="0.25">
      <c r="W798" s="574">
        <f t="shared" si="31"/>
        <v>789</v>
      </c>
      <c r="X798" s="564">
        <v>27</v>
      </c>
    </row>
    <row r="799" spans="23:24" x14ac:dyDescent="0.25">
      <c r="W799" s="574">
        <f t="shared" si="31"/>
        <v>790</v>
      </c>
      <c r="X799" s="564">
        <v>27</v>
      </c>
    </row>
    <row r="800" spans="23:24" x14ac:dyDescent="0.25">
      <c r="W800" s="574">
        <f t="shared" si="31"/>
        <v>791</v>
      </c>
      <c r="X800" s="564">
        <v>27</v>
      </c>
    </row>
    <row r="801" spans="23:24" x14ac:dyDescent="0.25">
      <c r="W801" s="574">
        <f t="shared" si="31"/>
        <v>792</v>
      </c>
      <c r="X801" s="564">
        <v>27</v>
      </c>
    </row>
    <row r="802" spans="23:24" x14ac:dyDescent="0.25">
      <c r="W802" s="574">
        <f t="shared" si="31"/>
        <v>793</v>
      </c>
      <c r="X802" s="564">
        <v>27</v>
      </c>
    </row>
    <row r="803" spans="23:24" x14ac:dyDescent="0.25">
      <c r="W803" s="574">
        <f t="shared" si="31"/>
        <v>794</v>
      </c>
      <c r="X803" s="564">
        <v>27</v>
      </c>
    </row>
    <row r="804" spans="23:24" x14ac:dyDescent="0.25">
      <c r="W804" s="574">
        <f t="shared" si="31"/>
        <v>795</v>
      </c>
      <c r="X804" s="564">
        <v>27</v>
      </c>
    </row>
    <row r="805" spans="23:24" x14ac:dyDescent="0.25">
      <c r="W805" s="574">
        <f t="shared" si="31"/>
        <v>796</v>
      </c>
      <c r="X805" s="564">
        <v>27</v>
      </c>
    </row>
    <row r="806" spans="23:24" x14ac:dyDescent="0.25">
      <c r="W806" s="574">
        <f t="shared" si="31"/>
        <v>797</v>
      </c>
      <c r="X806" s="564">
        <v>27</v>
      </c>
    </row>
    <row r="807" spans="23:24" x14ac:dyDescent="0.25">
      <c r="W807" s="574">
        <f t="shared" si="31"/>
        <v>798</v>
      </c>
      <c r="X807" s="564">
        <v>27</v>
      </c>
    </row>
    <row r="808" spans="23:24" x14ac:dyDescent="0.25">
      <c r="W808" s="574">
        <f t="shared" si="31"/>
        <v>799</v>
      </c>
      <c r="X808" s="564">
        <v>27</v>
      </c>
    </row>
    <row r="809" spans="23:24" x14ac:dyDescent="0.25">
      <c r="W809" s="574">
        <f t="shared" si="31"/>
        <v>800</v>
      </c>
      <c r="X809" s="564">
        <v>28</v>
      </c>
    </row>
    <row r="810" spans="23:24" x14ac:dyDescent="0.25">
      <c r="W810" s="574">
        <f t="shared" si="31"/>
        <v>801</v>
      </c>
      <c r="X810" s="564">
        <v>28</v>
      </c>
    </row>
    <row r="811" spans="23:24" x14ac:dyDescent="0.25">
      <c r="W811" s="574">
        <f t="shared" si="31"/>
        <v>802</v>
      </c>
      <c r="X811" s="564">
        <v>28</v>
      </c>
    </row>
    <row r="812" spans="23:24" x14ac:dyDescent="0.25">
      <c r="W812" s="574">
        <f t="shared" si="31"/>
        <v>803</v>
      </c>
      <c r="X812" s="564">
        <v>28</v>
      </c>
    </row>
    <row r="813" spans="23:24" x14ac:dyDescent="0.25">
      <c r="W813" s="574">
        <f t="shared" si="31"/>
        <v>804</v>
      </c>
      <c r="X813" s="564">
        <v>28</v>
      </c>
    </row>
    <row r="814" spans="23:24" x14ac:dyDescent="0.25">
      <c r="W814" s="574">
        <f t="shared" si="31"/>
        <v>805</v>
      </c>
      <c r="X814" s="564">
        <v>28</v>
      </c>
    </row>
    <row r="815" spans="23:24" x14ac:dyDescent="0.25">
      <c r="W815" s="574">
        <f t="shared" si="31"/>
        <v>806</v>
      </c>
      <c r="X815" s="564">
        <v>28</v>
      </c>
    </row>
    <row r="816" spans="23:24" x14ac:dyDescent="0.25">
      <c r="W816" s="574">
        <f t="shared" si="31"/>
        <v>807</v>
      </c>
      <c r="X816" s="564">
        <v>28</v>
      </c>
    </row>
    <row r="817" spans="23:24" x14ac:dyDescent="0.25">
      <c r="W817" s="574">
        <f t="shared" si="31"/>
        <v>808</v>
      </c>
      <c r="X817" s="564">
        <v>28</v>
      </c>
    </row>
    <row r="818" spans="23:24" x14ac:dyDescent="0.25">
      <c r="W818" s="574">
        <f t="shared" si="31"/>
        <v>809</v>
      </c>
      <c r="X818" s="564">
        <v>28</v>
      </c>
    </row>
    <row r="819" spans="23:24" x14ac:dyDescent="0.25">
      <c r="W819" s="574">
        <f t="shared" si="31"/>
        <v>810</v>
      </c>
      <c r="X819" s="564">
        <v>28</v>
      </c>
    </row>
    <row r="820" spans="23:24" x14ac:dyDescent="0.25">
      <c r="W820" s="574">
        <f t="shared" si="31"/>
        <v>811</v>
      </c>
      <c r="X820" s="564">
        <v>28</v>
      </c>
    </row>
    <row r="821" spans="23:24" x14ac:dyDescent="0.25">
      <c r="W821" s="574">
        <f t="shared" si="31"/>
        <v>812</v>
      </c>
      <c r="X821" s="564">
        <v>28</v>
      </c>
    </row>
    <row r="822" spans="23:24" x14ac:dyDescent="0.25">
      <c r="W822" s="574">
        <f t="shared" si="31"/>
        <v>813</v>
      </c>
      <c r="X822" s="564">
        <v>28</v>
      </c>
    </row>
    <row r="823" spans="23:24" x14ac:dyDescent="0.25">
      <c r="W823" s="574">
        <f t="shared" si="31"/>
        <v>814</v>
      </c>
      <c r="X823" s="564">
        <v>28</v>
      </c>
    </row>
    <row r="824" spans="23:24" x14ac:dyDescent="0.25">
      <c r="W824" s="574">
        <f t="shared" si="31"/>
        <v>815</v>
      </c>
      <c r="X824" s="564">
        <v>28</v>
      </c>
    </row>
    <row r="825" spans="23:24" x14ac:dyDescent="0.25">
      <c r="W825" s="574">
        <f t="shared" si="31"/>
        <v>816</v>
      </c>
      <c r="X825" s="564">
        <v>28</v>
      </c>
    </row>
    <row r="826" spans="23:24" x14ac:dyDescent="0.25">
      <c r="W826" s="574">
        <f t="shared" si="31"/>
        <v>817</v>
      </c>
      <c r="X826" s="564">
        <v>28</v>
      </c>
    </row>
    <row r="827" spans="23:24" x14ac:dyDescent="0.25">
      <c r="W827" s="574">
        <f t="shared" si="31"/>
        <v>818</v>
      </c>
      <c r="X827" s="564">
        <v>28</v>
      </c>
    </row>
    <row r="828" spans="23:24" x14ac:dyDescent="0.25">
      <c r="W828" s="574">
        <f t="shared" si="31"/>
        <v>819</v>
      </c>
      <c r="X828" s="564">
        <v>28</v>
      </c>
    </row>
    <row r="829" spans="23:24" x14ac:dyDescent="0.25">
      <c r="W829" s="574">
        <f t="shared" si="31"/>
        <v>820</v>
      </c>
      <c r="X829" s="564">
        <v>28</v>
      </c>
    </row>
    <row r="830" spans="23:24" x14ac:dyDescent="0.25">
      <c r="W830" s="574">
        <f t="shared" si="31"/>
        <v>821</v>
      </c>
      <c r="X830" s="564">
        <v>28</v>
      </c>
    </row>
    <row r="831" spans="23:24" x14ac:dyDescent="0.25">
      <c r="W831" s="574">
        <f t="shared" si="31"/>
        <v>822</v>
      </c>
      <c r="X831" s="564">
        <v>28</v>
      </c>
    </row>
    <row r="832" spans="23:24" x14ac:dyDescent="0.25">
      <c r="W832" s="574">
        <f t="shared" si="31"/>
        <v>823</v>
      </c>
      <c r="X832" s="564">
        <v>28</v>
      </c>
    </row>
    <row r="833" spans="23:24" x14ac:dyDescent="0.25">
      <c r="W833" s="574">
        <f t="shared" si="31"/>
        <v>824</v>
      </c>
      <c r="X833" s="564">
        <v>28</v>
      </c>
    </row>
    <row r="834" spans="23:24" x14ac:dyDescent="0.25">
      <c r="W834" s="574">
        <f t="shared" si="31"/>
        <v>825</v>
      </c>
      <c r="X834" s="564">
        <v>28</v>
      </c>
    </row>
    <row r="835" spans="23:24" x14ac:dyDescent="0.25">
      <c r="W835" s="574">
        <f t="shared" si="31"/>
        <v>826</v>
      </c>
      <c r="X835" s="564">
        <v>28</v>
      </c>
    </row>
    <row r="836" spans="23:24" x14ac:dyDescent="0.25">
      <c r="W836" s="574">
        <f t="shared" si="31"/>
        <v>827</v>
      </c>
      <c r="X836" s="564">
        <v>28</v>
      </c>
    </row>
    <row r="837" spans="23:24" x14ac:dyDescent="0.25">
      <c r="W837" s="574">
        <f t="shared" si="31"/>
        <v>828</v>
      </c>
      <c r="X837" s="564">
        <v>28</v>
      </c>
    </row>
    <row r="838" spans="23:24" x14ac:dyDescent="0.25">
      <c r="W838" s="574">
        <f t="shared" si="31"/>
        <v>829</v>
      </c>
      <c r="X838" s="564">
        <v>28</v>
      </c>
    </row>
    <row r="839" spans="23:24" x14ac:dyDescent="0.25">
      <c r="W839" s="574">
        <f t="shared" si="31"/>
        <v>830</v>
      </c>
      <c r="X839" s="564">
        <v>28</v>
      </c>
    </row>
    <row r="840" spans="23:24" x14ac:dyDescent="0.25">
      <c r="W840" s="574">
        <f t="shared" si="31"/>
        <v>831</v>
      </c>
      <c r="X840" s="564">
        <v>28</v>
      </c>
    </row>
    <row r="841" spans="23:24" x14ac:dyDescent="0.25">
      <c r="W841" s="574">
        <f t="shared" si="31"/>
        <v>832</v>
      </c>
      <c r="X841" s="564">
        <v>28</v>
      </c>
    </row>
    <row r="842" spans="23:24" x14ac:dyDescent="0.25">
      <c r="W842" s="574">
        <f t="shared" si="31"/>
        <v>833</v>
      </c>
      <c r="X842" s="564">
        <v>28</v>
      </c>
    </row>
    <row r="843" spans="23:24" x14ac:dyDescent="0.25">
      <c r="W843" s="574">
        <f t="shared" si="31"/>
        <v>834</v>
      </c>
      <c r="X843" s="564">
        <v>28</v>
      </c>
    </row>
    <row r="844" spans="23:24" x14ac:dyDescent="0.25">
      <c r="W844" s="574">
        <f t="shared" si="31"/>
        <v>835</v>
      </c>
      <c r="X844" s="564">
        <v>28</v>
      </c>
    </row>
    <row r="845" spans="23:24" x14ac:dyDescent="0.25">
      <c r="W845" s="574">
        <f t="shared" si="31"/>
        <v>836</v>
      </c>
      <c r="X845" s="564">
        <v>28</v>
      </c>
    </row>
    <row r="846" spans="23:24" x14ac:dyDescent="0.25">
      <c r="W846" s="574">
        <f t="shared" si="31"/>
        <v>837</v>
      </c>
      <c r="X846" s="564">
        <v>28</v>
      </c>
    </row>
    <row r="847" spans="23:24" x14ac:dyDescent="0.25">
      <c r="W847" s="574">
        <f t="shared" si="31"/>
        <v>838</v>
      </c>
      <c r="X847" s="564">
        <v>28</v>
      </c>
    </row>
    <row r="848" spans="23:24" x14ac:dyDescent="0.25">
      <c r="W848" s="574">
        <f t="shared" si="31"/>
        <v>839</v>
      </c>
      <c r="X848" s="564">
        <v>28</v>
      </c>
    </row>
    <row r="849" spans="23:24" x14ac:dyDescent="0.25">
      <c r="W849" s="574">
        <f t="shared" si="31"/>
        <v>840</v>
      </c>
      <c r="X849" s="564">
        <v>28</v>
      </c>
    </row>
    <row r="850" spans="23:24" x14ac:dyDescent="0.25">
      <c r="W850" s="574">
        <f t="shared" si="31"/>
        <v>841</v>
      </c>
      <c r="X850" s="564">
        <v>28</v>
      </c>
    </row>
    <row r="851" spans="23:24" x14ac:dyDescent="0.25">
      <c r="W851" s="574">
        <f t="shared" si="31"/>
        <v>842</v>
      </c>
      <c r="X851" s="564">
        <v>28</v>
      </c>
    </row>
    <row r="852" spans="23:24" x14ac:dyDescent="0.25">
      <c r="W852" s="574">
        <f t="shared" si="31"/>
        <v>843</v>
      </c>
      <c r="X852" s="564">
        <v>28</v>
      </c>
    </row>
    <row r="853" spans="23:24" x14ac:dyDescent="0.25">
      <c r="W853" s="574">
        <f t="shared" si="31"/>
        <v>844</v>
      </c>
      <c r="X853" s="564">
        <v>28</v>
      </c>
    </row>
    <row r="854" spans="23:24" x14ac:dyDescent="0.25">
      <c r="W854" s="574">
        <f t="shared" si="31"/>
        <v>845</v>
      </c>
      <c r="X854" s="564">
        <v>28</v>
      </c>
    </row>
    <row r="855" spans="23:24" x14ac:dyDescent="0.25">
      <c r="W855" s="574">
        <f t="shared" si="31"/>
        <v>846</v>
      </c>
      <c r="X855" s="564">
        <v>28</v>
      </c>
    </row>
    <row r="856" spans="23:24" x14ac:dyDescent="0.25">
      <c r="W856" s="574">
        <f t="shared" si="31"/>
        <v>847</v>
      </c>
      <c r="X856" s="564">
        <v>28</v>
      </c>
    </row>
    <row r="857" spans="23:24" x14ac:dyDescent="0.25">
      <c r="W857" s="574">
        <f t="shared" si="31"/>
        <v>848</v>
      </c>
      <c r="X857" s="564">
        <v>28</v>
      </c>
    </row>
    <row r="858" spans="23:24" x14ac:dyDescent="0.25">
      <c r="W858" s="574">
        <f t="shared" ref="W858:W921" si="32">W857+1</f>
        <v>849</v>
      </c>
      <c r="X858" s="564">
        <v>28</v>
      </c>
    </row>
    <row r="859" spans="23:24" x14ac:dyDescent="0.25">
      <c r="W859" s="574">
        <f t="shared" si="32"/>
        <v>850</v>
      </c>
      <c r="X859" s="564">
        <v>29</v>
      </c>
    </row>
    <row r="860" spans="23:24" x14ac:dyDescent="0.25">
      <c r="W860" s="574">
        <f t="shared" si="32"/>
        <v>851</v>
      </c>
      <c r="X860" s="564">
        <v>29</v>
      </c>
    </row>
    <row r="861" spans="23:24" x14ac:dyDescent="0.25">
      <c r="W861" s="574">
        <f t="shared" si="32"/>
        <v>852</v>
      </c>
      <c r="X861" s="564">
        <v>29</v>
      </c>
    </row>
    <row r="862" spans="23:24" x14ac:dyDescent="0.25">
      <c r="W862" s="574">
        <f t="shared" si="32"/>
        <v>853</v>
      </c>
      <c r="X862" s="564">
        <v>29</v>
      </c>
    </row>
    <row r="863" spans="23:24" x14ac:dyDescent="0.25">
      <c r="W863" s="574">
        <f t="shared" si="32"/>
        <v>854</v>
      </c>
      <c r="X863" s="564">
        <v>29</v>
      </c>
    </row>
    <row r="864" spans="23:24" x14ac:dyDescent="0.25">
      <c r="W864" s="574">
        <f t="shared" si="32"/>
        <v>855</v>
      </c>
      <c r="X864" s="564">
        <v>29</v>
      </c>
    </row>
    <row r="865" spans="23:24" x14ac:dyDescent="0.25">
      <c r="W865" s="574">
        <f t="shared" si="32"/>
        <v>856</v>
      </c>
      <c r="X865" s="564">
        <v>29</v>
      </c>
    </row>
    <row r="866" spans="23:24" x14ac:dyDescent="0.25">
      <c r="W866" s="574">
        <f t="shared" si="32"/>
        <v>857</v>
      </c>
      <c r="X866" s="564">
        <v>29</v>
      </c>
    </row>
    <row r="867" spans="23:24" x14ac:dyDescent="0.25">
      <c r="W867" s="574">
        <f t="shared" si="32"/>
        <v>858</v>
      </c>
      <c r="X867" s="564">
        <v>29</v>
      </c>
    </row>
    <row r="868" spans="23:24" x14ac:dyDescent="0.25">
      <c r="W868" s="574">
        <f t="shared" si="32"/>
        <v>859</v>
      </c>
      <c r="X868" s="564">
        <v>29</v>
      </c>
    </row>
    <row r="869" spans="23:24" x14ac:dyDescent="0.25">
      <c r="W869" s="574">
        <f t="shared" si="32"/>
        <v>860</v>
      </c>
      <c r="X869" s="564">
        <v>29</v>
      </c>
    </row>
    <row r="870" spans="23:24" x14ac:dyDescent="0.25">
      <c r="W870" s="574">
        <f t="shared" si="32"/>
        <v>861</v>
      </c>
      <c r="X870" s="564">
        <v>29</v>
      </c>
    </row>
    <row r="871" spans="23:24" x14ac:dyDescent="0.25">
      <c r="W871" s="574">
        <f t="shared" si="32"/>
        <v>862</v>
      </c>
      <c r="X871" s="564">
        <v>29</v>
      </c>
    </row>
    <row r="872" spans="23:24" x14ac:dyDescent="0.25">
      <c r="W872" s="574">
        <f t="shared" si="32"/>
        <v>863</v>
      </c>
      <c r="X872" s="564">
        <v>29</v>
      </c>
    </row>
    <row r="873" spans="23:24" x14ac:dyDescent="0.25">
      <c r="W873" s="574">
        <f t="shared" si="32"/>
        <v>864</v>
      </c>
      <c r="X873" s="564">
        <v>29</v>
      </c>
    </row>
    <row r="874" spans="23:24" x14ac:dyDescent="0.25">
      <c r="W874" s="574">
        <f t="shared" si="32"/>
        <v>865</v>
      </c>
      <c r="X874" s="564">
        <v>29</v>
      </c>
    </row>
    <row r="875" spans="23:24" x14ac:dyDescent="0.25">
      <c r="W875" s="574">
        <f t="shared" si="32"/>
        <v>866</v>
      </c>
      <c r="X875" s="564">
        <v>29</v>
      </c>
    </row>
    <row r="876" spans="23:24" x14ac:dyDescent="0.25">
      <c r="W876" s="574">
        <f t="shared" si="32"/>
        <v>867</v>
      </c>
      <c r="X876" s="564">
        <v>29</v>
      </c>
    </row>
    <row r="877" spans="23:24" x14ac:dyDescent="0.25">
      <c r="W877" s="574">
        <f t="shared" si="32"/>
        <v>868</v>
      </c>
      <c r="X877" s="564">
        <v>29</v>
      </c>
    </row>
    <row r="878" spans="23:24" x14ac:dyDescent="0.25">
      <c r="W878" s="574">
        <f t="shared" si="32"/>
        <v>869</v>
      </c>
      <c r="X878" s="564">
        <v>29</v>
      </c>
    </row>
    <row r="879" spans="23:24" x14ac:dyDescent="0.25">
      <c r="W879" s="574">
        <f t="shared" si="32"/>
        <v>870</v>
      </c>
      <c r="X879" s="564">
        <v>29</v>
      </c>
    </row>
    <row r="880" spans="23:24" x14ac:dyDescent="0.25">
      <c r="W880" s="574">
        <f t="shared" si="32"/>
        <v>871</v>
      </c>
      <c r="X880" s="564">
        <v>29</v>
      </c>
    </row>
    <row r="881" spans="23:24" x14ac:dyDescent="0.25">
      <c r="W881" s="574">
        <f t="shared" si="32"/>
        <v>872</v>
      </c>
      <c r="X881" s="564">
        <v>29</v>
      </c>
    </row>
    <row r="882" spans="23:24" x14ac:dyDescent="0.25">
      <c r="W882" s="574">
        <f t="shared" si="32"/>
        <v>873</v>
      </c>
      <c r="X882" s="564">
        <v>29</v>
      </c>
    </row>
    <row r="883" spans="23:24" x14ac:dyDescent="0.25">
      <c r="W883" s="574">
        <f t="shared" si="32"/>
        <v>874</v>
      </c>
      <c r="X883" s="564">
        <v>29</v>
      </c>
    </row>
    <row r="884" spans="23:24" x14ac:dyDescent="0.25">
      <c r="W884" s="574">
        <f t="shared" si="32"/>
        <v>875</v>
      </c>
      <c r="X884" s="564">
        <v>29</v>
      </c>
    </row>
    <row r="885" spans="23:24" x14ac:dyDescent="0.25">
      <c r="W885" s="574">
        <f t="shared" si="32"/>
        <v>876</v>
      </c>
      <c r="X885" s="564">
        <v>29</v>
      </c>
    </row>
    <row r="886" spans="23:24" x14ac:dyDescent="0.25">
      <c r="W886" s="574">
        <f t="shared" si="32"/>
        <v>877</v>
      </c>
      <c r="X886" s="564">
        <v>29</v>
      </c>
    </row>
    <row r="887" spans="23:24" x14ac:dyDescent="0.25">
      <c r="W887" s="574">
        <f t="shared" si="32"/>
        <v>878</v>
      </c>
      <c r="X887" s="564">
        <v>29</v>
      </c>
    </row>
    <row r="888" spans="23:24" x14ac:dyDescent="0.25">
      <c r="W888" s="574">
        <f t="shared" si="32"/>
        <v>879</v>
      </c>
      <c r="X888" s="564">
        <v>29</v>
      </c>
    </row>
    <row r="889" spans="23:24" x14ac:dyDescent="0.25">
      <c r="W889" s="574">
        <f t="shared" si="32"/>
        <v>880</v>
      </c>
      <c r="X889" s="564">
        <v>29</v>
      </c>
    </row>
    <row r="890" spans="23:24" x14ac:dyDescent="0.25">
      <c r="W890" s="574">
        <f t="shared" si="32"/>
        <v>881</v>
      </c>
      <c r="X890" s="564">
        <v>29</v>
      </c>
    </row>
    <row r="891" spans="23:24" x14ac:dyDescent="0.25">
      <c r="W891" s="574">
        <f t="shared" si="32"/>
        <v>882</v>
      </c>
      <c r="X891" s="564">
        <v>29</v>
      </c>
    </row>
    <row r="892" spans="23:24" x14ac:dyDescent="0.25">
      <c r="W892" s="574">
        <f t="shared" si="32"/>
        <v>883</v>
      </c>
      <c r="X892" s="564">
        <v>29</v>
      </c>
    </row>
    <row r="893" spans="23:24" x14ac:dyDescent="0.25">
      <c r="W893" s="574">
        <f t="shared" si="32"/>
        <v>884</v>
      </c>
      <c r="X893" s="564">
        <v>29</v>
      </c>
    </row>
    <row r="894" spans="23:24" x14ac:dyDescent="0.25">
      <c r="W894" s="574">
        <f t="shared" si="32"/>
        <v>885</v>
      </c>
      <c r="X894" s="564">
        <v>29</v>
      </c>
    </row>
    <row r="895" spans="23:24" x14ac:dyDescent="0.25">
      <c r="W895" s="574">
        <f t="shared" si="32"/>
        <v>886</v>
      </c>
      <c r="X895" s="564">
        <v>29</v>
      </c>
    </row>
    <row r="896" spans="23:24" x14ac:dyDescent="0.25">
      <c r="W896" s="574">
        <f t="shared" si="32"/>
        <v>887</v>
      </c>
      <c r="X896" s="564">
        <v>29</v>
      </c>
    </row>
    <row r="897" spans="23:24" x14ac:dyDescent="0.25">
      <c r="W897" s="574">
        <f t="shared" si="32"/>
        <v>888</v>
      </c>
      <c r="X897" s="564">
        <v>29</v>
      </c>
    </row>
    <row r="898" spans="23:24" x14ac:dyDescent="0.25">
      <c r="W898" s="574">
        <f t="shared" si="32"/>
        <v>889</v>
      </c>
      <c r="X898" s="564">
        <v>29</v>
      </c>
    </row>
    <row r="899" spans="23:24" x14ac:dyDescent="0.25">
      <c r="W899" s="574">
        <f t="shared" si="32"/>
        <v>890</v>
      </c>
      <c r="X899" s="564">
        <v>29</v>
      </c>
    </row>
    <row r="900" spans="23:24" x14ac:dyDescent="0.25">
      <c r="W900" s="574">
        <f t="shared" si="32"/>
        <v>891</v>
      </c>
      <c r="X900" s="564">
        <v>29</v>
      </c>
    </row>
    <row r="901" spans="23:24" x14ac:dyDescent="0.25">
      <c r="W901" s="574">
        <f t="shared" si="32"/>
        <v>892</v>
      </c>
      <c r="X901" s="564">
        <v>29</v>
      </c>
    </row>
    <row r="902" spans="23:24" x14ac:dyDescent="0.25">
      <c r="W902" s="574">
        <f t="shared" si="32"/>
        <v>893</v>
      </c>
      <c r="X902" s="564">
        <v>29</v>
      </c>
    </row>
    <row r="903" spans="23:24" x14ac:dyDescent="0.25">
      <c r="W903" s="574">
        <f t="shared" si="32"/>
        <v>894</v>
      </c>
      <c r="X903" s="564">
        <v>29</v>
      </c>
    </row>
    <row r="904" spans="23:24" x14ac:dyDescent="0.25">
      <c r="W904" s="574">
        <f t="shared" si="32"/>
        <v>895</v>
      </c>
      <c r="X904" s="564">
        <v>29</v>
      </c>
    </row>
    <row r="905" spans="23:24" x14ac:dyDescent="0.25">
      <c r="W905" s="574">
        <f t="shared" si="32"/>
        <v>896</v>
      </c>
      <c r="X905" s="564">
        <v>29</v>
      </c>
    </row>
    <row r="906" spans="23:24" x14ac:dyDescent="0.25">
      <c r="W906" s="574">
        <f t="shared" si="32"/>
        <v>897</v>
      </c>
      <c r="X906" s="564">
        <v>29</v>
      </c>
    </row>
    <row r="907" spans="23:24" x14ac:dyDescent="0.25">
      <c r="W907" s="574">
        <f t="shared" si="32"/>
        <v>898</v>
      </c>
      <c r="X907" s="564">
        <v>29</v>
      </c>
    </row>
    <row r="908" spans="23:24" x14ac:dyDescent="0.25">
      <c r="W908" s="574">
        <f t="shared" si="32"/>
        <v>899</v>
      </c>
      <c r="X908" s="564">
        <v>29</v>
      </c>
    </row>
    <row r="909" spans="23:24" x14ac:dyDescent="0.25">
      <c r="W909" s="574">
        <f t="shared" si="32"/>
        <v>900</v>
      </c>
      <c r="X909" s="564">
        <v>30</v>
      </c>
    </row>
    <row r="910" spans="23:24" x14ac:dyDescent="0.25">
      <c r="W910" s="574">
        <f t="shared" si="32"/>
        <v>901</v>
      </c>
      <c r="X910" s="564">
        <v>30</v>
      </c>
    </row>
    <row r="911" spans="23:24" x14ac:dyDescent="0.25">
      <c r="W911" s="574">
        <f t="shared" si="32"/>
        <v>902</v>
      </c>
      <c r="X911" s="564">
        <v>30</v>
      </c>
    </row>
    <row r="912" spans="23:24" x14ac:dyDescent="0.25">
      <c r="W912" s="574">
        <f t="shared" si="32"/>
        <v>903</v>
      </c>
      <c r="X912" s="564">
        <v>30</v>
      </c>
    </row>
    <row r="913" spans="23:24" x14ac:dyDescent="0.25">
      <c r="W913" s="574">
        <f t="shared" si="32"/>
        <v>904</v>
      </c>
      <c r="X913" s="564">
        <v>30</v>
      </c>
    </row>
    <row r="914" spans="23:24" x14ac:dyDescent="0.25">
      <c r="W914" s="574">
        <f t="shared" si="32"/>
        <v>905</v>
      </c>
      <c r="X914" s="564">
        <v>30</v>
      </c>
    </row>
    <row r="915" spans="23:24" x14ac:dyDescent="0.25">
      <c r="W915" s="574">
        <f t="shared" si="32"/>
        <v>906</v>
      </c>
      <c r="X915" s="564">
        <v>30</v>
      </c>
    </row>
    <row r="916" spans="23:24" x14ac:dyDescent="0.25">
      <c r="W916" s="574">
        <f t="shared" si="32"/>
        <v>907</v>
      </c>
      <c r="X916" s="564">
        <v>30</v>
      </c>
    </row>
    <row r="917" spans="23:24" x14ac:dyDescent="0.25">
      <c r="W917" s="574">
        <f t="shared" si="32"/>
        <v>908</v>
      </c>
      <c r="X917" s="564">
        <v>30</v>
      </c>
    </row>
    <row r="918" spans="23:24" x14ac:dyDescent="0.25">
      <c r="W918" s="574">
        <f t="shared" si="32"/>
        <v>909</v>
      </c>
      <c r="X918" s="564">
        <v>30</v>
      </c>
    </row>
    <row r="919" spans="23:24" x14ac:dyDescent="0.25">
      <c r="W919" s="574">
        <f t="shared" si="32"/>
        <v>910</v>
      </c>
      <c r="X919" s="564">
        <v>30</v>
      </c>
    </row>
    <row r="920" spans="23:24" x14ac:dyDescent="0.25">
      <c r="W920" s="574">
        <f t="shared" si="32"/>
        <v>911</v>
      </c>
      <c r="X920" s="564">
        <v>30</v>
      </c>
    </row>
    <row r="921" spans="23:24" x14ac:dyDescent="0.25">
      <c r="W921" s="574">
        <f t="shared" si="32"/>
        <v>912</v>
      </c>
      <c r="X921" s="564">
        <v>30</v>
      </c>
    </row>
    <row r="922" spans="23:24" x14ac:dyDescent="0.25">
      <c r="W922" s="574">
        <f t="shared" ref="W922:W985" si="33">W921+1</f>
        <v>913</v>
      </c>
      <c r="X922" s="564">
        <v>30</v>
      </c>
    </row>
    <row r="923" spans="23:24" x14ac:dyDescent="0.25">
      <c r="W923" s="574">
        <f t="shared" si="33"/>
        <v>914</v>
      </c>
      <c r="X923" s="564">
        <v>30</v>
      </c>
    </row>
    <row r="924" spans="23:24" x14ac:dyDescent="0.25">
      <c r="W924" s="574">
        <f t="shared" si="33"/>
        <v>915</v>
      </c>
      <c r="X924" s="564">
        <v>30</v>
      </c>
    </row>
    <row r="925" spans="23:24" x14ac:dyDescent="0.25">
      <c r="W925" s="574">
        <f t="shared" si="33"/>
        <v>916</v>
      </c>
      <c r="X925" s="564">
        <v>30</v>
      </c>
    </row>
    <row r="926" spans="23:24" x14ac:dyDescent="0.25">
      <c r="W926" s="574">
        <f t="shared" si="33"/>
        <v>917</v>
      </c>
      <c r="X926" s="564">
        <v>30</v>
      </c>
    </row>
    <row r="927" spans="23:24" x14ac:dyDescent="0.25">
      <c r="W927" s="574">
        <f t="shared" si="33"/>
        <v>918</v>
      </c>
      <c r="X927" s="564">
        <v>30</v>
      </c>
    </row>
    <row r="928" spans="23:24" x14ac:dyDescent="0.25">
      <c r="W928" s="574">
        <f t="shared" si="33"/>
        <v>919</v>
      </c>
      <c r="X928" s="564">
        <v>30</v>
      </c>
    </row>
    <row r="929" spans="23:24" x14ac:dyDescent="0.25">
      <c r="W929" s="574">
        <f t="shared" si="33"/>
        <v>920</v>
      </c>
      <c r="X929" s="564">
        <v>30</v>
      </c>
    </row>
    <row r="930" spans="23:24" x14ac:dyDescent="0.25">
      <c r="W930" s="574">
        <f t="shared" si="33"/>
        <v>921</v>
      </c>
      <c r="X930" s="564">
        <v>30</v>
      </c>
    </row>
    <row r="931" spans="23:24" x14ac:dyDescent="0.25">
      <c r="W931" s="574">
        <f t="shared" si="33"/>
        <v>922</v>
      </c>
      <c r="X931" s="564">
        <v>30</v>
      </c>
    </row>
    <row r="932" spans="23:24" x14ac:dyDescent="0.25">
      <c r="W932" s="574">
        <f t="shared" si="33"/>
        <v>923</v>
      </c>
      <c r="X932" s="564">
        <v>30</v>
      </c>
    </row>
    <row r="933" spans="23:24" x14ac:dyDescent="0.25">
      <c r="W933" s="574">
        <f t="shared" si="33"/>
        <v>924</v>
      </c>
      <c r="X933" s="564">
        <v>30</v>
      </c>
    </row>
    <row r="934" spans="23:24" x14ac:dyDescent="0.25">
      <c r="W934" s="574">
        <f t="shared" si="33"/>
        <v>925</v>
      </c>
      <c r="X934" s="564">
        <v>30</v>
      </c>
    </row>
    <row r="935" spans="23:24" x14ac:dyDescent="0.25">
      <c r="W935" s="574">
        <f t="shared" si="33"/>
        <v>926</v>
      </c>
      <c r="X935" s="564">
        <v>30</v>
      </c>
    </row>
    <row r="936" spans="23:24" x14ac:dyDescent="0.25">
      <c r="W936" s="574">
        <f t="shared" si="33"/>
        <v>927</v>
      </c>
      <c r="X936" s="564">
        <v>30</v>
      </c>
    </row>
    <row r="937" spans="23:24" x14ac:dyDescent="0.25">
      <c r="W937" s="574">
        <f t="shared" si="33"/>
        <v>928</v>
      </c>
      <c r="X937" s="564">
        <v>30</v>
      </c>
    </row>
    <row r="938" spans="23:24" x14ac:dyDescent="0.25">
      <c r="W938" s="574">
        <f t="shared" si="33"/>
        <v>929</v>
      </c>
      <c r="X938" s="564">
        <v>30</v>
      </c>
    </row>
    <row r="939" spans="23:24" x14ac:dyDescent="0.25">
      <c r="W939" s="574">
        <f t="shared" si="33"/>
        <v>930</v>
      </c>
      <c r="X939" s="564">
        <v>30</v>
      </c>
    </row>
    <row r="940" spans="23:24" x14ac:dyDescent="0.25">
      <c r="W940" s="574">
        <f t="shared" si="33"/>
        <v>931</v>
      </c>
      <c r="X940" s="564">
        <v>30</v>
      </c>
    </row>
    <row r="941" spans="23:24" x14ac:dyDescent="0.25">
      <c r="W941" s="574">
        <f t="shared" si="33"/>
        <v>932</v>
      </c>
      <c r="X941" s="564">
        <v>30</v>
      </c>
    </row>
    <row r="942" spans="23:24" x14ac:dyDescent="0.25">
      <c r="W942" s="574">
        <f t="shared" si="33"/>
        <v>933</v>
      </c>
      <c r="X942" s="564">
        <v>30</v>
      </c>
    </row>
    <row r="943" spans="23:24" x14ac:dyDescent="0.25">
      <c r="W943" s="574">
        <f t="shared" si="33"/>
        <v>934</v>
      </c>
      <c r="X943" s="564">
        <v>30</v>
      </c>
    </row>
    <row r="944" spans="23:24" x14ac:dyDescent="0.25">
      <c r="W944" s="574">
        <f t="shared" si="33"/>
        <v>935</v>
      </c>
      <c r="X944" s="564">
        <v>30</v>
      </c>
    </row>
    <row r="945" spans="23:24" x14ac:dyDescent="0.25">
      <c r="W945" s="574">
        <f t="shared" si="33"/>
        <v>936</v>
      </c>
      <c r="X945" s="564">
        <v>30</v>
      </c>
    </row>
    <row r="946" spans="23:24" x14ac:dyDescent="0.25">
      <c r="W946" s="574">
        <f t="shared" si="33"/>
        <v>937</v>
      </c>
      <c r="X946" s="564">
        <v>30</v>
      </c>
    </row>
    <row r="947" spans="23:24" x14ac:dyDescent="0.25">
      <c r="W947" s="574">
        <f t="shared" si="33"/>
        <v>938</v>
      </c>
      <c r="X947" s="564">
        <v>30</v>
      </c>
    </row>
    <row r="948" spans="23:24" x14ac:dyDescent="0.25">
      <c r="W948" s="574">
        <f t="shared" si="33"/>
        <v>939</v>
      </c>
      <c r="X948" s="564">
        <v>30</v>
      </c>
    </row>
    <row r="949" spans="23:24" x14ac:dyDescent="0.25">
      <c r="W949" s="574">
        <f t="shared" si="33"/>
        <v>940</v>
      </c>
      <c r="X949" s="564">
        <v>30</v>
      </c>
    </row>
    <row r="950" spans="23:24" x14ac:dyDescent="0.25">
      <c r="W950" s="574">
        <f t="shared" si="33"/>
        <v>941</v>
      </c>
      <c r="X950" s="564">
        <v>30</v>
      </c>
    </row>
    <row r="951" spans="23:24" x14ac:dyDescent="0.25">
      <c r="W951" s="574">
        <f t="shared" si="33"/>
        <v>942</v>
      </c>
      <c r="X951" s="564">
        <v>30</v>
      </c>
    </row>
    <row r="952" spans="23:24" x14ac:dyDescent="0.25">
      <c r="W952" s="574">
        <f t="shared" si="33"/>
        <v>943</v>
      </c>
      <c r="X952" s="564">
        <v>30</v>
      </c>
    </row>
    <row r="953" spans="23:24" x14ac:dyDescent="0.25">
      <c r="W953" s="574">
        <f t="shared" si="33"/>
        <v>944</v>
      </c>
      <c r="X953" s="564">
        <v>30</v>
      </c>
    </row>
    <row r="954" spans="23:24" x14ac:dyDescent="0.25">
      <c r="W954" s="574">
        <f t="shared" si="33"/>
        <v>945</v>
      </c>
      <c r="X954" s="564">
        <v>30</v>
      </c>
    </row>
    <row r="955" spans="23:24" x14ac:dyDescent="0.25">
      <c r="W955" s="574">
        <f t="shared" si="33"/>
        <v>946</v>
      </c>
      <c r="X955" s="564">
        <v>30</v>
      </c>
    </row>
    <row r="956" spans="23:24" x14ac:dyDescent="0.25">
      <c r="W956" s="574">
        <f t="shared" si="33"/>
        <v>947</v>
      </c>
      <c r="X956" s="564">
        <v>30</v>
      </c>
    </row>
    <row r="957" spans="23:24" x14ac:dyDescent="0.25">
      <c r="W957" s="574">
        <f t="shared" si="33"/>
        <v>948</v>
      </c>
      <c r="X957" s="564">
        <v>30</v>
      </c>
    </row>
    <row r="958" spans="23:24" x14ac:dyDescent="0.25">
      <c r="W958" s="574">
        <f t="shared" si="33"/>
        <v>949</v>
      </c>
      <c r="X958" s="564">
        <v>30</v>
      </c>
    </row>
    <row r="959" spans="23:24" x14ac:dyDescent="0.25">
      <c r="W959" s="574">
        <f t="shared" si="33"/>
        <v>950</v>
      </c>
      <c r="X959" s="564">
        <v>31</v>
      </c>
    </row>
    <row r="960" spans="23:24" x14ac:dyDescent="0.25">
      <c r="W960" s="574">
        <f t="shared" si="33"/>
        <v>951</v>
      </c>
      <c r="X960" s="564">
        <v>31</v>
      </c>
    </row>
    <row r="961" spans="23:24" x14ac:dyDescent="0.25">
      <c r="W961" s="574">
        <f t="shared" si="33"/>
        <v>952</v>
      </c>
      <c r="X961" s="564">
        <v>31</v>
      </c>
    </row>
    <row r="962" spans="23:24" x14ac:dyDescent="0.25">
      <c r="W962" s="574">
        <f t="shared" si="33"/>
        <v>953</v>
      </c>
      <c r="X962" s="564">
        <v>31</v>
      </c>
    </row>
    <row r="963" spans="23:24" x14ac:dyDescent="0.25">
      <c r="W963" s="574">
        <f t="shared" si="33"/>
        <v>954</v>
      </c>
      <c r="X963" s="564">
        <v>31</v>
      </c>
    </row>
    <row r="964" spans="23:24" x14ac:dyDescent="0.25">
      <c r="W964" s="574">
        <f t="shared" si="33"/>
        <v>955</v>
      </c>
      <c r="X964" s="564">
        <v>31</v>
      </c>
    </row>
    <row r="965" spans="23:24" x14ac:dyDescent="0.25">
      <c r="W965" s="574">
        <f t="shared" si="33"/>
        <v>956</v>
      </c>
      <c r="X965" s="564">
        <v>31</v>
      </c>
    </row>
    <row r="966" spans="23:24" x14ac:dyDescent="0.25">
      <c r="W966" s="574">
        <f t="shared" si="33"/>
        <v>957</v>
      </c>
      <c r="X966" s="564">
        <v>31</v>
      </c>
    </row>
    <row r="967" spans="23:24" x14ac:dyDescent="0.25">
      <c r="W967" s="574">
        <f t="shared" si="33"/>
        <v>958</v>
      </c>
      <c r="X967" s="564">
        <v>31</v>
      </c>
    </row>
    <row r="968" spans="23:24" x14ac:dyDescent="0.25">
      <c r="W968" s="574">
        <f t="shared" si="33"/>
        <v>959</v>
      </c>
      <c r="X968" s="564">
        <v>31</v>
      </c>
    </row>
    <row r="969" spans="23:24" x14ac:dyDescent="0.25">
      <c r="W969" s="574">
        <f t="shared" si="33"/>
        <v>960</v>
      </c>
      <c r="X969" s="564">
        <v>31</v>
      </c>
    </row>
    <row r="970" spans="23:24" x14ac:dyDescent="0.25">
      <c r="W970" s="574">
        <f t="shared" si="33"/>
        <v>961</v>
      </c>
      <c r="X970" s="564">
        <v>31</v>
      </c>
    </row>
    <row r="971" spans="23:24" x14ac:dyDescent="0.25">
      <c r="W971" s="574">
        <f t="shared" si="33"/>
        <v>962</v>
      </c>
      <c r="X971" s="564">
        <v>31</v>
      </c>
    </row>
    <row r="972" spans="23:24" x14ac:dyDescent="0.25">
      <c r="W972" s="574">
        <f t="shared" si="33"/>
        <v>963</v>
      </c>
      <c r="X972" s="564">
        <v>31</v>
      </c>
    </row>
    <row r="973" spans="23:24" x14ac:dyDescent="0.25">
      <c r="W973" s="574">
        <f t="shared" si="33"/>
        <v>964</v>
      </c>
      <c r="X973" s="564">
        <v>31</v>
      </c>
    </row>
    <row r="974" spans="23:24" x14ac:dyDescent="0.25">
      <c r="W974" s="574">
        <f t="shared" si="33"/>
        <v>965</v>
      </c>
      <c r="X974" s="564">
        <v>31</v>
      </c>
    </row>
    <row r="975" spans="23:24" x14ac:dyDescent="0.25">
      <c r="W975" s="574">
        <f t="shared" si="33"/>
        <v>966</v>
      </c>
      <c r="X975" s="564">
        <v>31</v>
      </c>
    </row>
    <row r="976" spans="23:24" x14ac:dyDescent="0.25">
      <c r="W976" s="574">
        <f t="shared" si="33"/>
        <v>967</v>
      </c>
      <c r="X976" s="564">
        <v>31</v>
      </c>
    </row>
    <row r="977" spans="23:24" x14ac:dyDescent="0.25">
      <c r="W977" s="574">
        <f t="shared" si="33"/>
        <v>968</v>
      </c>
      <c r="X977" s="564">
        <v>31</v>
      </c>
    </row>
    <row r="978" spans="23:24" x14ac:dyDescent="0.25">
      <c r="W978" s="574">
        <f t="shared" si="33"/>
        <v>969</v>
      </c>
      <c r="X978" s="564">
        <v>31</v>
      </c>
    </row>
    <row r="979" spans="23:24" x14ac:dyDescent="0.25">
      <c r="W979" s="574">
        <f t="shared" si="33"/>
        <v>970</v>
      </c>
      <c r="X979" s="564">
        <v>31</v>
      </c>
    </row>
    <row r="980" spans="23:24" x14ac:dyDescent="0.25">
      <c r="W980" s="574">
        <f t="shared" si="33"/>
        <v>971</v>
      </c>
      <c r="X980" s="564">
        <v>31</v>
      </c>
    </row>
    <row r="981" spans="23:24" x14ac:dyDescent="0.25">
      <c r="W981" s="574">
        <f t="shared" si="33"/>
        <v>972</v>
      </c>
      <c r="X981" s="564">
        <v>31</v>
      </c>
    </row>
    <row r="982" spans="23:24" x14ac:dyDescent="0.25">
      <c r="W982" s="574">
        <f t="shared" si="33"/>
        <v>973</v>
      </c>
      <c r="X982" s="564">
        <v>31</v>
      </c>
    </row>
    <row r="983" spans="23:24" x14ac:dyDescent="0.25">
      <c r="W983" s="574">
        <f t="shared" si="33"/>
        <v>974</v>
      </c>
      <c r="X983" s="564">
        <v>31</v>
      </c>
    </row>
    <row r="984" spans="23:24" x14ac:dyDescent="0.25">
      <c r="W984" s="574">
        <f t="shared" si="33"/>
        <v>975</v>
      </c>
      <c r="X984" s="564">
        <v>31</v>
      </c>
    </row>
    <row r="985" spans="23:24" x14ac:dyDescent="0.25">
      <c r="W985" s="574">
        <f t="shared" si="33"/>
        <v>976</v>
      </c>
      <c r="X985" s="564">
        <v>31</v>
      </c>
    </row>
    <row r="986" spans="23:24" x14ac:dyDescent="0.25">
      <c r="W986" s="574">
        <f t="shared" ref="W986:W1049" si="34">W985+1</f>
        <v>977</v>
      </c>
      <c r="X986" s="564">
        <v>31</v>
      </c>
    </row>
    <row r="987" spans="23:24" x14ac:dyDescent="0.25">
      <c r="W987" s="574">
        <f t="shared" si="34"/>
        <v>978</v>
      </c>
      <c r="X987" s="564">
        <v>31</v>
      </c>
    </row>
    <row r="988" spans="23:24" x14ac:dyDescent="0.25">
      <c r="W988" s="574">
        <f t="shared" si="34"/>
        <v>979</v>
      </c>
      <c r="X988" s="564">
        <v>31</v>
      </c>
    </row>
    <row r="989" spans="23:24" x14ac:dyDescent="0.25">
      <c r="W989" s="574">
        <f t="shared" si="34"/>
        <v>980</v>
      </c>
      <c r="X989" s="564">
        <v>31</v>
      </c>
    </row>
    <row r="990" spans="23:24" x14ac:dyDescent="0.25">
      <c r="W990" s="574">
        <f t="shared" si="34"/>
        <v>981</v>
      </c>
      <c r="X990" s="564">
        <v>31</v>
      </c>
    </row>
    <row r="991" spans="23:24" x14ac:dyDescent="0.25">
      <c r="W991" s="574">
        <f t="shared" si="34"/>
        <v>982</v>
      </c>
      <c r="X991" s="564">
        <v>31</v>
      </c>
    </row>
    <row r="992" spans="23:24" x14ac:dyDescent="0.25">
      <c r="W992" s="574">
        <f t="shared" si="34"/>
        <v>983</v>
      </c>
      <c r="X992" s="564">
        <v>31</v>
      </c>
    </row>
    <row r="993" spans="23:24" x14ac:dyDescent="0.25">
      <c r="W993" s="574">
        <f t="shared" si="34"/>
        <v>984</v>
      </c>
      <c r="X993" s="564">
        <v>31</v>
      </c>
    </row>
    <row r="994" spans="23:24" x14ac:dyDescent="0.25">
      <c r="W994" s="574">
        <f t="shared" si="34"/>
        <v>985</v>
      </c>
      <c r="X994" s="564">
        <v>31</v>
      </c>
    </row>
    <row r="995" spans="23:24" x14ac:dyDescent="0.25">
      <c r="W995" s="574">
        <f t="shared" si="34"/>
        <v>986</v>
      </c>
      <c r="X995" s="564">
        <v>31</v>
      </c>
    </row>
    <row r="996" spans="23:24" x14ac:dyDescent="0.25">
      <c r="W996" s="574">
        <f t="shared" si="34"/>
        <v>987</v>
      </c>
      <c r="X996" s="564">
        <v>31</v>
      </c>
    </row>
    <row r="997" spans="23:24" x14ac:dyDescent="0.25">
      <c r="W997" s="574">
        <f t="shared" si="34"/>
        <v>988</v>
      </c>
      <c r="X997" s="564">
        <v>31</v>
      </c>
    </row>
    <row r="998" spans="23:24" x14ac:dyDescent="0.25">
      <c r="W998" s="574">
        <f t="shared" si="34"/>
        <v>989</v>
      </c>
      <c r="X998" s="564">
        <v>31</v>
      </c>
    </row>
    <row r="999" spans="23:24" x14ac:dyDescent="0.25">
      <c r="W999" s="574">
        <f t="shared" si="34"/>
        <v>990</v>
      </c>
      <c r="X999" s="564">
        <v>31</v>
      </c>
    </row>
    <row r="1000" spans="23:24" x14ac:dyDescent="0.25">
      <c r="W1000" s="574">
        <f t="shared" si="34"/>
        <v>991</v>
      </c>
      <c r="X1000" s="564">
        <v>31</v>
      </c>
    </row>
    <row r="1001" spans="23:24" x14ac:dyDescent="0.25">
      <c r="W1001" s="574">
        <f t="shared" si="34"/>
        <v>992</v>
      </c>
      <c r="X1001" s="564">
        <v>31</v>
      </c>
    </row>
    <row r="1002" spans="23:24" x14ac:dyDescent="0.25">
      <c r="W1002" s="574">
        <f t="shared" si="34"/>
        <v>993</v>
      </c>
      <c r="X1002" s="564">
        <v>31</v>
      </c>
    </row>
    <row r="1003" spans="23:24" x14ac:dyDescent="0.25">
      <c r="W1003" s="574">
        <f t="shared" si="34"/>
        <v>994</v>
      </c>
      <c r="X1003" s="564">
        <v>31</v>
      </c>
    </row>
    <row r="1004" spans="23:24" x14ac:dyDescent="0.25">
      <c r="W1004" s="574">
        <f t="shared" si="34"/>
        <v>995</v>
      </c>
      <c r="X1004" s="564">
        <v>31</v>
      </c>
    </row>
    <row r="1005" spans="23:24" x14ac:dyDescent="0.25">
      <c r="W1005" s="574">
        <f t="shared" si="34"/>
        <v>996</v>
      </c>
      <c r="X1005" s="564">
        <v>31</v>
      </c>
    </row>
    <row r="1006" spans="23:24" x14ac:dyDescent="0.25">
      <c r="W1006" s="574">
        <f t="shared" si="34"/>
        <v>997</v>
      </c>
      <c r="X1006" s="564">
        <v>31</v>
      </c>
    </row>
    <row r="1007" spans="23:24" x14ac:dyDescent="0.25">
      <c r="W1007" s="574">
        <f t="shared" si="34"/>
        <v>998</v>
      </c>
      <c r="X1007" s="564">
        <v>31</v>
      </c>
    </row>
    <row r="1008" spans="23:24" x14ac:dyDescent="0.25">
      <c r="W1008" s="574">
        <f t="shared" si="34"/>
        <v>999</v>
      </c>
      <c r="X1008" s="564">
        <v>31</v>
      </c>
    </row>
    <row r="1009" spans="23:24" x14ac:dyDescent="0.25">
      <c r="W1009" s="574">
        <f t="shared" si="34"/>
        <v>1000</v>
      </c>
      <c r="X1009" s="564">
        <v>32</v>
      </c>
    </row>
    <row r="1010" spans="23:24" x14ac:dyDescent="0.25">
      <c r="W1010" s="574">
        <f t="shared" si="34"/>
        <v>1001</v>
      </c>
      <c r="X1010" s="564">
        <v>32</v>
      </c>
    </row>
    <row r="1011" spans="23:24" x14ac:dyDescent="0.25">
      <c r="W1011" s="574">
        <f t="shared" si="34"/>
        <v>1002</v>
      </c>
      <c r="X1011" s="564">
        <v>32</v>
      </c>
    </row>
    <row r="1012" spans="23:24" x14ac:dyDescent="0.25">
      <c r="W1012" s="574">
        <f t="shared" si="34"/>
        <v>1003</v>
      </c>
      <c r="X1012" s="564">
        <v>32</v>
      </c>
    </row>
    <row r="1013" spans="23:24" x14ac:dyDescent="0.25">
      <c r="W1013" s="574">
        <f t="shared" si="34"/>
        <v>1004</v>
      </c>
      <c r="X1013" s="564">
        <v>32</v>
      </c>
    </row>
    <row r="1014" spans="23:24" x14ac:dyDescent="0.25">
      <c r="W1014" s="574">
        <f t="shared" si="34"/>
        <v>1005</v>
      </c>
      <c r="X1014" s="564">
        <v>32</v>
      </c>
    </row>
    <row r="1015" spans="23:24" x14ac:dyDescent="0.25">
      <c r="W1015" s="574">
        <f t="shared" si="34"/>
        <v>1006</v>
      </c>
      <c r="X1015" s="564">
        <v>32</v>
      </c>
    </row>
    <row r="1016" spans="23:24" x14ac:dyDescent="0.25">
      <c r="W1016" s="574">
        <f t="shared" si="34"/>
        <v>1007</v>
      </c>
      <c r="X1016" s="564">
        <v>32</v>
      </c>
    </row>
    <row r="1017" spans="23:24" x14ac:dyDescent="0.25">
      <c r="W1017" s="574">
        <f t="shared" si="34"/>
        <v>1008</v>
      </c>
      <c r="X1017" s="564">
        <v>32</v>
      </c>
    </row>
    <row r="1018" spans="23:24" x14ac:dyDescent="0.25">
      <c r="W1018" s="574">
        <f t="shared" si="34"/>
        <v>1009</v>
      </c>
      <c r="X1018" s="564">
        <v>32</v>
      </c>
    </row>
    <row r="1019" spans="23:24" x14ac:dyDescent="0.25">
      <c r="W1019" s="574">
        <f t="shared" si="34"/>
        <v>1010</v>
      </c>
      <c r="X1019" s="564">
        <v>32</v>
      </c>
    </row>
    <row r="1020" spans="23:24" x14ac:dyDescent="0.25">
      <c r="W1020" s="574">
        <f t="shared" si="34"/>
        <v>1011</v>
      </c>
      <c r="X1020" s="564">
        <v>32</v>
      </c>
    </row>
    <row r="1021" spans="23:24" x14ac:dyDescent="0.25">
      <c r="W1021" s="574">
        <f t="shared" si="34"/>
        <v>1012</v>
      </c>
      <c r="X1021" s="564">
        <v>32</v>
      </c>
    </row>
    <row r="1022" spans="23:24" x14ac:dyDescent="0.25">
      <c r="W1022" s="574">
        <f t="shared" si="34"/>
        <v>1013</v>
      </c>
      <c r="X1022" s="564">
        <v>32</v>
      </c>
    </row>
    <row r="1023" spans="23:24" x14ac:dyDescent="0.25">
      <c r="W1023" s="574">
        <f t="shared" si="34"/>
        <v>1014</v>
      </c>
      <c r="X1023" s="564">
        <v>32</v>
      </c>
    </row>
    <row r="1024" spans="23:24" x14ac:dyDescent="0.25">
      <c r="W1024" s="574">
        <f t="shared" si="34"/>
        <v>1015</v>
      </c>
      <c r="X1024" s="564">
        <v>32</v>
      </c>
    </row>
    <row r="1025" spans="23:24" x14ac:dyDescent="0.25">
      <c r="W1025" s="574">
        <f t="shared" si="34"/>
        <v>1016</v>
      </c>
      <c r="X1025" s="564">
        <v>32</v>
      </c>
    </row>
    <row r="1026" spans="23:24" x14ac:dyDescent="0.25">
      <c r="W1026" s="574">
        <f t="shared" si="34"/>
        <v>1017</v>
      </c>
      <c r="X1026" s="564">
        <v>32</v>
      </c>
    </row>
    <row r="1027" spans="23:24" x14ac:dyDescent="0.25">
      <c r="W1027" s="574">
        <f t="shared" si="34"/>
        <v>1018</v>
      </c>
      <c r="X1027" s="564">
        <v>32</v>
      </c>
    </row>
    <row r="1028" spans="23:24" x14ac:dyDescent="0.25">
      <c r="W1028" s="574">
        <f t="shared" si="34"/>
        <v>1019</v>
      </c>
      <c r="X1028" s="564">
        <v>32</v>
      </c>
    </row>
    <row r="1029" spans="23:24" x14ac:dyDescent="0.25">
      <c r="W1029" s="574">
        <f t="shared" si="34"/>
        <v>1020</v>
      </c>
      <c r="X1029" s="564">
        <v>32</v>
      </c>
    </row>
    <row r="1030" spans="23:24" x14ac:dyDescent="0.25">
      <c r="W1030" s="574">
        <f t="shared" si="34"/>
        <v>1021</v>
      </c>
      <c r="X1030" s="564">
        <v>32</v>
      </c>
    </row>
    <row r="1031" spans="23:24" x14ac:dyDescent="0.25">
      <c r="W1031" s="574">
        <f t="shared" si="34"/>
        <v>1022</v>
      </c>
      <c r="X1031" s="564">
        <v>32</v>
      </c>
    </row>
    <row r="1032" spans="23:24" x14ac:dyDescent="0.25">
      <c r="W1032" s="574">
        <f t="shared" si="34"/>
        <v>1023</v>
      </c>
      <c r="X1032" s="564">
        <v>32</v>
      </c>
    </row>
    <row r="1033" spans="23:24" x14ac:dyDescent="0.25">
      <c r="W1033" s="574">
        <f t="shared" si="34"/>
        <v>1024</v>
      </c>
      <c r="X1033" s="564">
        <v>32</v>
      </c>
    </row>
    <row r="1034" spans="23:24" x14ac:dyDescent="0.25">
      <c r="W1034" s="574">
        <f t="shared" si="34"/>
        <v>1025</v>
      </c>
      <c r="X1034" s="564">
        <v>32</v>
      </c>
    </row>
    <row r="1035" spans="23:24" x14ac:dyDescent="0.25">
      <c r="W1035" s="574">
        <f t="shared" si="34"/>
        <v>1026</v>
      </c>
      <c r="X1035" s="564">
        <v>32</v>
      </c>
    </row>
    <row r="1036" spans="23:24" x14ac:dyDescent="0.25">
      <c r="W1036" s="574">
        <f t="shared" si="34"/>
        <v>1027</v>
      </c>
      <c r="X1036" s="564">
        <v>32</v>
      </c>
    </row>
    <row r="1037" spans="23:24" x14ac:dyDescent="0.25">
      <c r="W1037" s="574">
        <f t="shared" si="34"/>
        <v>1028</v>
      </c>
      <c r="X1037" s="564">
        <v>32</v>
      </c>
    </row>
    <row r="1038" spans="23:24" x14ac:dyDescent="0.25">
      <c r="W1038" s="574">
        <f t="shared" si="34"/>
        <v>1029</v>
      </c>
      <c r="X1038" s="564">
        <v>32</v>
      </c>
    </row>
    <row r="1039" spans="23:24" x14ac:dyDescent="0.25">
      <c r="W1039" s="574">
        <f t="shared" si="34"/>
        <v>1030</v>
      </c>
      <c r="X1039" s="564">
        <v>32</v>
      </c>
    </row>
    <row r="1040" spans="23:24" x14ac:dyDescent="0.25">
      <c r="W1040" s="574">
        <f t="shared" si="34"/>
        <v>1031</v>
      </c>
      <c r="X1040" s="564">
        <v>32</v>
      </c>
    </row>
    <row r="1041" spans="23:24" x14ac:dyDescent="0.25">
      <c r="W1041" s="574">
        <f t="shared" si="34"/>
        <v>1032</v>
      </c>
      <c r="X1041" s="564">
        <v>32</v>
      </c>
    </row>
    <row r="1042" spans="23:24" x14ac:dyDescent="0.25">
      <c r="W1042" s="574">
        <f t="shared" si="34"/>
        <v>1033</v>
      </c>
      <c r="X1042" s="564">
        <v>32</v>
      </c>
    </row>
    <row r="1043" spans="23:24" x14ac:dyDescent="0.25">
      <c r="W1043" s="574">
        <f t="shared" si="34"/>
        <v>1034</v>
      </c>
      <c r="X1043" s="564">
        <v>32</v>
      </c>
    </row>
    <row r="1044" spans="23:24" x14ac:dyDescent="0.25">
      <c r="W1044" s="574">
        <f t="shared" si="34"/>
        <v>1035</v>
      </c>
      <c r="X1044" s="564">
        <v>32</v>
      </c>
    </row>
    <row r="1045" spans="23:24" x14ac:dyDescent="0.25">
      <c r="W1045" s="574">
        <f t="shared" si="34"/>
        <v>1036</v>
      </c>
      <c r="X1045" s="564">
        <v>32</v>
      </c>
    </row>
    <row r="1046" spans="23:24" x14ac:dyDescent="0.25">
      <c r="W1046" s="574">
        <f t="shared" si="34"/>
        <v>1037</v>
      </c>
      <c r="X1046" s="564">
        <v>32</v>
      </c>
    </row>
    <row r="1047" spans="23:24" x14ac:dyDescent="0.25">
      <c r="W1047" s="574">
        <f t="shared" si="34"/>
        <v>1038</v>
      </c>
      <c r="X1047" s="564">
        <v>32</v>
      </c>
    </row>
    <row r="1048" spans="23:24" x14ac:dyDescent="0.25">
      <c r="W1048" s="574">
        <f t="shared" si="34"/>
        <v>1039</v>
      </c>
      <c r="X1048" s="564">
        <v>32</v>
      </c>
    </row>
    <row r="1049" spans="23:24" x14ac:dyDescent="0.25">
      <c r="W1049" s="574">
        <f t="shared" si="34"/>
        <v>1040</v>
      </c>
      <c r="X1049" s="564">
        <v>32</v>
      </c>
    </row>
    <row r="1050" spans="23:24" x14ac:dyDescent="0.25">
      <c r="W1050" s="574">
        <f t="shared" ref="W1050:W1113" si="35">W1049+1</f>
        <v>1041</v>
      </c>
      <c r="X1050" s="564">
        <v>32</v>
      </c>
    </row>
    <row r="1051" spans="23:24" x14ac:dyDescent="0.25">
      <c r="W1051" s="574">
        <f t="shared" si="35"/>
        <v>1042</v>
      </c>
      <c r="X1051" s="564">
        <v>32</v>
      </c>
    </row>
    <row r="1052" spans="23:24" x14ac:dyDescent="0.25">
      <c r="W1052" s="574">
        <f t="shared" si="35"/>
        <v>1043</v>
      </c>
      <c r="X1052" s="564">
        <v>32</v>
      </c>
    </row>
    <row r="1053" spans="23:24" x14ac:dyDescent="0.25">
      <c r="W1053" s="574">
        <f t="shared" si="35"/>
        <v>1044</v>
      </c>
      <c r="X1053" s="564">
        <v>32</v>
      </c>
    </row>
    <row r="1054" spans="23:24" x14ac:dyDescent="0.25">
      <c r="W1054" s="574">
        <f t="shared" si="35"/>
        <v>1045</v>
      </c>
      <c r="X1054" s="564">
        <v>32</v>
      </c>
    </row>
    <row r="1055" spans="23:24" x14ac:dyDescent="0.25">
      <c r="W1055" s="574">
        <f t="shared" si="35"/>
        <v>1046</v>
      </c>
      <c r="X1055" s="564">
        <v>32</v>
      </c>
    </row>
    <row r="1056" spans="23:24" x14ac:dyDescent="0.25">
      <c r="W1056" s="574">
        <f t="shared" si="35"/>
        <v>1047</v>
      </c>
      <c r="X1056" s="564">
        <v>32</v>
      </c>
    </row>
    <row r="1057" spans="23:24" x14ac:dyDescent="0.25">
      <c r="W1057" s="574">
        <f t="shared" si="35"/>
        <v>1048</v>
      </c>
      <c r="X1057" s="564">
        <v>32</v>
      </c>
    </row>
    <row r="1058" spans="23:24" x14ac:dyDescent="0.25">
      <c r="W1058" s="574">
        <f t="shared" si="35"/>
        <v>1049</v>
      </c>
      <c r="X1058" s="564">
        <v>32</v>
      </c>
    </row>
    <row r="1059" spans="23:24" x14ac:dyDescent="0.25">
      <c r="W1059" s="574">
        <f t="shared" si="35"/>
        <v>1050</v>
      </c>
      <c r="X1059" s="564">
        <v>32</v>
      </c>
    </row>
    <row r="1060" spans="23:24" x14ac:dyDescent="0.25">
      <c r="W1060" s="574">
        <f t="shared" si="35"/>
        <v>1051</v>
      </c>
      <c r="X1060" s="564">
        <v>32</v>
      </c>
    </row>
    <row r="1061" spans="23:24" x14ac:dyDescent="0.25">
      <c r="W1061" s="574">
        <f t="shared" si="35"/>
        <v>1052</v>
      </c>
      <c r="X1061" s="564">
        <v>32</v>
      </c>
    </row>
    <row r="1062" spans="23:24" x14ac:dyDescent="0.25">
      <c r="W1062" s="574">
        <f t="shared" si="35"/>
        <v>1053</v>
      </c>
      <c r="X1062" s="564">
        <v>32</v>
      </c>
    </row>
    <row r="1063" spans="23:24" x14ac:dyDescent="0.25">
      <c r="W1063" s="574">
        <f t="shared" si="35"/>
        <v>1054</v>
      </c>
      <c r="X1063" s="564">
        <v>32</v>
      </c>
    </row>
    <row r="1064" spans="23:24" x14ac:dyDescent="0.25">
      <c r="W1064" s="574">
        <f t="shared" si="35"/>
        <v>1055</v>
      </c>
      <c r="X1064" s="564">
        <v>32</v>
      </c>
    </row>
    <row r="1065" spans="23:24" x14ac:dyDescent="0.25">
      <c r="W1065" s="574">
        <f t="shared" si="35"/>
        <v>1056</v>
      </c>
      <c r="X1065" s="564">
        <v>32</v>
      </c>
    </row>
    <row r="1066" spans="23:24" x14ac:dyDescent="0.25">
      <c r="W1066" s="574">
        <f t="shared" si="35"/>
        <v>1057</v>
      </c>
      <c r="X1066" s="564">
        <v>32</v>
      </c>
    </row>
    <row r="1067" spans="23:24" x14ac:dyDescent="0.25">
      <c r="W1067" s="574">
        <f t="shared" si="35"/>
        <v>1058</v>
      </c>
      <c r="X1067" s="564">
        <v>32</v>
      </c>
    </row>
    <row r="1068" spans="23:24" x14ac:dyDescent="0.25">
      <c r="W1068" s="574">
        <f t="shared" si="35"/>
        <v>1059</v>
      </c>
      <c r="X1068" s="564">
        <v>32</v>
      </c>
    </row>
    <row r="1069" spans="23:24" x14ac:dyDescent="0.25">
      <c r="W1069" s="574">
        <f t="shared" si="35"/>
        <v>1060</v>
      </c>
      <c r="X1069" s="564">
        <v>32</v>
      </c>
    </row>
    <row r="1070" spans="23:24" x14ac:dyDescent="0.25">
      <c r="W1070" s="574">
        <f t="shared" si="35"/>
        <v>1061</v>
      </c>
      <c r="X1070" s="564">
        <v>32</v>
      </c>
    </row>
    <row r="1071" spans="23:24" x14ac:dyDescent="0.25">
      <c r="W1071" s="574">
        <f t="shared" si="35"/>
        <v>1062</v>
      </c>
      <c r="X1071" s="564">
        <v>32</v>
      </c>
    </row>
    <row r="1072" spans="23:24" x14ac:dyDescent="0.25">
      <c r="W1072" s="574">
        <f t="shared" si="35"/>
        <v>1063</v>
      </c>
      <c r="X1072" s="564">
        <v>32</v>
      </c>
    </row>
    <row r="1073" spans="23:24" x14ac:dyDescent="0.25">
      <c r="W1073" s="574">
        <f t="shared" si="35"/>
        <v>1064</v>
      </c>
      <c r="X1073" s="564">
        <v>32</v>
      </c>
    </row>
    <row r="1074" spans="23:24" x14ac:dyDescent="0.25">
      <c r="W1074" s="574">
        <f t="shared" si="35"/>
        <v>1065</v>
      </c>
      <c r="X1074" s="564">
        <v>32</v>
      </c>
    </row>
    <row r="1075" spans="23:24" x14ac:dyDescent="0.25">
      <c r="W1075" s="574">
        <f t="shared" si="35"/>
        <v>1066</v>
      </c>
      <c r="X1075" s="564">
        <v>32</v>
      </c>
    </row>
    <row r="1076" spans="23:24" x14ac:dyDescent="0.25">
      <c r="W1076" s="574">
        <f t="shared" si="35"/>
        <v>1067</v>
      </c>
      <c r="X1076" s="564">
        <v>32</v>
      </c>
    </row>
    <row r="1077" spans="23:24" x14ac:dyDescent="0.25">
      <c r="W1077" s="574">
        <f t="shared" si="35"/>
        <v>1068</v>
      </c>
      <c r="X1077" s="564">
        <v>32</v>
      </c>
    </row>
    <row r="1078" spans="23:24" x14ac:dyDescent="0.25">
      <c r="W1078" s="574">
        <f t="shared" si="35"/>
        <v>1069</v>
      </c>
      <c r="X1078" s="564">
        <v>32</v>
      </c>
    </row>
    <row r="1079" spans="23:24" x14ac:dyDescent="0.25">
      <c r="W1079" s="574">
        <f t="shared" si="35"/>
        <v>1070</v>
      </c>
      <c r="X1079" s="564">
        <v>32</v>
      </c>
    </row>
    <row r="1080" spans="23:24" x14ac:dyDescent="0.25">
      <c r="W1080" s="574">
        <f t="shared" si="35"/>
        <v>1071</v>
      </c>
      <c r="X1080" s="564">
        <v>32</v>
      </c>
    </row>
    <row r="1081" spans="23:24" x14ac:dyDescent="0.25">
      <c r="W1081" s="574">
        <f t="shared" si="35"/>
        <v>1072</v>
      </c>
      <c r="X1081" s="564">
        <v>32</v>
      </c>
    </row>
    <row r="1082" spans="23:24" x14ac:dyDescent="0.25">
      <c r="W1082" s="574">
        <f t="shared" si="35"/>
        <v>1073</v>
      </c>
      <c r="X1082" s="564">
        <v>32</v>
      </c>
    </row>
    <row r="1083" spans="23:24" x14ac:dyDescent="0.25">
      <c r="W1083" s="574">
        <f t="shared" si="35"/>
        <v>1074</v>
      </c>
      <c r="X1083" s="564">
        <v>32</v>
      </c>
    </row>
    <row r="1084" spans="23:24" x14ac:dyDescent="0.25">
      <c r="W1084" s="574">
        <f t="shared" si="35"/>
        <v>1075</v>
      </c>
      <c r="X1084" s="564">
        <v>32</v>
      </c>
    </row>
    <row r="1085" spans="23:24" x14ac:dyDescent="0.25">
      <c r="W1085" s="574">
        <f t="shared" si="35"/>
        <v>1076</v>
      </c>
      <c r="X1085" s="564">
        <v>32</v>
      </c>
    </row>
    <row r="1086" spans="23:24" x14ac:dyDescent="0.25">
      <c r="W1086" s="574">
        <f t="shared" si="35"/>
        <v>1077</v>
      </c>
      <c r="X1086" s="564">
        <v>32</v>
      </c>
    </row>
    <row r="1087" spans="23:24" x14ac:dyDescent="0.25">
      <c r="W1087" s="574">
        <f t="shared" si="35"/>
        <v>1078</v>
      </c>
      <c r="X1087" s="564">
        <v>32</v>
      </c>
    </row>
    <row r="1088" spans="23:24" x14ac:dyDescent="0.25">
      <c r="W1088" s="574">
        <f t="shared" si="35"/>
        <v>1079</v>
      </c>
      <c r="X1088" s="564">
        <v>32</v>
      </c>
    </row>
    <row r="1089" spans="23:24" x14ac:dyDescent="0.25">
      <c r="W1089" s="574">
        <f t="shared" si="35"/>
        <v>1080</v>
      </c>
      <c r="X1089" s="564">
        <v>32</v>
      </c>
    </row>
    <row r="1090" spans="23:24" x14ac:dyDescent="0.25">
      <c r="W1090" s="574">
        <f t="shared" si="35"/>
        <v>1081</v>
      </c>
      <c r="X1090" s="564">
        <v>32</v>
      </c>
    </row>
    <row r="1091" spans="23:24" x14ac:dyDescent="0.25">
      <c r="W1091" s="574">
        <f t="shared" si="35"/>
        <v>1082</v>
      </c>
      <c r="X1091" s="564">
        <v>32</v>
      </c>
    </row>
    <row r="1092" spans="23:24" x14ac:dyDescent="0.25">
      <c r="W1092" s="574">
        <f t="shared" si="35"/>
        <v>1083</v>
      </c>
      <c r="X1092" s="564">
        <v>32</v>
      </c>
    </row>
    <row r="1093" spans="23:24" x14ac:dyDescent="0.25">
      <c r="W1093" s="574">
        <f t="shared" si="35"/>
        <v>1084</v>
      </c>
      <c r="X1093" s="564">
        <v>32</v>
      </c>
    </row>
    <row r="1094" spans="23:24" x14ac:dyDescent="0.25">
      <c r="W1094" s="574">
        <f t="shared" si="35"/>
        <v>1085</v>
      </c>
      <c r="X1094" s="564">
        <v>32</v>
      </c>
    </row>
    <row r="1095" spans="23:24" x14ac:dyDescent="0.25">
      <c r="W1095" s="574">
        <f t="shared" si="35"/>
        <v>1086</v>
      </c>
      <c r="X1095" s="564">
        <v>32</v>
      </c>
    </row>
    <row r="1096" spans="23:24" x14ac:dyDescent="0.25">
      <c r="W1096" s="574">
        <f t="shared" si="35"/>
        <v>1087</v>
      </c>
      <c r="X1096" s="564">
        <v>32</v>
      </c>
    </row>
    <row r="1097" spans="23:24" x14ac:dyDescent="0.25">
      <c r="W1097" s="574">
        <f t="shared" si="35"/>
        <v>1088</v>
      </c>
      <c r="X1097" s="564">
        <v>32</v>
      </c>
    </row>
    <row r="1098" spans="23:24" x14ac:dyDescent="0.25">
      <c r="W1098" s="574">
        <f t="shared" si="35"/>
        <v>1089</v>
      </c>
      <c r="X1098" s="564">
        <v>32</v>
      </c>
    </row>
    <row r="1099" spans="23:24" x14ac:dyDescent="0.25">
      <c r="W1099" s="574">
        <f t="shared" si="35"/>
        <v>1090</v>
      </c>
      <c r="X1099" s="564">
        <v>32</v>
      </c>
    </row>
    <row r="1100" spans="23:24" x14ac:dyDescent="0.25">
      <c r="W1100" s="574">
        <f t="shared" si="35"/>
        <v>1091</v>
      </c>
      <c r="X1100" s="564">
        <v>32</v>
      </c>
    </row>
    <row r="1101" spans="23:24" x14ac:dyDescent="0.25">
      <c r="W1101" s="574">
        <f t="shared" si="35"/>
        <v>1092</v>
      </c>
      <c r="X1101" s="564">
        <v>32</v>
      </c>
    </row>
    <row r="1102" spans="23:24" x14ac:dyDescent="0.25">
      <c r="W1102" s="574">
        <f t="shared" si="35"/>
        <v>1093</v>
      </c>
      <c r="X1102" s="564">
        <v>32</v>
      </c>
    </row>
    <row r="1103" spans="23:24" x14ac:dyDescent="0.25">
      <c r="W1103" s="574">
        <f t="shared" si="35"/>
        <v>1094</v>
      </c>
      <c r="X1103" s="564">
        <v>32</v>
      </c>
    </row>
    <row r="1104" spans="23:24" x14ac:dyDescent="0.25">
      <c r="W1104" s="574">
        <f t="shared" si="35"/>
        <v>1095</v>
      </c>
      <c r="X1104" s="564">
        <v>32</v>
      </c>
    </row>
    <row r="1105" spans="23:24" x14ac:dyDescent="0.25">
      <c r="W1105" s="574">
        <f t="shared" si="35"/>
        <v>1096</v>
      </c>
      <c r="X1105" s="564">
        <v>32</v>
      </c>
    </row>
    <row r="1106" spans="23:24" x14ac:dyDescent="0.25">
      <c r="W1106" s="574">
        <f t="shared" si="35"/>
        <v>1097</v>
      </c>
      <c r="X1106" s="564">
        <v>32</v>
      </c>
    </row>
    <row r="1107" spans="23:24" x14ac:dyDescent="0.25">
      <c r="W1107" s="574">
        <f t="shared" si="35"/>
        <v>1098</v>
      </c>
      <c r="X1107" s="564">
        <v>32</v>
      </c>
    </row>
    <row r="1108" spans="23:24" x14ac:dyDescent="0.25">
      <c r="W1108" s="574">
        <f t="shared" si="35"/>
        <v>1099</v>
      </c>
      <c r="X1108" s="564">
        <v>32</v>
      </c>
    </row>
    <row r="1109" spans="23:24" x14ac:dyDescent="0.25">
      <c r="W1109" s="574">
        <f t="shared" si="35"/>
        <v>1100</v>
      </c>
      <c r="X1109" s="564">
        <v>32</v>
      </c>
    </row>
    <row r="1110" spans="23:24" x14ac:dyDescent="0.25">
      <c r="W1110" s="574">
        <f t="shared" si="35"/>
        <v>1101</v>
      </c>
      <c r="X1110" s="564">
        <v>32</v>
      </c>
    </row>
    <row r="1111" spans="23:24" x14ac:dyDescent="0.25">
      <c r="W1111" s="574">
        <f t="shared" si="35"/>
        <v>1102</v>
      </c>
      <c r="X1111" s="564">
        <v>32</v>
      </c>
    </row>
    <row r="1112" spans="23:24" x14ac:dyDescent="0.25">
      <c r="W1112" s="574">
        <f t="shared" si="35"/>
        <v>1103</v>
      </c>
      <c r="X1112" s="564">
        <v>32</v>
      </c>
    </row>
    <row r="1113" spans="23:24" x14ac:dyDescent="0.25">
      <c r="W1113" s="574">
        <f t="shared" si="35"/>
        <v>1104</v>
      </c>
      <c r="X1113" s="564">
        <v>32</v>
      </c>
    </row>
    <row r="1114" spans="23:24" x14ac:dyDescent="0.25">
      <c r="W1114" s="574">
        <f t="shared" ref="W1114:W1177" si="36">W1113+1</f>
        <v>1105</v>
      </c>
      <c r="X1114" s="564">
        <v>32</v>
      </c>
    </row>
    <row r="1115" spans="23:24" x14ac:dyDescent="0.25">
      <c r="W1115" s="574">
        <f t="shared" si="36"/>
        <v>1106</v>
      </c>
      <c r="X1115" s="564">
        <v>32</v>
      </c>
    </row>
    <row r="1116" spans="23:24" x14ac:dyDescent="0.25">
      <c r="W1116" s="574">
        <f t="shared" si="36"/>
        <v>1107</v>
      </c>
      <c r="X1116" s="564">
        <v>32</v>
      </c>
    </row>
    <row r="1117" spans="23:24" x14ac:dyDescent="0.25">
      <c r="W1117" s="574">
        <f t="shared" si="36"/>
        <v>1108</v>
      </c>
      <c r="X1117" s="564">
        <v>32</v>
      </c>
    </row>
    <row r="1118" spans="23:24" x14ac:dyDescent="0.25">
      <c r="W1118" s="574">
        <f t="shared" si="36"/>
        <v>1109</v>
      </c>
      <c r="X1118" s="564">
        <v>32</v>
      </c>
    </row>
    <row r="1119" spans="23:24" x14ac:dyDescent="0.25">
      <c r="W1119" s="574">
        <f t="shared" si="36"/>
        <v>1110</v>
      </c>
      <c r="X1119" s="564">
        <v>32</v>
      </c>
    </row>
    <row r="1120" spans="23:24" x14ac:dyDescent="0.25">
      <c r="W1120" s="574">
        <f t="shared" si="36"/>
        <v>1111</v>
      </c>
      <c r="X1120" s="564">
        <v>32</v>
      </c>
    </row>
    <row r="1121" spans="23:24" x14ac:dyDescent="0.25">
      <c r="W1121" s="574">
        <f t="shared" si="36"/>
        <v>1112</v>
      </c>
      <c r="X1121" s="564">
        <v>32</v>
      </c>
    </row>
    <row r="1122" spans="23:24" x14ac:dyDescent="0.25">
      <c r="W1122" s="574">
        <f t="shared" si="36"/>
        <v>1113</v>
      </c>
      <c r="X1122" s="564">
        <v>32</v>
      </c>
    </row>
    <row r="1123" spans="23:24" x14ac:dyDescent="0.25">
      <c r="W1123" s="574">
        <f t="shared" si="36"/>
        <v>1114</v>
      </c>
      <c r="X1123" s="564">
        <v>32</v>
      </c>
    </row>
    <row r="1124" spans="23:24" x14ac:dyDescent="0.25">
      <c r="W1124" s="574">
        <f t="shared" si="36"/>
        <v>1115</v>
      </c>
      <c r="X1124" s="564">
        <v>32</v>
      </c>
    </row>
    <row r="1125" spans="23:24" x14ac:dyDescent="0.25">
      <c r="W1125" s="574">
        <f t="shared" si="36"/>
        <v>1116</v>
      </c>
      <c r="X1125" s="564">
        <v>32</v>
      </c>
    </row>
    <row r="1126" spans="23:24" x14ac:dyDescent="0.25">
      <c r="W1126" s="574">
        <f t="shared" si="36"/>
        <v>1117</v>
      </c>
      <c r="X1126" s="564">
        <v>32</v>
      </c>
    </row>
    <row r="1127" spans="23:24" x14ac:dyDescent="0.25">
      <c r="W1127" s="574">
        <f t="shared" si="36"/>
        <v>1118</v>
      </c>
      <c r="X1127" s="564">
        <v>32</v>
      </c>
    </row>
    <row r="1128" spans="23:24" x14ac:dyDescent="0.25">
      <c r="W1128" s="574">
        <f t="shared" si="36"/>
        <v>1119</v>
      </c>
      <c r="X1128" s="564">
        <v>32</v>
      </c>
    </row>
    <row r="1129" spans="23:24" x14ac:dyDescent="0.25">
      <c r="W1129" s="574">
        <f t="shared" si="36"/>
        <v>1120</v>
      </c>
      <c r="X1129" s="564">
        <v>32</v>
      </c>
    </row>
    <row r="1130" spans="23:24" x14ac:dyDescent="0.25">
      <c r="W1130" s="574">
        <f t="shared" si="36"/>
        <v>1121</v>
      </c>
      <c r="X1130" s="564">
        <v>32</v>
      </c>
    </row>
    <row r="1131" spans="23:24" x14ac:dyDescent="0.25">
      <c r="W1131" s="574">
        <f t="shared" si="36"/>
        <v>1122</v>
      </c>
      <c r="X1131" s="564">
        <v>32</v>
      </c>
    </row>
    <row r="1132" spans="23:24" x14ac:dyDescent="0.25">
      <c r="W1132" s="574">
        <f t="shared" si="36"/>
        <v>1123</v>
      </c>
      <c r="X1132" s="564">
        <v>32</v>
      </c>
    </row>
    <row r="1133" spans="23:24" x14ac:dyDescent="0.25">
      <c r="W1133" s="574">
        <f t="shared" si="36"/>
        <v>1124</v>
      </c>
      <c r="X1133" s="564">
        <v>32</v>
      </c>
    </row>
    <row r="1134" spans="23:24" x14ac:dyDescent="0.25">
      <c r="W1134" s="574">
        <f t="shared" si="36"/>
        <v>1125</v>
      </c>
      <c r="X1134" s="564">
        <v>32</v>
      </c>
    </row>
    <row r="1135" spans="23:24" x14ac:dyDescent="0.25">
      <c r="W1135" s="574">
        <f t="shared" si="36"/>
        <v>1126</v>
      </c>
      <c r="X1135" s="564">
        <v>32</v>
      </c>
    </row>
    <row r="1136" spans="23:24" x14ac:dyDescent="0.25">
      <c r="W1136" s="574">
        <f t="shared" si="36"/>
        <v>1127</v>
      </c>
      <c r="X1136" s="564">
        <v>32</v>
      </c>
    </row>
    <row r="1137" spans="23:24" x14ac:dyDescent="0.25">
      <c r="W1137" s="574">
        <f t="shared" si="36"/>
        <v>1128</v>
      </c>
      <c r="X1137" s="564">
        <v>32</v>
      </c>
    </row>
    <row r="1138" spans="23:24" x14ac:dyDescent="0.25">
      <c r="W1138" s="574">
        <f t="shared" si="36"/>
        <v>1129</v>
      </c>
      <c r="X1138" s="564">
        <v>32</v>
      </c>
    </row>
    <row r="1139" spans="23:24" x14ac:dyDescent="0.25">
      <c r="W1139" s="574">
        <f t="shared" si="36"/>
        <v>1130</v>
      </c>
      <c r="X1139" s="564">
        <v>32</v>
      </c>
    </row>
    <row r="1140" spans="23:24" x14ac:dyDescent="0.25">
      <c r="W1140" s="574">
        <f t="shared" si="36"/>
        <v>1131</v>
      </c>
      <c r="X1140" s="564">
        <v>32</v>
      </c>
    </row>
    <row r="1141" spans="23:24" x14ac:dyDescent="0.25">
      <c r="W1141" s="574">
        <f t="shared" si="36"/>
        <v>1132</v>
      </c>
      <c r="X1141" s="564">
        <v>32</v>
      </c>
    </row>
    <row r="1142" spans="23:24" x14ac:dyDescent="0.25">
      <c r="W1142" s="574">
        <f t="shared" si="36"/>
        <v>1133</v>
      </c>
      <c r="X1142" s="564">
        <v>32</v>
      </c>
    </row>
    <row r="1143" spans="23:24" x14ac:dyDescent="0.25">
      <c r="W1143" s="574">
        <f t="shared" si="36"/>
        <v>1134</v>
      </c>
      <c r="X1143" s="564">
        <v>32</v>
      </c>
    </row>
    <row r="1144" spans="23:24" x14ac:dyDescent="0.25">
      <c r="W1144" s="574">
        <f t="shared" si="36"/>
        <v>1135</v>
      </c>
      <c r="X1144" s="564">
        <v>32</v>
      </c>
    </row>
    <row r="1145" spans="23:24" x14ac:dyDescent="0.25">
      <c r="W1145" s="574">
        <f t="shared" si="36"/>
        <v>1136</v>
      </c>
      <c r="X1145" s="564">
        <v>32</v>
      </c>
    </row>
    <row r="1146" spans="23:24" x14ac:dyDescent="0.25">
      <c r="W1146" s="574">
        <f t="shared" si="36"/>
        <v>1137</v>
      </c>
      <c r="X1146" s="564">
        <v>32</v>
      </c>
    </row>
    <row r="1147" spans="23:24" x14ac:dyDescent="0.25">
      <c r="W1147" s="574">
        <f t="shared" si="36"/>
        <v>1138</v>
      </c>
      <c r="X1147" s="564">
        <v>32</v>
      </c>
    </row>
    <row r="1148" spans="23:24" x14ac:dyDescent="0.25">
      <c r="W1148" s="574">
        <f t="shared" si="36"/>
        <v>1139</v>
      </c>
      <c r="X1148" s="564">
        <v>32</v>
      </c>
    </row>
    <row r="1149" spans="23:24" x14ac:dyDescent="0.25">
      <c r="W1149" s="574">
        <f t="shared" si="36"/>
        <v>1140</v>
      </c>
      <c r="X1149" s="564">
        <v>32</v>
      </c>
    </row>
    <row r="1150" spans="23:24" x14ac:dyDescent="0.25">
      <c r="W1150" s="574">
        <f t="shared" si="36"/>
        <v>1141</v>
      </c>
      <c r="X1150" s="564">
        <v>32</v>
      </c>
    </row>
    <row r="1151" spans="23:24" x14ac:dyDescent="0.25">
      <c r="W1151" s="574">
        <f t="shared" si="36"/>
        <v>1142</v>
      </c>
      <c r="X1151" s="564">
        <v>32</v>
      </c>
    </row>
    <row r="1152" spans="23:24" x14ac:dyDescent="0.25">
      <c r="W1152" s="574">
        <f t="shared" si="36"/>
        <v>1143</v>
      </c>
      <c r="X1152" s="564">
        <v>32</v>
      </c>
    </row>
    <row r="1153" spans="23:24" x14ac:dyDescent="0.25">
      <c r="W1153" s="574">
        <f t="shared" si="36"/>
        <v>1144</v>
      </c>
      <c r="X1153" s="564">
        <v>32</v>
      </c>
    </row>
    <row r="1154" spans="23:24" x14ac:dyDescent="0.25">
      <c r="W1154" s="574">
        <f t="shared" si="36"/>
        <v>1145</v>
      </c>
      <c r="X1154" s="564">
        <v>32</v>
      </c>
    </row>
    <row r="1155" spans="23:24" x14ac:dyDescent="0.25">
      <c r="W1155" s="574">
        <f t="shared" si="36"/>
        <v>1146</v>
      </c>
      <c r="X1155" s="564">
        <v>32</v>
      </c>
    </row>
    <row r="1156" spans="23:24" x14ac:dyDescent="0.25">
      <c r="W1156" s="574">
        <f t="shared" si="36"/>
        <v>1147</v>
      </c>
      <c r="X1156" s="564">
        <v>32</v>
      </c>
    </row>
    <row r="1157" spans="23:24" x14ac:dyDescent="0.25">
      <c r="W1157" s="574">
        <f t="shared" si="36"/>
        <v>1148</v>
      </c>
      <c r="X1157" s="564">
        <v>32</v>
      </c>
    </row>
    <row r="1158" spans="23:24" x14ac:dyDescent="0.25">
      <c r="W1158" s="574">
        <f t="shared" si="36"/>
        <v>1149</v>
      </c>
      <c r="X1158" s="564">
        <v>32</v>
      </c>
    </row>
    <row r="1159" spans="23:24" x14ac:dyDescent="0.25">
      <c r="W1159" s="574">
        <f t="shared" si="36"/>
        <v>1150</v>
      </c>
      <c r="X1159" s="564">
        <v>32</v>
      </c>
    </row>
    <row r="1160" spans="23:24" x14ac:dyDescent="0.25">
      <c r="W1160" s="574">
        <f t="shared" si="36"/>
        <v>1151</v>
      </c>
      <c r="X1160" s="564">
        <v>32</v>
      </c>
    </row>
    <row r="1161" spans="23:24" x14ac:dyDescent="0.25">
      <c r="W1161" s="574">
        <f t="shared" si="36"/>
        <v>1152</v>
      </c>
      <c r="X1161" s="564">
        <v>32</v>
      </c>
    </row>
    <row r="1162" spans="23:24" x14ac:dyDescent="0.25">
      <c r="W1162" s="574">
        <f t="shared" si="36"/>
        <v>1153</v>
      </c>
      <c r="X1162" s="564">
        <v>32</v>
      </c>
    </row>
    <row r="1163" spans="23:24" x14ac:dyDescent="0.25">
      <c r="W1163" s="574">
        <f t="shared" si="36"/>
        <v>1154</v>
      </c>
      <c r="X1163" s="564">
        <v>32</v>
      </c>
    </row>
    <row r="1164" spans="23:24" x14ac:dyDescent="0.25">
      <c r="W1164" s="574">
        <f t="shared" si="36"/>
        <v>1155</v>
      </c>
      <c r="X1164" s="564">
        <v>32</v>
      </c>
    </row>
    <row r="1165" spans="23:24" x14ac:dyDescent="0.25">
      <c r="W1165" s="574">
        <f t="shared" si="36"/>
        <v>1156</v>
      </c>
      <c r="X1165" s="564">
        <v>32</v>
      </c>
    </row>
    <row r="1166" spans="23:24" x14ac:dyDescent="0.25">
      <c r="W1166" s="574">
        <f t="shared" si="36"/>
        <v>1157</v>
      </c>
      <c r="X1166" s="564">
        <v>32</v>
      </c>
    </row>
    <row r="1167" spans="23:24" x14ac:dyDescent="0.25">
      <c r="W1167" s="574">
        <f t="shared" si="36"/>
        <v>1158</v>
      </c>
      <c r="X1167" s="564">
        <v>32</v>
      </c>
    </row>
    <row r="1168" spans="23:24" x14ac:dyDescent="0.25">
      <c r="W1168" s="574">
        <f t="shared" si="36"/>
        <v>1159</v>
      </c>
      <c r="X1168" s="564">
        <v>32</v>
      </c>
    </row>
    <row r="1169" spans="23:24" x14ac:dyDescent="0.25">
      <c r="W1169" s="574">
        <f t="shared" si="36"/>
        <v>1160</v>
      </c>
      <c r="X1169" s="564">
        <v>32</v>
      </c>
    </row>
    <row r="1170" spans="23:24" x14ac:dyDescent="0.25">
      <c r="W1170" s="574">
        <f t="shared" si="36"/>
        <v>1161</v>
      </c>
      <c r="X1170" s="564">
        <v>32</v>
      </c>
    </row>
    <row r="1171" spans="23:24" x14ac:dyDescent="0.25">
      <c r="W1171" s="574">
        <f t="shared" si="36"/>
        <v>1162</v>
      </c>
      <c r="X1171" s="564">
        <v>32</v>
      </c>
    </row>
    <row r="1172" spans="23:24" x14ac:dyDescent="0.25">
      <c r="W1172" s="574">
        <f t="shared" si="36"/>
        <v>1163</v>
      </c>
      <c r="X1172" s="564">
        <v>32</v>
      </c>
    </row>
    <row r="1173" spans="23:24" x14ac:dyDescent="0.25">
      <c r="W1173" s="574">
        <f t="shared" si="36"/>
        <v>1164</v>
      </c>
      <c r="X1173" s="564">
        <v>32</v>
      </c>
    </row>
    <row r="1174" spans="23:24" x14ac:dyDescent="0.25">
      <c r="W1174" s="574">
        <f t="shared" si="36"/>
        <v>1165</v>
      </c>
      <c r="X1174" s="564">
        <v>32</v>
      </c>
    </row>
    <row r="1175" spans="23:24" x14ac:dyDescent="0.25">
      <c r="W1175" s="574">
        <f t="shared" si="36"/>
        <v>1166</v>
      </c>
      <c r="X1175" s="564">
        <v>32</v>
      </c>
    </row>
    <row r="1176" spans="23:24" x14ac:dyDescent="0.25">
      <c r="W1176" s="574">
        <f t="shared" si="36"/>
        <v>1167</v>
      </c>
      <c r="X1176" s="564">
        <v>32</v>
      </c>
    </row>
    <row r="1177" spans="23:24" x14ac:dyDescent="0.25">
      <c r="W1177" s="574">
        <f t="shared" si="36"/>
        <v>1168</v>
      </c>
      <c r="X1177" s="564">
        <v>32</v>
      </c>
    </row>
    <row r="1178" spans="23:24" x14ac:dyDescent="0.25">
      <c r="W1178" s="574">
        <f t="shared" ref="W1178:W1241" si="37">W1177+1</f>
        <v>1169</v>
      </c>
      <c r="X1178" s="564">
        <v>32</v>
      </c>
    </row>
    <row r="1179" spans="23:24" x14ac:dyDescent="0.25">
      <c r="W1179" s="574">
        <f t="shared" si="37"/>
        <v>1170</v>
      </c>
      <c r="X1179" s="564">
        <v>32</v>
      </c>
    </row>
    <row r="1180" spans="23:24" x14ac:dyDescent="0.25">
      <c r="W1180" s="574">
        <f t="shared" si="37"/>
        <v>1171</v>
      </c>
      <c r="X1180" s="564">
        <v>32</v>
      </c>
    </row>
    <row r="1181" spans="23:24" x14ac:dyDescent="0.25">
      <c r="W1181" s="574">
        <f t="shared" si="37"/>
        <v>1172</v>
      </c>
      <c r="X1181" s="564">
        <v>32</v>
      </c>
    </row>
    <row r="1182" spans="23:24" x14ac:dyDescent="0.25">
      <c r="W1182" s="574">
        <f t="shared" si="37"/>
        <v>1173</v>
      </c>
      <c r="X1182" s="564">
        <v>32</v>
      </c>
    </row>
    <row r="1183" spans="23:24" x14ac:dyDescent="0.25">
      <c r="W1183" s="574">
        <f t="shared" si="37"/>
        <v>1174</v>
      </c>
      <c r="X1183" s="564">
        <v>32</v>
      </c>
    </row>
    <row r="1184" spans="23:24" x14ac:dyDescent="0.25">
      <c r="W1184" s="574">
        <f t="shared" si="37"/>
        <v>1175</v>
      </c>
      <c r="X1184" s="564">
        <v>32</v>
      </c>
    </row>
    <row r="1185" spans="23:24" x14ac:dyDescent="0.25">
      <c r="W1185" s="574">
        <f t="shared" si="37"/>
        <v>1176</v>
      </c>
      <c r="X1185" s="564">
        <v>32</v>
      </c>
    </row>
    <row r="1186" spans="23:24" x14ac:dyDescent="0.25">
      <c r="W1186" s="574">
        <f t="shared" si="37"/>
        <v>1177</v>
      </c>
      <c r="X1186" s="564">
        <v>32</v>
      </c>
    </row>
    <row r="1187" spans="23:24" x14ac:dyDescent="0.25">
      <c r="W1187" s="574">
        <f t="shared" si="37"/>
        <v>1178</v>
      </c>
      <c r="X1187" s="564">
        <v>32</v>
      </c>
    </row>
    <row r="1188" spans="23:24" x14ac:dyDescent="0.25">
      <c r="W1188" s="574">
        <f t="shared" si="37"/>
        <v>1179</v>
      </c>
      <c r="X1188" s="564">
        <v>32</v>
      </c>
    </row>
    <row r="1189" spans="23:24" x14ac:dyDescent="0.25">
      <c r="W1189" s="574">
        <f t="shared" si="37"/>
        <v>1180</v>
      </c>
      <c r="X1189" s="564">
        <v>32</v>
      </c>
    </row>
    <row r="1190" spans="23:24" x14ac:dyDescent="0.25">
      <c r="W1190" s="574">
        <f t="shared" si="37"/>
        <v>1181</v>
      </c>
      <c r="X1190" s="564">
        <v>32</v>
      </c>
    </row>
    <row r="1191" spans="23:24" x14ac:dyDescent="0.25">
      <c r="W1191" s="574">
        <f t="shared" si="37"/>
        <v>1182</v>
      </c>
      <c r="X1191" s="564">
        <v>32</v>
      </c>
    </row>
    <row r="1192" spans="23:24" x14ac:dyDescent="0.25">
      <c r="W1192" s="574">
        <f t="shared" si="37"/>
        <v>1183</v>
      </c>
      <c r="X1192" s="564">
        <v>32</v>
      </c>
    </row>
    <row r="1193" spans="23:24" x14ac:dyDescent="0.25">
      <c r="W1193" s="574">
        <f t="shared" si="37"/>
        <v>1184</v>
      </c>
      <c r="X1193" s="564">
        <v>32</v>
      </c>
    </row>
    <row r="1194" spans="23:24" x14ac:dyDescent="0.25">
      <c r="W1194" s="574">
        <f t="shared" si="37"/>
        <v>1185</v>
      </c>
      <c r="X1194" s="564">
        <v>32</v>
      </c>
    </row>
    <row r="1195" spans="23:24" x14ac:dyDescent="0.25">
      <c r="W1195" s="574">
        <f t="shared" si="37"/>
        <v>1186</v>
      </c>
      <c r="X1195" s="564">
        <v>32</v>
      </c>
    </row>
    <row r="1196" spans="23:24" x14ac:dyDescent="0.25">
      <c r="W1196" s="574">
        <f t="shared" si="37"/>
        <v>1187</v>
      </c>
      <c r="X1196" s="564">
        <v>32</v>
      </c>
    </row>
    <row r="1197" spans="23:24" x14ac:dyDescent="0.25">
      <c r="W1197" s="574">
        <f t="shared" si="37"/>
        <v>1188</v>
      </c>
      <c r="X1197" s="564">
        <v>32</v>
      </c>
    </row>
    <row r="1198" spans="23:24" x14ac:dyDescent="0.25">
      <c r="W1198" s="574">
        <f t="shared" si="37"/>
        <v>1189</v>
      </c>
      <c r="X1198" s="564">
        <v>32</v>
      </c>
    </row>
    <row r="1199" spans="23:24" x14ac:dyDescent="0.25">
      <c r="W1199" s="574">
        <f t="shared" si="37"/>
        <v>1190</v>
      </c>
      <c r="X1199" s="564">
        <v>32</v>
      </c>
    </row>
    <row r="1200" spans="23:24" x14ac:dyDescent="0.25">
      <c r="W1200" s="574">
        <f t="shared" si="37"/>
        <v>1191</v>
      </c>
      <c r="X1200" s="564">
        <v>32</v>
      </c>
    </row>
    <row r="1201" spans="23:24" x14ac:dyDescent="0.25">
      <c r="W1201" s="574">
        <f t="shared" si="37"/>
        <v>1192</v>
      </c>
      <c r="X1201" s="564">
        <v>32</v>
      </c>
    </row>
    <row r="1202" spans="23:24" x14ac:dyDescent="0.25">
      <c r="W1202" s="574">
        <f t="shared" si="37"/>
        <v>1193</v>
      </c>
      <c r="X1202" s="564">
        <v>32</v>
      </c>
    </row>
    <row r="1203" spans="23:24" x14ac:dyDescent="0.25">
      <c r="W1203" s="574">
        <f t="shared" si="37"/>
        <v>1194</v>
      </c>
      <c r="X1203" s="564">
        <v>32</v>
      </c>
    </row>
    <row r="1204" spans="23:24" x14ac:dyDescent="0.25">
      <c r="W1204" s="574">
        <f t="shared" si="37"/>
        <v>1195</v>
      </c>
      <c r="X1204" s="564">
        <v>32</v>
      </c>
    </row>
    <row r="1205" spans="23:24" x14ac:dyDescent="0.25">
      <c r="W1205" s="574">
        <f t="shared" si="37"/>
        <v>1196</v>
      </c>
      <c r="X1205" s="564">
        <v>32</v>
      </c>
    </row>
    <row r="1206" spans="23:24" x14ac:dyDescent="0.25">
      <c r="W1206" s="574">
        <f t="shared" si="37"/>
        <v>1197</v>
      </c>
      <c r="X1206" s="564">
        <v>32</v>
      </c>
    </row>
    <row r="1207" spans="23:24" x14ac:dyDescent="0.25">
      <c r="W1207" s="574">
        <f t="shared" si="37"/>
        <v>1198</v>
      </c>
      <c r="X1207" s="564">
        <v>32</v>
      </c>
    </row>
    <row r="1208" spans="23:24" x14ac:dyDescent="0.25">
      <c r="W1208" s="574">
        <f t="shared" si="37"/>
        <v>1199</v>
      </c>
      <c r="X1208" s="564">
        <v>32</v>
      </c>
    </row>
    <row r="1209" spans="23:24" x14ac:dyDescent="0.25">
      <c r="W1209" s="574">
        <f t="shared" si="37"/>
        <v>1200</v>
      </c>
      <c r="X1209" s="564">
        <v>32</v>
      </c>
    </row>
    <row r="1210" spans="23:24" x14ac:dyDescent="0.25">
      <c r="W1210" s="574">
        <f t="shared" si="37"/>
        <v>1201</v>
      </c>
      <c r="X1210" s="564">
        <v>32</v>
      </c>
    </row>
    <row r="1211" spans="23:24" x14ac:dyDescent="0.25">
      <c r="W1211" s="574">
        <f t="shared" si="37"/>
        <v>1202</v>
      </c>
      <c r="X1211" s="564">
        <v>32</v>
      </c>
    </row>
    <row r="1212" spans="23:24" x14ac:dyDescent="0.25">
      <c r="W1212" s="574">
        <f t="shared" si="37"/>
        <v>1203</v>
      </c>
      <c r="X1212" s="564">
        <v>32</v>
      </c>
    </row>
    <row r="1213" spans="23:24" x14ac:dyDescent="0.25">
      <c r="W1213" s="574">
        <f t="shared" si="37"/>
        <v>1204</v>
      </c>
      <c r="X1213" s="564">
        <v>32</v>
      </c>
    </row>
    <row r="1214" spans="23:24" x14ac:dyDescent="0.25">
      <c r="W1214" s="574">
        <f t="shared" si="37"/>
        <v>1205</v>
      </c>
      <c r="X1214" s="564">
        <v>32</v>
      </c>
    </row>
    <row r="1215" spans="23:24" x14ac:dyDescent="0.25">
      <c r="W1215" s="574">
        <f t="shared" si="37"/>
        <v>1206</v>
      </c>
      <c r="X1215" s="564">
        <v>32</v>
      </c>
    </row>
    <row r="1216" spans="23:24" x14ac:dyDescent="0.25">
      <c r="W1216" s="574">
        <f t="shared" si="37"/>
        <v>1207</v>
      </c>
      <c r="X1216" s="564">
        <v>32</v>
      </c>
    </row>
    <row r="1217" spans="23:24" x14ac:dyDescent="0.25">
      <c r="W1217" s="574">
        <f t="shared" si="37"/>
        <v>1208</v>
      </c>
      <c r="X1217" s="564">
        <v>32</v>
      </c>
    </row>
    <row r="1218" spans="23:24" x14ac:dyDescent="0.25">
      <c r="W1218" s="574">
        <f t="shared" si="37"/>
        <v>1209</v>
      </c>
      <c r="X1218" s="564">
        <v>32</v>
      </c>
    </row>
    <row r="1219" spans="23:24" x14ac:dyDescent="0.25">
      <c r="W1219" s="574">
        <f t="shared" si="37"/>
        <v>1210</v>
      </c>
      <c r="X1219" s="564">
        <v>32</v>
      </c>
    </row>
    <row r="1220" spans="23:24" x14ac:dyDescent="0.25">
      <c r="W1220" s="574">
        <f t="shared" si="37"/>
        <v>1211</v>
      </c>
      <c r="X1220" s="564">
        <v>32</v>
      </c>
    </row>
    <row r="1221" spans="23:24" x14ac:dyDescent="0.25">
      <c r="W1221" s="574">
        <f t="shared" si="37"/>
        <v>1212</v>
      </c>
      <c r="X1221" s="564">
        <v>32</v>
      </c>
    </row>
    <row r="1222" spans="23:24" x14ac:dyDescent="0.25">
      <c r="W1222" s="574">
        <f t="shared" si="37"/>
        <v>1213</v>
      </c>
      <c r="X1222" s="564">
        <v>32</v>
      </c>
    </row>
    <row r="1223" spans="23:24" x14ac:dyDescent="0.25">
      <c r="W1223" s="574">
        <f t="shared" si="37"/>
        <v>1214</v>
      </c>
      <c r="X1223" s="564">
        <v>32</v>
      </c>
    </row>
    <row r="1224" spans="23:24" x14ac:dyDescent="0.25">
      <c r="W1224" s="574">
        <f t="shared" si="37"/>
        <v>1215</v>
      </c>
      <c r="X1224" s="564">
        <v>32</v>
      </c>
    </row>
    <row r="1225" spans="23:24" x14ac:dyDescent="0.25">
      <c r="W1225" s="574">
        <f t="shared" si="37"/>
        <v>1216</v>
      </c>
      <c r="X1225" s="564">
        <v>32</v>
      </c>
    </row>
    <row r="1226" spans="23:24" x14ac:dyDescent="0.25">
      <c r="W1226" s="574">
        <f t="shared" si="37"/>
        <v>1217</v>
      </c>
      <c r="X1226" s="564">
        <v>32</v>
      </c>
    </row>
    <row r="1227" spans="23:24" x14ac:dyDescent="0.25">
      <c r="W1227" s="574">
        <f t="shared" si="37"/>
        <v>1218</v>
      </c>
      <c r="X1227" s="564">
        <v>32</v>
      </c>
    </row>
    <row r="1228" spans="23:24" x14ac:dyDescent="0.25">
      <c r="W1228" s="574">
        <f t="shared" si="37"/>
        <v>1219</v>
      </c>
      <c r="X1228" s="564">
        <v>32</v>
      </c>
    </row>
    <row r="1229" spans="23:24" x14ac:dyDescent="0.25">
      <c r="W1229" s="574">
        <f t="shared" si="37"/>
        <v>1220</v>
      </c>
      <c r="X1229" s="564">
        <v>32</v>
      </c>
    </row>
    <row r="1230" spans="23:24" x14ac:dyDescent="0.25">
      <c r="W1230" s="574">
        <f t="shared" si="37"/>
        <v>1221</v>
      </c>
      <c r="X1230" s="564">
        <v>32</v>
      </c>
    </row>
    <row r="1231" spans="23:24" x14ac:dyDescent="0.25">
      <c r="W1231" s="574">
        <f t="shared" si="37"/>
        <v>1222</v>
      </c>
      <c r="X1231" s="564">
        <v>32</v>
      </c>
    </row>
    <row r="1232" spans="23:24" x14ac:dyDescent="0.25">
      <c r="W1232" s="574">
        <f t="shared" si="37"/>
        <v>1223</v>
      </c>
      <c r="X1232" s="564">
        <v>32</v>
      </c>
    </row>
    <row r="1233" spans="23:24" x14ac:dyDescent="0.25">
      <c r="W1233" s="574">
        <f t="shared" si="37"/>
        <v>1224</v>
      </c>
      <c r="X1233" s="564">
        <v>32</v>
      </c>
    </row>
    <row r="1234" spans="23:24" x14ac:dyDescent="0.25">
      <c r="W1234" s="574">
        <f t="shared" si="37"/>
        <v>1225</v>
      </c>
      <c r="X1234" s="564">
        <v>32</v>
      </c>
    </row>
    <row r="1235" spans="23:24" x14ac:dyDescent="0.25">
      <c r="W1235" s="574">
        <f t="shared" si="37"/>
        <v>1226</v>
      </c>
      <c r="X1235" s="564">
        <v>32</v>
      </c>
    </row>
    <row r="1236" spans="23:24" x14ac:dyDescent="0.25">
      <c r="W1236" s="574">
        <f t="shared" si="37"/>
        <v>1227</v>
      </c>
      <c r="X1236" s="564">
        <v>32</v>
      </c>
    </row>
    <row r="1237" spans="23:24" x14ac:dyDescent="0.25">
      <c r="W1237" s="574">
        <f t="shared" si="37"/>
        <v>1228</v>
      </c>
      <c r="X1237" s="564">
        <v>32</v>
      </c>
    </row>
    <row r="1238" spans="23:24" x14ac:dyDescent="0.25">
      <c r="W1238" s="574">
        <f t="shared" si="37"/>
        <v>1229</v>
      </c>
      <c r="X1238" s="564">
        <v>32</v>
      </c>
    </row>
    <row r="1239" spans="23:24" x14ac:dyDescent="0.25">
      <c r="W1239" s="574">
        <f t="shared" si="37"/>
        <v>1230</v>
      </c>
      <c r="X1239" s="564">
        <v>32</v>
      </c>
    </row>
    <row r="1240" spans="23:24" x14ac:dyDescent="0.25">
      <c r="W1240" s="574">
        <f t="shared" si="37"/>
        <v>1231</v>
      </c>
      <c r="X1240" s="564">
        <v>32</v>
      </c>
    </row>
    <row r="1241" spans="23:24" x14ac:dyDescent="0.25">
      <c r="W1241" s="574">
        <f t="shared" si="37"/>
        <v>1232</v>
      </c>
      <c r="X1241" s="564">
        <v>32</v>
      </c>
    </row>
    <row r="1242" spans="23:24" x14ac:dyDescent="0.25">
      <c r="W1242" s="574">
        <f t="shared" ref="W1242:W1305" si="38">W1241+1</f>
        <v>1233</v>
      </c>
      <c r="X1242" s="564">
        <v>32</v>
      </c>
    </row>
    <row r="1243" spans="23:24" x14ac:dyDescent="0.25">
      <c r="W1243" s="574">
        <f t="shared" si="38"/>
        <v>1234</v>
      </c>
      <c r="X1243" s="564">
        <v>32</v>
      </c>
    </row>
    <row r="1244" spans="23:24" x14ac:dyDescent="0.25">
      <c r="W1244" s="574">
        <f t="shared" si="38"/>
        <v>1235</v>
      </c>
      <c r="X1244" s="564">
        <v>32</v>
      </c>
    </row>
    <row r="1245" spans="23:24" x14ac:dyDescent="0.25">
      <c r="W1245" s="574">
        <f t="shared" si="38"/>
        <v>1236</v>
      </c>
      <c r="X1245" s="564">
        <v>32</v>
      </c>
    </row>
    <row r="1246" spans="23:24" x14ac:dyDescent="0.25">
      <c r="W1246" s="574">
        <f t="shared" si="38"/>
        <v>1237</v>
      </c>
      <c r="X1246" s="564">
        <v>32</v>
      </c>
    </row>
    <row r="1247" spans="23:24" x14ac:dyDescent="0.25">
      <c r="W1247" s="574">
        <f t="shared" si="38"/>
        <v>1238</v>
      </c>
      <c r="X1247" s="564">
        <v>32</v>
      </c>
    </row>
    <row r="1248" spans="23:24" x14ac:dyDescent="0.25">
      <c r="W1248" s="574">
        <f t="shared" si="38"/>
        <v>1239</v>
      </c>
      <c r="X1248" s="564">
        <v>32</v>
      </c>
    </row>
    <row r="1249" spans="23:24" x14ac:dyDescent="0.25">
      <c r="W1249" s="574">
        <f t="shared" si="38"/>
        <v>1240</v>
      </c>
      <c r="X1249" s="564">
        <v>32</v>
      </c>
    </row>
    <row r="1250" spans="23:24" x14ac:dyDescent="0.25">
      <c r="W1250" s="574">
        <f t="shared" si="38"/>
        <v>1241</v>
      </c>
      <c r="X1250" s="564">
        <v>32</v>
      </c>
    </row>
    <row r="1251" spans="23:24" x14ac:dyDescent="0.25">
      <c r="W1251" s="574">
        <f t="shared" si="38"/>
        <v>1242</v>
      </c>
      <c r="X1251" s="564">
        <v>32</v>
      </c>
    </row>
    <row r="1252" spans="23:24" x14ac:dyDescent="0.25">
      <c r="W1252" s="574">
        <f t="shared" si="38"/>
        <v>1243</v>
      </c>
      <c r="X1252" s="564">
        <v>32</v>
      </c>
    </row>
    <row r="1253" spans="23:24" x14ac:dyDescent="0.25">
      <c r="W1253" s="574">
        <f t="shared" si="38"/>
        <v>1244</v>
      </c>
      <c r="X1253" s="564">
        <v>32</v>
      </c>
    </row>
    <row r="1254" spans="23:24" x14ac:dyDescent="0.25">
      <c r="W1254" s="574">
        <f t="shared" si="38"/>
        <v>1245</v>
      </c>
      <c r="X1254" s="564">
        <v>32</v>
      </c>
    </row>
    <row r="1255" spans="23:24" x14ac:dyDescent="0.25">
      <c r="W1255" s="574">
        <f t="shared" si="38"/>
        <v>1246</v>
      </c>
      <c r="X1255" s="564">
        <v>32</v>
      </c>
    </row>
    <row r="1256" spans="23:24" x14ac:dyDescent="0.25">
      <c r="W1256" s="574">
        <f t="shared" si="38"/>
        <v>1247</v>
      </c>
      <c r="X1256" s="564">
        <v>32</v>
      </c>
    </row>
    <row r="1257" spans="23:24" x14ac:dyDescent="0.25">
      <c r="W1257" s="574">
        <f t="shared" si="38"/>
        <v>1248</v>
      </c>
      <c r="X1257" s="564">
        <v>32</v>
      </c>
    </row>
    <row r="1258" spans="23:24" x14ac:dyDescent="0.25">
      <c r="W1258" s="574">
        <f t="shared" si="38"/>
        <v>1249</v>
      </c>
      <c r="X1258" s="564">
        <v>32</v>
      </c>
    </row>
    <row r="1259" spans="23:24" x14ac:dyDescent="0.25">
      <c r="W1259" s="574">
        <f t="shared" si="38"/>
        <v>1250</v>
      </c>
      <c r="X1259" s="564">
        <v>33</v>
      </c>
    </row>
    <row r="1260" spans="23:24" x14ac:dyDescent="0.25">
      <c r="W1260" s="574">
        <f t="shared" si="38"/>
        <v>1251</v>
      </c>
      <c r="X1260" s="564">
        <v>33</v>
      </c>
    </row>
    <row r="1261" spans="23:24" x14ac:dyDescent="0.25">
      <c r="W1261" s="574">
        <f t="shared" si="38"/>
        <v>1252</v>
      </c>
      <c r="X1261" s="564">
        <v>33</v>
      </c>
    </row>
    <row r="1262" spans="23:24" x14ac:dyDescent="0.25">
      <c r="W1262" s="574">
        <f t="shared" si="38"/>
        <v>1253</v>
      </c>
      <c r="X1262" s="564">
        <v>33</v>
      </c>
    </row>
    <row r="1263" spans="23:24" x14ac:dyDescent="0.25">
      <c r="W1263" s="574">
        <f t="shared" si="38"/>
        <v>1254</v>
      </c>
      <c r="X1263" s="564">
        <v>33</v>
      </c>
    </row>
    <row r="1264" spans="23:24" x14ac:dyDescent="0.25">
      <c r="W1264" s="574">
        <f t="shared" si="38"/>
        <v>1255</v>
      </c>
      <c r="X1264" s="564">
        <v>33</v>
      </c>
    </row>
    <row r="1265" spans="23:24" x14ac:dyDescent="0.25">
      <c r="W1265" s="574">
        <f t="shared" si="38"/>
        <v>1256</v>
      </c>
      <c r="X1265" s="564">
        <v>33</v>
      </c>
    </row>
    <row r="1266" spans="23:24" x14ac:dyDescent="0.25">
      <c r="W1266" s="574">
        <f t="shared" si="38"/>
        <v>1257</v>
      </c>
      <c r="X1266" s="564">
        <v>33</v>
      </c>
    </row>
    <row r="1267" spans="23:24" x14ac:dyDescent="0.25">
      <c r="W1267" s="574">
        <f t="shared" si="38"/>
        <v>1258</v>
      </c>
      <c r="X1267" s="564">
        <v>33</v>
      </c>
    </row>
    <row r="1268" spans="23:24" x14ac:dyDescent="0.25">
      <c r="W1268" s="574">
        <f t="shared" si="38"/>
        <v>1259</v>
      </c>
      <c r="X1268" s="564">
        <v>33</v>
      </c>
    </row>
    <row r="1269" spans="23:24" x14ac:dyDescent="0.25">
      <c r="W1269" s="574">
        <f t="shared" si="38"/>
        <v>1260</v>
      </c>
      <c r="X1269" s="564">
        <v>33</v>
      </c>
    </row>
    <row r="1270" spans="23:24" x14ac:dyDescent="0.25">
      <c r="W1270" s="574">
        <f t="shared" si="38"/>
        <v>1261</v>
      </c>
      <c r="X1270" s="564">
        <v>33</v>
      </c>
    </row>
    <row r="1271" spans="23:24" x14ac:dyDescent="0.25">
      <c r="W1271" s="574">
        <f t="shared" si="38"/>
        <v>1262</v>
      </c>
      <c r="X1271" s="564">
        <v>33</v>
      </c>
    </row>
    <row r="1272" spans="23:24" x14ac:dyDescent="0.25">
      <c r="W1272" s="574">
        <f t="shared" si="38"/>
        <v>1263</v>
      </c>
      <c r="X1272" s="564">
        <v>33</v>
      </c>
    </row>
    <row r="1273" spans="23:24" x14ac:dyDescent="0.25">
      <c r="W1273" s="574">
        <f t="shared" si="38"/>
        <v>1264</v>
      </c>
      <c r="X1273" s="564">
        <v>33</v>
      </c>
    </row>
    <row r="1274" spans="23:24" x14ac:dyDescent="0.25">
      <c r="W1274" s="574">
        <f t="shared" si="38"/>
        <v>1265</v>
      </c>
      <c r="X1274" s="564">
        <v>33</v>
      </c>
    </row>
    <row r="1275" spans="23:24" x14ac:dyDescent="0.25">
      <c r="W1275" s="574">
        <f t="shared" si="38"/>
        <v>1266</v>
      </c>
      <c r="X1275" s="564">
        <v>33</v>
      </c>
    </row>
    <row r="1276" spans="23:24" x14ac:dyDescent="0.25">
      <c r="W1276" s="574">
        <f t="shared" si="38"/>
        <v>1267</v>
      </c>
      <c r="X1276" s="564">
        <v>33</v>
      </c>
    </row>
    <row r="1277" spans="23:24" x14ac:dyDescent="0.25">
      <c r="W1277" s="574">
        <f t="shared" si="38"/>
        <v>1268</v>
      </c>
      <c r="X1277" s="564">
        <v>33</v>
      </c>
    </row>
    <row r="1278" spans="23:24" x14ac:dyDescent="0.25">
      <c r="W1278" s="574">
        <f t="shared" si="38"/>
        <v>1269</v>
      </c>
      <c r="X1278" s="564">
        <v>33</v>
      </c>
    </row>
    <row r="1279" spans="23:24" x14ac:dyDescent="0.25">
      <c r="W1279" s="574">
        <f t="shared" si="38"/>
        <v>1270</v>
      </c>
      <c r="X1279" s="564">
        <v>33</v>
      </c>
    </row>
    <row r="1280" spans="23:24" x14ac:dyDescent="0.25">
      <c r="W1280" s="574">
        <f t="shared" si="38"/>
        <v>1271</v>
      </c>
      <c r="X1280" s="564">
        <v>33</v>
      </c>
    </row>
    <row r="1281" spans="23:24" x14ac:dyDescent="0.25">
      <c r="W1281" s="574">
        <f t="shared" si="38"/>
        <v>1272</v>
      </c>
      <c r="X1281" s="564">
        <v>33</v>
      </c>
    </row>
    <row r="1282" spans="23:24" x14ac:dyDescent="0.25">
      <c r="W1282" s="574">
        <f t="shared" si="38"/>
        <v>1273</v>
      </c>
      <c r="X1282" s="564">
        <v>33</v>
      </c>
    </row>
    <row r="1283" spans="23:24" x14ac:dyDescent="0.25">
      <c r="W1283" s="574">
        <f t="shared" si="38"/>
        <v>1274</v>
      </c>
      <c r="X1283" s="564">
        <v>33</v>
      </c>
    </row>
    <row r="1284" spans="23:24" x14ac:dyDescent="0.25">
      <c r="W1284" s="574">
        <f t="shared" si="38"/>
        <v>1275</v>
      </c>
      <c r="X1284" s="564">
        <v>33</v>
      </c>
    </row>
    <row r="1285" spans="23:24" x14ac:dyDescent="0.25">
      <c r="W1285" s="574">
        <f t="shared" si="38"/>
        <v>1276</v>
      </c>
      <c r="X1285" s="564">
        <v>33</v>
      </c>
    </row>
    <row r="1286" spans="23:24" x14ac:dyDescent="0.25">
      <c r="W1286" s="574">
        <f t="shared" si="38"/>
        <v>1277</v>
      </c>
      <c r="X1286" s="564">
        <v>33</v>
      </c>
    </row>
    <row r="1287" spans="23:24" x14ac:dyDescent="0.25">
      <c r="W1287" s="574">
        <f t="shared" si="38"/>
        <v>1278</v>
      </c>
      <c r="X1287" s="564">
        <v>33</v>
      </c>
    </row>
    <row r="1288" spans="23:24" x14ac:dyDescent="0.25">
      <c r="W1288" s="574">
        <f t="shared" si="38"/>
        <v>1279</v>
      </c>
      <c r="X1288" s="564">
        <v>33</v>
      </c>
    </row>
    <row r="1289" spans="23:24" x14ac:dyDescent="0.25">
      <c r="W1289" s="574">
        <f t="shared" si="38"/>
        <v>1280</v>
      </c>
      <c r="X1289" s="564">
        <v>33</v>
      </c>
    </row>
    <row r="1290" spans="23:24" x14ac:dyDescent="0.25">
      <c r="W1290" s="574">
        <f t="shared" si="38"/>
        <v>1281</v>
      </c>
      <c r="X1290" s="564">
        <v>33</v>
      </c>
    </row>
    <row r="1291" spans="23:24" x14ac:dyDescent="0.25">
      <c r="W1291" s="574">
        <f t="shared" si="38"/>
        <v>1282</v>
      </c>
      <c r="X1291" s="564">
        <v>33</v>
      </c>
    </row>
    <row r="1292" spans="23:24" x14ac:dyDescent="0.25">
      <c r="W1292" s="574">
        <f t="shared" si="38"/>
        <v>1283</v>
      </c>
      <c r="X1292" s="564">
        <v>33</v>
      </c>
    </row>
    <row r="1293" spans="23:24" x14ac:dyDescent="0.25">
      <c r="W1293" s="574">
        <f t="shared" si="38"/>
        <v>1284</v>
      </c>
      <c r="X1293" s="564">
        <v>33</v>
      </c>
    </row>
    <row r="1294" spans="23:24" x14ac:dyDescent="0.25">
      <c r="W1294" s="574">
        <f t="shared" si="38"/>
        <v>1285</v>
      </c>
      <c r="X1294" s="564">
        <v>33</v>
      </c>
    </row>
    <row r="1295" spans="23:24" x14ac:dyDescent="0.25">
      <c r="W1295" s="574">
        <f t="shared" si="38"/>
        <v>1286</v>
      </c>
      <c r="X1295" s="564">
        <v>33</v>
      </c>
    </row>
    <row r="1296" spans="23:24" x14ac:dyDescent="0.25">
      <c r="W1296" s="574">
        <f t="shared" si="38"/>
        <v>1287</v>
      </c>
      <c r="X1296" s="564">
        <v>33</v>
      </c>
    </row>
    <row r="1297" spans="23:24" x14ac:dyDescent="0.25">
      <c r="W1297" s="574">
        <f t="shared" si="38"/>
        <v>1288</v>
      </c>
      <c r="X1297" s="564">
        <v>33</v>
      </c>
    </row>
    <row r="1298" spans="23:24" x14ac:dyDescent="0.25">
      <c r="W1298" s="574">
        <f t="shared" si="38"/>
        <v>1289</v>
      </c>
      <c r="X1298" s="564">
        <v>33</v>
      </c>
    </row>
    <row r="1299" spans="23:24" x14ac:dyDescent="0.25">
      <c r="W1299" s="574">
        <f t="shared" si="38"/>
        <v>1290</v>
      </c>
      <c r="X1299" s="564">
        <v>33</v>
      </c>
    </row>
    <row r="1300" spans="23:24" x14ac:dyDescent="0.25">
      <c r="W1300" s="574">
        <f t="shared" si="38"/>
        <v>1291</v>
      </c>
      <c r="X1300" s="564">
        <v>33</v>
      </c>
    </row>
    <row r="1301" spans="23:24" x14ac:dyDescent="0.25">
      <c r="W1301" s="574">
        <f t="shared" si="38"/>
        <v>1292</v>
      </c>
      <c r="X1301" s="564">
        <v>33</v>
      </c>
    </row>
    <row r="1302" spans="23:24" x14ac:dyDescent="0.25">
      <c r="W1302" s="574">
        <f t="shared" si="38"/>
        <v>1293</v>
      </c>
      <c r="X1302" s="564">
        <v>33</v>
      </c>
    </row>
    <row r="1303" spans="23:24" x14ac:dyDescent="0.25">
      <c r="W1303" s="574">
        <f t="shared" si="38"/>
        <v>1294</v>
      </c>
      <c r="X1303" s="564">
        <v>33</v>
      </c>
    </row>
    <row r="1304" spans="23:24" x14ac:dyDescent="0.25">
      <c r="W1304" s="574">
        <f t="shared" si="38"/>
        <v>1295</v>
      </c>
      <c r="X1304" s="564">
        <v>33</v>
      </c>
    </row>
    <row r="1305" spans="23:24" x14ac:dyDescent="0.25">
      <c r="W1305" s="574">
        <f t="shared" si="38"/>
        <v>1296</v>
      </c>
      <c r="X1305" s="564">
        <v>33</v>
      </c>
    </row>
    <row r="1306" spans="23:24" x14ac:dyDescent="0.25">
      <c r="W1306" s="574">
        <f t="shared" ref="W1306:W1369" si="39">W1305+1</f>
        <v>1297</v>
      </c>
      <c r="X1306" s="564">
        <v>33</v>
      </c>
    </row>
    <row r="1307" spans="23:24" x14ac:dyDescent="0.25">
      <c r="W1307" s="574">
        <f t="shared" si="39"/>
        <v>1298</v>
      </c>
      <c r="X1307" s="564">
        <v>33</v>
      </c>
    </row>
    <row r="1308" spans="23:24" x14ac:dyDescent="0.25">
      <c r="W1308" s="574">
        <f t="shared" si="39"/>
        <v>1299</v>
      </c>
      <c r="X1308" s="564">
        <v>33</v>
      </c>
    </row>
    <row r="1309" spans="23:24" x14ac:dyDescent="0.25">
      <c r="W1309" s="574">
        <f t="shared" si="39"/>
        <v>1300</v>
      </c>
      <c r="X1309" s="564">
        <v>33</v>
      </c>
    </row>
    <row r="1310" spans="23:24" x14ac:dyDescent="0.25">
      <c r="W1310" s="574">
        <f t="shared" si="39"/>
        <v>1301</v>
      </c>
      <c r="X1310" s="564">
        <v>33</v>
      </c>
    </row>
    <row r="1311" spans="23:24" x14ac:dyDescent="0.25">
      <c r="W1311" s="574">
        <f t="shared" si="39"/>
        <v>1302</v>
      </c>
      <c r="X1311" s="564">
        <v>33</v>
      </c>
    </row>
    <row r="1312" spans="23:24" x14ac:dyDescent="0.25">
      <c r="W1312" s="574">
        <f t="shared" si="39"/>
        <v>1303</v>
      </c>
      <c r="X1312" s="564">
        <v>33</v>
      </c>
    </row>
    <row r="1313" spans="23:24" x14ac:dyDescent="0.25">
      <c r="W1313" s="574">
        <f t="shared" si="39"/>
        <v>1304</v>
      </c>
      <c r="X1313" s="564">
        <v>33</v>
      </c>
    </row>
    <row r="1314" spans="23:24" x14ac:dyDescent="0.25">
      <c r="W1314" s="574">
        <f t="shared" si="39"/>
        <v>1305</v>
      </c>
      <c r="X1314" s="564">
        <v>33</v>
      </c>
    </row>
    <row r="1315" spans="23:24" x14ac:dyDescent="0.25">
      <c r="W1315" s="574">
        <f t="shared" si="39"/>
        <v>1306</v>
      </c>
      <c r="X1315" s="564">
        <v>33</v>
      </c>
    </row>
    <row r="1316" spans="23:24" x14ac:dyDescent="0.25">
      <c r="W1316" s="574">
        <f t="shared" si="39"/>
        <v>1307</v>
      </c>
      <c r="X1316" s="564">
        <v>33</v>
      </c>
    </row>
    <row r="1317" spans="23:24" x14ac:dyDescent="0.25">
      <c r="W1317" s="574">
        <f t="shared" si="39"/>
        <v>1308</v>
      </c>
      <c r="X1317" s="564">
        <v>33</v>
      </c>
    </row>
    <row r="1318" spans="23:24" x14ac:dyDescent="0.25">
      <c r="W1318" s="574">
        <f t="shared" si="39"/>
        <v>1309</v>
      </c>
      <c r="X1318" s="564">
        <v>33</v>
      </c>
    </row>
    <row r="1319" spans="23:24" x14ac:dyDescent="0.25">
      <c r="W1319" s="574">
        <f t="shared" si="39"/>
        <v>1310</v>
      </c>
      <c r="X1319" s="564">
        <v>33</v>
      </c>
    </row>
    <row r="1320" spans="23:24" x14ac:dyDescent="0.25">
      <c r="W1320" s="574">
        <f t="shared" si="39"/>
        <v>1311</v>
      </c>
      <c r="X1320" s="564">
        <v>33</v>
      </c>
    </row>
    <row r="1321" spans="23:24" x14ac:dyDescent="0.25">
      <c r="W1321" s="574">
        <f t="shared" si="39"/>
        <v>1312</v>
      </c>
      <c r="X1321" s="564">
        <v>33</v>
      </c>
    </row>
    <row r="1322" spans="23:24" x14ac:dyDescent="0.25">
      <c r="W1322" s="574">
        <f t="shared" si="39"/>
        <v>1313</v>
      </c>
      <c r="X1322" s="564">
        <v>33</v>
      </c>
    </row>
    <row r="1323" spans="23:24" x14ac:dyDescent="0.25">
      <c r="W1323" s="574">
        <f t="shared" si="39"/>
        <v>1314</v>
      </c>
      <c r="X1323" s="564">
        <v>33</v>
      </c>
    </row>
    <row r="1324" spans="23:24" x14ac:dyDescent="0.25">
      <c r="W1324" s="574">
        <f t="shared" si="39"/>
        <v>1315</v>
      </c>
      <c r="X1324" s="564">
        <v>33</v>
      </c>
    </row>
    <row r="1325" spans="23:24" x14ac:dyDescent="0.25">
      <c r="W1325" s="574">
        <f t="shared" si="39"/>
        <v>1316</v>
      </c>
      <c r="X1325" s="564">
        <v>33</v>
      </c>
    </row>
    <row r="1326" spans="23:24" x14ac:dyDescent="0.25">
      <c r="W1326" s="574">
        <f t="shared" si="39"/>
        <v>1317</v>
      </c>
      <c r="X1326" s="564">
        <v>33</v>
      </c>
    </row>
    <row r="1327" spans="23:24" x14ac:dyDescent="0.25">
      <c r="W1327" s="574">
        <f t="shared" si="39"/>
        <v>1318</v>
      </c>
      <c r="X1327" s="564">
        <v>33</v>
      </c>
    </row>
    <row r="1328" spans="23:24" x14ac:dyDescent="0.25">
      <c r="W1328" s="574">
        <f t="shared" si="39"/>
        <v>1319</v>
      </c>
      <c r="X1328" s="564">
        <v>33</v>
      </c>
    </row>
    <row r="1329" spans="23:24" x14ac:dyDescent="0.25">
      <c r="W1329" s="574">
        <f t="shared" si="39"/>
        <v>1320</v>
      </c>
      <c r="X1329" s="564">
        <v>33</v>
      </c>
    </row>
    <row r="1330" spans="23:24" x14ac:dyDescent="0.25">
      <c r="W1330" s="574">
        <f t="shared" si="39"/>
        <v>1321</v>
      </c>
      <c r="X1330" s="564">
        <v>33</v>
      </c>
    </row>
    <row r="1331" spans="23:24" x14ac:dyDescent="0.25">
      <c r="W1331" s="574">
        <f t="shared" si="39"/>
        <v>1322</v>
      </c>
      <c r="X1331" s="564">
        <v>33</v>
      </c>
    </row>
    <row r="1332" spans="23:24" x14ac:dyDescent="0.25">
      <c r="W1332" s="574">
        <f t="shared" si="39"/>
        <v>1323</v>
      </c>
      <c r="X1332" s="564">
        <v>33</v>
      </c>
    </row>
    <row r="1333" spans="23:24" x14ac:dyDescent="0.25">
      <c r="W1333" s="574">
        <f t="shared" si="39"/>
        <v>1324</v>
      </c>
      <c r="X1333" s="564">
        <v>33</v>
      </c>
    </row>
    <row r="1334" spans="23:24" x14ac:dyDescent="0.25">
      <c r="W1334" s="574">
        <f t="shared" si="39"/>
        <v>1325</v>
      </c>
      <c r="X1334" s="564">
        <v>33</v>
      </c>
    </row>
    <row r="1335" spans="23:24" x14ac:dyDescent="0.25">
      <c r="W1335" s="574">
        <f t="shared" si="39"/>
        <v>1326</v>
      </c>
      <c r="X1335" s="564">
        <v>33</v>
      </c>
    </row>
    <row r="1336" spans="23:24" x14ac:dyDescent="0.25">
      <c r="W1336" s="574">
        <f t="shared" si="39"/>
        <v>1327</v>
      </c>
      <c r="X1336" s="564">
        <v>33</v>
      </c>
    </row>
    <row r="1337" spans="23:24" x14ac:dyDescent="0.25">
      <c r="W1337" s="574">
        <f t="shared" si="39"/>
        <v>1328</v>
      </c>
      <c r="X1337" s="564">
        <v>33</v>
      </c>
    </row>
    <row r="1338" spans="23:24" x14ac:dyDescent="0.25">
      <c r="W1338" s="574">
        <f t="shared" si="39"/>
        <v>1329</v>
      </c>
      <c r="X1338" s="564">
        <v>33</v>
      </c>
    </row>
    <row r="1339" spans="23:24" x14ac:dyDescent="0.25">
      <c r="W1339" s="574">
        <f t="shared" si="39"/>
        <v>1330</v>
      </c>
      <c r="X1339" s="564">
        <v>33</v>
      </c>
    </row>
    <row r="1340" spans="23:24" x14ac:dyDescent="0.25">
      <c r="W1340" s="574">
        <f t="shared" si="39"/>
        <v>1331</v>
      </c>
      <c r="X1340" s="564">
        <v>33</v>
      </c>
    </row>
    <row r="1341" spans="23:24" x14ac:dyDescent="0.25">
      <c r="W1341" s="574">
        <f t="shared" si="39"/>
        <v>1332</v>
      </c>
      <c r="X1341" s="564">
        <v>33</v>
      </c>
    </row>
    <row r="1342" spans="23:24" x14ac:dyDescent="0.25">
      <c r="W1342" s="574">
        <f t="shared" si="39"/>
        <v>1333</v>
      </c>
      <c r="X1342" s="564">
        <v>33</v>
      </c>
    </row>
    <row r="1343" spans="23:24" x14ac:dyDescent="0.25">
      <c r="W1343" s="574">
        <f t="shared" si="39"/>
        <v>1334</v>
      </c>
      <c r="X1343" s="564">
        <v>33</v>
      </c>
    </row>
    <row r="1344" spans="23:24" x14ac:dyDescent="0.25">
      <c r="W1344" s="574">
        <f t="shared" si="39"/>
        <v>1335</v>
      </c>
      <c r="X1344" s="564">
        <v>33</v>
      </c>
    </row>
    <row r="1345" spans="23:24" x14ac:dyDescent="0.25">
      <c r="W1345" s="574">
        <f t="shared" si="39"/>
        <v>1336</v>
      </c>
      <c r="X1345" s="564">
        <v>33</v>
      </c>
    </row>
    <row r="1346" spans="23:24" x14ac:dyDescent="0.25">
      <c r="W1346" s="574">
        <f t="shared" si="39"/>
        <v>1337</v>
      </c>
      <c r="X1346" s="564">
        <v>33</v>
      </c>
    </row>
    <row r="1347" spans="23:24" x14ac:dyDescent="0.25">
      <c r="W1347" s="574">
        <f t="shared" si="39"/>
        <v>1338</v>
      </c>
      <c r="X1347" s="564">
        <v>33</v>
      </c>
    </row>
    <row r="1348" spans="23:24" x14ac:dyDescent="0.25">
      <c r="W1348" s="574">
        <f t="shared" si="39"/>
        <v>1339</v>
      </c>
      <c r="X1348" s="564">
        <v>33</v>
      </c>
    </row>
    <row r="1349" spans="23:24" x14ac:dyDescent="0.25">
      <c r="W1349" s="574">
        <f t="shared" si="39"/>
        <v>1340</v>
      </c>
      <c r="X1349" s="564">
        <v>33</v>
      </c>
    </row>
    <row r="1350" spans="23:24" x14ac:dyDescent="0.25">
      <c r="W1350" s="574">
        <f t="shared" si="39"/>
        <v>1341</v>
      </c>
      <c r="X1350" s="564">
        <v>33</v>
      </c>
    </row>
    <row r="1351" spans="23:24" x14ac:dyDescent="0.25">
      <c r="W1351" s="574">
        <f t="shared" si="39"/>
        <v>1342</v>
      </c>
      <c r="X1351" s="564">
        <v>33</v>
      </c>
    </row>
    <row r="1352" spans="23:24" x14ac:dyDescent="0.25">
      <c r="W1352" s="574">
        <f t="shared" si="39"/>
        <v>1343</v>
      </c>
      <c r="X1352" s="564">
        <v>33</v>
      </c>
    </row>
    <row r="1353" spans="23:24" x14ac:dyDescent="0.25">
      <c r="W1353" s="574">
        <f t="shared" si="39"/>
        <v>1344</v>
      </c>
      <c r="X1353" s="564">
        <v>33</v>
      </c>
    </row>
    <row r="1354" spans="23:24" x14ac:dyDescent="0.25">
      <c r="W1354" s="574">
        <f t="shared" si="39"/>
        <v>1345</v>
      </c>
      <c r="X1354" s="564">
        <v>33</v>
      </c>
    </row>
    <row r="1355" spans="23:24" x14ac:dyDescent="0.25">
      <c r="W1355" s="574">
        <f t="shared" si="39"/>
        <v>1346</v>
      </c>
      <c r="X1355" s="564">
        <v>33</v>
      </c>
    </row>
    <row r="1356" spans="23:24" x14ac:dyDescent="0.25">
      <c r="W1356" s="574">
        <f t="shared" si="39"/>
        <v>1347</v>
      </c>
      <c r="X1356" s="564">
        <v>33</v>
      </c>
    </row>
    <row r="1357" spans="23:24" x14ac:dyDescent="0.25">
      <c r="W1357" s="574">
        <f t="shared" si="39"/>
        <v>1348</v>
      </c>
      <c r="X1357" s="564">
        <v>33</v>
      </c>
    </row>
    <row r="1358" spans="23:24" x14ac:dyDescent="0.25">
      <c r="W1358" s="574">
        <f t="shared" si="39"/>
        <v>1349</v>
      </c>
      <c r="X1358" s="564">
        <v>33</v>
      </c>
    </row>
    <row r="1359" spans="23:24" x14ac:dyDescent="0.25">
      <c r="W1359" s="574">
        <f t="shared" si="39"/>
        <v>1350</v>
      </c>
      <c r="X1359" s="564">
        <v>33</v>
      </c>
    </row>
    <row r="1360" spans="23:24" x14ac:dyDescent="0.25">
      <c r="W1360" s="574">
        <f t="shared" si="39"/>
        <v>1351</v>
      </c>
      <c r="X1360" s="564">
        <v>33</v>
      </c>
    </row>
    <row r="1361" spans="23:24" x14ac:dyDescent="0.25">
      <c r="W1361" s="574">
        <f t="shared" si="39"/>
        <v>1352</v>
      </c>
      <c r="X1361" s="564">
        <v>33</v>
      </c>
    </row>
    <row r="1362" spans="23:24" x14ac:dyDescent="0.25">
      <c r="W1362" s="574">
        <f t="shared" si="39"/>
        <v>1353</v>
      </c>
      <c r="X1362" s="564">
        <v>33</v>
      </c>
    </row>
    <row r="1363" spans="23:24" x14ac:dyDescent="0.25">
      <c r="W1363" s="574">
        <f t="shared" si="39"/>
        <v>1354</v>
      </c>
      <c r="X1363" s="564">
        <v>33</v>
      </c>
    </row>
    <row r="1364" spans="23:24" x14ac:dyDescent="0.25">
      <c r="W1364" s="574">
        <f t="shared" si="39"/>
        <v>1355</v>
      </c>
      <c r="X1364" s="564">
        <v>33</v>
      </c>
    </row>
    <row r="1365" spans="23:24" x14ac:dyDescent="0.25">
      <c r="W1365" s="574">
        <f t="shared" si="39"/>
        <v>1356</v>
      </c>
      <c r="X1365" s="564">
        <v>33</v>
      </c>
    </row>
    <row r="1366" spans="23:24" x14ac:dyDescent="0.25">
      <c r="W1366" s="574">
        <f t="shared" si="39"/>
        <v>1357</v>
      </c>
      <c r="X1366" s="564">
        <v>33</v>
      </c>
    </row>
    <row r="1367" spans="23:24" x14ac:dyDescent="0.25">
      <c r="W1367" s="574">
        <f t="shared" si="39"/>
        <v>1358</v>
      </c>
      <c r="X1367" s="564">
        <v>33</v>
      </c>
    </row>
    <row r="1368" spans="23:24" x14ac:dyDescent="0.25">
      <c r="W1368" s="574">
        <f t="shared" si="39"/>
        <v>1359</v>
      </c>
      <c r="X1368" s="564">
        <v>33</v>
      </c>
    </row>
    <row r="1369" spans="23:24" x14ac:dyDescent="0.25">
      <c r="W1369" s="574">
        <f t="shared" si="39"/>
        <v>1360</v>
      </c>
      <c r="X1369" s="564">
        <v>33</v>
      </c>
    </row>
    <row r="1370" spans="23:24" x14ac:dyDescent="0.25">
      <c r="W1370" s="574">
        <f t="shared" ref="W1370:W1433" si="40">W1369+1</f>
        <v>1361</v>
      </c>
      <c r="X1370" s="564">
        <v>33</v>
      </c>
    </row>
    <row r="1371" spans="23:24" x14ac:dyDescent="0.25">
      <c r="W1371" s="574">
        <f t="shared" si="40"/>
        <v>1362</v>
      </c>
      <c r="X1371" s="564">
        <v>33</v>
      </c>
    </row>
    <row r="1372" spans="23:24" x14ac:dyDescent="0.25">
      <c r="W1372" s="574">
        <f t="shared" si="40"/>
        <v>1363</v>
      </c>
      <c r="X1372" s="564">
        <v>33</v>
      </c>
    </row>
    <row r="1373" spans="23:24" x14ac:dyDescent="0.25">
      <c r="W1373" s="574">
        <f t="shared" si="40"/>
        <v>1364</v>
      </c>
      <c r="X1373" s="564">
        <v>33</v>
      </c>
    </row>
    <row r="1374" spans="23:24" x14ac:dyDescent="0.25">
      <c r="W1374" s="574">
        <f t="shared" si="40"/>
        <v>1365</v>
      </c>
      <c r="X1374" s="564">
        <v>33</v>
      </c>
    </row>
    <row r="1375" spans="23:24" x14ac:dyDescent="0.25">
      <c r="W1375" s="574">
        <f t="shared" si="40"/>
        <v>1366</v>
      </c>
      <c r="X1375" s="564">
        <v>33</v>
      </c>
    </row>
    <row r="1376" spans="23:24" x14ac:dyDescent="0.25">
      <c r="W1376" s="574">
        <f t="shared" si="40"/>
        <v>1367</v>
      </c>
      <c r="X1376" s="564">
        <v>33</v>
      </c>
    </row>
    <row r="1377" spans="23:24" x14ac:dyDescent="0.25">
      <c r="W1377" s="574">
        <f t="shared" si="40"/>
        <v>1368</v>
      </c>
      <c r="X1377" s="564">
        <v>33</v>
      </c>
    </row>
    <row r="1378" spans="23:24" x14ac:dyDescent="0.25">
      <c r="W1378" s="574">
        <f t="shared" si="40"/>
        <v>1369</v>
      </c>
      <c r="X1378" s="564">
        <v>33</v>
      </c>
    </row>
    <row r="1379" spans="23:24" x14ac:dyDescent="0.25">
      <c r="W1379" s="574">
        <f t="shared" si="40"/>
        <v>1370</v>
      </c>
      <c r="X1379" s="564">
        <v>33</v>
      </c>
    </row>
    <row r="1380" spans="23:24" x14ac:dyDescent="0.25">
      <c r="W1380" s="574">
        <f t="shared" si="40"/>
        <v>1371</v>
      </c>
      <c r="X1380" s="564">
        <v>33</v>
      </c>
    </row>
    <row r="1381" spans="23:24" x14ac:dyDescent="0.25">
      <c r="W1381" s="574">
        <f t="shared" si="40"/>
        <v>1372</v>
      </c>
      <c r="X1381" s="564">
        <v>33</v>
      </c>
    </row>
    <row r="1382" spans="23:24" x14ac:dyDescent="0.25">
      <c r="W1382" s="574">
        <f t="shared" si="40"/>
        <v>1373</v>
      </c>
      <c r="X1382" s="564">
        <v>33</v>
      </c>
    </row>
    <row r="1383" spans="23:24" x14ac:dyDescent="0.25">
      <c r="W1383" s="574">
        <f t="shared" si="40"/>
        <v>1374</v>
      </c>
      <c r="X1383" s="564">
        <v>33</v>
      </c>
    </row>
    <row r="1384" spans="23:24" x14ac:dyDescent="0.25">
      <c r="W1384" s="574">
        <f t="shared" si="40"/>
        <v>1375</v>
      </c>
      <c r="X1384" s="564">
        <v>33</v>
      </c>
    </row>
    <row r="1385" spans="23:24" x14ac:dyDescent="0.25">
      <c r="W1385" s="574">
        <f t="shared" si="40"/>
        <v>1376</v>
      </c>
      <c r="X1385" s="564">
        <v>33</v>
      </c>
    </row>
    <row r="1386" spans="23:24" x14ac:dyDescent="0.25">
      <c r="W1386" s="574">
        <f t="shared" si="40"/>
        <v>1377</v>
      </c>
      <c r="X1386" s="564">
        <v>33</v>
      </c>
    </row>
    <row r="1387" spans="23:24" x14ac:dyDescent="0.25">
      <c r="W1387" s="574">
        <f t="shared" si="40"/>
        <v>1378</v>
      </c>
      <c r="X1387" s="564">
        <v>33</v>
      </c>
    </row>
    <row r="1388" spans="23:24" x14ac:dyDescent="0.25">
      <c r="W1388" s="574">
        <f t="shared" si="40"/>
        <v>1379</v>
      </c>
      <c r="X1388" s="564">
        <v>33</v>
      </c>
    </row>
    <row r="1389" spans="23:24" x14ac:dyDescent="0.25">
      <c r="W1389" s="574">
        <f t="shared" si="40"/>
        <v>1380</v>
      </c>
      <c r="X1389" s="564">
        <v>33</v>
      </c>
    </row>
    <row r="1390" spans="23:24" x14ac:dyDescent="0.25">
      <c r="W1390" s="574">
        <f t="shared" si="40"/>
        <v>1381</v>
      </c>
      <c r="X1390" s="564">
        <v>33</v>
      </c>
    </row>
    <row r="1391" spans="23:24" x14ac:dyDescent="0.25">
      <c r="W1391" s="574">
        <f t="shared" si="40"/>
        <v>1382</v>
      </c>
      <c r="X1391" s="564">
        <v>33</v>
      </c>
    </row>
    <row r="1392" spans="23:24" x14ac:dyDescent="0.25">
      <c r="W1392" s="574">
        <f t="shared" si="40"/>
        <v>1383</v>
      </c>
      <c r="X1392" s="564">
        <v>33</v>
      </c>
    </row>
    <row r="1393" spans="23:24" x14ac:dyDescent="0.25">
      <c r="W1393" s="574">
        <f t="shared" si="40"/>
        <v>1384</v>
      </c>
      <c r="X1393" s="564">
        <v>33</v>
      </c>
    </row>
    <row r="1394" spans="23:24" x14ac:dyDescent="0.25">
      <c r="W1394" s="574">
        <f t="shared" si="40"/>
        <v>1385</v>
      </c>
      <c r="X1394" s="564">
        <v>33</v>
      </c>
    </row>
    <row r="1395" spans="23:24" x14ac:dyDescent="0.25">
      <c r="W1395" s="574">
        <f t="shared" si="40"/>
        <v>1386</v>
      </c>
      <c r="X1395" s="564">
        <v>33</v>
      </c>
    </row>
    <row r="1396" spans="23:24" x14ac:dyDescent="0.25">
      <c r="W1396" s="574">
        <f t="shared" si="40"/>
        <v>1387</v>
      </c>
      <c r="X1396" s="564">
        <v>33</v>
      </c>
    </row>
    <row r="1397" spans="23:24" x14ac:dyDescent="0.25">
      <c r="W1397" s="574">
        <f t="shared" si="40"/>
        <v>1388</v>
      </c>
      <c r="X1397" s="564">
        <v>33</v>
      </c>
    </row>
    <row r="1398" spans="23:24" x14ac:dyDescent="0.25">
      <c r="W1398" s="574">
        <f t="shared" si="40"/>
        <v>1389</v>
      </c>
      <c r="X1398" s="564">
        <v>33</v>
      </c>
    </row>
    <row r="1399" spans="23:24" x14ac:dyDescent="0.25">
      <c r="W1399" s="574">
        <f t="shared" si="40"/>
        <v>1390</v>
      </c>
      <c r="X1399" s="564">
        <v>33</v>
      </c>
    </row>
    <row r="1400" spans="23:24" x14ac:dyDescent="0.25">
      <c r="W1400" s="574">
        <f t="shared" si="40"/>
        <v>1391</v>
      </c>
      <c r="X1400" s="564">
        <v>33</v>
      </c>
    </row>
    <row r="1401" spans="23:24" x14ac:dyDescent="0.25">
      <c r="W1401" s="574">
        <f t="shared" si="40"/>
        <v>1392</v>
      </c>
      <c r="X1401" s="564">
        <v>33</v>
      </c>
    </row>
    <row r="1402" spans="23:24" x14ac:dyDescent="0.25">
      <c r="W1402" s="574">
        <f t="shared" si="40"/>
        <v>1393</v>
      </c>
      <c r="X1402" s="564">
        <v>33</v>
      </c>
    </row>
    <row r="1403" spans="23:24" x14ac:dyDescent="0.25">
      <c r="W1403" s="574">
        <f t="shared" si="40"/>
        <v>1394</v>
      </c>
      <c r="X1403" s="564">
        <v>33</v>
      </c>
    </row>
    <row r="1404" spans="23:24" x14ac:dyDescent="0.25">
      <c r="W1404" s="574">
        <f t="shared" si="40"/>
        <v>1395</v>
      </c>
      <c r="X1404" s="564">
        <v>33</v>
      </c>
    </row>
    <row r="1405" spans="23:24" x14ac:dyDescent="0.25">
      <c r="W1405" s="574">
        <f t="shared" si="40"/>
        <v>1396</v>
      </c>
      <c r="X1405" s="564">
        <v>33</v>
      </c>
    </row>
    <row r="1406" spans="23:24" x14ac:dyDescent="0.25">
      <c r="W1406" s="574">
        <f t="shared" si="40"/>
        <v>1397</v>
      </c>
      <c r="X1406" s="564">
        <v>33</v>
      </c>
    </row>
    <row r="1407" spans="23:24" x14ac:dyDescent="0.25">
      <c r="W1407" s="574">
        <f t="shared" si="40"/>
        <v>1398</v>
      </c>
      <c r="X1407" s="564">
        <v>33</v>
      </c>
    </row>
    <row r="1408" spans="23:24" x14ac:dyDescent="0.25">
      <c r="W1408" s="574">
        <f t="shared" si="40"/>
        <v>1399</v>
      </c>
      <c r="X1408" s="564">
        <v>33</v>
      </c>
    </row>
    <row r="1409" spans="23:24" x14ac:dyDescent="0.25">
      <c r="W1409" s="574">
        <f t="shared" si="40"/>
        <v>1400</v>
      </c>
      <c r="X1409" s="564">
        <v>33</v>
      </c>
    </row>
    <row r="1410" spans="23:24" x14ac:dyDescent="0.25">
      <c r="W1410" s="574">
        <f t="shared" si="40"/>
        <v>1401</v>
      </c>
      <c r="X1410" s="564">
        <v>33</v>
      </c>
    </row>
    <row r="1411" spans="23:24" x14ac:dyDescent="0.25">
      <c r="W1411" s="574">
        <f t="shared" si="40"/>
        <v>1402</v>
      </c>
      <c r="X1411" s="564">
        <v>33</v>
      </c>
    </row>
    <row r="1412" spans="23:24" x14ac:dyDescent="0.25">
      <c r="W1412" s="574">
        <f t="shared" si="40"/>
        <v>1403</v>
      </c>
      <c r="X1412" s="564">
        <v>33</v>
      </c>
    </row>
    <row r="1413" spans="23:24" x14ac:dyDescent="0.25">
      <c r="W1413" s="574">
        <f t="shared" si="40"/>
        <v>1404</v>
      </c>
      <c r="X1413" s="564">
        <v>33</v>
      </c>
    </row>
    <row r="1414" spans="23:24" x14ac:dyDescent="0.25">
      <c r="W1414" s="574">
        <f t="shared" si="40"/>
        <v>1405</v>
      </c>
      <c r="X1414" s="564">
        <v>33</v>
      </c>
    </row>
    <row r="1415" spans="23:24" x14ac:dyDescent="0.25">
      <c r="W1415" s="574">
        <f t="shared" si="40"/>
        <v>1406</v>
      </c>
      <c r="X1415" s="564">
        <v>33</v>
      </c>
    </row>
    <row r="1416" spans="23:24" x14ac:dyDescent="0.25">
      <c r="W1416" s="574">
        <f t="shared" si="40"/>
        <v>1407</v>
      </c>
      <c r="X1416" s="564">
        <v>33</v>
      </c>
    </row>
    <row r="1417" spans="23:24" x14ac:dyDescent="0.25">
      <c r="W1417" s="574">
        <f t="shared" si="40"/>
        <v>1408</v>
      </c>
      <c r="X1417" s="564">
        <v>33</v>
      </c>
    </row>
    <row r="1418" spans="23:24" x14ac:dyDescent="0.25">
      <c r="W1418" s="574">
        <f t="shared" si="40"/>
        <v>1409</v>
      </c>
      <c r="X1418" s="564">
        <v>33</v>
      </c>
    </row>
    <row r="1419" spans="23:24" x14ac:dyDescent="0.25">
      <c r="W1419" s="574">
        <f t="shared" si="40"/>
        <v>1410</v>
      </c>
      <c r="X1419" s="564">
        <v>33</v>
      </c>
    </row>
    <row r="1420" spans="23:24" x14ac:dyDescent="0.25">
      <c r="W1420" s="574">
        <f t="shared" si="40"/>
        <v>1411</v>
      </c>
      <c r="X1420" s="564">
        <v>33</v>
      </c>
    </row>
    <row r="1421" spans="23:24" x14ac:dyDescent="0.25">
      <c r="W1421" s="574">
        <f t="shared" si="40"/>
        <v>1412</v>
      </c>
      <c r="X1421" s="564">
        <v>33</v>
      </c>
    </row>
    <row r="1422" spans="23:24" x14ac:dyDescent="0.25">
      <c r="W1422" s="574">
        <f t="shared" si="40"/>
        <v>1413</v>
      </c>
      <c r="X1422" s="564">
        <v>33</v>
      </c>
    </row>
    <row r="1423" spans="23:24" x14ac:dyDescent="0.25">
      <c r="W1423" s="574">
        <f t="shared" si="40"/>
        <v>1414</v>
      </c>
      <c r="X1423" s="564">
        <v>33</v>
      </c>
    </row>
    <row r="1424" spans="23:24" x14ac:dyDescent="0.25">
      <c r="W1424" s="574">
        <f t="shared" si="40"/>
        <v>1415</v>
      </c>
      <c r="X1424" s="564">
        <v>33</v>
      </c>
    </row>
    <row r="1425" spans="23:24" x14ac:dyDescent="0.25">
      <c r="W1425" s="574">
        <f t="shared" si="40"/>
        <v>1416</v>
      </c>
      <c r="X1425" s="564">
        <v>33</v>
      </c>
    </row>
    <row r="1426" spans="23:24" x14ac:dyDescent="0.25">
      <c r="W1426" s="574">
        <f t="shared" si="40"/>
        <v>1417</v>
      </c>
      <c r="X1426" s="564">
        <v>33</v>
      </c>
    </row>
    <row r="1427" spans="23:24" x14ac:dyDescent="0.25">
      <c r="W1427" s="574">
        <f t="shared" si="40"/>
        <v>1418</v>
      </c>
      <c r="X1427" s="564">
        <v>33</v>
      </c>
    </row>
    <row r="1428" spans="23:24" x14ac:dyDescent="0.25">
      <c r="W1428" s="574">
        <f t="shared" si="40"/>
        <v>1419</v>
      </c>
      <c r="X1428" s="564">
        <v>33</v>
      </c>
    </row>
    <row r="1429" spans="23:24" x14ac:dyDescent="0.25">
      <c r="W1429" s="574">
        <f t="shared" si="40"/>
        <v>1420</v>
      </c>
      <c r="X1429" s="564">
        <v>33</v>
      </c>
    </row>
    <row r="1430" spans="23:24" x14ac:dyDescent="0.25">
      <c r="W1430" s="574">
        <f t="shared" si="40"/>
        <v>1421</v>
      </c>
      <c r="X1430" s="564">
        <v>33</v>
      </c>
    </row>
    <row r="1431" spans="23:24" x14ac:dyDescent="0.25">
      <c r="W1431" s="574">
        <f t="shared" si="40"/>
        <v>1422</v>
      </c>
      <c r="X1431" s="564">
        <v>33</v>
      </c>
    </row>
    <row r="1432" spans="23:24" x14ac:dyDescent="0.25">
      <c r="W1432" s="574">
        <f t="shared" si="40"/>
        <v>1423</v>
      </c>
      <c r="X1432" s="564">
        <v>33</v>
      </c>
    </row>
    <row r="1433" spans="23:24" x14ac:dyDescent="0.25">
      <c r="W1433" s="574">
        <f t="shared" si="40"/>
        <v>1424</v>
      </c>
      <c r="X1433" s="564">
        <v>33</v>
      </c>
    </row>
    <row r="1434" spans="23:24" x14ac:dyDescent="0.25">
      <c r="W1434" s="574">
        <f t="shared" ref="W1434:W1497" si="41">W1433+1</f>
        <v>1425</v>
      </c>
      <c r="X1434" s="564">
        <v>33</v>
      </c>
    </row>
    <row r="1435" spans="23:24" x14ac:dyDescent="0.25">
      <c r="W1435" s="574">
        <f t="shared" si="41"/>
        <v>1426</v>
      </c>
      <c r="X1435" s="564">
        <v>33</v>
      </c>
    </row>
    <row r="1436" spans="23:24" x14ac:dyDescent="0.25">
      <c r="W1436" s="574">
        <f t="shared" si="41"/>
        <v>1427</v>
      </c>
      <c r="X1436" s="564">
        <v>33</v>
      </c>
    </row>
    <row r="1437" spans="23:24" x14ac:dyDescent="0.25">
      <c r="W1437" s="574">
        <f t="shared" si="41"/>
        <v>1428</v>
      </c>
      <c r="X1437" s="564">
        <v>33</v>
      </c>
    </row>
    <row r="1438" spans="23:24" x14ac:dyDescent="0.25">
      <c r="W1438" s="574">
        <f t="shared" si="41"/>
        <v>1429</v>
      </c>
      <c r="X1438" s="564">
        <v>33</v>
      </c>
    </row>
    <row r="1439" spans="23:24" x14ac:dyDescent="0.25">
      <c r="W1439" s="574">
        <f t="shared" si="41"/>
        <v>1430</v>
      </c>
      <c r="X1439" s="564">
        <v>33</v>
      </c>
    </row>
    <row r="1440" spans="23:24" x14ac:dyDescent="0.25">
      <c r="W1440" s="574">
        <f t="shared" si="41"/>
        <v>1431</v>
      </c>
      <c r="X1440" s="564">
        <v>33</v>
      </c>
    </row>
    <row r="1441" spans="23:24" x14ac:dyDescent="0.25">
      <c r="W1441" s="574">
        <f t="shared" si="41"/>
        <v>1432</v>
      </c>
      <c r="X1441" s="564">
        <v>33</v>
      </c>
    </row>
    <row r="1442" spans="23:24" x14ac:dyDescent="0.25">
      <c r="W1442" s="574">
        <f t="shared" si="41"/>
        <v>1433</v>
      </c>
      <c r="X1442" s="564">
        <v>33</v>
      </c>
    </row>
    <row r="1443" spans="23:24" x14ac:dyDescent="0.25">
      <c r="W1443" s="574">
        <f t="shared" si="41"/>
        <v>1434</v>
      </c>
      <c r="X1443" s="564">
        <v>33</v>
      </c>
    </row>
    <row r="1444" spans="23:24" x14ac:dyDescent="0.25">
      <c r="W1444" s="574">
        <f t="shared" si="41"/>
        <v>1435</v>
      </c>
      <c r="X1444" s="564">
        <v>33</v>
      </c>
    </row>
    <row r="1445" spans="23:24" x14ac:dyDescent="0.25">
      <c r="W1445" s="574">
        <f t="shared" si="41"/>
        <v>1436</v>
      </c>
      <c r="X1445" s="564">
        <v>33</v>
      </c>
    </row>
    <row r="1446" spans="23:24" x14ac:dyDescent="0.25">
      <c r="W1446" s="574">
        <f t="shared" si="41"/>
        <v>1437</v>
      </c>
      <c r="X1446" s="564">
        <v>33</v>
      </c>
    </row>
    <row r="1447" spans="23:24" x14ac:dyDescent="0.25">
      <c r="W1447" s="574">
        <f t="shared" si="41"/>
        <v>1438</v>
      </c>
      <c r="X1447" s="564">
        <v>33</v>
      </c>
    </row>
    <row r="1448" spans="23:24" x14ac:dyDescent="0.25">
      <c r="W1448" s="574">
        <f t="shared" si="41"/>
        <v>1439</v>
      </c>
      <c r="X1448" s="564">
        <v>33</v>
      </c>
    </row>
    <row r="1449" spans="23:24" x14ac:dyDescent="0.25">
      <c r="W1449" s="574">
        <f t="shared" si="41"/>
        <v>1440</v>
      </c>
      <c r="X1449" s="564">
        <v>33</v>
      </c>
    </row>
    <row r="1450" spans="23:24" x14ac:dyDescent="0.25">
      <c r="W1450" s="574">
        <f t="shared" si="41"/>
        <v>1441</v>
      </c>
      <c r="X1450" s="564">
        <v>33</v>
      </c>
    </row>
    <row r="1451" spans="23:24" x14ac:dyDescent="0.25">
      <c r="W1451" s="574">
        <f t="shared" si="41"/>
        <v>1442</v>
      </c>
      <c r="X1451" s="564">
        <v>33</v>
      </c>
    </row>
    <row r="1452" spans="23:24" x14ac:dyDescent="0.25">
      <c r="W1452" s="574">
        <f t="shared" si="41"/>
        <v>1443</v>
      </c>
      <c r="X1452" s="564">
        <v>33</v>
      </c>
    </row>
    <row r="1453" spans="23:24" x14ac:dyDescent="0.25">
      <c r="W1453" s="574">
        <f t="shared" si="41"/>
        <v>1444</v>
      </c>
      <c r="X1453" s="564">
        <v>33</v>
      </c>
    </row>
    <row r="1454" spans="23:24" x14ac:dyDescent="0.25">
      <c r="W1454" s="574">
        <f t="shared" si="41"/>
        <v>1445</v>
      </c>
      <c r="X1454" s="564">
        <v>33</v>
      </c>
    </row>
    <row r="1455" spans="23:24" x14ac:dyDescent="0.25">
      <c r="W1455" s="574">
        <f t="shared" si="41"/>
        <v>1446</v>
      </c>
      <c r="X1455" s="564">
        <v>33</v>
      </c>
    </row>
    <row r="1456" spans="23:24" x14ac:dyDescent="0.25">
      <c r="W1456" s="574">
        <f t="shared" si="41"/>
        <v>1447</v>
      </c>
      <c r="X1456" s="564">
        <v>33</v>
      </c>
    </row>
    <row r="1457" spans="23:24" x14ac:dyDescent="0.25">
      <c r="W1457" s="574">
        <f t="shared" si="41"/>
        <v>1448</v>
      </c>
      <c r="X1457" s="564">
        <v>33</v>
      </c>
    </row>
    <row r="1458" spans="23:24" x14ac:dyDescent="0.25">
      <c r="W1458" s="574">
        <f t="shared" si="41"/>
        <v>1449</v>
      </c>
      <c r="X1458" s="564">
        <v>33</v>
      </c>
    </row>
    <row r="1459" spans="23:24" x14ac:dyDescent="0.25">
      <c r="W1459" s="574">
        <f t="shared" si="41"/>
        <v>1450</v>
      </c>
      <c r="X1459" s="564">
        <v>33</v>
      </c>
    </row>
    <row r="1460" spans="23:24" x14ac:dyDescent="0.25">
      <c r="W1460" s="574">
        <f t="shared" si="41"/>
        <v>1451</v>
      </c>
      <c r="X1460" s="564">
        <v>33</v>
      </c>
    </row>
    <row r="1461" spans="23:24" x14ac:dyDescent="0.25">
      <c r="W1461" s="574">
        <f t="shared" si="41"/>
        <v>1452</v>
      </c>
      <c r="X1461" s="564">
        <v>33</v>
      </c>
    </row>
    <row r="1462" spans="23:24" x14ac:dyDescent="0.25">
      <c r="W1462" s="574">
        <f t="shared" si="41"/>
        <v>1453</v>
      </c>
      <c r="X1462" s="564">
        <v>33</v>
      </c>
    </row>
    <row r="1463" spans="23:24" x14ac:dyDescent="0.25">
      <c r="W1463" s="574">
        <f t="shared" si="41"/>
        <v>1454</v>
      </c>
      <c r="X1463" s="564">
        <v>33</v>
      </c>
    </row>
    <row r="1464" spans="23:24" x14ac:dyDescent="0.25">
      <c r="W1464" s="574">
        <f t="shared" si="41"/>
        <v>1455</v>
      </c>
      <c r="X1464" s="564">
        <v>33</v>
      </c>
    </row>
    <row r="1465" spans="23:24" x14ac:dyDescent="0.25">
      <c r="W1465" s="574">
        <f t="shared" si="41"/>
        <v>1456</v>
      </c>
      <c r="X1465" s="564">
        <v>33</v>
      </c>
    </row>
    <row r="1466" spans="23:24" x14ac:dyDescent="0.25">
      <c r="W1466" s="574">
        <f t="shared" si="41"/>
        <v>1457</v>
      </c>
      <c r="X1466" s="564">
        <v>33</v>
      </c>
    </row>
    <row r="1467" spans="23:24" x14ac:dyDescent="0.25">
      <c r="W1467" s="574">
        <f t="shared" si="41"/>
        <v>1458</v>
      </c>
      <c r="X1467" s="564">
        <v>33</v>
      </c>
    </row>
    <row r="1468" spans="23:24" x14ac:dyDescent="0.25">
      <c r="W1468" s="574">
        <f t="shared" si="41"/>
        <v>1459</v>
      </c>
      <c r="X1468" s="564">
        <v>33</v>
      </c>
    </row>
    <row r="1469" spans="23:24" x14ac:dyDescent="0.25">
      <c r="W1469" s="574">
        <f t="shared" si="41"/>
        <v>1460</v>
      </c>
      <c r="X1469" s="564">
        <v>33</v>
      </c>
    </row>
    <row r="1470" spans="23:24" x14ac:dyDescent="0.25">
      <c r="W1470" s="574">
        <f t="shared" si="41"/>
        <v>1461</v>
      </c>
      <c r="X1470" s="564">
        <v>33</v>
      </c>
    </row>
    <row r="1471" spans="23:24" x14ac:dyDescent="0.25">
      <c r="W1471" s="574">
        <f t="shared" si="41"/>
        <v>1462</v>
      </c>
      <c r="X1471" s="564">
        <v>33</v>
      </c>
    </row>
    <row r="1472" spans="23:24" x14ac:dyDescent="0.25">
      <c r="W1472" s="574">
        <f t="shared" si="41"/>
        <v>1463</v>
      </c>
      <c r="X1472" s="564">
        <v>33</v>
      </c>
    </row>
    <row r="1473" spans="23:24" x14ac:dyDescent="0.25">
      <c r="W1473" s="574">
        <f t="shared" si="41"/>
        <v>1464</v>
      </c>
      <c r="X1473" s="564">
        <v>33</v>
      </c>
    </row>
    <row r="1474" spans="23:24" x14ac:dyDescent="0.25">
      <c r="W1474" s="574">
        <f t="shared" si="41"/>
        <v>1465</v>
      </c>
      <c r="X1474" s="564">
        <v>33</v>
      </c>
    </row>
    <row r="1475" spans="23:24" x14ac:dyDescent="0.25">
      <c r="W1475" s="574">
        <f t="shared" si="41"/>
        <v>1466</v>
      </c>
      <c r="X1475" s="564">
        <v>33</v>
      </c>
    </row>
    <row r="1476" spans="23:24" x14ac:dyDescent="0.25">
      <c r="W1476" s="574">
        <f t="shared" si="41"/>
        <v>1467</v>
      </c>
      <c r="X1476" s="564">
        <v>33</v>
      </c>
    </row>
    <row r="1477" spans="23:24" x14ac:dyDescent="0.25">
      <c r="W1477" s="574">
        <f t="shared" si="41"/>
        <v>1468</v>
      </c>
      <c r="X1477" s="564">
        <v>33</v>
      </c>
    </row>
    <row r="1478" spans="23:24" x14ac:dyDescent="0.25">
      <c r="W1478" s="574">
        <f t="shared" si="41"/>
        <v>1469</v>
      </c>
      <c r="X1478" s="564">
        <v>33</v>
      </c>
    </row>
    <row r="1479" spans="23:24" x14ac:dyDescent="0.25">
      <c r="W1479" s="574">
        <f t="shared" si="41"/>
        <v>1470</v>
      </c>
      <c r="X1479" s="564">
        <v>33</v>
      </c>
    </row>
    <row r="1480" spans="23:24" x14ac:dyDescent="0.25">
      <c r="W1480" s="574">
        <f t="shared" si="41"/>
        <v>1471</v>
      </c>
      <c r="X1480" s="564">
        <v>33</v>
      </c>
    </row>
    <row r="1481" spans="23:24" x14ac:dyDescent="0.25">
      <c r="W1481" s="574">
        <f t="shared" si="41"/>
        <v>1472</v>
      </c>
      <c r="X1481" s="564">
        <v>33</v>
      </c>
    </row>
    <row r="1482" spans="23:24" x14ac:dyDescent="0.25">
      <c r="W1482" s="574">
        <f t="shared" si="41"/>
        <v>1473</v>
      </c>
      <c r="X1482" s="564">
        <v>33</v>
      </c>
    </row>
    <row r="1483" spans="23:24" x14ac:dyDescent="0.25">
      <c r="W1483" s="574">
        <f t="shared" si="41"/>
        <v>1474</v>
      </c>
      <c r="X1483" s="564">
        <v>33</v>
      </c>
    </row>
    <row r="1484" spans="23:24" x14ac:dyDescent="0.25">
      <c r="W1484" s="574">
        <f t="shared" si="41"/>
        <v>1475</v>
      </c>
      <c r="X1484" s="564">
        <v>33</v>
      </c>
    </row>
    <row r="1485" spans="23:24" x14ac:dyDescent="0.25">
      <c r="W1485" s="574">
        <f t="shared" si="41"/>
        <v>1476</v>
      </c>
      <c r="X1485" s="564">
        <v>33</v>
      </c>
    </row>
    <row r="1486" spans="23:24" x14ac:dyDescent="0.25">
      <c r="W1486" s="574">
        <f t="shared" si="41"/>
        <v>1477</v>
      </c>
      <c r="X1486" s="564">
        <v>33</v>
      </c>
    </row>
    <row r="1487" spans="23:24" x14ac:dyDescent="0.25">
      <c r="W1487" s="574">
        <f t="shared" si="41"/>
        <v>1478</v>
      </c>
      <c r="X1487" s="564">
        <v>33</v>
      </c>
    </row>
    <row r="1488" spans="23:24" x14ac:dyDescent="0.25">
      <c r="W1488" s="574">
        <f t="shared" si="41"/>
        <v>1479</v>
      </c>
      <c r="X1488" s="564">
        <v>33</v>
      </c>
    </row>
    <row r="1489" spans="23:24" x14ac:dyDescent="0.25">
      <c r="W1489" s="574">
        <f t="shared" si="41"/>
        <v>1480</v>
      </c>
      <c r="X1489" s="564">
        <v>33</v>
      </c>
    </row>
    <row r="1490" spans="23:24" x14ac:dyDescent="0.25">
      <c r="W1490" s="574">
        <f t="shared" si="41"/>
        <v>1481</v>
      </c>
      <c r="X1490" s="564">
        <v>33</v>
      </c>
    </row>
    <row r="1491" spans="23:24" x14ac:dyDescent="0.25">
      <c r="W1491" s="574">
        <f t="shared" si="41"/>
        <v>1482</v>
      </c>
      <c r="X1491" s="564">
        <v>33</v>
      </c>
    </row>
    <row r="1492" spans="23:24" x14ac:dyDescent="0.25">
      <c r="W1492" s="574">
        <f t="shared" si="41"/>
        <v>1483</v>
      </c>
      <c r="X1492" s="564">
        <v>33</v>
      </c>
    </row>
    <row r="1493" spans="23:24" x14ac:dyDescent="0.25">
      <c r="W1493" s="574">
        <f t="shared" si="41"/>
        <v>1484</v>
      </c>
      <c r="X1493" s="564">
        <v>33</v>
      </c>
    </row>
    <row r="1494" spans="23:24" x14ac:dyDescent="0.25">
      <c r="W1494" s="574">
        <f t="shared" si="41"/>
        <v>1485</v>
      </c>
      <c r="X1494" s="564">
        <v>33</v>
      </c>
    </row>
    <row r="1495" spans="23:24" x14ac:dyDescent="0.25">
      <c r="W1495" s="574">
        <f t="shared" si="41"/>
        <v>1486</v>
      </c>
      <c r="X1495" s="564">
        <v>33</v>
      </c>
    </row>
    <row r="1496" spans="23:24" x14ac:dyDescent="0.25">
      <c r="W1496" s="574">
        <f t="shared" si="41"/>
        <v>1487</v>
      </c>
      <c r="X1496" s="564">
        <v>33</v>
      </c>
    </row>
    <row r="1497" spans="23:24" x14ac:dyDescent="0.25">
      <c r="W1497" s="574">
        <f t="shared" si="41"/>
        <v>1488</v>
      </c>
      <c r="X1497" s="564">
        <v>33</v>
      </c>
    </row>
    <row r="1498" spans="23:24" x14ac:dyDescent="0.25">
      <c r="W1498" s="574">
        <f t="shared" ref="W1498:W1561" si="42">W1497+1</f>
        <v>1489</v>
      </c>
      <c r="X1498" s="564">
        <v>33</v>
      </c>
    </row>
    <row r="1499" spans="23:24" x14ac:dyDescent="0.25">
      <c r="W1499" s="574">
        <f t="shared" si="42"/>
        <v>1490</v>
      </c>
      <c r="X1499" s="564">
        <v>33</v>
      </c>
    </row>
    <row r="1500" spans="23:24" x14ac:dyDescent="0.25">
      <c r="W1500" s="574">
        <f t="shared" si="42"/>
        <v>1491</v>
      </c>
      <c r="X1500" s="564">
        <v>33</v>
      </c>
    </row>
    <row r="1501" spans="23:24" x14ac:dyDescent="0.25">
      <c r="W1501" s="574">
        <f t="shared" si="42"/>
        <v>1492</v>
      </c>
      <c r="X1501" s="564">
        <v>33</v>
      </c>
    </row>
    <row r="1502" spans="23:24" x14ac:dyDescent="0.25">
      <c r="W1502" s="574">
        <f t="shared" si="42"/>
        <v>1493</v>
      </c>
      <c r="X1502" s="564">
        <v>33</v>
      </c>
    </row>
    <row r="1503" spans="23:24" x14ac:dyDescent="0.25">
      <c r="W1503" s="574">
        <f t="shared" si="42"/>
        <v>1494</v>
      </c>
      <c r="X1503" s="564">
        <v>33</v>
      </c>
    </row>
    <row r="1504" spans="23:24" x14ac:dyDescent="0.25">
      <c r="W1504" s="574">
        <f t="shared" si="42"/>
        <v>1495</v>
      </c>
      <c r="X1504" s="564">
        <v>33</v>
      </c>
    </row>
    <row r="1505" spans="23:24" x14ac:dyDescent="0.25">
      <c r="W1505" s="574">
        <f t="shared" si="42"/>
        <v>1496</v>
      </c>
      <c r="X1505" s="564">
        <v>33</v>
      </c>
    </row>
    <row r="1506" spans="23:24" x14ac:dyDescent="0.25">
      <c r="W1506" s="574">
        <f t="shared" si="42"/>
        <v>1497</v>
      </c>
      <c r="X1506" s="564">
        <v>33</v>
      </c>
    </row>
    <row r="1507" spans="23:24" x14ac:dyDescent="0.25">
      <c r="W1507" s="574">
        <f t="shared" si="42"/>
        <v>1498</v>
      </c>
      <c r="X1507" s="564">
        <v>33</v>
      </c>
    </row>
    <row r="1508" spans="23:24" x14ac:dyDescent="0.25">
      <c r="W1508" s="574">
        <f t="shared" si="42"/>
        <v>1499</v>
      </c>
      <c r="X1508" s="564">
        <v>33</v>
      </c>
    </row>
    <row r="1509" spans="23:24" x14ac:dyDescent="0.25">
      <c r="W1509" s="574">
        <f t="shared" si="42"/>
        <v>1500</v>
      </c>
      <c r="X1509" s="564">
        <v>34</v>
      </c>
    </row>
    <row r="1510" spans="23:24" x14ac:dyDescent="0.25">
      <c r="W1510" s="574">
        <f t="shared" si="42"/>
        <v>1501</v>
      </c>
      <c r="X1510" s="564">
        <v>34</v>
      </c>
    </row>
    <row r="1511" spans="23:24" x14ac:dyDescent="0.25">
      <c r="W1511" s="574">
        <f t="shared" si="42"/>
        <v>1502</v>
      </c>
      <c r="X1511" s="564">
        <v>34</v>
      </c>
    </row>
    <row r="1512" spans="23:24" x14ac:dyDescent="0.25">
      <c r="W1512" s="574">
        <f t="shared" si="42"/>
        <v>1503</v>
      </c>
      <c r="X1512" s="564">
        <v>34</v>
      </c>
    </row>
    <row r="1513" spans="23:24" x14ac:dyDescent="0.25">
      <c r="W1513" s="574">
        <f t="shared" si="42"/>
        <v>1504</v>
      </c>
      <c r="X1513" s="564">
        <v>34</v>
      </c>
    </row>
    <row r="1514" spans="23:24" x14ac:dyDescent="0.25">
      <c r="W1514" s="574">
        <f t="shared" si="42"/>
        <v>1505</v>
      </c>
      <c r="X1514" s="564">
        <v>34</v>
      </c>
    </row>
    <row r="1515" spans="23:24" x14ac:dyDescent="0.25">
      <c r="W1515" s="574">
        <f t="shared" si="42"/>
        <v>1506</v>
      </c>
      <c r="X1515" s="564">
        <v>34</v>
      </c>
    </row>
    <row r="1516" spans="23:24" x14ac:dyDescent="0.25">
      <c r="W1516" s="574">
        <f t="shared" si="42"/>
        <v>1507</v>
      </c>
      <c r="X1516" s="564">
        <v>34</v>
      </c>
    </row>
    <row r="1517" spans="23:24" x14ac:dyDescent="0.25">
      <c r="W1517" s="574">
        <f t="shared" si="42"/>
        <v>1508</v>
      </c>
      <c r="X1517" s="564">
        <v>34</v>
      </c>
    </row>
    <row r="1518" spans="23:24" x14ac:dyDescent="0.25">
      <c r="W1518" s="574">
        <f t="shared" si="42"/>
        <v>1509</v>
      </c>
      <c r="X1518" s="564">
        <v>34</v>
      </c>
    </row>
    <row r="1519" spans="23:24" x14ac:dyDescent="0.25">
      <c r="W1519" s="574">
        <f t="shared" si="42"/>
        <v>1510</v>
      </c>
      <c r="X1519" s="564">
        <v>34</v>
      </c>
    </row>
    <row r="1520" spans="23:24" x14ac:dyDescent="0.25">
      <c r="W1520" s="574">
        <f t="shared" si="42"/>
        <v>1511</v>
      </c>
      <c r="X1520" s="564">
        <v>34</v>
      </c>
    </row>
    <row r="1521" spans="23:24" x14ac:dyDescent="0.25">
      <c r="W1521" s="574">
        <f t="shared" si="42"/>
        <v>1512</v>
      </c>
      <c r="X1521" s="564">
        <v>34</v>
      </c>
    </row>
    <row r="1522" spans="23:24" x14ac:dyDescent="0.25">
      <c r="W1522" s="574">
        <f t="shared" si="42"/>
        <v>1513</v>
      </c>
      <c r="X1522" s="564">
        <v>34</v>
      </c>
    </row>
    <row r="1523" spans="23:24" x14ac:dyDescent="0.25">
      <c r="W1523" s="574">
        <f t="shared" si="42"/>
        <v>1514</v>
      </c>
      <c r="X1523" s="564">
        <v>34</v>
      </c>
    </row>
    <row r="1524" spans="23:24" x14ac:dyDescent="0.25">
      <c r="W1524" s="574">
        <f t="shared" si="42"/>
        <v>1515</v>
      </c>
      <c r="X1524" s="564">
        <v>34</v>
      </c>
    </row>
    <row r="1525" spans="23:24" x14ac:dyDescent="0.25">
      <c r="W1525" s="574">
        <f t="shared" si="42"/>
        <v>1516</v>
      </c>
      <c r="X1525" s="564">
        <v>34</v>
      </c>
    </row>
    <row r="1526" spans="23:24" x14ac:dyDescent="0.25">
      <c r="W1526" s="574">
        <f t="shared" si="42"/>
        <v>1517</v>
      </c>
      <c r="X1526" s="564">
        <v>34</v>
      </c>
    </row>
    <row r="1527" spans="23:24" x14ac:dyDescent="0.25">
      <c r="W1527" s="574">
        <f t="shared" si="42"/>
        <v>1518</v>
      </c>
      <c r="X1527" s="564">
        <v>34</v>
      </c>
    </row>
    <row r="1528" spans="23:24" x14ac:dyDescent="0.25">
      <c r="W1528" s="574">
        <f t="shared" si="42"/>
        <v>1519</v>
      </c>
      <c r="X1528" s="564">
        <v>34</v>
      </c>
    </row>
    <row r="1529" spans="23:24" x14ac:dyDescent="0.25">
      <c r="W1529" s="574">
        <f t="shared" si="42"/>
        <v>1520</v>
      </c>
      <c r="X1529" s="564">
        <v>34</v>
      </c>
    </row>
    <row r="1530" spans="23:24" x14ac:dyDescent="0.25">
      <c r="W1530" s="574">
        <f t="shared" si="42"/>
        <v>1521</v>
      </c>
      <c r="X1530" s="564">
        <v>34</v>
      </c>
    </row>
    <row r="1531" spans="23:24" x14ac:dyDescent="0.25">
      <c r="W1531" s="574">
        <f t="shared" si="42"/>
        <v>1522</v>
      </c>
      <c r="X1531" s="564">
        <v>34</v>
      </c>
    </row>
    <row r="1532" spans="23:24" x14ac:dyDescent="0.25">
      <c r="W1532" s="574">
        <f t="shared" si="42"/>
        <v>1523</v>
      </c>
      <c r="X1532" s="564">
        <v>34</v>
      </c>
    </row>
    <row r="1533" spans="23:24" x14ac:dyDescent="0.25">
      <c r="W1533" s="574">
        <f t="shared" si="42"/>
        <v>1524</v>
      </c>
      <c r="X1533" s="564">
        <v>34</v>
      </c>
    </row>
    <row r="1534" spans="23:24" x14ac:dyDescent="0.25">
      <c r="W1534" s="574">
        <f t="shared" si="42"/>
        <v>1525</v>
      </c>
      <c r="X1534" s="564">
        <v>34</v>
      </c>
    </row>
    <row r="1535" spans="23:24" x14ac:dyDescent="0.25">
      <c r="W1535" s="574">
        <f t="shared" si="42"/>
        <v>1526</v>
      </c>
      <c r="X1535" s="564">
        <v>34</v>
      </c>
    </row>
    <row r="1536" spans="23:24" x14ac:dyDescent="0.25">
      <c r="W1536" s="574">
        <f t="shared" si="42"/>
        <v>1527</v>
      </c>
      <c r="X1536" s="564">
        <v>34</v>
      </c>
    </row>
    <row r="1537" spans="23:24" x14ac:dyDescent="0.25">
      <c r="W1537" s="574">
        <f t="shared" si="42"/>
        <v>1528</v>
      </c>
      <c r="X1537" s="564">
        <v>34</v>
      </c>
    </row>
    <row r="1538" spans="23:24" x14ac:dyDescent="0.25">
      <c r="W1538" s="574">
        <f t="shared" si="42"/>
        <v>1529</v>
      </c>
      <c r="X1538" s="564">
        <v>34</v>
      </c>
    </row>
    <row r="1539" spans="23:24" x14ac:dyDescent="0.25">
      <c r="W1539" s="574">
        <f t="shared" si="42"/>
        <v>1530</v>
      </c>
      <c r="X1539" s="564">
        <v>34</v>
      </c>
    </row>
    <row r="1540" spans="23:24" x14ac:dyDescent="0.25">
      <c r="W1540" s="574">
        <f t="shared" si="42"/>
        <v>1531</v>
      </c>
      <c r="X1540" s="564">
        <v>34</v>
      </c>
    </row>
    <row r="1541" spans="23:24" x14ac:dyDescent="0.25">
      <c r="W1541" s="574">
        <f t="shared" si="42"/>
        <v>1532</v>
      </c>
      <c r="X1541" s="564">
        <v>34</v>
      </c>
    </row>
    <row r="1542" spans="23:24" x14ac:dyDescent="0.25">
      <c r="W1542" s="574">
        <f t="shared" si="42"/>
        <v>1533</v>
      </c>
      <c r="X1542" s="564">
        <v>34</v>
      </c>
    </row>
    <row r="1543" spans="23:24" x14ac:dyDescent="0.25">
      <c r="W1543" s="574">
        <f t="shared" si="42"/>
        <v>1534</v>
      </c>
      <c r="X1543" s="564">
        <v>34</v>
      </c>
    </row>
    <row r="1544" spans="23:24" x14ac:dyDescent="0.25">
      <c r="W1544" s="574">
        <f t="shared" si="42"/>
        <v>1535</v>
      </c>
      <c r="X1544" s="564">
        <v>34</v>
      </c>
    </row>
    <row r="1545" spans="23:24" x14ac:dyDescent="0.25">
      <c r="W1545" s="574">
        <f t="shared" si="42"/>
        <v>1536</v>
      </c>
      <c r="X1545" s="564">
        <v>34</v>
      </c>
    </row>
    <row r="1546" spans="23:24" x14ac:dyDescent="0.25">
      <c r="W1546" s="574">
        <f t="shared" si="42"/>
        <v>1537</v>
      </c>
      <c r="X1546" s="564">
        <v>34</v>
      </c>
    </row>
    <row r="1547" spans="23:24" x14ac:dyDescent="0.25">
      <c r="W1547" s="574">
        <f t="shared" si="42"/>
        <v>1538</v>
      </c>
      <c r="X1547" s="564">
        <v>34</v>
      </c>
    </row>
    <row r="1548" spans="23:24" x14ac:dyDescent="0.25">
      <c r="W1548" s="574">
        <f t="shared" si="42"/>
        <v>1539</v>
      </c>
      <c r="X1548" s="564">
        <v>34</v>
      </c>
    </row>
    <row r="1549" spans="23:24" x14ac:dyDescent="0.25">
      <c r="W1549" s="574">
        <f t="shared" si="42"/>
        <v>1540</v>
      </c>
      <c r="X1549" s="564">
        <v>34</v>
      </c>
    </row>
    <row r="1550" spans="23:24" x14ac:dyDescent="0.25">
      <c r="W1550" s="574">
        <f t="shared" si="42"/>
        <v>1541</v>
      </c>
      <c r="X1550" s="564">
        <v>34</v>
      </c>
    </row>
    <row r="1551" spans="23:24" x14ac:dyDescent="0.25">
      <c r="W1551" s="574">
        <f t="shared" si="42"/>
        <v>1542</v>
      </c>
      <c r="X1551" s="564">
        <v>34</v>
      </c>
    </row>
    <row r="1552" spans="23:24" x14ac:dyDescent="0.25">
      <c r="W1552" s="574">
        <f t="shared" si="42"/>
        <v>1543</v>
      </c>
      <c r="X1552" s="564">
        <v>34</v>
      </c>
    </row>
    <row r="1553" spans="23:24" x14ac:dyDescent="0.25">
      <c r="W1553" s="574">
        <f t="shared" si="42"/>
        <v>1544</v>
      </c>
      <c r="X1553" s="564">
        <v>34</v>
      </c>
    </row>
    <row r="1554" spans="23:24" x14ac:dyDescent="0.25">
      <c r="W1554" s="574">
        <f t="shared" si="42"/>
        <v>1545</v>
      </c>
      <c r="X1554" s="564">
        <v>34</v>
      </c>
    </row>
    <row r="1555" spans="23:24" x14ac:dyDescent="0.25">
      <c r="W1555" s="574">
        <f t="shared" si="42"/>
        <v>1546</v>
      </c>
      <c r="X1555" s="564">
        <v>34</v>
      </c>
    </row>
    <row r="1556" spans="23:24" x14ac:dyDescent="0.25">
      <c r="W1556" s="574">
        <f t="shared" si="42"/>
        <v>1547</v>
      </c>
      <c r="X1556" s="564">
        <v>34</v>
      </c>
    </row>
    <row r="1557" spans="23:24" x14ac:dyDescent="0.25">
      <c r="W1557" s="574">
        <f t="shared" si="42"/>
        <v>1548</v>
      </c>
      <c r="X1557" s="564">
        <v>34</v>
      </c>
    </row>
    <row r="1558" spans="23:24" x14ac:dyDescent="0.25">
      <c r="W1558" s="574">
        <f t="shared" si="42"/>
        <v>1549</v>
      </c>
      <c r="X1558" s="564">
        <v>34</v>
      </c>
    </row>
    <row r="1559" spans="23:24" x14ac:dyDescent="0.25">
      <c r="W1559" s="574">
        <f t="shared" si="42"/>
        <v>1550</v>
      </c>
      <c r="X1559" s="564">
        <v>34</v>
      </c>
    </row>
    <row r="1560" spans="23:24" x14ac:dyDescent="0.25">
      <c r="W1560" s="574">
        <f t="shared" si="42"/>
        <v>1551</v>
      </c>
      <c r="X1560" s="564">
        <v>34</v>
      </c>
    </row>
    <row r="1561" spans="23:24" x14ac:dyDescent="0.25">
      <c r="W1561" s="574">
        <f t="shared" si="42"/>
        <v>1552</v>
      </c>
      <c r="X1561" s="564">
        <v>34</v>
      </c>
    </row>
    <row r="1562" spans="23:24" x14ac:dyDescent="0.25">
      <c r="W1562" s="574">
        <f t="shared" ref="W1562:W1625" si="43">W1561+1</f>
        <v>1553</v>
      </c>
      <c r="X1562" s="564">
        <v>34</v>
      </c>
    </row>
    <row r="1563" spans="23:24" x14ac:dyDescent="0.25">
      <c r="W1563" s="574">
        <f t="shared" si="43"/>
        <v>1554</v>
      </c>
      <c r="X1563" s="564">
        <v>34</v>
      </c>
    </row>
    <row r="1564" spans="23:24" x14ac:dyDescent="0.25">
      <c r="W1564" s="574">
        <f t="shared" si="43"/>
        <v>1555</v>
      </c>
      <c r="X1564" s="564">
        <v>34</v>
      </c>
    </row>
    <row r="1565" spans="23:24" x14ac:dyDescent="0.25">
      <c r="W1565" s="574">
        <f t="shared" si="43"/>
        <v>1556</v>
      </c>
      <c r="X1565" s="564">
        <v>34</v>
      </c>
    </row>
    <row r="1566" spans="23:24" x14ac:dyDescent="0.25">
      <c r="W1566" s="574">
        <f t="shared" si="43"/>
        <v>1557</v>
      </c>
      <c r="X1566" s="564">
        <v>34</v>
      </c>
    </row>
    <row r="1567" spans="23:24" x14ac:dyDescent="0.25">
      <c r="W1567" s="574">
        <f t="shared" si="43"/>
        <v>1558</v>
      </c>
      <c r="X1567" s="564">
        <v>34</v>
      </c>
    </row>
    <row r="1568" spans="23:24" x14ac:dyDescent="0.25">
      <c r="W1568" s="574">
        <f t="shared" si="43"/>
        <v>1559</v>
      </c>
      <c r="X1568" s="564">
        <v>34</v>
      </c>
    </row>
    <row r="1569" spans="23:24" x14ac:dyDescent="0.25">
      <c r="W1569" s="574">
        <f t="shared" si="43"/>
        <v>1560</v>
      </c>
      <c r="X1569" s="564">
        <v>34</v>
      </c>
    </row>
    <row r="1570" spans="23:24" x14ac:dyDescent="0.25">
      <c r="W1570" s="574">
        <f t="shared" si="43"/>
        <v>1561</v>
      </c>
      <c r="X1570" s="564">
        <v>34</v>
      </c>
    </row>
    <row r="1571" spans="23:24" x14ac:dyDescent="0.25">
      <c r="W1571" s="574">
        <f t="shared" si="43"/>
        <v>1562</v>
      </c>
      <c r="X1571" s="564">
        <v>34</v>
      </c>
    </row>
    <row r="1572" spans="23:24" x14ac:dyDescent="0.25">
      <c r="W1572" s="574">
        <f t="shared" si="43"/>
        <v>1563</v>
      </c>
      <c r="X1572" s="564">
        <v>34</v>
      </c>
    </row>
    <row r="1573" spans="23:24" x14ac:dyDescent="0.25">
      <c r="W1573" s="574">
        <f t="shared" si="43"/>
        <v>1564</v>
      </c>
      <c r="X1573" s="564">
        <v>34</v>
      </c>
    </row>
    <row r="1574" spans="23:24" x14ac:dyDescent="0.25">
      <c r="W1574" s="574">
        <f t="shared" si="43"/>
        <v>1565</v>
      </c>
      <c r="X1574" s="564">
        <v>34</v>
      </c>
    </row>
    <row r="1575" spans="23:24" x14ac:dyDescent="0.25">
      <c r="W1575" s="574">
        <f t="shared" si="43"/>
        <v>1566</v>
      </c>
      <c r="X1575" s="564">
        <v>34</v>
      </c>
    </row>
    <row r="1576" spans="23:24" x14ac:dyDescent="0.25">
      <c r="W1576" s="574">
        <f t="shared" si="43"/>
        <v>1567</v>
      </c>
      <c r="X1576" s="564">
        <v>34</v>
      </c>
    </row>
    <row r="1577" spans="23:24" x14ac:dyDescent="0.25">
      <c r="W1577" s="574">
        <f t="shared" si="43"/>
        <v>1568</v>
      </c>
      <c r="X1577" s="564">
        <v>34</v>
      </c>
    </row>
    <row r="1578" spans="23:24" x14ac:dyDescent="0.25">
      <c r="W1578" s="574">
        <f t="shared" si="43"/>
        <v>1569</v>
      </c>
      <c r="X1578" s="564">
        <v>34</v>
      </c>
    </row>
    <row r="1579" spans="23:24" x14ac:dyDescent="0.25">
      <c r="W1579" s="574">
        <f t="shared" si="43"/>
        <v>1570</v>
      </c>
      <c r="X1579" s="564">
        <v>34</v>
      </c>
    </row>
    <row r="1580" spans="23:24" x14ac:dyDescent="0.25">
      <c r="W1580" s="574">
        <f t="shared" si="43"/>
        <v>1571</v>
      </c>
      <c r="X1580" s="564">
        <v>34</v>
      </c>
    </row>
    <row r="1581" spans="23:24" x14ac:dyDescent="0.25">
      <c r="W1581" s="574">
        <f t="shared" si="43"/>
        <v>1572</v>
      </c>
      <c r="X1581" s="564">
        <v>34</v>
      </c>
    </row>
    <row r="1582" spans="23:24" x14ac:dyDescent="0.25">
      <c r="W1582" s="574">
        <f t="shared" si="43"/>
        <v>1573</v>
      </c>
      <c r="X1582" s="564">
        <v>34</v>
      </c>
    </row>
    <row r="1583" spans="23:24" x14ac:dyDescent="0.25">
      <c r="W1583" s="574">
        <f t="shared" si="43"/>
        <v>1574</v>
      </c>
      <c r="X1583" s="564">
        <v>34</v>
      </c>
    </row>
    <row r="1584" spans="23:24" x14ac:dyDescent="0.25">
      <c r="W1584" s="574">
        <f t="shared" si="43"/>
        <v>1575</v>
      </c>
      <c r="X1584" s="564">
        <v>34</v>
      </c>
    </row>
    <row r="1585" spans="23:24" x14ac:dyDescent="0.25">
      <c r="W1585" s="574">
        <f t="shared" si="43"/>
        <v>1576</v>
      </c>
      <c r="X1585" s="564">
        <v>34</v>
      </c>
    </row>
    <row r="1586" spans="23:24" x14ac:dyDescent="0.25">
      <c r="W1586" s="574">
        <f t="shared" si="43"/>
        <v>1577</v>
      </c>
      <c r="X1586" s="564">
        <v>34</v>
      </c>
    </row>
    <row r="1587" spans="23:24" x14ac:dyDescent="0.25">
      <c r="W1587" s="574">
        <f t="shared" si="43"/>
        <v>1578</v>
      </c>
      <c r="X1587" s="564">
        <v>34</v>
      </c>
    </row>
    <row r="1588" spans="23:24" x14ac:dyDescent="0.25">
      <c r="W1588" s="574">
        <f t="shared" si="43"/>
        <v>1579</v>
      </c>
      <c r="X1588" s="564">
        <v>34</v>
      </c>
    </row>
    <row r="1589" spans="23:24" x14ac:dyDescent="0.25">
      <c r="W1589" s="574">
        <f t="shared" si="43"/>
        <v>1580</v>
      </c>
      <c r="X1589" s="564">
        <v>34</v>
      </c>
    </row>
    <row r="1590" spans="23:24" x14ac:dyDescent="0.25">
      <c r="W1590" s="574">
        <f t="shared" si="43"/>
        <v>1581</v>
      </c>
      <c r="X1590" s="564">
        <v>34</v>
      </c>
    </row>
    <row r="1591" spans="23:24" x14ac:dyDescent="0.25">
      <c r="W1591" s="574">
        <f t="shared" si="43"/>
        <v>1582</v>
      </c>
      <c r="X1591" s="564">
        <v>34</v>
      </c>
    </row>
    <row r="1592" spans="23:24" x14ac:dyDescent="0.25">
      <c r="W1592" s="574">
        <f t="shared" si="43"/>
        <v>1583</v>
      </c>
      <c r="X1592" s="564">
        <v>34</v>
      </c>
    </row>
    <row r="1593" spans="23:24" x14ac:dyDescent="0.25">
      <c r="W1593" s="574">
        <f t="shared" si="43"/>
        <v>1584</v>
      </c>
      <c r="X1593" s="564">
        <v>34</v>
      </c>
    </row>
    <row r="1594" spans="23:24" x14ac:dyDescent="0.25">
      <c r="W1594" s="574">
        <f t="shared" si="43"/>
        <v>1585</v>
      </c>
      <c r="X1594" s="564">
        <v>34</v>
      </c>
    </row>
    <row r="1595" spans="23:24" x14ac:dyDescent="0.25">
      <c r="W1595" s="574">
        <f t="shared" si="43"/>
        <v>1586</v>
      </c>
      <c r="X1595" s="564">
        <v>34</v>
      </c>
    </row>
    <row r="1596" spans="23:24" x14ac:dyDescent="0.25">
      <c r="W1596" s="574">
        <f t="shared" si="43"/>
        <v>1587</v>
      </c>
      <c r="X1596" s="564">
        <v>34</v>
      </c>
    </row>
    <row r="1597" spans="23:24" x14ac:dyDescent="0.25">
      <c r="W1597" s="574">
        <f t="shared" si="43"/>
        <v>1588</v>
      </c>
      <c r="X1597" s="564">
        <v>34</v>
      </c>
    </row>
    <row r="1598" spans="23:24" x14ac:dyDescent="0.25">
      <c r="W1598" s="574">
        <f t="shared" si="43"/>
        <v>1589</v>
      </c>
      <c r="X1598" s="564">
        <v>34</v>
      </c>
    </row>
    <row r="1599" spans="23:24" x14ac:dyDescent="0.25">
      <c r="W1599" s="574">
        <f t="shared" si="43"/>
        <v>1590</v>
      </c>
      <c r="X1599" s="564">
        <v>34</v>
      </c>
    </row>
    <row r="1600" spans="23:24" x14ac:dyDescent="0.25">
      <c r="W1600" s="574">
        <f t="shared" si="43"/>
        <v>1591</v>
      </c>
      <c r="X1600" s="564">
        <v>34</v>
      </c>
    </row>
    <row r="1601" spans="23:24" x14ac:dyDescent="0.25">
      <c r="W1601" s="574">
        <f t="shared" si="43"/>
        <v>1592</v>
      </c>
      <c r="X1601" s="564">
        <v>34</v>
      </c>
    </row>
    <row r="1602" spans="23:24" x14ac:dyDescent="0.25">
      <c r="W1602" s="574">
        <f t="shared" si="43"/>
        <v>1593</v>
      </c>
      <c r="X1602" s="564">
        <v>34</v>
      </c>
    </row>
    <row r="1603" spans="23:24" x14ac:dyDescent="0.25">
      <c r="W1603" s="574">
        <f t="shared" si="43"/>
        <v>1594</v>
      </c>
      <c r="X1603" s="564">
        <v>34</v>
      </c>
    </row>
    <row r="1604" spans="23:24" x14ac:dyDescent="0.25">
      <c r="W1604" s="574">
        <f t="shared" si="43"/>
        <v>1595</v>
      </c>
      <c r="X1604" s="564">
        <v>34</v>
      </c>
    </row>
    <row r="1605" spans="23:24" x14ac:dyDescent="0.25">
      <c r="W1605" s="574">
        <f t="shared" si="43"/>
        <v>1596</v>
      </c>
      <c r="X1605" s="564">
        <v>34</v>
      </c>
    </row>
    <row r="1606" spans="23:24" x14ac:dyDescent="0.25">
      <c r="W1606" s="574">
        <f t="shared" si="43"/>
        <v>1597</v>
      </c>
      <c r="X1606" s="564">
        <v>34</v>
      </c>
    </row>
    <row r="1607" spans="23:24" x14ac:dyDescent="0.25">
      <c r="W1607" s="574">
        <f t="shared" si="43"/>
        <v>1598</v>
      </c>
      <c r="X1607" s="564">
        <v>34</v>
      </c>
    </row>
    <row r="1608" spans="23:24" x14ac:dyDescent="0.25">
      <c r="W1608" s="574">
        <f t="shared" si="43"/>
        <v>1599</v>
      </c>
      <c r="X1608" s="564">
        <v>34</v>
      </c>
    </row>
    <row r="1609" spans="23:24" x14ac:dyDescent="0.25">
      <c r="W1609" s="574">
        <f t="shared" si="43"/>
        <v>1600</v>
      </c>
      <c r="X1609" s="564">
        <v>34</v>
      </c>
    </row>
    <row r="1610" spans="23:24" x14ac:dyDescent="0.25">
      <c r="W1610" s="574">
        <f t="shared" si="43"/>
        <v>1601</v>
      </c>
      <c r="X1610" s="564">
        <v>34</v>
      </c>
    </row>
    <row r="1611" spans="23:24" x14ac:dyDescent="0.25">
      <c r="W1611" s="574">
        <f t="shared" si="43"/>
        <v>1602</v>
      </c>
      <c r="X1611" s="564">
        <v>34</v>
      </c>
    </row>
    <row r="1612" spans="23:24" x14ac:dyDescent="0.25">
      <c r="W1612" s="574">
        <f t="shared" si="43"/>
        <v>1603</v>
      </c>
      <c r="X1612" s="564">
        <v>34</v>
      </c>
    </row>
    <row r="1613" spans="23:24" x14ac:dyDescent="0.25">
      <c r="W1613" s="574">
        <f t="shared" si="43"/>
        <v>1604</v>
      </c>
      <c r="X1613" s="564">
        <v>34</v>
      </c>
    </row>
    <row r="1614" spans="23:24" x14ac:dyDescent="0.25">
      <c r="W1614" s="574">
        <f t="shared" si="43"/>
        <v>1605</v>
      </c>
      <c r="X1614" s="564">
        <v>34</v>
      </c>
    </row>
    <row r="1615" spans="23:24" x14ac:dyDescent="0.25">
      <c r="W1615" s="574">
        <f t="shared" si="43"/>
        <v>1606</v>
      </c>
      <c r="X1615" s="564">
        <v>34</v>
      </c>
    </row>
    <row r="1616" spans="23:24" x14ac:dyDescent="0.25">
      <c r="W1616" s="574">
        <f t="shared" si="43"/>
        <v>1607</v>
      </c>
      <c r="X1616" s="564">
        <v>34</v>
      </c>
    </row>
    <row r="1617" spans="23:24" x14ac:dyDescent="0.25">
      <c r="W1617" s="574">
        <f t="shared" si="43"/>
        <v>1608</v>
      </c>
      <c r="X1617" s="564">
        <v>34</v>
      </c>
    </row>
    <row r="1618" spans="23:24" x14ac:dyDescent="0.25">
      <c r="W1618" s="574">
        <f t="shared" si="43"/>
        <v>1609</v>
      </c>
      <c r="X1618" s="564">
        <v>34</v>
      </c>
    </row>
    <row r="1619" spans="23:24" x14ac:dyDescent="0.25">
      <c r="W1619" s="574">
        <f t="shared" si="43"/>
        <v>1610</v>
      </c>
      <c r="X1619" s="564">
        <v>34</v>
      </c>
    </row>
    <row r="1620" spans="23:24" x14ac:dyDescent="0.25">
      <c r="W1620" s="574">
        <f t="shared" si="43"/>
        <v>1611</v>
      </c>
      <c r="X1620" s="564">
        <v>34</v>
      </c>
    </row>
    <row r="1621" spans="23:24" x14ac:dyDescent="0.25">
      <c r="W1621" s="574">
        <f t="shared" si="43"/>
        <v>1612</v>
      </c>
      <c r="X1621" s="564">
        <v>34</v>
      </c>
    </row>
    <row r="1622" spans="23:24" x14ac:dyDescent="0.25">
      <c r="W1622" s="574">
        <f t="shared" si="43"/>
        <v>1613</v>
      </c>
      <c r="X1622" s="564">
        <v>34</v>
      </c>
    </row>
    <row r="1623" spans="23:24" x14ac:dyDescent="0.25">
      <c r="W1623" s="574">
        <f t="shared" si="43"/>
        <v>1614</v>
      </c>
      <c r="X1623" s="564">
        <v>34</v>
      </c>
    </row>
    <row r="1624" spans="23:24" x14ac:dyDescent="0.25">
      <c r="W1624" s="574">
        <f t="shared" si="43"/>
        <v>1615</v>
      </c>
      <c r="X1624" s="564">
        <v>34</v>
      </c>
    </row>
    <row r="1625" spans="23:24" x14ac:dyDescent="0.25">
      <c r="W1625" s="574">
        <f t="shared" si="43"/>
        <v>1616</v>
      </c>
      <c r="X1625" s="564">
        <v>34</v>
      </c>
    </row>
    <row r="1626" spans="23:24" x14ac:dyDescent="0.25">
      <c r="W1626" s="574">
        <f t="shared" ref="W1626:W1689" si="44">W1625+1</f>
        <v>1617</v>
      </c>
      <c r="X1626" s="564">
        <v>34</v>
      </c>
    </row>
    <row r="1627" spans="23:24" x14ac:dyDescent="0.25">
      <c r="W1627" s="574">
        <f t="shared" si="44"/>
        <v>1618</v>
      </c>
      <c r="X1627" s="564">
        <v>34</v>
      </c>
    </row>
    <row r="1628" spans="23:24" x14ac:dyDescent="0.25">
      <c r="W1628" s="574">
        <f t="shared" si="44"/>
        <v>1619</v>
      </c>
      <c r="X1628" s="564">
        <v>34</v>
      </c>
    </row>
    <row r="1629" spans="23:24" x14ac:dyDescent="0.25">
      <c r="W1629" s="574">
        <f t="shared" si="44"/>
        <v>1620</v>
      </c>
      <c r="X1629" s="564">
        <v>34</v>
      </c>
    </row>
    <row r="1630" spans="23:24" x14ac:dyDescent="0.25">
      <c r="W1630" s="574">
        <f t="shared" si="44"/>
        <v>1621</v>
      </c>
      <c r="X1630" s="564">
        <v>34</v>
      </c>
    </row>
    <row r="1631" spans="23:24" x14ac:dyDescent="0.25">
      <c r="W1631" s="574">
        <f t="shared" si="44"/>
        <v>1622</v>
      </c>
      <c r="X1631" s="564">
        <v>34</v>
      </c>
    </row>
    <row r="1632" spans="23:24" x14ac:dyDescent="0.25">
      <c r="W1632" s="574">
        <f t="shared" si="44"/>
        <v>1623</v>
      </c>
      <c r="X1632" s="564">
        <v>34</v>
      </c>
    </row>
    <row r="1633" spans="23:24" x14ac:dyDescent="0.25">
      <c r="W1633" s="574">
        <f t="shared" si="44"/>
        <v>1624</v>
      </c>
      <c r="X1633" s="564">
        <v>34</v>
      </c>
    </row>
    <row r="1634" spans="23:24" x14ac:dyDescent="0.25">
      <c r="W1634" s="574">
        <f t="shared" si="44"/>
        <v>1625</v>
      </c>
      <c r="X1634" s="564">
        <v>34</v>
      </c>
    </row>
    <row r="1635" spans="23:24" x14ac:dyDescent="0.25">
      <c r="W1635" s="574">
        <f t="shared" si="44"/>
        <v>1626</v>
      </c>
      <c r="X1635" s="564">
        <v>34</v>
      </c>
    </row>
    <row r="1636" spans="23:24" x14ac:dyDescent="0.25">
      <c r="W1636" s="574">
        <f t="shared" si="44"/>
        <v>1627</v>
      </c>
      <c r="X1636" s="564">
        <v>34</v>
      </c>
    </row>
    <row r="1637" spans="23:24" x14ac:dyDescent="0.25">
      <c r="W1637" s="574">
        <f t="shared" si="44"/>
        <v>1628</v>
      </c>
      <c r="X1637" s="564">
        <v>34</v>
      </c>
    </row>
    <row r="1638" spans="23:24" x14ac:dyDescent="0.25">
      <c r="W1638" s="574">
        <f t="shared" si="44"/>
        <v>1629</v>
      </c>
      <c r="X1638" s="564">
        <v>34</v>
      </c>
    </row>
    <row r="1639" spans="23:24" x14ac:dyDescent="0.25">
      <c r="W1639" s="574">
        <f t="shared" si="44"/>
        <v>1630</v>
      </c>
      <c r="X1639" s="564">
        <v>34</v>
      </c>
    </row>
    <row r="1640" spans="23:24" x14ac:dyDescent="0.25">
      <c r="W1640" s="574">
        <f t="shared" si="44"/>
        <v>1631</v>
      </c>
      <c r="X1640" s="564">
        <v>34</v>
      </c>
    </row>
    <row r="1641" spans="23:24" x14ac:dyDescent="0.25">
      <c r="W1641" s="574">
        <f t="shared" si="44"/>
        <v>1632</v>
      </c>
      <c r="X1641" s="564">
        <v>34</v>
      </c>
    </row>
    <row r="1642" spans="23:24" x14ac:dyDescent="0.25">
      <c r="W1642" s="574">
        <f t="shared" si="44"/>
        <v>1633</v>
      </c>
      <c r="X1642" s="564">
        <v>34</v>
      </c>
    </row>
    <row r="1643" spans="23:24" x14ac:dyDescent="0.25">
      <c r="W1643" s="574">
        <f t="shared" si="44"/>
        <v>1634</v>
      </c>
      <c r="X1643" s="564">
        <v>34</v>
      </c>
    </row>
    <row r="1644" spans="23:24" x14ac:dyDescent="0.25">
      <c r="W1644" s="574">
        <f t="shared" si="44"/>
        <v>1635</v>
      </c>
      <c r="X1644" s="564">
        <v>34</v>
      </c>
    </row>
    <row r="1645" spans="23:24" x14ac:dyDescent="0.25">
      <c r="W1645" s="574">
        <f t="shared" si="44"/>
        <v>1636</v>
      </c>
      <c r="X1645" s="564">
        <v>34</v>
      </c>
    </row>
    <row r="1646" spans="23:24" x14ac:dyDescent="0.25">
      <c r="W1646" s="574">
        <f t="shared" si="44"/>
        <v>1637</v>
      </c>
      <c r="X1646" s="564">
        <v>34</v>
      </c>
    </row>
    <row r="1647" spans="23:24" x14ac:dyDescent="0.25">
      <c r="W1647" s="574">
        <f t="shared" si="44"/>
        <v>1638</v>
      </c>
      <c r="X1647" s="564">
        <v>34</v>
      </c>
    </row>
    <row r="1648" spans="23:24" x14ac:dyDescent="0.25">
      <c r="W1648" s="574">
        <f t="shared" si="44"/>
        <v>1639</v>
      </c>
      <c r="X1648" s="564">
        <v>34</v>
      </c>
    </row>
    <row r="1649" spans="23:24" x14ac:dyDescent="0.25">
      <c r="W1649" s="574">
        <f t="shared" si="44"/>
        <v>1640</v>
      </c>
      <c r="X1649" s="564">
        <v>34</v>
      </c>
    </row>
    <row r="1650" spans="23:24" x14ac:dyDescent="0.25">
      <c r="W1650" s="574">
        <f t="shared" si="44"/>
        <v>1641</v>
      </c>
      <c r="X1650" s="564">
        <v>34</v>
      </c>
    </row>
    <row r="1651" spans="23:24" x14ac:dyDescent="0.25">
      <c r="W1651" s="574">
        <f t="shared" si="44"/>
        <v>1642</v>
      </c>
      <c r="X1651" s="564">
        <v>34</v>
      </c>
    </row>
    <row r="1652" spans="23:24" x14ac:dyDescent="0.25">
      <c r="W1652" s="574">
        <f t="shared" si="44"/>
        <v>1643</v>
      </c>
      <c r="X1652" s="564">
        <v>34</v>
      </c>
    </row>
    <row r="1653" spans="23:24" x14ac:dyDescent="0.25">
      <c r="W1653" s="574">
        <f t="shared" si="44"/>
        <v>1644</v>
      </c>
      <c r="X1653" s="564">
        <v>34</v>
      </c>
    </row>
    <row r="1654" spans="23:24" x14ac:dyDescent="0.25">
      <c r="W1654" s="574">
        <f t="shared" si="44"/>
        <v>1645</v>
      </c>
      <c r="X1654" s="564">
        <v>34</v>
      </c>
    </row>
    <row r="1655" spans="23:24" x14ac:dyDescent="0.25">
      <c r="W1655" s="574">
        <f t="shared" si="44"/>
        <v>1646</v>
      </c>
      <c r="X1655" s="564">
        <v>34</v>
      </c>
    </row>
    <row r="1656" spans="23:24" x14ac:dyDescent="0.25">
      <c r="W1656" s="574">
        <f t="shared" si="44"/>
        <v>1647</v>
      </c>
      <c r="X1656" s="564">
        <v>34</v>
      </c>
    </row>
    <row r="1657" spans="23:24" x14ac:dyDescent="0.25">
      <c r="W1657" s="574">
        <f t="shared" si="44"/>
        <v>1648</v>
      </c>
      <c r="X1657" s="564">
        <v>34</v>
      </c>
    </row>
    <row r="1658" spans="23:24" x14ac:dyDescent="0.25">
      <c r="W1658" s="574">
        <f t="shared" si="44"/>
        <v>1649</v>
      </c>
      <c r="X1658" s="564">
        <v>34</v>
      </c>
    </row>
    <row r="1659" spans="23:24" x14ac:dyDescent="0.25">
      <c r="W1659" s="574">
        <f t="shared" si="44"/>
        <v>1650</v>
      </c>
      <c r="X1659" s="564">
        <v>34</v>
      </c>
    </row>
    <row r="1660" spans="23:24" x14ac:dyDescent="0.25">
      <c r="W1660" s="574">
        <f t="shared" si="44"/>
        <v>1651</v>
      </c>
      <c r="X1660" s="564">
        <v>34</v>
      </c>
    </row>
    <row r="1661" spans="23:24" x14ac:dyDescent="0.25">
      <c r="W1661" s="574">
        <f t="shared" si="44"/>
        <v>1652</v>
      </c>
      <c r="X1661" s="564">
        <v>34</v>
      </c>
    </row>
    <row r="1662" spans="23:24" x14ac:dyDescent="0.25">
      <c r="W1662" s="574">
        <f t="shared" si="44"/>
        <v>1653</v>
      </c>
      <c r="X1662" s="564">
        <v>34</v>
      </c>
    </row>
    <row r="1663" spans="23:24" x14ac:dyDescent="0.25">
      <c r="W1663" s="574">
        <f t="shared" si="44"/>
        <v>1654</v>
      </c>
      <c r="X1663" s="564">
        <v>34</v>
      </c>
    </row>
    <row r="1664" spans="23:24" x14ac:dyDescent="0.25">
      <c r="W1664" s="574">
        <f t="shared" si="44"/>
        <v>1655</v>
      </c>
      <c r="X1664" s="564">
        <v>34</v>
      </c>
    </row>
    <row r="1665" spans="23:24" x14ac:dyDescent="0.25">
      <c r="W1665" s="574">
        <f t="shared" si="44"/>
        <v>1656</v>
      </c>
      <c r="X1665" s="564">
        <v>34</v>
      </c>
    </row>
    <row r="1666" spans="23:24" x14ac:dyDescent="0.25">
      <c r="W1666" s="574">
        <f t="shared" si="44"/>
        <v>1657</v>
      </c>
      <c r="X1666" s="564">
        <v>34</v>
      </c>
    </row>
    <row r="1667" spans="23:24" x14ac:dyDescent="0.25">
      <c r="W1667" s="574">
        <f t="shared" si="44"/>
        <v>1658</v>
      </c>
      <c r="X1667" s="564">
        <v>34</v>
      </c>
    </row>
    <row r="1668" spans="23:24" x14ac:dyDescent="0.25">
      <c r="W1668" s="574">
        <f t="shared" si="44"/>
        <v>1659</v>
      </c>
      <c r="X1668" s="564">
        <v>34</v>
      </c>
    </row>
    <row r="1669" spans="23:24" x14ac:dyDescent="0.25">
      <c r="W1669" s="574">
        <f t="shared" si="44"/>
        <v>1660</v>
      </c>
      <c r="X1669" s="564">
        <v>34</v>
      </c>
    </row>
    <row r="1670" spans="23:24" x14ac:dyDescent="0.25">
      <c r="W1670" s="574">
        <f t="shared" si="44"/>
        <v>1661</v>
      </c>
      <c r="X1670" s="564">
        <v>34</v>
      </c>
    </row>
    <row r="1671" spans="23:24" x14ac:dyDescent="0.25">
      <c r="W1671" s="574">
        <f t="shared" si="44"/>
        <v>1662</v>
      </c>
      <c r="X1671" s="564">
        <v>34</v>
      </c>
    </row>
    <row r="1672" spans="23:24" x14ac:dyDescent="0.25">
      <c r="W1672" s="574">
        <f t="shared" si="44"/>
        <v>1663</v>
      </c>
      <c r="X1672" s="564">
        <v>34</v>
      </c>
    </row>
    <row r="1673" spans="23:24" x14ac:dyDescent="0.25">
      <c r="W1673" s="574">
        <f t="shared" si="44"/>
        <v>1664</v>
      </c>
      <c r="X1673" s="564">
        <v>34</v>
      </c>
    </row>
    <row r="1674" spans="23:24" x14ac:dyDescent="0.25">
      <c r="W1674" s="574">
        <f t="shared" si="44"/>
        <v>1665</v>
      </c>
      <c r="X1674" s="564">
        <v>34</v>
      </c>
    </row>
    <row r="1675" spans="23:24" x14ac:dyDescent="0.25">
      <c r="W1675" s="574">
        <f t="shared" si="44"/>
        <v>1666</v>
      </c>
      <c r="X1675" s="564">
        <v>34</v>
      </c>
    </row>
    <row r="1676" spans="23:24" x14ac:dyDescent="0.25">
      <c r="W1676" s="574">
        <f t="shared" si="44"/>
        <v>1667</v>
      </c>
      <c r="X1676" s="564">
        <v>34</v>
      </c>
    </row>
    <row r="1677" spans="23:24" x14ac:dyDescent="0.25">
      <c r="W1677" s="574">
        <f t="shared" si="44"/>
        <v>1668</v>
      </c>
      <c r="X1677" s="564">
        <v>34</v>
      </c>
    </row>
    <row r="1678" spans="23:24" x14ac:dyDescent="0.25">
      <c r="W1678" s="574">
        <f t="shared" si="44"/>
        <v>1669</v>
      </c>
      <c r="X1678" s="564">
        <v>34</v>
      </c>
    </row>
    <row r="1679" spans="23:24" x14ac:dyDescent="0.25">
      <c r="W1679" s="574">
        <f t="shared" si="44"/>
        <v>1670</v>
      </c>
      <c r="X1679" s="564">
        <v>34</v>
      </c>
    </row>
    <row r="1680" spans="23:24" x14ac:dyDescent="0.25">
      <c r="W1680" s="574">
        <f t="shared" si="44"/>
        <v>1671</v>
      </c>
      <c r="X1680" s="564">
        <v>34</v>
      </c>
    </row>
    <row r="1681" spans="23:24" x14ac:dyDescent="0.25">
      <c r="W1681" s="574">
        <f t="shared" si="44"/>
        <v>1672</v>
      </c>
      <c r="X1681" s="564">
        <v>34</v>
      </c>
    </row>
    <row r="1682" spans="23:24" x14ac:dyDescent="0.25">
      <c r="W1682" s="574">
        <f t="shared" si="44"/>
        <v>1673</v>
      </c>
      <c r="X1682" s="564">
        <v>34</v>
      </c>
    </row>
    <row r="1683" spans="23:24" x14ac:dyDescent="0.25">
      <c r="W1683" s="574">
        <f t="shared" si="44"/>
        <v>1674</v>
      </c>
      <c r="X1683" s="564">
        <v>34</v>
      </c>
    </row>
    <row r="1684" spans="23:24" x14ac:dyDescent="0.25">
      <c r="W1684" s="574">
        <f t="shared" si="44"/>
        <v>1675</v>
      </c>
      <c r="X1684" s="564">
        <v>34</v>
      </c>
    </row>
    <row r="1685" spans="23:24" x14ac:dyDescent="0.25">
      <c r="W1685" s="574">
        <f t="shared" si="44"/>
        <v>1676</v>
      </c>
      <c r="X1685" s="564">
        <v>34</v>
      </c>
    </row>
    <row r="1686" spans="23:24" x14ac:dyDescent="0.25">
      <c r="W1686" s="574">
        <f t="shared" si="44"/>
        <v>1677</v>
      </c>
      <c r="X1686" s="564">
        <v>34</v>
      </c>
    </row>
    <row r="1687" spans="23:24" x14ac:dyDescent="0.25">
      <c r="W1687" s="574">
        <f t="shared" si="44"/>
        <v>1678</v>
      </c>
      <c r="X1687" s="564">
        <v>34</v>
      </c>
    </row>
    <row r="1688" spans="23:24" x14ac:dyDescent="0.25">
      <c r="W1688" s="574">
        <f t="shared" si="44"/>
        <v>1679</v>
      </c>
      <c r="X1688" s="564">
        <v>34</v>
      </c>
    </row>
    <row r="1689" spans="23:24" x14ac:dyDescent="0.25">
      <c r="W1689" s="574">
        <f t="shared" si="44"/>
        <v>1680</v>
      </c>
      <c r="X1689" s="564">
        <v>34</v>
      </c>
    </row>
    <row r="1690" spans="23:24" x14ac:dyDescent="0.25">
      <c r="W1690" s="574">
        <f t="shared" ref="W1690:W1753" si="45">W1689+1</f>
        <v>1681</v>
      </c>
      <c r="X1690" s="564">
        <v>34</v>
      </c>
    </row>
    <row r="1691" spans="23:24" x14ac:dyDescent="0.25">
      <c r="W1691" s="574">
        <f t="shared" si="45"/>
        <v>1682</v>
      </c>
      <c r="X1691" s="564">
        <v>34</v>
      </c>
    </row>
    <row r="1692" spans="23:24" x14ac:dyDescent="0.25">
      <c r="W1692" s="574">
        <f t="shared" si="45"/>
        <v>1683</v>
      </c>
      <c r="X1692" s="564">
        <v>34</v>
      </c>
    </row>
    <row r="1693" spans="23:24" x14ac:dyDescent="0.25">
      <c r="W1693" s="574">
        <f t="shared" si="45"/>
        <v>1684</v>
      </c>
      <c r="X1693" s="564">
        <v>34</v>
      </c>
    </row>
    <row r="1694" spans="23:24" x14ac:dyDescent="0.25">
      <c r="W1694" s="574">
        <f t="shared" si="45"/>
        <v>1685</v>
      </c>
      <c r="X1694" s="564">
        <v>34</v>
      </c>
    </row>
    <row r="1695" spans="23:24" x14ac:dyDescent="0.25">
      <c r="W1695" s="574">
        <f t="shared" si="45"/>
        <v>1686</v>
      </c>
      <c r="X1695" s="564">
        <v>34</v>
      </c>
    </row>
    <row r="1696" spans="23:24" x14ac:dyDescent="0.25">
      <c r="W1696" s="574">
        <f t="shared" si="45"/>
        <v>1687</v>
      </c>
      <c r="X1696" s="564">
        <v>34</v>
      </c>
    </row>
    <row r="1697" spans="23:24" x14ac:dyDescent="0.25">
      <c r="W1697" s="574">
        <f t="shared" si="45"/>
        <v>1688</v>
      </c>
      <c r="X1697" s="564">
        <v>34</v>
      </c>
    </row>
    <row r="1698" spans="23:24" x14ac:dyDescent="0.25">
      <c r="W1698" s="574">
        <f t="shared" si="45"/>
        <v>1689</v>
      </c>
      <c r="X1698" s="564">
        <v>34</v>
      </c>
    </row>
    <row r="1699" spans="23:24" x14ac:dyDescent="0.25">
      <c r="W1699" s="574">
        <f t="shared" si="45"/>
        <v>1690</v>
      </c>
      <c r="X1699" s="564">
        <v>34</v>
      </c>
    </row>
    <row r="1700" spans="23:24" x14ac:dyDescent="0.25">
      <c r="W1700" s="574">
        <f t="shared" si="45"/>
        <v>1691</v>
      </c>
      <c r="X1700" s="564">
        <v>34</v>
      </c>
    </row>
    <row r="1701" spans="23:24" x14ac:dyDescent="0.25">
      <c r="W1701" s="574">
        <f t="shared" si="45"/>
        <v>1692</v>
      </c>
      <c r="X1701" s="564">
        <v>34</v>
      </c>
    </row>
    <row r="1702" spans="23:24" x14ac:dyDescent="0.25">
      <c r="W1702" s="574">
        <f t="shared" si="45"/>
        <v>1693</v>
      </c>
      <c r="X1702" s="564">
        <v>34</v>
      </c>
    </row>
    <row r="1703" spans="23:24" x14ac:dyDescent="0.25">
      <c r="W1703" s="574">
        <f t="shared" si="45"/>
        <v>1694</v>
      </c>
      <c r="X1703" s="564">
        <v>34</v>
      </c>
    </row>
    <row r="1704" spans="23:24" x14ac:dyDescent="0.25">
      <c r="W1704" s="574">
        <f t="shared" si="45"/>
        <v>1695</v>
      </c>
      <c r="X1704" s="564">
        <v>34</v>
      </c>
    </row>
    <row r="1705" spans="23:24" x14ac:dyDescent="0.25">
      <c r="W1705" s="574">
        <f t="shared" si="45"/>
        <v>1696</v>
      </c>
      <c r="X1705" s="564">
        <v>34</v>
      </c>
    </row>
    <row r="1706" spans="23:24" x14ac:dyDescent="0.25">
      <c r="W1706" s="574">
        <f t="shared" si="45"/>
        <v>1697</v>
      </c>
      <c r="X1706" s="564">
        <v>34</v>
      </c>
    </row>
    <row r="1707" spans="23:24" x14ac:dyDescent="0.25">
      <c r="W1707" s="574">
        <f t="shared" si="45"/>
        <v>1698</v>
      </c>
      <c r="X1707" s="564">
        <v>34</v>
      </c>
    </row>
    <row r="1708" spans="23:24" x14ac:dyDescent="0.25">
      <c r="W1708" s="574">
        <f t="shared" si="45"/>
        <v>1699</v>
      </c>
      <c r="X1708" s="564">
        <v>34</v>
      </c>
    </row>
    <row r="1709" spans="23:24" x14ac:dyDescent="0.25">
      <c r="W1709" s="574">
        <f t="shared" si="45"/>
        <v>1700</v>
      </c>
      <c r="X1709" s="564">
        <v>34</v>
      </c>
    </row>
    <row r="1710" spans="23:24" x14ac:dyDescent="0.25">
      <c r="W1710" s="574">
        <f t="shared" si="45"/>
        <v>1701</v>
      </c>
      <c r="X1710" s="564">
        <v>34</v>
      </c>
    </row>
    <row r="1711" spans="23:24" x14ac:dyDescent="0.25">
      <c r="W1711" s="574">
        <f t="shared" si="45"/>
        <v>1702</v>
      </c>
      <c r="X1711" s="564">
        <v>34</v>
      </c>
    </row>
    <row r="1712" spans="23:24" x14ac:dyDescent="0.25">
      <c r="W1712" s="574">
        <f t="shared" si="45"/>
        <v>1703</v>
      </c>
      <c r="X1712" s="564">
        <v>34</v>
      </c>
    </row>
    <row r="1713" spans="23:24" x14ac:dyDescent="0.25">
      <c r="W1713" s="574">
        <f t="shared" si="45"/>
        <v>1704</v>
      </c>
      <c r="X1713" s="564">
        <v>34</v>
      </c>
    </row>
    <row r="1714" spans="23:24" x14ac:dyDescent="0.25">
      <c r="W1714" s="574">
        <f t="shared" si="45"/>
        <v>1705</v>
      </c>
      <c r="X1714" s="564">
        <v>34</v>
      </c>
    </row>
    <row r="1715" spans="23:24" x14ac:dyDescent="0.25">
      <c r="W1715" s="574">
        <f t="shared" si="45"/>
        <v>1706</v>
      </c>
      <c r="X1715" s="564">
        <v>34</v>
      </c>
    </row>
    <row r="1716" spans="23:24" x14ac:dyDescent="0.25">
      <c r="W1716" s="574">
        <f t="shared" si="45"/>
        <v>1707</v>
      </c>
      <c r="X1716" s="564">
        <v>34</v>
      </c>
    </row>
    <row r="1717" spans="23:24" x14ac:dyDescent="0.25">
      <c r="W1717" s="574">
        <f t="shared" si="45"/>
        <v>1708</v>
      </c>
      <c r="X1717" s="564">
        <v>34</v>
      </c>
    </row>
    <row r="1718" spans="23:24" x14ac:dyDescent="0.25">
      <c r="W1718" s="574">
        <f t="shared" si="45"/>
        <v>1709</v>
      </c>
      <c r="X1718" s="564">
        <v>34</v>
      </c>
    </row>
    <row r="1719" spans="23:24" x14ac:dyDescent="0.25">
      <c r="W1719" s="574">
        <f t="shared" si="45"/>
        <v>1710</v>
      </c>
      <c r="X1719" s="564">
        <v>34</v>
      </c>
    </row>
    <row r="1720" spans="23:24" x14ac:dyDescent="0.25">
      <c r="W1720" s="574">
        <f t="shared" si="45"/>
        <v>1711</v>
      </c>
      <c r="X1720" s="564">
        <v>34</v>
      </c>
    </row>
    <row r="1721" spans="23:24" x14ac:dyDescent="0.25">
      <c r="W1721" s="574">
        <f t="shared" si="45"/>
        <v>1712</v>
      </c>
      <c r="X1721" s="564">
        <v>34</v>
      </c>
    </row>
    <row r="1722" spans="23:24" x14ac:dyDescent="0.25">
      <c r="W1722" s="574">
        <f t="shared" si="45"/>
        <v>1713</v>
      </c>
      <c r="X1722" s="564">
        <v>34</v>
      </c>
    </row>
    <row r="1723" spans="23:24" x14ac:dyDescent="0.25">
      <c r="W1723" s="574">
        <f t="shared" si="45"/>
        <v>1714</v>
      </c>
      <c r="X1723" s="564">
        <v>34</v>
      </c>
    </row>
    <row r="1724" spans="23:24" x14ac:dyDescent="0.25">
      <c r="W1724" s="574">
        <f t="shared" si="45"/>
        <v>1715</v>
      </c>
      <c r="X1724" s="564">
        <v>34</v>
      </c>
    </row>
    <row r="1725" spans="23:24" x14ac:dyDescent="0.25">
      <c r="W1725" s="574">
        <f t="shared" si="45"/>
        <v>1716</v>
      </c>
      <c r="X1725" s="564">
        <v>34</v>
      </c>
    </row>
    <row r="1726" spans="23:24" x14ac:dyDescent="0.25">
      <c r="W1726" s="574">
        <f t="shared" si="45"/>
        <v>1717</v>
      </c>
      <c r="X1726" s="564">
        <v>34</v>
      </c>
    </row>
    <row r="1727" spans="23:24" x14ac:dyDescent="0.25">
      <c r="W1727" s="574">
        <f t="shared" si="45"/>
        <v>1718</v>
      </c>
      <c r="X1727" s="564">
        <v>34</v>
      </c>
    </row>
    <row r="1728" spans="23:24" x14ac:dyDescent="0.25">
      <c r="W1728" s="574">
        <f t="shared" si="45"/>
        <v>1719</v>
      </c>
      <c r="X1728" s="564">
        <v>34</v>
      </c>
    </row>
    <row r="1729" spans="23:24" x14ac:dyDescent="0.25">
      <c r="W1729" s="574">
        <f t="shared" si="45"/>
        <v>1720</v>
      </c>
      <c r="X1729" s="564">
        <v>34</v>
      </c>
    </row>
    <row r="1730" spans="23:24" x14ac:dyDescent="0.25">
      <c r="W1730" s="574">
        <f t="shared" si="45"/>
        <v>1721</v>
      </c>
      <c r="X1730" s="564">
        <v>34</v>
      </c>
    </row>
    <row r="1731" spans="23:24" x14ac:dyDescent="0.25">
      <c r="W1731" s="574">
        <f t="shared" si="45"/>
        <v>1722</v>
      </c>
      <c r="X1731" s="564">
        <v>34</v>
      </c>
    </row>
    <row r="1732" spans="23:24" x14ac:dyDescent="0.25">
      <c r="W1732" s="574">
        <f t="shared" si="45"/>
        <v>1723</v>
      </c>
      <c r="X1732" s="564">
        <v>34</v>
      </c>
    </row>
    <row r="1733" spans="23:24" x14ac:dyDescent="0.25">
      <c r="W1733" s="574">
        <f t="shared" si="45"/>
        <v>1724</v>
      </c>
      <c r="X1733" s="564">
        <v>34</v>
      </c>
    </row>
    <row r="1734" spans="23:24" x14ac:dyDescent="0.25">
      <c r="W1734" s="574">
        <f t="shared" si="45"/>
        <v>1725</v>
      </c>
      <c r="X1734" s="564">
        <v>34</v>
      </c>
    </row>
    <row r="1735" spans="23:24" x14ac:dyDescent="0.25">
      <c r="W1735" s="574">
        <f t="shared" si="45"/>
        <v>1726</v>
      </c>
      <c r="X1735" s="564">
        <v>34</v>
      </c>
    </row>
    <row r="1736" spans="23:24" x14ac:dyDescent="0.25">
      <c r="W1736" s="574">
        <f t="shared" si="45"/>
        <v>1727</v>
      </c>
      <c r="X1736" s="564">
        <v>34</v>
      </c>
    </row>
    <row r="1737" spans="23:24" x14ac:dyDescent="0.25">
      <c r="W1737" s="574">
        <f t="shared" si="45"/>
        <v>1728</v>
      </c>
      <c r="X1737" s="564">
        <v>34</v>
      </c>
    </row>
    <row r="1738" spans="23:24" x14ac:dyDescent="0.25">
      <c r="W1738" s="574">
        <f t="shared" si="45"/>
        <v>1729</v>
      </c>
      <c r="X1738" s="564">
        <v>34</v>
      </c>
    </row>
    <row r="1739" spans="23:24" x14ac:dyDescent="0.25">
      <c r="W1739" s="574">
        <f t="shared" si="45"/>
        <v>1730</v>
      </c>
      <c r="X1739" s="564">
        <v>34</v>
      </c>
    </row>
    <row r="1740" spans="23:24" x14ac:dyDescent="0.25">
      <c r="W1740" s="574">
        <f t="shared" si="45"/>
        <v>1731</v>
      </c>
      <c r="X1740" s="564">
        <v>34</v>
      </c>
    </row>
    <row r="1741" spans="23:24" x14ac:dyDescent="0.25">
      <c r="W1741" s="574">
        <f t="shared" si="45"/>
        <v>1732</v>
      </c>
      <c r="X1741" s="564">
        <v>34</v>
      </c>
    </row>
    <row r="1742" spans="23:24" x14ac:dyDescent="0.25">
      <c r="W1742" s="574">
        <f t="shared" si="45"/>
        <v>1733</v>
      </c>
      <c r="X1742" s="564">
        <v>34</v>
      </c>
    </row>
    <row r="1743" spans="23:24" x14ac:dyDescent="0.25">
      <c r="W1743" s="574">
        <f t="shared" si="45"/>
        <v>1734</v>
      </c>
      <c r="X1743" s="564">
        <v>34</v>
      </c>
    </row>
    <row r="1744" spans="23:24" x14ac:dyDescent="0.25">
      <c r="W1744" s="574">
        <f t="shared" si="45"/>
        <v>1735</v>
      </c>
      <c r="X1744" s="564">
        <v>34</v>
      </c>
    </row>
    <row r="1745" spans="23:24" x14ac:dyDescent="0.25">
      <c r="W1745" s="574">
        <f t="shared" si="45"/>
        <v>1736</v>
      </c>
      <c r="X1745" s="564">
        <v>34</v>
      </c>
    </row>
    <row r="1746" spans="23:24" x14ac:dyDescent="0.25">
      <c r="W1746" s="574">
        <f t="shared" si="45"/>
        <v>1737</v>
      </c>
      <c r="X1746" s="564">
        <v>34</v>
      </c>
    </row>
    <row r="1747" spans="23:24" x14ac:dyDescent="0.25">
      <c r="W1747" s="574">
        <f t="shared" si="45"/>
        <v>1738</v>
      </c>
      <c r="X1747" s="564">
        <v>34</v>
      </c>
    </row>
    <row r="1748" spans="23:24" x14ac:dyDescent="0.25">
      <c r="W1748" s="574">
        <f t="shared" si="45"/>
        <v>1739</v>
      </c>
      <c r="X1748" s="564">
        <v>34</v>
      </c>
    </row>
    <row r="1749" spans="23:24" x14ac:dyDescent="0.25">
      <c r="W1749" s="574">
        <f t="shared" si="45"/>
        <v>1740</v>
      </c>
      <c r="X1749" s="564">
        <v>34</v>
      </c>
    </row>
    <row r="1750" spans="23:24" x14ac:dyDescent="0.25">
      <c r="W1750" s="574">
        <f t="shared" si="45"/>
        <v>1741</v>
      </c>
      <c r="X1750" s="564">
        <v>34</v>
      </c>
    </row>
    <row r="1751" spans="23:24" x14ac:dyDescent="0.25">
      <c r="W1751" s="574">
        <f t="shared" si="45"/>
        <v>1742</v>
      </c>
      <c r="X1751" s="564">
        <v>34</v>
      </c>
    </row>
    <row r="1752" spans="23:24" x14ac:dyDescent="0.25">
      <c r="W1752" s="574">
        <f t="shared" si="45"/>
        <v>1743</v>
      </c>
      <c r="X1752" s="564">
        <v>34</v>
      </c>
    </row>
    <row r="1753" spans="23:24" x14ac:dyDescent="0.25">
      <c r="W1753" s="574">
        <f t="shared" si="45"/>
        <v>1744</v>
      </c>
      <c r="X1753" s="564">
        <v>34</v>
      </c>
    </row>
    <row r="1754" spans="23:24" x14ac:dyDescent="0.25">
      <c r="W1754" s="574">
        <f t="shared" ref="W1754:W1817" si="46">W1753+1</f>
        <v>1745</v>
      </c>
      <c r="X1754" s="564">
        <v>34</v>
      </c>
    </row>
    <row r="1755" spans="23:24" x14ac:dyDescent="0.25">
      <c r="W1755" s="574">
        <f t="shared" si="46"/>
        <v>1746</v>
      </c>
      <c r="X1755" s="564">
        <v>34</v>
      </c>
    </row>
    <row r="1756" spans="23:24" x14ac:dyDescent="0.25">
      <c r="W1756" s="574">
        <f t="shared" si="46"/>
        <v>1747</v>
      </c>
      <c r="X1756" s="564">
        <v>34</v>
      </c>
    </row>
    <row r="1757" spans="23:24" x14ac:dyDescent="0.25">
      <c r="W1757" s="574">
        <f t="shared" si="46"/>
        <v>1748</v>
      </c>
      <c r="X1757" s="564">
        <v>34</v>
      </c>
    </row>
    <row r="1758" spans="23:24" x14ac:dyDescent="0.25">
      <c r="W1758" s="574">
        <f t="shared" si="46"/>
        <v>1749</v>
      </c>
      <c r="X1758" s="564">
        <v>34</v>
      </c>
    </row>
    <row r="1759" spans="23:24" x14ac:dyDescent="0.25">
      <c r="W1759" s="574">
        <f t="shared" si="46"/>
        <v>1750</v>
      </c>
      <c r="X1759" s="564">
        <v>35</v>
      </c>
    </row>
    <row r="1760" spans="23:24" x14ac:dyDescent="0.25">
      <c r="W1760" s="574">
        <f t="shared" si="46"/>
        <v>1751</v>
      </c>
      <c r="X1760" s="564">
        <v>35</v>
      </c>
    </row>
    <row r="1761" spans="23:24" x14ac:dyDescent="0.25">
      <c r="W1761" s="574">
        <f t="shared" si="46"/>
        <v>1752</v>
      </c>
      <c r="X1761" s="564">
        <v>35</v>
      </c>
    </row>
    <row r="1762" spans="23:24" x14ac:dyDescent="0.25">
      <c r="W1762" s="574">
        <f t="shared" si="46"/>
        <v>1753</v>
      </c>
      <c r="X1762" s="564">
        <v>35</v>
      </c>
    </row>
    <row r="1763" spans="23:24" x14ac:dyDescent="0.25">
      <c r="W1763" s="574">
        <f t="shared" si="46"/>
        <v>1754</v>
      </c>
      <c r="X1763" s="564">
        <v>35</v>
      </c>
    </row>
    <row r="1764" spans="23:24" x14ac:dyDescent="0.25">
      <c r="W1764" s="574">
        <f t="shared" si="46"/>
        <v>1755</v>
      </c>
      <c r="X1764" s="564">
        <v>35</v>
      </c>
    </row>
    <row r="1765" spans="23:24" x14ac:dyDescent="0.25">
      <c r="W1765" s="574">
        <f t="shared" si="46"/>
        <v>1756</v>
      </c>
      <c r="X1765" s="564">
        <v>35</v>
      </c>
    </row>
    <row r="1766" spans="23:24" x14ac:dyDescent="0.25">
      <c r="W1766" s="574">
        <f t="shared" si="46"/>
        <v>1757</v>
      </c>
      <c r="X1766" s="564">
        <v>35</v>
      </c>
    </row>
    <row r="1767" spans="23:24" x14ac:dyDescent="0.25">
      <c r="W1767" s="574">
        <f t="shared" si="46"/>
        <v>1758</v>
      </c>
      <c r="X1767" s="564">
        <v>35</v>
      </c>
    </row>
    <row r="1768" spans="23:24" x14ac:dyDescent="0.25">
      <c r="W1768" s="574">
        <f t="shared" si="46"/>
        <v>1759</v>
      </c>
      <c r="X1768" s="564">
        <v>35</v>
      </c>
    </row>
    <row r="1769" spans="23:24" x14ac:dyDescent="0.25">
      <c r="W1769" s="574">
        <f t="shared" si="46"/>
        <v>1760</v>
      </c>
      <c r="X1769" s="564">
        <v>35</v>
      </c>
    </row>
    <row r="1770" spans="23:24" x14ac:dyDescent="0.25">
      <c r="W1770" s="574">
        <f t="shared" si="46"/>
        <v>1761</v>
      </c>
      <c r="X1770" s="564">
        <v>35</v>
      </c>
    </row>
    <row r="1771" spans="23:24" x14ac:dyDescent="0.25">
      <c r="W1771" s="574">
        <f t="shared" si="46"/>
        <v>1762</v>
      </c>
      <c r="X1771" s="564">
        <v>35</v>
      </c>
    </row>
    <row r="1772" spans="23:24" x14ac:dyDescent="0.25">
      <c r="W1772" s="574">
        <f t="shared" si="46"/>
        <v>1763</v>
      </c>
      <c r="X1772" s="564">
        <v>35</v>
      </c>
    </row>
    <row r="1773" spans="23:24" x14ac:dyDescent="0.25">
      <c r="W1773" s="574">
        <f t="shared" si="46"/>
        <v>1764</v>
      </c>
      <c r="X1773" s="564">
        <v>35</v>
      </c>
    </row>
    <row r="1774" spans="23:24" x14ac:dyDescent="0.25">
      <c r="W1774" s="574">
        <f t="shared" si="46"/>
        <v>1765</v>
      </c>
      <c r="X1774" s="564">
        <v>35</v>
      </c>
    </row>
    <row r="1775" spans="23:24" x14ac:dyDescent="0.25">
      <c r="W1775" s="574">
        <f t="shared" si="46"/>
        <v>1766</v>
      </c>
      <c r="X1775" s="564">
        <v>35</v>
      </c>
    </row>
    <row r="1776" spans="23:24" x14ac:dyDescent="0.25">
      <c r="W1776" s="574">
        <f t="shared" si="46"/>
        <v>1767</v>
      </c>
      <c r="X1776" s="564">
        <v>35</v>
      </c>
    </row>
    <row r="1777" spans="23:24" x14ac:dyDescent="0.25">
      <c r="W1777" s="574">
        <f t="shared" si="46"/>
        <v>1768</v>
      </c>
      <c r="X1777" s="564">
        <v>35</v>
      </c>
    </row>
    <row r="1778" spans="23:24" x14ac:dyDescent="0.25">
      <c r="W1778" s="574">
        <f t="shared" si="46"/>
        <v>1769</v>
      </c>
      <c r="X1778" s="564">
        <v>35</v>
      </c>
    </row>
    <row r="1779" spans="23:24" x14ac:dyDescent="0.25">
      <c r="W1779" s="574">
        <f t="shared" si="46"/>
        <v>1770</v>
      </c>
      <c r="X1779" s="564">
        <v>35</v>
      </c>
    </row>
    <row r="1780" spans="23:24" x14ac:dyDescent="0.25">
      <c r="W1780" s="574">
        <f t="shared" si="46"/>
        <v>1771</v>
      </c>
      <c r="X1780" s="564">
        <v>35</v>
      </c>
    </row>
    <row r="1781" spans="23:24" x14ac:dyDescent="0.25">
      <c r="W1781" s="574">
        <f t="shared" si="46"/>
        <v>1772</v>
      </c>
      <c r="X1781" s="564">
        <v>35</v>
      </c>
    </row>
    <row r="1782" spans="23:24" x14ac:dyDescent="0.25">
      <c r="W1782" s="574">
        <f t="shared" si="46"/>
        <v>1773</v>
      </c>
      <c r="X1782" s="564">
        <v>35</v>
      </c>
    </row>
    <row r="1783" spans="23:24" x14ac:dyDescent="0.25">
      <c r="W1783" s="574">
        <f t="shared" si="46"/>
        <v>1774</v>
      </c>
      <c r="X1783" s="564">
        <v>35</v>
      </c>
    </row>
    <row r="1784" spans="23:24" x14ac:dyDescent="0.25">
      <c r="W1784" s="574">
        <f t="shared" si="46"/>
        <v>1775</v>
      </c>
      <c r="X1784" s="564">
        <v>35</v>
      </c>
    </row>
    <row r="1785" spans="23:24" x14ac:dyDescent="0.25">
      <c r="W1785" s="574">
        <f t="shared" si="46"/>
        <v>1776</v>
      </c>
      <c r="X1785" s="564">
        <v>35</v>
      </c>
    </row>
    <row r="1786" spans="23:24" x14ac:dyDescent="0.25">
      <c r="W1786" s="574">
        <f t="shared" si="46"/>
        <v>1777</v>
      </c>
      <c r="X1786" s="564">
        <v>35</v>
      </c>
    </row>
    <row r="1787" spans="23:24" x14ac:dyDescent="0.25">
      <c r="W1787" s="574">
        <f t="shared" si="46"/>
        <v>1778</v>
      </c>
      <c r="X1787" s="564">
        <v>35</v>
      </c>
    </row>
    <row r="1788" spans="23:24" x14ac:dyDescent="0.25">
      <c r="W1788" s="574">
        <f t="shared" si="46"/>
        <v>1779</v>
      </c>
      <c r="X1788" s="564">
        <v>35</v>
      </c>
    </row>
    <row r="1789" spans="23:24" x14ac:dyDescent="0.25">
      <c r="W1789" s="574">
        <f t="shared" si="46"/>
        <v>1780</v>
      </c>
      <c r="X1789" s="564">
        <v>35</v>
      </c>
    </row>
    <row r="1790" spans="23:24" x14ac:dyDescent="0.25">
      <c r="W1790" s="574">
        <f t="shared" si="46"/>
        <v>1781</v>
      </c>
      <c r="X1790" s="564">
        <v>35</v>
      </c>
    </row>
    <row r="1791" spans="23:24" x14ac:dyDescent="0.25">
      <c r="W1791" s="574">
        <f t="shared" si="46"/>
        <v>1782</v>
      </c>
      <c r="X1791" s="564">
        <v>35</v>
      </c>
    </row>
    <row r="1792" spans="23:24" x14ac:dyDescent="0.25">
      <c r="W1792" s="574">
        <f t="shared" si="46"/>
        <v>1783</v>
      </c>
      <c r="X1792" s="564">
        <v>35</v>
      </c>
    </row>
    <row r="1793" spans="23:24" x14ac:dyDescent="0.25">
      <c r="W1793" s="574">
        <f t="shared" si="46"/>
        <v>1784</v>
      </c>
      <c r="X1793" s="564">
        <v>35</v>
      </c>
    </row>
    <row r="1794" spans="23:24" x14ac:dyDescent="0.25">
      <c r="W1794" s="574">
        <f t="shared" si="46"/>
        <v>1785</v>
      </c>
      <c r="X1794" s="564">
        <v>35</v>
      </c>
    </row>
    <row r="1795" spans="23:24" x14ac:dyDescent="0.25">
      <c r="W1795" s="574">
        <f t="shared" si="46"/>
        <v>1786</v>
      </c>
      <c r="X1795" s="564">
        <v>35</v>
      </c>
    </row>
    <row r="1796" spans="23:24" x14ac:dyDescent="0.25">
      <c r="W1796" s="574">
        <f t="shared" si="46"/>
        <v>1787</v>
      </c>
      <c r="X1796" s="564">
        <v>35</v>
      </c>
    </row>
    <row r="1797" spans="23:24" x14ac:dyDescent="0.25">
      <c r="W1797" s="574">
        <f t="shared" si="46"/>
        <v>1788</v>
      </c>
      <c r="X1797" s="564">
        <v>35</v>
      </c>
    </row>
    <row r="1798" spans="23:24" x14ac:dyDescent="0.25">
      <c r="W1798" s="574">
        <f t="shared" si="46"/>
        <v>1789</v>
      </c>
      <c r="X1798" s="564">
        <v>35</v>
      </c>
    </row>
    <row r="1799" spans="23:24" x14ac:dyDescent="0.25">
      <c r="W1799" s="574">
        <f t="shared" si="46"/>
        <v>1790</v>
      </c>
      <c r="X1799" s="564">
        <v>35</v>
      </c>
    </row>
    <row r="1800" spans="23:24" x14ac:dyDescent="0.25">
      <c r="W1800" s="574">
        <f t="shared" si="46"/>
        <v>1791</v>
      </c>
      <c r="X1800" s="564">
        <v>35</v>
      </c>
    </row>
    <row r="1801" spans="23:24" x14ac:dyDescent="0.25">
      <c r="W1801" s="574">
        <f t="shared" si="46"/>
        <v>1792</v>
      </c>
      <c r="X1801" s="564">
        <v>35</v>
      </c>
    </row>
    <row r="1802" spans="23:24" x14ac:dyDescent="0.25">
      <c r="W1802" s="574">
        <f t="shared" si="46"/>
        <v>1793</v>
      </c>
      <c r="X1802" s="564">
        <v>35</v>
      </c>
    </row>
    <row r="1803" spans="23:24" x14ac:dyDescent="0.25">
      <c r="W1803" s="574">
        <f t="shared" si="46"/>
        <v>1794</v>
      </c>
      <c r="X1803" s="564">
        <v>35</v>
      </c>
    </row>
    <row r="1804" spans="23:24" x14ac:dyDescent="0.25">
      <c r="W1804" s="574">
        <f t="shared" si="46"/>
        <v>1795</v>
      </c>
      <c r="X1804" s="564">
        <v>35</v>
      </c>
    </row>
    <row r="1805" spans="23:24" x14ac:dyDescent="0.25">
      <c r="W1805" s="574">
        <f t="shared" si="46"/>
        <v>1796</v>
      </c>
      <c r="X1805" s="564">
        <v>35</v>
      </c>
    </row>
    <row r="1806" spans="23:24" x14ac:dyDescent="0.25">
      <c r="W1806" s="574">
        <f t="shared" si="46"/>
        <v>1797</v>
      </c>
      <c r="X1806" s="564">
        <v>35</v>
      </c>
    </row>
    <row r="1807" spans="23:24" x14ac:dyDescent="0.25">
      <c r="W1807" s="574">
        <f t="shared" si="46"/>
        <v>1798</v>
      </c>
      <c r="X1807" s="564">
        <v>35</v>
      </c>
    </row>
    <row r="1808" spans="23:24" x14ac:dyDescent="0.25">
      <c r="W1808" s="574">
        <f t="shared" si="46"/>
        <v>1799</v>
      </c>
      <c r="X1808" s="564">
        <v>35</v>
      </c>
    </row>
    <row r="1809" spans="23:24" x14ac:dyDescent="0.25">
      <c r="W1809" s="574">
        <f t="shared" si="46"/>
        <v>1800</v>
      </c>
      <c r="X1809" s="564">
        <v>35</v>
      </c>
    </row>
    <row r="1810" spans="23:24" x14ac:dyDescent="0.25">
      <c r="W1810" s="574">
        <f t="shared" si="46"/>
        <v>1801</v>
      </c>
      <c r="X1810" s="564">
        <v>35</v>
      </c>
    </row>
    <row r="1811" spans="23:24" x14ac:dyDescent="0.25">
      <c r="W1811" s="574">
        <f t="shared" si="46"/>
        <v>1802</v>
      </c>
      <c r="X1811" s="564">
        <v>35</v>
      </c>
    </row>
    <row r="1812" spans="23:24" x14ac:dyDescent="0.25">
      <c r="W1812" s="574">
        <f t="shared" si="46"/>
        <v>1803</v>
      </c>
      <c r="X1812" s="564">
        <v>35</v>
      </c>
    </row>
    <row r="1813" spans="23:24" x14ac:dyDescent="0.25">
      <c r="W1813" s="574">
        <f t="shared" si="46"/>
        <v>1804</v>
      </c>
      <c r="X1813" s="564">
        <v>35</v>
      </c>
    </row>
    <row r="1814" spans="23:24" x14ac:dyDescent="0.25">
      <c r="W1814" s="574">
        <f t="shared" si="46"/>
        <v>1805</v>
      </c>
      <c r="X1814" s="564">
        <v>35</v>
      </c>
    </row>
    <row r="1815" spans="23:24" x14ac:dyDescent="0.25">
      <c r="W1815" s="574">
        <f t="shared" si="46"/>
        <v>1806</v>
      </c>
      <c r="X1815" s="564">
        <v>35</v>
      </c>
    </row>
    <row r="1816" spans="23:24" x14ac:dyDescent="0.25">
      <c r="W1816" s="574">
        <f t="shared" si="46"/>
        <v>1807</v>
      </c>
      <c r="X1816" s="564">
        <v>35</v>
      </c>
    </row>
    <row r="1817" spans="23:24" x14ac:dyDescent="0.25">
      <c r="W1817" s="574">
        <f t="shared" si="46"/>
        <v>1808</v>
      </c>
      <c r="X1817" s="564">
        <v>35</v>
      </c>
    </row>
    <row r="1818" spans="23:24" x14ac:dyDescent="0.25">
      <c r="W1818" s="574">
        <f t="shared" ref="W1818:W1881" si="47">W1817+1</f>
        <v>1809</v>
      </c>
      <c r="X1818" s="564">
        <v>35</v>
      </c>
    </row>
    <row r="1819" spans="23:24" x14ac:dyDescent="0.25">
      <c r="W1819" s="574">
        <f t="shared" si="47"/>
        <v>1810</v>
      </c>
      <c r="X1819" s="564">
        <v>35</v>
      </c>
    </row>
    <row r="1820" spans="23:24" x14ac:dyDescent="0.25">
      <c r="W1820" s="574">
        <f t="shared" si="47"/>
        <v>1811</v>
      </c>
      <c r="X1820" s="564">
        <v>35</v>
      </c>
    </row>
    <row r="1821" spans="23:24" x14ac:dyDescent="0.25">
      <c r="W1821" s="574">
        <f t="shared" si="47"/>
        <v>1812</v>
      </c>
      <c r="X1821" s="564">
        <v>35</v>
      </c>
    </row>
    <row r="1822" spans="23:24" x14ac:dyDescent="0.25">
      <c r="W1822" s="574">
        <f t="shared" si="47"/>
        <v>1813</v>
      </c>
      <c r="X1822" s="564">
        <v>35</v>
      </c>
    </row>
    <row r="1823" spans="23:24" x14ac:dyDescent="0.25">
      <c r="W1823" s="574">
        <f t="shared" si="47"/>
        <v>1814</v>
      </c>
      <c r="X1823" s="564">
        <v>35</v>
      </c>
    </row>
    <row r="1824" spans="23:24" x14ac:dyDescent="0.25">
      <c r="W1824" s="574">
        <f t="shared" si="47"/>
        <v>1815</v>
      </c>
      <c r="X1824" s="564">
        <v>35</v>
      </c>
    </row>
    <row r="1825" spans="23:24" x14ac:dyDescent="0.25">
      <c r="W1825" s="574">
        <f t="shared" si="47"/>
        <v>1816</v>
      </c>
      <c r="X1825" s="564">
        <v>35</v>
      </c>
    </row>
    <row r="1826" spans="23:24" x14ac:dyDescent="0.25">
      <c r="W1826" s="574">
        <f t="shared" si="47"/>
        <v>1817</v>
      </c>
      <c r="X1826" s="564">
        <v>35</v>
      </c>
    </row>
    <row r="1827" spans="23:24" x14ac:dyDescent="0.25">
      <c r="W1827" s="574">
        <f t="shared" si="47"/>
        <v>1818</v>
      </c>
      <c r="X1827" s="564">
        <v>35</v>
      </c>
    </row>
    <row r="1828" spans="23:24" x14ac:dyDescent="0.25">
      <c r="W1828" s="574">
        <f t="shared" si="47"/>
        <v>1819</v>
      </c>
      <c r="X1828" s="564">
        <v>35</v>
      </c>
    </row>
    <row r="1829" spans="23:24" x14ac:dyDescent="0.25">
      <c r="W1829" s="574">
        <f t="shared" si="47"/>
        <v>1820</v>
      </c>
      <c r="X1829" s="564">
        <v>35</v>
      </c>
    </row>
    <row r="1830" spans="23:24" x14ac:dyDescent="0.25">
      <c r="W1830" s="574">
        <f t="shared" si="47"/>
        <v>1821</v>
      </c>
      <c r="X1830" s="564">
        <v>35</v>
      </c>
    </row>
    <row r="1831" spans="23:24" x14ac:dyDescent="0.25">
      <c r="W1831" s="574">
        <f t="shared" si="47"/>
        <v>1822</v>
      </c>
      <c r="X1831" s="564">
        <v>35</v>
      </c>
    </row>
    <row r="1832" spans="23:24" x14ac:dyDescent="0.25">
      <c r="W1832" s="574">
        <f t="shared" si="47"/>
        <v>1823</v>
      </c>
      <c r="X1832" s="564">
        <v>35</v>
      </c>
    </row>
    <row r="1833" spans="23:24" x14ac:dyDescent="0.25">
      <c r="W1833" s="574">
        <f t="shared" si="47"/>
        <v>1824</v>
      </c>
      <c r="X1833" s="564">
        <v>35</v>
      </c>
    </row>
    <row r="1834" spans="23:24" x14ac:dyDescent="0.25">
      <c r="W1834" s="574">
        <f t="shared" si="47"/>
        <v>1825</v>
      </c>
      <c r="X1834" s="564">
        <v>35</v>
      </c>
    </row>
    <row r="1835" spans="23:24" x14ac:dyDescent="0.25">
      <c r="W1835" s="574">
        <f t="shared" si="47"/>
        <v>1826</v>
      </c>
      <c r="X1835" s="564">
        <v>35</v>
      </c>
    </row>
    <row r="1836" spans="23:24" x14ac:dyDescent="0.25">
      <c r="W1836" s="574">
        <f t="shared" si="47"/>
        <v>1827</v>
      </c>
      <c r="X1836" s="564">
        <v>35</v>
      </c>
    </row>
    <row r="1837" spans="23:24" x14ac:dyDescent="0.25">
      <c r="W1837" s="574">
        <f t="shared" si="47"/>
        <v>1828</v>
      </c>
      <c r="X1837" s="564">
        <v>35</v>
      </c>
    </row>
    <row r="1838" spans="23:24" x14ac:dyDescent="0.25">
      <c r="W1838" s="574">
        <f t="shared" si="47"/>
        <v>1829</v>
      </c>
      <c r="X1838" s="564">
        <v>35</v>
      </c>
    </row>
    <row r="1839" spans="23:24" x14ac:dyDescent="0.25">
      <c r="W1839" s="574">
        <f t="shared" si="47"/>
        <v>1830</v>
      </c>
      <c r="X1839" s="564">
        <v>35</v>
      </c>
    </row>
    <row r="1840" spans="23:24" x14ac:dyDescent="0.25">
      <c r="W1840" s="574">
        <f t="shared" si="47"/>
        <v>1831</v>
      </c>
      <c r="X1840" s="564">
        <v>35</v>
      </c>
    </row>
    <row r="1841" spans="23:24" x14ac:dyDescent="0.25">
      <c r="W1841" s="574">
        <f t="shared" si="47"/>
        <v>1832</v>
      </c>
      <c r="X1841" s="564">
        <v>35</v>
      </c>
    </row>
    <row r="1842" spans="23:24" x14ac:dyDescent="0.25">
      <c r="W1842" s="574">
        <f t="shared" si="47"/>
        <v>1833</v>
      </c>
      <c r="X1842" s="564">
        <v>35</v>
      </c>
    </row>
    <row r="1843" spans="23:24" x14ac:dyDescent="0.25">
      <c r="W1843" s="574">
        <f t="shared" si="47"/>
        <v>1834</v>
      </c>
      <c r="X1843" s="564">
        <v>35</v>
      </c>
    </row>
    <row r="1844" spans="23:24" x14ac:dyDescent="0.25">
      <c r="W1844" s="574">
        <f t="shared" si="47"/>
        <v>1835</v>
      </c>
      <c r="X1844" s="564">
        <v>35</v>
      </c>
    </row>
    <row r="1845" spans="23:24" x14ac:dyDescent="0.25">
      <c r="W1845" s="574">
        <f t="shared" si="47"/>
        <v>1836</v>
      </c>
      <c r="X1845" s="564">
        <v>35</v>
      </c>
    </row>
    <row r="1846" spans="23:24" x14ac:dyDescent="0.25">
      <c r="W1846" s="574">
        <f t="shared" si="47"/>
        <v>1837</v>
      </c>
      <c r="X1846" s="564">
        <v>35</v>
      </c>
    </row>
    <row r="1847" spans="23:24" x14ac:dyDescent="0.25">
      <c r="W1847" s="574">
        <f t="shared" si="47"/>
        <v>1838</v>
      </c>
      <c r="X1847" s="564">
        <v>35</v>
      </c>
    </row>
    <row r="1848" spans="23:24" x14ac:dyDescent="0.25">
      <c r="W1848" s="574">
        <f t="shared" si="47"/>
        <v>1839</v>
      </c>
      <c r="X1848" s="564">
        <v>35</v>
      </c>
    </row>
    <row r="1849" spans="23:24" x14ac:dyDescent="0.25">
      <c r="W1849" s="574">
        <f t="shared" si="47"/>
        <v>1840</v>
      </c>
      <c r="X1849" s="564">
        <v>35</v>
      </c>
    </row>
    <row r="1850" spans="23:24" x14ac:dyDescent="0.25">
      <c r="W1850" s="574">
        <f t="shared" si="47"/>
        <v>1841</v>
      </c>
      <c r="X1850" s="564">
        <v>35</v>
      </c>
    </row>
    <row r="1851" spans="23:24" x14ac:dyDescent="0.25">
      <c r="W1851" s="574">
        <f t="shared" si="47"/>
        <v>1842</v>
      </c>
      <c r="X1851" s="564">
        <v>35</v>
      </c>
    </row>
    <row r="1852" spans="23:24" x14ac:dyDescent="0.25">
      <c r="W1852" s="574">
        <f t="shared" si="47"/>
        <v>1843</v>
      </c>
      <c r="X1852" s="564">
        <v>35</v>
      </c>
    </row>
    <row r="1853" spans="23:24" x14ac:dyDescent="0.25">
      <c r="W1853" s="574">
        <f t="shared" si="47"/>
        <v>1844</v>
      </c>
      <c r="X1853" s="564">
        <v>35</v>
      </c>
    </row>
    <row r="1854" spans="23:24" x14ac:dyDescent="0.25">
      <c r="W1854" s="574">
        <f t="shared" si="47"/>
        <v>1845</v>
      </c>
      <c r="X1854" s="564">
        <v>35</v>
      </c>
    </row>
    <row r="1855" spans="23:24" x14ac:dyDescent="0.25">
      <c r="W1855" s="574">
        <f t="shared" si="47"/>
        <v>1846</v>
      </c>
      <c r="X1855" s="564">
        <v>35</v>
      </c>
    </row>
    <row r="1856" spans="23:24" x14ac:dyDescent="0.25">
      <c r="W1856" s="574">
        <f t="shared" si="47"/>
        <v>1847</v>
      </c>
      <c r="X1856" s="564">
        <v>35</v>
      </c>
    </row>
    <row r="1857" spans="23:24" x14ac:dyDescent="0.25">
      <c r="W1857" s="574">
        <f t="shared" si="47"/>
        <v>1848</v>
      </c>
      <c r="X1857" s="564">
        <v>35</v>
      </c>
    </row>
    <row r="1858" spans="23:24" x14ac:dyDescent="0.25">
      <c r="W1858" s="574">
        <f t="shared" si="47"/>
        <v>1849</v>
      </c>
      <c r="X1858" s="564">
        <v>35</v>
      </c>
    </row>
    <row r="1859" spans="23:24" x14ac:dyDescent="0.25">
      <c r="W1859" s="574">
        <f t="shared" si="47"/>
        <v>1850</v>
      </c>
      <c r="X1859" s="564">
        <v>35</v>
      </c>
    </row>
    <row r="1860" spans="23:24" x14ac:dyDescent="0.25">
      <c r="W1860" s="574">
        <f t="shared" si="47"/>
        <v>1851</v>
      </c>
      <c r="X1860" s="564">
        <v>35</v>
      </c>
    </row>
    <row r="1861" spans="23:24" x14ac:dyDescent="0.25">
      <c r="W1861" s="574">
        <f t="shared" si="47"/>
        <v>1852</v>
      </c>
      <c r="X1861" s="564">
        <v>35</v>
      </c>
    </row>
    <row r="1862" spans="23:24" x14ac:dyDescent="0.25">
      <c r="W1862" s="574">
        <f t="shared" si="47"/>
        <v>1853</v>
      </c>
      <c r="X1862" s="564">
        <v>35</v>
      </c>
    </row>
    <row r="1863" spans="23:24" x14ac:dyDescent="0.25">
      <c r="W1863" s="574">
        <f t="shared" si="47"/>
        <v>1854</v>
      </c>
      <c r="X1863" s="564">
        <v>35</v>
      </c>
    </row>
    <row r="1864" spans="23:24" x14ac:dyDescent="0.25">
      <c r="W1864" s="574">
        <f t="shared" si="47"/>
        <v>1855</v>
      </c>
      <c r="X1864" s="564">
        <v>35</v>
      </c>
    </row>
    <row r="1865" spans="23:24" x14ac:dyDescent="0.25">
      <c r="W1865" s="574">
        <f t="shared" si="47"/>
        <v>1856</v>
      </c>
      <c r="X1865" s="564">
        <v>35</v>
      </c>
    </row>
    <row r="1866" spans="23:24" x14ac:dyDescent="0.25">
      <c r="W1866" s="574">
        <f t="shared" si="47"/>
        <v>1857</v>
      </c>
      <c r="X1866" s="564">
        <v>35</v>
      </c>
    </row>
    <row r="1867" spans="23:24" x14ac:dyDescent="0.25">
      <c r="W1867" s="574">
        <f t="shared" si="47"/>
        <v>1858</v>
      </c>
      <c r="X1867" s="564">
        <v>35</v>
      </c>
    </row>
    <row r="1868" spans="23:24" x14ac:dyDescent="0.25">
      <c r="W1868" s="574">
        <f t="shared" si="47"/>
        <v>1859</v>
      </c>
      <c r="X1868" s="564">
        <v>35</v>
      </c>
    </row>
    <row r="1869" spans="23:24" x14ac:dyDescent="0.25">
      <c r="W1869" s="574">
        <f t="shared" si="47"/>
        <v>1860</v>
      </c>
      <c r="X1869" s="564">
        <v>35</v>
      </c>
    </row>
    <row r="1870" spans="23:24" x14ac:dyDescent="0.25">
      <c r="W1870" s="574">
        <f t="shared" si="47"/>
        <v>1861</v>
      </c>
      <c r="X1870" s="564">
        <v>35</v>
      </c>
    </row>
    <row r="1871" spans="23:24" x14ac:dyDescent="0.25">
      <c r="W1871" s="574">
        <f t="shared" si="47"/>
        <v>1862</v>
      </c>
      <c r="X1871" s="564">
        <v>35</v>
      </c>
    </row>
    <row r="1872" spans="23:24" x14ac:dyDescent="0.25">
      <c r="W1872" s="574">
        <f t="shared" si="47"/>
        <v>1863</v>
      </c>
      <c r="X1872" s="564">
        <v>35</v>
      </c>
    </row>
    <row r="1873" spans="23:24" x14ac:dyDescent="0.25">
      <c r="W1873" s="574">
        <f t="shared" si="47"/>
        <v>1864</v>
      </c>
      <c r="X1873" s="564">
        <v>35</v>
      </c>
    </row>
    <row r="1874" spans="23:24" x14ac:dyDescent="0.25">
      <c r="W1874" s="574">
        <f t="shared" si="47"/>
        <v>1865</v>
      </c>
      <c r="X1874" s="564">
        <v>35</v>
      </c>
    </row>
    <row r="1875" spans="23:24" x14ac:dyDescent="0.25">
      <c r="W1875" s="574">
        <f t="shared" si="47"/>
        <v>1866</v>
      </c>
      <c r="X1875" s="564">
        <v>35</v>
      </c>
    </row>
    <row r="1876" spans="23:24" x14ac:dyDescent="0.25">
      <c r="W1876" s="574">
        <f t="shared" si="47"/>
        <v>1867</v>
      </c>
      <c r="X1876" s="564">
        <v>35</v>
      </c>
    </row>
    <row r="1877" spans="23:24" x14ac:dyDescent="0.25">
      <c r="W1877" s="574">
        <f t="shared" si="47"/>
        <v>1868</v>
      </c>
      <c r="X1877" s="564">
        <v>35</v>
      </c>
    </row>
    <row r="1878" spans="23:24" x14ac:dyDescent="0.25">
      <c r="W1878" s="574">
        <f t="shared" si="47"/>
        <v>1869</v>
      </c>
      <c r="X1878" s="564">
        <v>35</v>
      </c>
    </row>
    <row r="1879" spans="23:24" x14ac:dyDescent="0.25">
      <c r="W1879" s="574">
        <f t="shared" si="47"/>
        <v>1870</v>
      </c>
      <c r="X1879" s="564">
        <v>35</v>
      </c>
    </row>
    <row r="1880" spans="23:24" x14ac:dyDescent="0.25">
      <c r="W1880" s="574">
        <f t="shared" si="47"/>
        <v>1871</v>
      </c>
      <c r="X1880" s="564">
        <v>35</v>
      </c>
    </row>
    <row r="1881" spans="23:24" x14ac:dyDescent="0.25">
      <c r="W1881" s="574">
        <f t="shared" si="47"/>
        <v>1872</v>
      </c>
      <c r="X1881" s="564">
        <v>35</v>
      </c>
    </row>
    <row r="1882" spans="23:24" x14ac:dyDescent="0.25">
      <c r="W1882" s="574">
        <f t="shared" ref="W1882:W1945" si="48">W1881+1</f>
        <v>1873</v>
      </c>
      <c r="X1882" s="564">
        <v>35</v>
      </c>
    </row>
    <row r="1883" spans="23:24" x14ac:dyDescent="0.25">
      <c r="W1883" s="574">
        <f t="shared" si="48"/>
        <v>1874</v>
      </c>
      <c r="X1883" s="564">
        <v>35</v>
      </c>
    </row>
    <row r="1884" spans="23:24" x14ac:dyDescent="0.25">
      <c r="W1884" s="574">
        <f t="shared" si="48"/>
        <v>1875</v>
      </c>
      <c r="X1884" s="564">
        <v>35</v>
      </c>
    </row>
    <row r="1885" spans="23:24" x14ac:dyDescent="0.25">
      <c r="W1885" s="574">
        <f t="shared" si="48"/>
        <v>1876</v>
      </c>
      <c r="X1885" s="564">
        <v>35</v>
      </c>
    </row>
    <row r="1886" spans="23:24" x14ac:dyDescent="0.25">
      <c r="W1886" s="574">
        <f t="shared" si="48"/>
        <v>1877</v>
      </c>
      <c r="X1886" s="564">
        <v>35</v>
      </c>
    </row>
    <row r="1887" spans="23:24" x14ac:dyDescent="0.25">
      <c r="W1887" s="574">
        <f t="shared" si="48"/>
        <v>1878</v>
      </c>
      <c r="X1887" s="564">
        <v>35</v>
      </c>
    </row>
    <row r="1888" spans="23:24" x14ac:dyDescent="0.25">
      <c r="W1888" s="574">
        <f t="shared" si="48"/>
        <v>1879</v>
      </c>
      <c r="X1888" s="564">
        <v>35</v>
      </c>
    </row>
    <row r="1889" spans="23:24" x14ac:dyDescent="0.25">
      <c r="W1889" s="574">
        <f t="shared" si="48"/>
        <v>1880</v>
      </c>
      <c r="X1889" s="564">
        <v>35</v>
      </c>
    </row>
    <row r="1890" spans="23:24" x14ac:dyDescent="0.25">
      <c r="W1890" s="574">
        <f t="shared" si="48"/>
        <v>1881</v>
      </c>
      <c r="X1890" s="564">
        <v>35</v>
      </c>
    </row>
    <row r="1891" spans="23:24" x14ac:dyDescent="0.25">
      <c r="W1891" s="574">
        <f t="shared" si="48"/>
        <v>1882</v>
      </c>
      <c r="X1891" s="564">
        <v>35</v>
      </c>
    </row>
    <row r="1892" spans="23:24" x14ac:dyDescent="0.25">
      <c r="W1892" s="574">
        <f t="shared" si="48"/>
        <v>1883</v>
      </c>
      <c r="X1892" s="564">
        <v>35</v>
      </c>
    </row>
    <row r="1893" spans="23:24" x14ac:dyDescent="0.25">
      <c r="W1893" s="574">
        <f t="shared" si="48"/>
        <v>1884</v>
      </c>
      <c r="X1893" s="564">
        <v>35</v>
      </c>
    </row>
    <row r="1894" spans="23:24" x14ac:dyDescent="0.25">
      <c r="W1894" s="574">
        <f t="shared" si="48"/>
        <v>1885</v>
      </c>
      <c r="X1894" s="564">
        <v>35</v>
      </c>
    </row>
    <row r="1895" spans="23:24" x14ac:dyDescent="0.25">
      <c r="W1895" s="574">
        <f t="shared" si="48"/>
        <v>1886</v>
      </c>
      <c r="X1895" s="564">
        <v>35</v>
      </c>
    </row>
    <row r="1896" spans="23:24" x14ac:dyDescent="0.25">
      <c r="W1896" s="574">
        <f t="shared" si="48"/>
        <v>1887</v>
      </c>
      <c r="X1896" s="564">
        <v>35</v>
      </c>
    </row>
    <row r="1897" spans="23:24" x14ac:dyDescent="0.25">
      <c r="W1897" s="574">
        <f t="shared" si="48"/>
        <v>1888</v>
      </c>
      <c r="X1897" s="564">
        <v>35</v>
      </c>
    </row>
    <row r="1898" spans="23:24" x14ac:dyDescent="0.25">
      <c r="W1898" s="574">
        <f t="shared" si="48"/>
        <v>1889</v>
      </c>
      <c r="X1898" s="564">
        <v>35</v>
      </c>
    </row>
    <row r="1899" spans="23:24" x14ac:dyDescent="0.25">
      <c r="W1899" s="574">
        <f t="shared" si="48"/>
        <v>1890</v>
      </c>
      <c r="X1899" s="564">
        <v>35</v>
      </c>
    </row>
    <row r="1900" spans="23:24" x14ac:dyDescent="0.25">
      <c r="W1900" s="574">
        <f t="shared" si="48"/>
        <v>1891</v>
      </c>
      <c r="X1900" s="564">
        <v>35</v>
      </c>
    </row>
    <row r="1901" spans="23:24" x14ac:dyDescent="0.25">
      <c r="W1901" s="574">
        <f t="shared" si="48"/>
        <v>1892</v>
      </c>
      <c r="X1901" s="564">
        <v>35</v>
      </c>
    </row>
    <row r="1902" spans="23:24" x14ac:dyDescent="0.25">
      <c r="W1902" s="574">
        <f t="shared" si="48"/>
        <v>1893</v>
      </c>
      <c r="X1902" s="564">
        <v>35</v>
      </c>
    </row>
    <row r="1903" spans="23:24" x14ac:dyDescent="0.25">
      <c r="W1903" s="574">
        <f t="shared" si="48"/>
        <v>1894</v>
      </c>
      <c r="X1903" s="564">
        <v>35</v>
      </c>
    </row>
    <row r="1904" spans="23:24" x14ac:dyDescent="0.25">
      <c r="W1904" s="574">
        <f t="shared" si="48"/>
        <v>1895</v>
      </c>
      <c r="X1904" s="564">
        <v>35</v>
      </c>
    </row>
    <row r="1905" spans="23:24" x14ac:dyDescent="0.25">
      <c r="W1905" s="574">
        <f t="shared" si="48"/>
        <v>1896</v>
      </c>
      <c r="X1905" s="564">
        <v>35</v>
      </c>
    </row>
    <row r="1906" spans="23:24" x14ac:dyDescent="0.25">
      <c r="W1906" s="574">
        <f t="shared" si="48"/>
        <v>1897</v>
      </c>
      <c r="X1906" s="564">
        <v>35</v>
      </c>
    </row>
    <row r="1907" spans="23:24" x14ac:dyDescent="0.25">
      <c r="W1907" s="574">
        <f t="shared" si="48"/>
        <v>1898</v>
      </c>
      <c r="X1907" s="564">
        <v>35</v>
      </c>
    </row>
    <row r="1908" spans="23:24" x14ac:dyDescent="0.25">
      <c r="W1908" s="574">
        <f t="shared" si="48"/>
        <v>1899</v>
      </c>
      <c r="X1908" s="564">
        <v>35</v>
      </c>
    </row>
    <row r="1909" spans="23:24" x14ac:dyDescent="0.25">
      <c r="W1909" s="574">
        <f t="shared" si="48"/>
        <v>1900</v>
      </c>
      <c r="X1909" s="564">
        <v>35</v>
      </c>
    </row>
    <row r="1910" spans="23:24" x14ac:dyDescent="0.25">
      <c r="W1910" s="574">
        <f t="shared" si="48"/>
        <v>1901</v>
      </c>
      <c r="X1910" s="564">
        <v>35</v>
      </c>
    </row>
    <row r="1911" spans="23:24" x14ac:dyDescent="0.25">
      <c r="W1911" s="574">
        <f t="shared" si="48"/>
        <v>1902</v>
      </c>
      <c r="X1911" s="564">
        <v>35</v>
      </c>
    </row>
    <row r="1912" spans="23:24" x14ac:dyDescent="0.25">
      <c r="W1912" s="574">
        <f t="shared" si="48"/>
        <v>1903</v>
      </c>
      <c r="X1912" s="564">
        <v>35</v>
      </c>
    </row>
    <row r="1913" spans="23:24" x14ac:dyDescent="0.25">
      <c r="W1913" s="574">
        <f t="shared" si="48"/>
        <v>1904</v>
      </c>
      <c r="X1913" s="564">
        <v>35</v>
      </c>
    </row>
    <row r="1914" spans="23:24" x14ac:dyDescent="0.25">
      <c r="W1914" s="574">
        <f t="shared" si="48"/>
        <v>1905</v>
      </c>
      <c r="X1914" s="564">
        <v>35</v>
      </c>
    </row>
    <row r="1915" spans="23:24" x14ac:dyDescent="0.25">
      <c r="W1915" s="574">
        <f t="shared" si="48"/>
        <v>1906</v>
      </c>
      <c r="X1915" s="564">
        <v>35</v>
      </c>
    </row>
    <row r="1916" spans="23:24" x14ac:dyDescent="0.25">
      <c r="W1916" s="574">
        <f t="shared" si="48"/>
        <v>1907</v>
      </c>
      <c r="X1916" s="564">
        <v>35</v>
      </c>
    </row>
    <row r="1917" spans="23:24" x14ac:dyDescent="0.25">
      <c r="W1917" s="574">
        <f t="shared" si="48"/>
        <v>1908</v>
      </c>
      <c r="X1917" s="564">
        <v>35</v>
      </c>
    </row>
    <row r="1918" spans="23:24" x14ac:dyDescent="0.25">
      <c r="W1918" s="574">
        <f t="shared" si="48"/>
        <v>1909</v>
      </c>
      <c r="X1918" s="564">
        <v>35</v>
      </c>
    </row>
    <row r="1919" spans="23:24" x14ac:dyDescent="0.25">
      <c r="W1919" s="574">
        <f t="shared" si="48"/>
        <v>1910</v>
      </c>
      <c r="X1919" s="564">
        <v>35</v>
      </c>
    </row>
    <row r="1920" spans="23:24" x14ac:dyDescent="0.25">
      <c r="W1920" s="574">
        <f t="shared" si="48"/>
        <v>1911</v>
      </c>
      <c r="X1920" s="564">
        <v>35</v>
      </c>
    </row>
    <row r="1921" spans="23:24" x14ac:dyDescent="0.25">
      <c r="W1921" s="574">
        <f t="shared" si="48"/>
        <v>1912</v>
      </c>
      <c r="X1921" s="564">
        <v>35</v>
      </c>
    </row>
    <row r="1922" spans="23:24" x14ac:dyDescent="0.25">
      <c r="W1922" s="574">
        <f t="shared" si="48"/>
        <v>1913</v>
      </c>
      <c r="X1922" s="564">
        <v>35</v>
      </c>
    </row>
    <row r="1923" spans="23:24" x14ac:dyDescent="0.25">
      <c r="W1923" s="574">
        <f t="shared" si="48"/>
        <v>1914</v>
      </c>
      <c r="X1923" s="564">
        <v>35</v>
      </c>
    </row>
    <row r="1924" spans="23:24" x14ac:dyDescent="0.25">
      <c r="W1924" s="574">
        <f t="shared" si="48"/>
        <v>1915</v>
      </c>
      <c r="X1924" s="564">
        <v>35</v>
      </c>
    </row>
    <row r="1925" spans="23:24" x14ac:dyDescent="0.25">
      <c r="W1925" s="574">
        <f t="shared" si="48"/>
        <v>1916</v>
      </c>
      <c r="X1925" s="564">
        <v>35</v>
      </c>
    </row>
    <row r="1926" spans="23:24" x14ac:dyDescent="0.25">
      <c r="W1926" s="574">
        <f t="shared" si="48"/>
        <v>1917</v>
      </c>
      <c r="X1926" s="564">
        <v>35</v>
      </c>
    </row>
    <row r="1927" spans="23:24" x14ac:dyDescent="0.25">
      <c r="W1927" s="574">
        <f t="shared" si="48"/>
        <v>1918</v>
      </c>
      <c r="X1927" s="564">
        <v>35</v>
      </c>
    </row>
    <row r="1928" spans="23:24" x14ac:dyDescent="0.25">
      <c r="W1928" s="574">
        <f t="shared" si="48"/>
        <v>1919</v>
      </c>
      <c r="X1928" s="564">
        <v>35</v>
      </c>
    </row>
    <row r="1929" spans="23:24" x14ac:dyDescent="0.25">
      <c r="W1929" s="574">
        <f t="shared" si="48"/>
        <v>1920</v>
      </c>
      <c r="X1929" s="564">
        <v>35</v>
      </c>
    </row>
    <row r="1930" spans="23:24" x14ac:dyDescent="0.25">
      <c r="W1930" s="574">
        <f t="shared" si="48"/>
        <v>1921</v>
      </c>
      <c r="X1930" s="564">
        <v>35</v>
      </c>
    </row>
    <row r="1931" spans="23:24" x14ac:dyDescent="0.25">
      <c r="W1931" s="574">
        <f t="shared" si="48"/>
        <v>1922</v>
      </c>
      <c r="X1931" s="564">
        <v>35</v>
      </c>
    </row>
    <row r="1932" spans="23:24" x14ac:dyDescent="0.25">
      <c r="W1932" s="574">
        <f t="shared" si="48"/>
        <v>1923</v>
      </c>
      <c r="X1932" s="564">
        <v>35</v>
      </c>
    </row>
    <row r="1933" spans="23:24" x14ac:dyDescent="0.25">
      <c r="W1933" s="574">
        <f t="shared" si="48"/>
        <v>1924</v>
      </c>
      <c r="X1933" s="564">
        <v>35</v>
      </c>
    </row>
    <row r="1934" spans="23:24" x14ac:dyDescent="0.25">
      <c r="W1934" s="574">
        <f t="shared" si="48"/>
        <v>1925</v>
      </c>
      <c r="X1934" s="564">
        <v>35</v>
      </c>
    </row>
    <row r="1935" spans="23:24" x14ac:dyDescent="0.25">
      <c r="W1935" s="574">
        <f t="shared" si="48"/>
        <v>1926</v>
      </c>
      <c r="X1935" s="564">
        <v>35</v>
      </c>
    </row>
    <row r="1936" spans="23:24" x14ac:dyDescent="0.25">
      <c r="W1936" s="574">
        <f t="shared" si="48"/>
        <v>1927</v>
      </c>
      <c r="X1936" s="564">
        <v>35</v>
      </c>
    </row>
    <row r="1937" spans="23:24" x14ac:dyDescent="0.25">
      <c r="W1937" s="574">
        <f t="shared" si="48"/>
        <v>1928</v>
      </c>
      <c r="X1937" s="564">
        <v>35</v>
      </c>
    </row>
    <row r="1938" spans="23:24" x14ac:dyDescent="0.25">
      <c r="W1938" s="574">
        <f t="shared" si="48"/>
        <v>1929</v>
      </c>
      <c r="X1938" s="564">
        <v>35</v>
      </c>
    </row>
    <row r="1939" spans="23:24" x14ac:dyDescent="0.25">
      <c r="W1939" s="574">
        <f t="shared" si="48"/>
        <v>1930</v>
      </c>
      <c r="X1939" s="564">
        <v>35</v>
      </c>
    </row>
    <row r="1940" spans="23:24" x14ac:dyDescent="0.25">
      <c r="W1940" s="574">
        <f t="shared" si="48"/>
        <v>1931</v>
      </c>
      <c r="X1940" s="564">
        <v>35</v>
      </c>
    </row>
    <row r="1941" spans="23:24" x14ac:dyDescent="0.25">
      <c r="W1941" s="574">
        <f t="shared" si="48"/>
        <v>1932</v>
      </c>
      <c r="X1941" s="564">
        <v>35</v>
      </c>
    </row>
    <row r="1942" spans="23:24" x14ac:dyDescent="0.25">
      <c r="W1942" s="574">
        <f t="shared" si="48"/>
        <v>1933</v>
      </c>
      <c r="X1942" s="564">
        <v>35</v>
      </c>
    </row>
    <row r="1943" spans="23:24" x14ac:dyDescent="0.25">
      <c r="W1943" s="574">
        <f t="shared" si="48"/>
        <v>1934</v>
      </c>
      <c r="X1943" s="564">
        <v>35</v>
      </c>
    </row>
    <row r="1944" spans="23:24" x14ac:dyDescent="0.25">
      <c r="W1944" s="574">
        <f t="shared" si="48"/>
        <v>1935</v>
      </c>
      <c r="X1944" s="564">
        <v>35</v>
      </c>
    </row>
    <row r="1945" spans="23:24" x14ac:dyDescent="0.25">
      <c r="W1945" s="574">
        <f t="shared" si="48"/>
        <v>1936</v>
      </c>
      <c r="X1945" s="564">
        <v>35</v>
      </c>
    </row>
    <row r="1946" spans="23:24" x14ac:dyDescent="0.25">
      <c r="W1946" s="574">
        <f t="shared" ref="W1946:W2009" si="49">W1945+1</f>
        <v>1937</v>
      </c>
      <c r="X1946" s="564">
        <v>35</v>
      </c>
    </row>
    <row r="1947" spans="23:24" x14ac:dyDescent="0.25">
      <c r="W1947" s="574">
        <f t="shared" si="49"/>
        <v>1938</v>
      </c>
      <c r="X1947" s="564">
        <v>35</v>
      </c>
    </row>
    <row r="1948" spans="23:24" x14ac:dyDescent="0.25">
      <c r="W1948" s="574">
        <f t="shared" si="49"/>
        <v>1939</v>
      </c>
      <c r="X1948" s="564">
        <v>35</v>
      </c>
    </row>
    <row r="1949" spans="23:24" x14ac:dyDescent="0.25">
      <c r="W1949" s="574">
        <f t="shared" si="49"/>
        <v>1940</v>
      </c>
      <c r="X1949" s="564">
        <v>35</v>
      </c>
    </row>
    <row r="1950" spans="23:24" x14ac:dyDescent="0.25">
      <c r="W1950" s="574">
        <f t="shared" si="49"/>
        <v>1941</v>
      </c>
      <c r="X1950" s="564">
        <v>35</v>
      </c>
    </row>
    <row r="1951" spans="23:24" x14ac:dyDescent="0.25">
      <c r="W1951" s="574">
        <f t="shared" si="49"/>
        <v>1942</v>
      </c>
      <c r="X1951" s="564">
        <v>35</v>
      </c>
    </row>
    <row r="1952" spans="23:24" x14ac:dyDescent="0.25">
      <c r="W1952" s="574">
        <f t="shared" si="49"/>
        <v>1943</v>
      </c>
      <c r="X1952" s="564">
        <v>35</v>
      </c>
    </row>
    <row r="1953" spans="23:24" x14ac:dyDescent="0.25">
      <c r="W1953" s="574">
        <f t="shared" si="49"/>
        <v>1944</v>
      </c>
      <c r="X1953" s="564">
        <v>35</v>
      </c>
    </row>
    <row r="1954" spans="23:24" x14ac:dyDescent="0.25">
      <c r="W1954" s="574">
        <f t="shared" si="49"/>
        <v>1945</v>
      </c>
      <c r="X1954" s="564">
        <v>35</v>
      </c>
    </row>
    <row r="1955" spans="23:24" x14ac:dyDescent="0.25">
      <c r="W1955" s="574">
        <f t="shared" si="49"/>
        <v>1946</v>
      </c>
      <c r="X1955" s="564">
        <v>35</v>
      </c>
    </row>
    <row r="1956" spans="23:24" x14ac:dyDescent="0.25">
      <c r="W1956" s="574">
        <f t="shared" si="49"/>
        <v>1947</v>
      </c>
      <c r="X1956" s="564">
        <v>35</v>
      </c>
    </row>
    <row r="1957" spans="23:24" x14ac:dyDescent="0.25">
      <c r="W1957" s="574">
        <f t="shared" si="49"/>
        <v>1948</v>
      </c>
      <c r="X1957" s="564">
        <v>35</v>
      </c>
    </row>
    <row r="1958" spans="23:24" x14ac:dyDescent="0.25">
      <c r="W1958" s="574">
        <f t="shared" si="49"/>
        <v>1949</v>
      </c>
      <c r="X1958" s="564">
        <v>35</v>
      </c>
    </row>
    <row r="1959" spans="23:24" x14ac:dyDescent="0.25">
      <c r="W1959" s="574">
        <f t="shared" si="49"/>
        <v>1950</v>
      </c>
      <c r="X1959" s="564">
        <v>35</v>
      </c>
    </row>
    <row r="1960" spans="23:24" x14ac:dyDescent="0.25">
      <c r="W1960" s="574">
        <f t="shared" si="49"/>
        <v>1951</v>
      </c>
      <c r="X1960" s="564">
        <v>35</v>
      </c>
    </row>
    <row r="1961" spans="23:24" x14ac:dyDescent="0.25">
      <c r="W1961" s="574">
        <f t="shared" si="49"/>
        <v>1952</v>
      </c>
      <c r="X1961" s="564">
        <v>35</v>
      </c>
    </row>
    <row r="1962" spans="23:24" x14ac:dyDescent="0.25">
      <c r="W1962" s="574">
        <f t="shared" si="49"/>
        <v>1953</v>
      </c>
      <c r="X1962" s="564">
        <v>35</v>
      </c>
    </row>
    <row r="1963" spans="23:24" x14ac:dyDescent="0.25">
      <c r="W1963" s="574">
        <f t="shared" si="49"/>
        <v>1954</v>
      </c>
      <c r="X1963" s="564">
        <v>35</v>
      </c>
    </row>
    <row r="1964" spans="23:24" x14ac:dyDescent="0.25">
      <c r="W1964" s="574">
        <f t="shared" si="49"/>
        <v>1955</v>
      </c>
      <c r="X1964" s="564">
        <v>35</v>
      </c>
    </row>
    <row r="1965" spans="23:24" x14ac:dyDescent="0.25">
      <c r="W1965" s="574">
        <f t="shared" si="49"/>
        <v>1956</v>
      </c>
      <c r="X1965" s="564">
        <v>35</v>
      </c>
    </row>
    <row r="1966" spans="23:24" x14ac:dyDescent="0.25">
      <c r="W1966" s="574">
        <f t="shared" si="49"/>
        <v>1957</v>
      </c>
      <c r="X1966" s="564">
        <v>35</v>
      </c>
    </row>
    <row r="1967" spans="23:24" x14ac:dyDescent="0.25">
      <c r="W1967" s="574">
        <f t="shared" si="49"/>
        <v>1958</v>
      </c>
      <c r="X1967" s="564">
        <v>35</v>
      </c>
    </row>
    <row r="1968" spans="23:24" x14ac:dyDescent="0.25">
      <c r="W1968" s="574">
        <f t="shared" si="49"/>
        <v>1959</v>
      </c>
      <c r="X1968" s="564">
        <v>35</v>
      </c>
    </row>
    <row r="1969" spans="23:24" x14ac:dyDescent="0.25">
      <c r="W1969" s="574">
        <f t="shared" si="49"/>
        <v>1960</v>
      </c>
      <c r="X1969" s="564">
        <v>35</v>
      </c>
    </row>
    <row r="1970" spans="23:24" x14ac:dyDescent="0.25">
      <c r="W1970" s="574">
        <f t="shared" si="49"/>
        <v>1961</v>
      </c>
      <c r="X1970" s="564">
        <v>35</v>
      </c>
    </row>
    <row r="1971" spans="23:24" x14ac:dyDescent="0.25">
      <c r="W1971" s="574">
        <f t="shared" si="49"/>
        <v>1962</v>
      </c>
      <c r="X1971" s="564">
        <v>35</v>
      </c>
    </row>
    <row r="1972" spans="23:24" x14ac:dyDescent="0.25">
      <c r="W1972" s="574">
        <f t="shared" si="49"/>
        <v>1963</v>
      </c>
      <c r="X1972" s="564">
        <v>35</v>
      </c>
    </row>
    <row r="1973" spans="23:24" x14ac:dyDescent="0.25">
      <c r="W1973" s="574">
        <f t="shared" si="49"/>
        <v>1964</v>
      </c>
      <c r="X1973" s="564">
        <v>35</v>
      </c>
    </row>
    <row r="1974" spans="23:24" x14ac:dyDescent="0.25">
      <c r="W1974" s="574">
        <f t="shared" si="49"/>
        <v>1965</v>
      </c>
      <c r="X1974" s="564">
        <v>35</v>
      </c>
    </row>
    <row r="1975" spans="23:24" x14ac:dyDescent="0.25">
      <c r="W1975" s="574">
        <f t="shared" si="49"/>
        <v>1966</v>
      </c>
      <c r="X1975" s="564">
        <v>35</v>
      </c>
    </row>
    <row r="1976" spans="23:24" x14ac:dyDescent="0.25">
      <c r="W1976" s="574">
        <f t="shared" si="49"/>
        <v>1967</v>
      </c>
      <c r="X1976" s="564">
        <v>35</v>
      </c>
    </row>
    <row r="1977" spans="23:24" x14ac:dyDescent="0.25">
      <c r="W1977" s="574">
        <f t="shared" si="49"/>
        <v>1968</v>
      </c>
      <c r="X1977" s="564">
        <v>35</v>
      </c>
    </row>
    <row r="1978" spans="23:24" x14ac:dyDescent="0.25">
      <c r="W1978" s="574">
        <f t="shared" si="49"/>
        <v>1969</v>
      </c>
      <c r="X1978" s="564">
        <v>35</v>
      </c>
    </row>
    <row r="1979" spans="23:24" x14ac:dyDescent="0.25">
      <c r="W1979" s="574">
        <f t="shared" si="49"/>
        <v>1970</v>
      </c>
      <c r="X1979" s="564">
        <v>35</v>
      </c>
    </row>
    <row r="1980" spans="23:24" x14ac:dyDescent="0.25">
      <c r="W1980" s="574">
        <f t="shared" si="49"/>
        <v>1971</v>
      </c>
      <c r="X1980" s="564">
        <v>35</v>
      </c>
    </row>
    <row r="1981" spans="23:24" x14ac:dyDescent="0.25">
      <c r="W1981" s="574">
        <f t="shared" si="49"/>
        <v>1972</v>
      </c>
      <c r="X1981" s="564">
        <v>35</v>
      </c>
    </row>
    <row r="1982" spans="23:24" x14ac:dyDescent="0.25">
      <c r="W1982" s="574">
        <f t="shared" si="49"/>
        <v>1973</v>
      </c>
      <c r="X1982" s="564">
        <v>35</v>
      </c>
    </row>
    <row r="1983" spans="23:24" x14ac:dyDescent="0.25">
      <c r="W1983" s="574">
        <f t="shared" si="49"/>
        <v>1974</v>
      </c>
      <c r="X1983" s="564">
        <v>35</v>
      </c>
    </row>
    <row r="1984" spans="23:24" x14ac:dyDescent="0.25">
      <c r="W1984" s="574">
        <f t="shared" si="49"/>
        <v>1975</v>
      </c>
      <c r="X1984" s="564">
        <v>35</v>
      </c>
    </row>
    <row r="1985" spans="23:24" x14ac:dyDescent="0.25">
      <c r="W1985" s="574">
        <f t="shared" si="49"/>
        <v>1976</v>
      </c>
      <c r="X1985" s="564">
        <v>35</v>
      </c>
    </row>
    <row r="1986" spans="23:24" x14ac:dyDescent="0.25">
      <c r="W1986" s="574">
        <f t="shared" si="49"/>
        <v>1977</v>
      </c>
      <c r="X1986" s="564">
        <v>35</v>
      </c>
    </row>
    <row r="1987" spans="23:24" x14ac:dyDescent="0.25">
      <c r="W1987" s="574">
        <f t="shared" si="49"/>
        <v>1978</v>
      </c>
      <c r="X1987" s="564">
        <v>35</v>
      </c>
    </row>
    <row r="1988" spans="23:24" x14ac:dyDescent="0.25">
      <c r="W1988" s="574">
        <f t="shared" si="49"/>
        <v>1979</v>
      </c>
      <c r="X1988" s="564">
        <v>35</v>
      </c>
    </row>
    <row r="1989" spans="23:24" x14ac:dyDescent="0.25">
      <c r="W1989" s="574">
        <f t="shared" si="49"/>
        <v>1980</v>
      </c>
      <c r="X1989" s="564">
        <v>35</v>
      </c>
    </row>
    <row r="1990" spans="23:24" x14ac:dyDescent="0.25">
      <c r="W1990" s="574">
        <f t="shared" si="49"/>
        <v>1981</v>
      </c>
      <c r="X1990" s="564">
        <v>35</v>
      </c>
    </row>
    <row r="1991" spans="23:24" x14ac:dyDescent="0.25">
      <c r="W1991" s="574">
        <f t="shared" si="49"/>
        <v>1982</v>
      </c>
      <c r="X1991" s="564">
        <v>35</v>
      </c>
    </row>
    <row r="1992" spans="23:24" x14ac:dyDescent="0.25">
      <c r="W1992" s="574">
        <f t="shared" si="49"/>
        <v>1983</v>
      </c>
      <c r="X1992" s="564">
        <v>35</v>
      </c>
    </row>
    <row r="1993" spans="23:24" x14ac:dyDescent="0.25">
      <c r="W1993" s="574">
        <f t="shared" si="49"/>
        <v>1984</v>
      </c>
      <c r="X1993" s="564">
        <v>35</v>
      </c>
    </row>
    <row r="1994" spans="23:24" x14ac:dyDescent="0.25">
      <c r="W1994" s="574">
        <f t="shared" si="49"/>
        <v>1985</v>
      </c>
      <c r="X1994" s="564">
        <v>35</v>
      </c>
    </row>
    <row r="1995" spans="23:24" x14ac:dyDescent="0.25">
      <c r="W1995" s="574">
        <f t="shared" si="49"/>
        <v>1986</v>
      </c>
      <c r="X1995" s="564">
        <v>35</v>
      </c>
    </row>
    <row r="1996" spans="23:24" x14ac:dyDescent="0.25">
      <c r="W1996" s="574">
        <f t="shared" si="49"/>
        <v>1987</v>
      </c>
      <c r="X1996" s="564">
        <v>35</v>
      </c>
    </row>
    <row r="1997" spans="23:24" x14ac:dyDescent="0.25">
      <c r="W1997" s="574">
        <f t="shared" si="49"/>
        <v>1988</v>
      </c>
      <c r="X1997" s="564">
        <v>35</v>
      </c>
    </row>
    <row r="1998" spans="23:24" x14ac:dyDescent="0.25">
      <c r="W1998" s="574">
        <f t="shared" si="49"/>
        <v>1989</v>
      </c>
      <c r="X1998" s="564">
        <v>35</v>
      </c>
    </row>
    <row r="1999" spans="23:24" x14ac:dyDescent="0.25">
      <c r="W1999" s="574">
        <f t="shared" si="49"/>
        <v>1990</v>
      </c>
      <c r="X1999" s="564">
        <v>35</v>
      </c>
    </row>
    <row r="2000" spans="23:24" x14ac:dyDescent="0.25">
      <c r="W2000" s="574">
        <f t="shared" si="49"/>
        <v>1991</v>
      </c>
      <c r="X2000" s="564">
        <v>35</v>
      </c>
    </row>
    <row r="2001" spans="23:24" x14ac:dyDescent="0.25">
      <c r="W2001" s="574">
        <f t="shared" si="49"/>
        <v>1992</v>
      </c>
      <c r="X2001" s="564">
        <v>35</v>
      </c>
    </row>
    <row r="2002" spans="23:24" x14ac:dyDescent="0.25">
      <c r="W2002" s="574">
        <f t="shared" si="49"/>
        <v>1993</v>
      </c>
      <c r="X2002" s="564">
        <v>35</v>
      </c>
    </row>
    <row r="2003" spans="23:24" x14ac:dyDescent="0.25">
      <c r="W2003" s="574">
        <f t="shared" si="49"/>
        <v>1994</v>
      </c>
      <c r="X2003" s="564">
        <v>35</v>
      </c>
    </row>
    <row r="2004" spans="23:24" x14ac:dyDescent="0.25">
      <c r="W2004" s="574">
        <f t="shared" si="49"/>
        <v>1995</v>
      </c>
      <c r="X2004" s="564">
        <v>35</v>
      </c>
    </row>
    <row r="2005" spans="23:24" x14ac:dyDescent="0.25">
      <c r="W2005" s="574">
        <f t="shared" si="49"/>
        <v>1996</v>
      </c>
      <c r="X2005" s="564">
        <v>35</v>
      </c>
    </row>
    <row r="2006" spans="23:24" x14ac:dyDescent="0.25">
      <c r="W2006" s="574">
        <f t="shared" si="49"/>
        <v>1997</v>
      </c>
      <c r="X2006" s="564">
        <v>35</v>
      </c>
    </row>
    <row r="2007" spans="23:24" x14ac:dyDescent="0.25">
      <c r="W2007" s="574">
        <f t="shared" si="49"/>
        <v>1998</v>
      </c>
      <c r="X2007" s="564">
        <v>35</v>
      </c>
    </row>
    <row r="2008" spans="23:24" x14ac:dyDescent="0.25">
      <c r="W2008" s="574">
        <f t="shared" si="49"/>
        <v>1999</v>
      </c>
      <c r="X2008" s="564">
        <v>35</v>
      </c>
    </row>
    <row r="2009" spans="23:24" x14ac:dyDescent="0.25">
      <c r="W2009" s="574">
        <f t="shared" si="49"/>
        <v>2000</v>
      </c>
      <c r="X2009" s="564">
        <v>36</v>
      </c>
    </row>
    <row r="2010" spans="23:24" x14ac:dyDescent="0.25">
      <c r="W2010" s="574">
        <f t="shared" ref="W2010:W2073" si="50">W2009+1</f>
        <v>2001</v>
      </c>
      <c r="X2010" s="564">
        <v>36</v>
      </c>
    </row>
    <row r="2011" spans="23:24" x14ac:dyDescent="0.25">
      <c r="W2011" s="574">
        <f t="shared" si="50"/>
        <v>2002</v>
      </c>
      <c r="X2011" s="564">
        <v>36</v>
      </c>
    </row>
    <row r="2012" spans="23:24" x14ac:dyDescent="0.25">
      <c r="W2012" s="574">
        <f t="shared" si="50"/>
        <v>2003</v>
      </c>
      <c r="X2012" s="564">
        <v>36</v>
      </c>
    </row>
    <row r="2013" spans="23:24" x14ac:dyDescent="0.25">
      <c r="W2013" s="574">
        <f t="shared" si="50"/>
        <v>2004</v>
      </c>
      <c r="X2013" s="564">
        <v>36</v>
      </c>
    </row>
    <row r="2014" spans="23:24" x14ac:dyDescent="0.25">
      <c r="W2014" s="574">
        <f t="shared" si="50"/>
        <v>2005</v>
      </c>
      <c r="X2014" s="564">
        <v>36</v>
      </c>
    </row>
    <row r="2015" spans="23:24" x14ac:dyDescent="0.25">
      <c r="W2015" s="574">
        <f t="shared" si="50"/>
        <v>2006</v>
      </c>
      <c r="X2015" s="564">
        <v>36</v>
      </c>
    </row>
    <row r="2016" spans="23:24" x14ac:dyDescent="0.25">
      <c r="W2016" s="574">
        <f t="shared" si="50"/>
        <v>2007</v>
      </c>
      <c r="X2016" s="564">
        <v>36</v>
      </c>
    </row>
    <row r="2017" spans="23:24" x14ac:dyDescent="0.25">
      <c r="W2017" s="574">
        <f t="shared" si="50"/>
        <v>2008</v>
      </c>
      <c r="X2017" s="564">
        <v>36</v>
      </c>
    </row>
    <row r="2018" spans="23:24" x14ac:dyDescent="0.25">
      <c r="W2018" s="574">
        <f t="shared" si="50"/>
        <v>2009</v>
      </c>
      <c r="X2018" s="564">
        <v>36</v>
      </c>
    </row>
    <row r="2019" spans="23:24" x14ac:dyDescent="0.25">
      <c r="W2019" s="574">
        <f t="shared" si="50"/>
        <v>2010</v>
      </c>
      <c r="X2019" s="564">
        <v>36</v>
      </c>
    </row>
    <row r="2020" spans="23:24" x14ac:dyDescent="0.25">
      <c r="W2020" s="574">
        <f t="shared" si="50"/>
        <v>2011</v>
      </c>
      <c r="X2020" s="564">
        <v>36</v>
      </c>
    </row>
    <row r="2021" spans="23:24" x14ac:dyDescent="0.25">
      <c r="W2021" s="574">
        <f t="shared" si="50"/>
        <v>2012</v>
      </c>
      <c r="X2021" s="564">
        <v>36</v>
      </c>
    </row>
    <row r="2022" spans="23:24" x14ac:dyDescent="0.25">
      <c r="W2022" s="574">
        <f t="shared" si="50"/>
        <v>2013</v>
      </c>
      <c r="X2022" s="564">
        <v>36</v>
      </c>
    </row>
    <row r="2023" spans="23:24" x14ac:dyDescent="0.25">
      <c r="W2023" s="574">
        <f t="shared" si="50"/>
        <v>2014</v>
      </c>
      <c r="X2023" s="564">
        <v>36</v>
      </c>
    </row>
    <row r="2024" spans="23:24" x14ac:dyDescent="0.25">
      <c r="W2024" s="574">
        <f t="shared" si="50"/>
        <v>2015</v>
      </c>
      <c r="X2024" s="564">
        <v>36</v>
      </c>
    </row>
    <row r="2025" spans="23:24" x14ac:dyDescent="0.25">
      <c r="W2025" s="574">
        <f t="shared" si="50"/>
        <v>2016</v>
      </c>
      <c r="X2025" s="564">
        <v>36</v>
      </c>
    </row>
    <row r="2026" spans="23:24" x14ac:dyDescent="0.25">
      <c r="W2026" s="574">
        <f t="shared" si="50"/>
        <v>2017</v>
      </c>
      <c r="X2026" s="564">
        <v>36</v>
      </c>
    </row>
    <row r="2027" spans="23:24" x14ac:dyDescent="0.25">
      <c r="W2027" s="574">
        <f t="shared" si="50"/>
        <v>2018</v>
      </c>
      <c r="X2027" s="564">
        <v>36</v>
      </c>
    </row>
    <row r="2028" spans="23:24" x14ac:dyDescent="0.25">
      <c r="W2028" s="574">
        <f t="shared" si="50"/>
        <v>2019</v>
      </c>
      <c r="X2028" s="564">
        <v>36</v>
      </c>
    </row>
    <row r="2029" spans="23:24" x14ac:dyDescent="0.25">
      <c r="W2029" s="574">
        <f t="shared" si="50"/>
        <v>2020</v>
      </c>
      <c r="X2029" s="564">
        <v>36</v>
      </c>
    </row>
    <row r="2030" spans="23:24" x14ac:dyDescent="0.25">
      <c r="W2030" s="574">
        <f t="shared" si="50"/>
        <v>2021</v>
      </c>
      <c r="X2030" s="564">
        <v>36</v>
      </c>
    </row>
    <row r="2031" spans="23:24" x14ac:dyDescent="0.25">
      <c r="W2031" s="574">
        <f t="shared" si="50"/>
        <v>2022</v>
      </c>
      <c r="X2031" s="564">
        <v>36</v>
      </c>
    </row>
    <row r="2032" spans="23:24" x14ac:dyDescent="0.25">
      <c r="W2032" s="574">
        <f t="shared" si="50"/>
        <v>2023</v>
      </c>
      <c r="X2032" s="564">
        <v>36</v>
      </c>
    </row>
    <row r="2033" spans="23:24" x14ac:dyDescent="0.25">
      <c r="W2033" s="574">
        <f t="shared" si="50"/>
        <v>2024</v>
      </c>
      <c r="X2033" s="564">
        <v>36</v>
      </c>
    </row>
    <row r="2034" spans="23:24" x14ac:dyDescent="0.25">
      <c r="W2034" s="574">
        <f t="shared" si="50"/>
        <v>2025</v>
      </c>
      <c r="X2034" s="564">
        <v>36</v>
      </c>
    </row>
    <row r="2035" spans="23:24" x14ac:dyDescent="0.25">
      <c r="W2035" s="574">
        <f t="shared" si="50"/>
        <v>2026</v>
      </c>
      <c r="X2035" s="564">
        <v>36</v>
      </c>
    </row>
    <row r="2036" spans="23:24" x14ac:dyDescent="0.25">
      <c r="W2036" s="574">
        <f t="shared" si="50"/>
        <v>2027</v>
      </c>
      <c r="X2036" s="564">
        <v>36</v>
      </c>
    </row>
    <row r="2037" spans="23:24" x14ac:dyDescent="0.25">
      <c r="W2037" s="574">
        <f t="shared" si="50"/>
        <v>2028</v>
      </c>
      <c r="X2037" s="564">
        <v>36</v>
      </c>
    </row>
    <row r="2038" spans="23:24" x14ac:dyDescent="0.25">
      <c r="W2038" s="574">
        <f t="shared" si="50"/>
        <v>2029</v>
      </c>
      <c r="X2038" s="564">
        <v>36</v>
      </c>
    </row>
    <row r="2039" spans="23:24" x14ac:dyDescent="0.25">
      <c r="W2039" s="574">
        <f t="shared" si="50"/>
        <v>2030</v>
      </c>
      <c r="X2039" s="564">
        <v>36</v>
      </c>
    </row>
    <row r="2040" spans="23:24" x14ac:dyDescent="0.25">
      <c r="W2040" s="574">
        <f t="shared" si="50"/>
        <v>2031</v>
      </c>
      <c r="X2040" s="564">
        <v>36</v>
      </c>
    </row>
    <row r="2041" spans="23:24" x14ac:dyDescent="0.25">
      <c r="W2041" s="574">
        <f t="shared" si="50"/>
        <v>2032</v>
      </c>
      <c r="X2041" s="564">
        <v>36</v>
      </c>
    </row>
    <row r="2042" spans="23:24" x14ac:dyDescent="0.25">
      <c r="W2042" s="574">
        <f t="shared" si="50"/>
        <v>2033</v>
      </c>
      <c r="X2042" s="564">
        <v>36</v>
      </c>
    </row>
    <row r="2043" spans="23:24" x14ac:dyDescent="0.25">
      <c r="W2043" s="574">
        <f t="shared" si="50"/>
        <v>2034</v>
      </c>
      <c r="X2043" s="564">
        <v>36</v>
      </c>
    </row>
    <row r="2044" spans="23:24" x14ac:dyDescent="0.25">
      <c r="W2044" s="574">
        <f t="shared" si="50"/>
        <v>2035</v>
      </c>
      <c r="X2044" s="564">
        <v>36</v>
      </c>
    </row>
    <row r="2045" spans="23:24" x14ac:dyDescent="0.25">
      <c r="W2045" s="574">
        <f t="shared" si="50"/>
        <v>2036</v>
      </c>
      <c r="X2045" s="564">
        <v>36</v>
      </c>
    </row>
    <row r="2046" spans="23:24" x14ac:dyDescent="0.25">
      <c r="W2046" s="574">
        <f t="shared" si="50"/>
        <v>2037</v>
      </c>
      <c r="X2046" s="564">
        <v>36</v>
      </c>
    </row>
    <row r="2047" spans="23:24" x14ac:dyDescent="0.25">
      <c r="W2047" s="574">
        <f t="shared" si="50"/>
        <v>2038</v>
      </c>
      <c r="X2047" s="564">
        <v>36</v>
      </c>
    </row>
    <row r="2048" spans="23:24" x14ac:dyDescent="0.25">
      <c r="W2048" s="574">
        <f t="shared" si="50"/>
        <v>2039</v>
      </c>
      <c r="X2048" s="564">
        <v>36</v>
      </c>
    </row>
    <row r="2049" spans="23:24" x14ac:dyDescent="0.25">
      <c r="W2049" s="574">
        <f t="shared" si="50"/>
        <v>2040</v>
      </c>
      <c r="X2049" s="564">
        <v>36</v>
      </c>
    </row>
    <row r="2050" spans="23:24" x14ac:dyDescent="0.25">
      <c r="W2050" s="574">
        <f t="shared" si="50"/>
        <v>2041</v>
      </c>
      <c r="X2050" s="564">
        <v>36</v>
      </c>
    </row>
    <row r="2051" spans="23:24" x14ac:dyDescent="0.25">
      <c r="W2051" s="574">
        <f t="shared" si="50"/>
        <v>2042</v>
      </c>
      <c r="X2051" s="564">
        <v>36</v>
      </c>
    </row>
    <row r="2052" spans="23:24" x14ac:dyDescent="0.25">
      <c r="W2052" s="574">
        <f t="shared" si="50"/>
        <v>2043</v>
      </c>
      <c r="X2052" s="564">
        <v>36</v>
      </c>
    </row>
    <row r="2053" spans="23:24" x14ac:dyDescent="0.25">
      <c r="W2053" s="574">
        <f t="shared" si="50"/>
        <v>2044</v>
      </c>
      <c r="X2053" s="564">
        <v>36</v>
      </c>
    </row>
    <row r="2054" spans="23:24" x14ac:dyDescent="0.25">
      <c r="W2054" s="574">
        <f t="shared" si="50"/>
        <v>2045</v>
      </c>
      <c r="X2054" s="564">
        <v>36</v>
      </c>
    </row>
    <row r="2055" spans="23:24" x14ac:dyDescent="0.25">
      <c r="W2055" s="574">
        <f t="shared" si="50"/>
        <v>2046</v>
      </c>
      <c r="X2055" s="564">
        <v>36</v>
      </c>
    </row>
    <row r="2056" spans="23:24" x14ac:dyDescent="0.25">
      <c r="W2056" s="574">
        <f t="shared" si="50"/>
        <v>2047</v>
      </c>
      <c r="X2056" s="564">
        <v>36</v>
      </c>
    </row>
    <row r="2057" spans="23:24" x14ac:dyDescent="0.25">
      <c r="W2057" s="574">
        <f t="shared" si="50"/>
        <v>2048</v>
      </c>
      <c r="X2057" s="564">
        <v>36</v>
      </c>
    </row>
    <row r="2058" spans="23:24" x14ac:dyDescent="0.25">
      <c r="W2058" s="574">
        <f t="shared" si="50"/>
        <v>2049</v>
      </c>
      <c r="X2058" s="564">
        <v>36</v>
      </c>
    </row>
    <row r="2059" spans="23:24" x14ac:dyDescent="0.25">
      <c r="W2059" s="574">
        <f t="shared" si="50"/>
        <v>2050</v>
      </c>
      <c r="X2059" s="564">
        <v>36</v>
      </c>
    </row>
    <row r="2060" spans="23:24" x14ac:dyDescent="0.25">
      <c r="W2060" s="574">
        <f t="shared" si="50"/>
        <v>2051</v>
      </c>
      <c r="X2060" s="564">
        <v>36</v>
      </c>
    </row>
    <row r="2061" spans="23:24" x14ac:dyDescent="0.25">
      <c r="W2061" s="574">
        <f t="shared" si="50"/>
        <v>2052</v>
      </c>
      <c r="X2061" s="564">
        <v>36</v>
      </c>
    </row>
    <row r="2062" spans="23:24" x14ac:dyDescent="0.25">
      <c r="W2062" s="574">
        <f t="shared" si="50"/>
        <v>2053</v>
      </c>
      <c r="X2062" s="564">
        <v>36</v>
      </c>
    </row>
    <row r="2063" spans="23:24" x14ac:dyDescent="0.25">
      <c r="W2063" s="574">
        <f t="shared" si="50"/>
        <v>2054</v>
      </c>
      <c r="X2063" s="564">
        <v>36</v>
      </c>
    </row>
    <row r="2064" spans="23:24" x14ac:dyDescent="0.25">
      <c r="W2064" s="574">
        <f t="shared" si="50"/>
        <v>2055</v>
      </c>
      <c r="X2064" s="564">
        <v>36</v>
      </c>
    </row>
    <row r="2065" spans="23:24" x14ac:dyDescent="0.25">
      <c r="W2065" s="574">
        <f t="shared" si="50"/>
        <v>2056</v>
      </c>
      <c r="X2065" s="564">
        <v>36</v>
      </c>
    </row>
    <row r="2066" spans="23:24" x14ac:dyDescent="0.25">
      <c r="W2066" s="574">
        <f t="shared" si="50"/>
        <v>2057</v>
      </c>
      <c r="X2066" s="564">
        <v>36</v>
      </c>
    </row>
    <row r="2067" spans="23:24" x14ac:dyDescent="0.25">
      <c r="W2067" s="574">
        <f t="shared" si="50"/>
        <v>2058</v>
      </c>
      <c r="X2067" s="564">
        <v>36</v>
      </c>
    </row>
    <row r="2068" spans="23:24" x14ac:dyDescent="0.25">
      <c r="W2068" s="574">
        <f t="shared" si="50"/>
        <v>2059</v>
      </c>
      <c r="X2068" s="564">
        <v>36</v>
      </c>
    </row>
    <row r="2069" spans="23:24" x14ac:dyDescent="0.25">
      <c r="W2069" s="574">
        <f t="shared" si="50"/>
        <v>2060</v>
      </c>
      <c r="X2069" s="564">
        <v>36</v>
      </c>
    </row>
    <row r="2070" spans="23:24" x14ac:dyDescent="0.25">
      <c r="W2070" s="574">
        <f t="shared" si="50"/>
        <v>2061</v>
      </c>
      <c r="X2070" s="564">
        <v>36</v>
      </c>
    </row>
    <row r="2071" spans="23:24" x14ac:dyDescent="0.25">
      <c r="W2071" s="574">
        <f t="shared" si="50"/>
        <v>2062</v>
      </c>
      <c r="X2071" s="564">
        <v>36</v>
      </c>
    </row>
    <row r="2072" spans="23:24" x14ac:dyDescent="0.25">
      <c r="W2072" s="574">
        <f t="shared" si="50"/>
        <v>2063</v>
      </c>
      <c r="X2072" s="564">
        <v>36</v>
      </c>
    </row>
    <row r="2073" spans="23:24" x14ac:dyDescent="0.25">
      <c r="W2073" s="574">
        <f t="shared" si="50"/>
        <v>2064</v>
      </c>
      <c r="X2073" s="564">
        <v>36</v>
      </c>
    </row>
    <row r="2074" spans="23:24" x14ac:dyDescent="0.25">
      <c r="W2074" s="574">
        <f t="shared" ref="W2074:W2137" si="51">W2073+1</f>
        <v>2065</v>
      </c>
      <c r="X2074" s="564">
        <v>36</v>
      </c>
    </row>
    <row r="2075" spans="23:24" x14ac:dyDescent="0.25">
      <c r="W2075" s="574">
        <f t="shared" si="51"/>
        <v>2066</v>
      </c>
      <c r="X2075" s="564">
        <v>36</v>
      </c>
    </row>
    <row r="2076" spans="23:24" x14ac:dyDescent="0.25">
      <c r="W2076" s="574">
        <f t="shared" si="51"/>
        <v>2067</v>
      </c>
      <c r="X2076" s="564">
        <v>36</v>
      </c>
    </row>
    <row r="2077" spans="23:24" x14ac:dyDescent="0.25">
      <c r="W2077" s="574">
        <f t="shared" si="51"/>
        <v>2068</v>
      </c>
      <c r="X2077" s="564">
        <v>36</v>
      </c>
    </row>
    <row r="2078" spans="23:24" x14ac:dyDescent="0.25">
      <c r="W2078" s="574">
        <f t="shared" si="51"/>
        <v>2069</v>
      </c>
      <c r="X2078" s="564">
        <v>36</v>
      </c>
    </row>
    <row r="2079" spans="23:24" x14ac:dyDescent="0.25">
      <c r="W2079" s="574">
        <f t="shared" si="51"/>
        <v>2070</v>
      </c>
      <c r="X2079" s="564">
        <v>36</v>
      </c>
    </row>
    <row r="2080" spans="23:24" x14ac:dyDescent="0.25">
      <c r="W2080" s="574">
        <f t="shared" si="51"/>
        <v>2071</v>
      </c>
      <c r="X2080" s="564">
        <v>36</v>
      </c>
    </row>
    <row r="2081" spans="23:24" x14ac:dyDescent="0.25">
      <c r="W2081" s="574">
        <f t="shared" si="51"/>
        <v>2072</v>
      </c>
      <c r="X2081" s="564">
        <v>36</v>
      </c>
    </row>
    <row r="2082" spans="23:24" x14ac:dyDescent="0.25">
      <c r="W2082" s="574">
        <f t="shared" si="51"/>
        <v>2073</v>
      </c>
      <c r="X2082" s="564">
        <v>36</v>
      </c>
    </row>
    <row r="2083" spans="23:24" x14ac:dyDescent="0.25">
      <c r="W2083" s="574">
        <f t="shared" si="51"/>
        <v>2074</v>
      </c>
      <c r="X2083" s="564">
        <v>36</v>
      </c>
    </row>
    <row r="2084" spans="23:24" x14ac:dyDescent="0.25">
      <c r="W2084" s="574">
        <f t="shared" si="51"/>
        <v>2075</v>
      </c>
      <c r="X2084" s="564">
        <v>36</v>
      </c>
    </row>
    <row r="2085" spans="23:24" x14ac:dyDescent="0.25">
      <c r="W2085" s="574">
        <f t="shared" si="51"/>
        <v>2076</v>
      </c>
      <c r="X2085" s="564">
        <v>36</v>
      </c>
    </row>
    <row r="2086" spans="23:24" x14ac:dyDescent="0.25">
      <c r="W2086" s="574">
        <f t="shared" si="51"/>
        <v>2077</v>
      </c>
      <c r="X2086" s="564">
        <v>36</v>
      </c>
    </row>
    <row r="2087" spans="23:24" x14ac:dyDescent="0.25">
      <c r="W2087" s="574">
        <f t="shared" si="51"/>
        <v>2078</v>
      </c>
      <c r="X2087" s="564">
        <v>36</v>
      </c>
    </row>
    <row r="2088" spans="23:24" x14ac:dyDescent="0.25">
      <c r="W2088" s="574">
        <f t="shared" si="51"/>
        <v>2079</v>
      </c>
      <c r="X2088" s="564">
        <v>36</v>
      </c>
    </row>
    <row r="2089" spans="23:24" x14ac:dyDescent="0.25">
      <c r="W2089" s="574">
        <f t="shared" si="51"/>
        <v>2080</v>
      </c>
      <c r="X2089" s="564">
        <v>36</v>
      </c>
    </row>
    <row r="2090" spans="23:24" x14ac:dyDescent="0.25">
      <c r="W2090" s="574">
        <f t="shared" si="51"/>
        <v>2081</v>
      </c>
      <c r="X2090" s="564">
        <v>36</v>
      </c>
    </row>
    <row r="2091" spans="23:24" x14ac:dyDescent="0.25">
      <c r="W2091" s="574">
        <f t="shared" si="51"/>
        <v>2082</v>
      </c>
      <c r="X2091" s="564">
        <v>36</v>
      </c>
    </row>
    <row r="2092" spans="23:24" x14ac:dyDescent="0.25">
      <c r="W2092" s="574">
        <f t="shared" si="51"/>
        <v>2083</v>
      </c>
      <c r="X2092" s="564">
        <v>36</v>
      </c>
    </row>
    <row r="2093" spans="23:24" x14ac:dyDescent="0.25">
      <c r="W2093" s="574">
        <f t="shared" si="51"/>
        <v>2084</v>
      </c>
      <c r="X2093" s="564">
        <v>36</v>
      </c>
    </row>
    <row r="2094" spans="23:24" x14ac:dyDescent="0.25">
      <c r="W2094" s="574">
        <f t="shared" si="51"/>
        <v>2085</v>
      </c>
      <c r="X2094" s="564">
        <v>36</v>
      </c>
    </row>
    <row r="2095" spans="23:24" x14ac:dyDescent="0.25">
      <c r="W2095" s="574">
        <f t="shared" si="51"/>
        <v>2086</v>
      </c>
      <c r="X2095" s="564">
        <v>36</v>
      </c>
    </row>
    <row r="2096" spans="23:24" x14ac:dyDescent="0.25">
      <c r="W2096" s="574">
        <f t="shared" si="51"/>
        <v>2087</v>
      </c>
      <c r="X2096" s="564">
        <v>36</v>
      </c>
    </row>
    <row r="2097" spans="23:24" x14ac:dyDescent="0.25">
      <c r="W2097" s="574">
        <f t="shared" si="51"/>
        <v>2088</v>
      </c>
      <c r="X2097" s="564">
        <v>36</v>
      </c>
    </row>
    <row r="2098" spans="23:24" x14ac:dyDescent="0.25">
      <c r="W2098" s="574">
        <f t="shared" si="51"/>
        <v>2089</v>
      </c>
      <c r="X2098" s="564">
        <v>36</v>
      </c>
    </row>
    <row r="2099" spans="23:24" x14ac:dyDescent="0.25">
      <c r="W2099" s="574">
        <f t="shared" si="51"/>
        <v>2090</v>
      </c>
      <c r="X2099" s="564">
        <v>36</v>
      </c>
    </row>
    <row r="2100" spans="23:24" x14ac:dyDescent="0.25">
      <c r="W2100" s="574">
        <f t="shared" si="51"/>
        <v>2091</v>
      </c>
      <c r="X2100" s="564">
        <v>36</v>
      </c>
    </row>
    <row r="2101" spans="23:24" x14ac:dyDescent="0.25">
      <c r="W2101" s="574">
        <f t="shared" si="51"/>
        <v>2092</v>
      </c>
      <c r="X2101" s="564">
        <v>36</v>
      </c>
    </row>
    <row r="2102" spans="23:24" x14ac:dyDescent="0.25">
      <c r="W2102" s="574">
        <f t="shared" si="51"/>
        <v>2093</v>
      </c>
      <c r="X2102" s="564">
        <v>36</v>
      </c>
    </row>
    <row r="2103" spans="23:24" x14ac:dyDescent="0.25">
      <c r="W2103" s="574">
        <f t="shared" si="51"/>
        <v>2094</v>
      </c>
      <c r="X2103" s="564">
        <v>36</v>
      </c>
    </row>
    <row r="2104" spans="23:24" x14ac:dyDescent="0.25">
      <c r="W2104" s="574">
        <f t="shared" si="51"/>
        <v>2095</v>
      </c>
      <c r="X2104" s="564">
        <v>36</v>
      </c>
    </row>
    <row r="2105" spans="23:24" x14ac:dyDescent="0.25">
      <c r="W2105" s="574">
        <f t="shared" si="51"/>
        <v>2096</v>
      </c>
      <c r="X2105" s="564">
        <v>36</v>
      </c>
    </row>
    <row r="2106" spans="23:24" x14ac:dyDescent="0.25">
      <c r="W2106" s="574">
        <f t="shared" si="51"/>
        <v>2097</v>
      </c>
      <c r="X2106" s="564">
        <v>36</v>
      </c>
    </row>
    <row r="2107" spans="23:24" x14ac:dyDescent="0.25">
      <c r="W2107" s="574">
        <f t="shared" si="51"/>
        <v>2098</v>
      </c>
      <c r="X2107" s="564">
        <v>36</v>
      </c>
    </row>
    <row r="2108" spans="23:24" x14ac:dyDescent="0.25">
      <c r="W2108" s="574">
        <f t="shared" si="51"/>
        <v>2099</v>
      </c>
      <c r="X2108" s="564">
        <v>36</v>
      </c>
    </row>
    <row r="2109" spans="23:24" x14ac:dyDescent="0.25">
      <c r="W2109" s="574">
        <f t="shared" si="51"/>
        <v>2100</v>
      </c>
      <c r="X2109" s="564">
        <v>36</v>
      </c>
    </row>
    <row r="2110" spans="23:24" x14ac:dyDescent="0.25">
      <c r="W2110" s="574">
        <f t="shared" si="51"/>
        <v>2101</v>
      </c>
      <c r="X2110" s="564">
        <v>36</v>
      </c>
    </row>
    <row r="2111" spans="23:24" x14ac:dyDescent="0.25">
      <c r="W2111" s="574">
        <f t="shared" si="51"/>
        <v>2102</v>
      </c>
      <c r="X2111" s="564">
        <v>36</v>
      </c>
    </row>
    <row r="2112" spans="23:24" x14ac:dyDescent="0.25">
      <c r="W2112" s="574">
        <f t="shared" si="51"/>
        <v>2103</v>
      </c>
      <c r="X2112" s="564">
        <v>36</v>
      </c>
    </row>
    <row r="2113" spans="23:24" x14ac:dyDescent="0.25">
      <c r="W2113" s="574">
        <f t="shared" si="51"/>
        <v>2104</v>
      </c>
      <c r="X2113" s="564">
        <v>36</v>
      </c>
    </row>
    <row r="2114" spans="23:24" x14ac:dyDescent="0.25">
      <c r="W2114" s="574">
        <f t="shared" si="51"/>
        <v>2105</v>
      </c>
      <c r="X2114" s="564">
        <v>36</v>
      </c>
    </row>
    <row r="2115" spans="23:24" x14ac:dyDescent="0.25">
      <c r="W2115" s="574">
        <f t="shared" si="51"/>
        <v>2106</v>
      </c>
      <c r="X2115" s="564">
        <v>36</v>
      </c>
    </row>
    <row r="2116" spans="23:24" x14ac:dyDescent="0.25">
      <c r="W2116" s="574">
        <f t="shared" si="51"/>
        <v>2107</v>
      </c>
      <c r="X2116" s="564">
        <v>36</v>
      </c>
    </row>
    <row r="2117" spans="23:24" x14ac:dyDescent="0.25">
      <c r="W2117" s="574">
        <f t="shared" si="51"/>
        <v>2108</v>
      </c>
      <c r="X2117" s="564">
        <v>36</v>
      </c>
    </row>
    <row r="2118" spans="23:24" x14ac:dyDescent="0.25">
      <c r="W2118" s="574">
        <f t="shared" si="51"/>
        <v>2109</v>
      </c>
      <c r="X2118" s="564">
        <v>36</v>
      </c>
    </row>
    <row r="2119" spans="23:24" x14ac:dyDescent="0.25">
      <c r="W2119" s="574">
        <f t="shared" si="51"/>
        <v>2110</v>
      </c>
      <c r="X2119" s="564">
        <v>36</v>
      </c>
    </row>
    <row r="2120" spans="23:24" x14ac:dyDescent="0.25">
      <c r="W2120" s="574">
        <f t="shared" si="51"/>
        <v>2111</v>
      </c>
      <c r="X2120" s="564">
        <v>36</v>
      </c>
    </row>
    <row r="2121" spans="23:24" x14ac:dyDescent="0.25">
      <c r="W2121" s="574">
        <f t="shared" si="51"/>
        <v>2112</v>
      </c>
      <c r="X2121" s="564">
        <v>36</v>
      </c>
    </row>
    <row r="2122" spans="23:24" x14ac:dyDescent="0.25">
      <c r="W2122" s="574">
        <f t="shared" si="51"/>
        <v>2113</v>
      </c>
      <c r="X2122" s="564">
        <v>36</v>
      </c>
    </row>
    <row r="2123" spans="23:24" x14ac:dyDescent="0.25">
      <c r="W2123" s="574">
        <f t="shared" si="51"/>
        <v>2114</v>
      </c>
      <c r="X2123" s="564">
        <v>36</v>
      </c>
    </row>
    <row r="2124" spans="23:24" x14ac:dyDescent="0.25">
      <c r="W2124" s="574">
        <f t="shared" si="51"/>
        <v>2115</v>
      </c>
      <c r="X2124" s="564">
        <v>36</v>
      </c>
    </row>
    <row r="2125" spans="23:24" x14ac:dyDescent="0.25">
      <c r="W2125" s="574">
        <f t="shared" si="51"/>
        <v>2116</v>
      </c>
      <c r="X2125" s="564">
        <v>36</v>
      </c>
    </row>
    <row r="2126" spans="23:24" x14ac:dyDescent="0.25">
      <c r="W2126" s="574">
        <f t="shared" si="51"/>
        <v>2117</v>
      </c>
      <c r="X2126" s="564">
        <v>36</v>
      </c>
    </row>
    <row r="2127" spans="23:24" x14ac:dyDescent="0.25">
      <c r="W2127" s="574">
        <f t="shared" si="51"/>
        <v>2118</v>
      </c>
      <c r="X2127" s="564">
        <v>36</v>
      </c>
    </row>
    <row r="2128" spans="23:24" x14ac:dyDescent="0.25">
      <c r="W2128" s="574">
        <f t="shared" si="51"/>
        <v>2119</v>
      </c>
      <c r="X2128" s="564">
        <v>36</v>
      </c>
    </row>
    <row r="2129" spans="23:24" x14ac:dyDescent="0.25">
      <c r="W2129" s="574">
        <f t="shared" si="51"/>
        <v>2120</v>
      </c>
      <c r="X2129" s="564">
        <v>36</v>
      </c>
    </row>
    <row r="2130" spans="23:24" x14ac:dyDescent="0.25">
      <c r="W2130" s="574">
        <f t="shared" si="51"/>
        <v>2121</v>
      </c>
      <c r="X2130" s="564">
        <v>36</v>
      </c>
    </row>
    <row r="2131" spans="23:24" x14ac:dyDescent="0.25">
      <c r="W2131" s="574">
        <f t="shared" si="51"/>
        <v>2122</v>
      </c>
      <c r="X2131" s="564">
        <v>36</v>
      </c>
    </row>
    <row r="2132" spans="23:24" x14ac:dyDescent="0.25">
      <c r="W2132" s="574">
        <f t="shared" si="51"/>
        <v>2123</v>
      </c>
      <c r="X2132" s="564">
        <v>36</v>
      </c>
    </row>
    <row r="2133" spans="23:24" x14ac:dyDescent="0.25">
      <c r="W2133" s="574">
        <f t="shared" si="51"/>
        <v>2124</v>
      </c>
      <c r="X2133" s="564">
        <v>36</v>
      </c>
    </row>
    <row r="2134" spans="23:24" x14ac:dyDescent="0.25">
      <c r="W2134" s="574">
        <f t="shared" si="51"/>
        <v>2125</v>
      </c>
      <c r="X2134" s="564">
        <v>36</v>
      </c>
    </row>
    <row r="2135" spans="23:24" x14ac:dyDescent="0.25">
      <c r="W2135" s="574">
        <f t="shared" si="51"/>
        <v>2126</v>
      </c>
      <c r="X2135" s="564">
        <v>36</v>
      </c>
    </row>
    <row r="2136" spans="23:24" x14ac:dyDescent="0.25">
      <c r="W2136" s="574">
        <f t="shared" si="51"/>
        <v>2127</v>
      </c>
      <c r="X2136" s="564">
        <v>36</v>
      </c>
    </row>
    <row r="2137" spans="23:24" x14ac:dyDescent="0.25">
      <c r="W2137" s="574">
        <f t="shared" si="51"/>
        <v>2128</v>
      </c>
      <c r="X2137" s="564">
        <v>36</v>
      </c>
    </row>
    <row r="2138" spans="23:24" x14ac:dyDescent="0.25">
      <c r="W2138" s="574">
        <f t="shared" ref="W2138:W2201" si="52">W2137+1</f>
        <v>2129</v>
      </c>
      <c r="X2138" s="564">
        <v>36</v>
      </c>
    </row>
    <row r="2139" spans="23:24" x14ac:dyDescent="0.25">
      <c r="W2139" s="574">
        <f t="shared" si="52"/>
        <v>2130</v>
      </c>
      <c r="X2139" s="564">
        <v>36</v>
      </c>
    </row>
    <row r="2140" spans="23:24" x14ac:dyDescent="0.25">
      <c r="W2140" s="574">
        <f t="shared" si="52"/>
        <v>2131</v>
      </c>
      <c r="X2140" s="564">
        <v>36</v>
      </c>
    </row>
    <row r="2141" spans="23:24" x14ac:dyDescent="0.25">
      <c r="W2141" s="574">
        <f t="shared" si="52"/>
        <v>2132</v>
      </c>
      <c r="X2141" s="564">
        <v>36</v>
      </c>
    </row>
    <row r="2142" spans="23:24" x14ac:dyDescent="0.25">
      <c r="W2142" s="574">
        <f t="shared" si="52"/>
        <v>2133</v>
      </c>
      <c r="X2142" s="564">
        <v>36</v>
      </c>
    </row>
    <row r="2143" spans="23:24" x14ac:dyDescent="0.25">
      <c r="W2143" s="574">
        <f t="shared" si="52"/>
        <v>2134</v>
      </c>
      <c r="X2143" s="564">
        <v>36</v>
      </c>
    </row>
    <row r="2144" spans="23:24" x14ac:dyDescent="0.25">
      <c r="W2144" s="574">
        <f t="shared" si="52"/>
        <v>2135</v>
      </c>
      <c r="X2144" s="564">
        <v>36</v>
      </c>
    </row>
    <row r="2145" spans="23:24" x14ac:dyDescent="0.25">
      <c r="W2145" s="574">
        <f t="shared" si="52"/>
        <v>2136</v>
      </c>
      <c r="X2145" s="564">
        <v>36</v>
      </c>
    </row>
    <row r="2146" spans="23:24" x14ac:dyDescent="0.25">
      <c r="W2146" s="574">
        <f t="shared" si="52"/>
        <v>2137</v>
      </c>
      <c r="X2146" s="564">
        <v>36</v>
      </c>
    </row>
    <row r="2147" spans="23:24" x14ac:dyDescent="0.25">
      <c r="W2147" s="574">
        <f t="shared" si="52"/>
        <v>2138</v>
      </c>
      <c r="X2147" s="564">
        <v>36</v>
      </c>
    </row>
    <row r="2148" spans="23:24" x14ac:dyDescent="0.25">
      <c r="W2148" s="574">
        <f t="shared" si="52"/>
        <v>2139</v>
      </c>
      <c r="X2148" s="564">
        <v>36</v>
      </c>
    </row>
    <row r="2149" spans="23:24" x14ac:dyDescent="0.25">
      <c r="W2149" s="574">
        <f t="shared" si="52"/>
        <v>2140</v>
      </c>
      <c r="X2149" s="564">
        <v>36</v>
      </c>
    </row>
    <row r="2150" spans="23:24" x14ac:dyDescent="0.25">
      <c r="W2150" s="574">
        <f t="shared" si="52"/>
        <v>2141</v>
      </c>
      <c r="X2150" s="564">
        <v>36</v>
      </c>
    </row>
    <row r="2151" spans="23:24" x14ac:dyDescent="0.25">
      <c r="W2151" s="574">
        <f t="shared" si="52"/>
        <v>2142</v>
      </c>
      <c r="X2151" s="564">
        <v>36</v>
      </c>
    </row>
    <row r="2152" spans="23:24" x14ac:dyDescent="0.25">
      <c r="W2152" s="574">
        <f t="shared" si="52"/>
        <v>2143</v>
      </c>
      <c r="X2152" s="564">
        <v>36</v>
      </c>
    </row>
    <row r="2153" spans="23:24" x14ac:dyDescent="0.25">
      <c r="W2153" s="574">
        <f t="shared" si="52"/>
        <v>2144</v>
      </c>
      <c r="X2153" s="564">
        <v>36</v>
      </c>
    </row>
    <row r="2154" spans="23:24" x14ac:dyDescent="0.25">
      <c r="W2154" s="574">
        <f t="shared" si="52"/>
        <v>2145</v>
      </c>
      <c r="X2154" s="564">
        <v>36</v>
      </c>
    </row>
    <row r="2155" spans="23:24" x14ac:dyDescent="0.25">
      <c r="W2155" s="574">
        <f t="shared" si="52"/>
        <v>2146</v>
      </c>
      <c r="X2155" s="564">
        <v>36</v>
      </c>
    </row>
    <row r="2156" spans="23:24" x14ac:dyDescent="0.25">
      <c r="W2156" s="574">
        <f t="shared" si="52"/>
        <v>2147</v>
      </c>
      <c r="X2156" s="564">
        <v>36</v>
      </c>
    </row>
    <row r="2157" spans="23:24" x14ac:dyDescent="0.25">
      <c r="W2157" s="574">
        <f t="shared" si="52"/>
        <v>2148</v>
      </c>
      <c r="X2157" s="564">
        <v>36</v>
      </c>
    </row>
    <row r="2158" spans="23:24" x14ac:dyDescent="0.25">
      <c r="W2158" s="574">
        <f t="shared" si="52"/>
        <v>2149</v>
      </c>
      <c r="X2158" s="564">
        <v>36</v>
      </c>
    </row>
    <row r="2159" spans="23:24" x14ac:dyDescent="0.25">
      <c r="W2159" s="574">
        <f t="shared" si="52"/>
        <v>2150</v>
      </c>
      <c r="X2159" s="564">
        <v>36</v>
      </c>
    </row>
    <row r="2160" spans="23:24" x14ac:dyDescent="0.25">
      <c r="W2160" s="574">
        <f t="shared" si="52"/>
        <v>2151</v>
      </c>
      <c r="X2160" s="564">
        <v>36</v>
      </c>
    </row>
    <row r="2161" spans="23:24" x14ac:dyDescent="0.25">
      <c r="W2161" s="574">
        <f t="shared" si="52"/>
        <v>2152</v>
      </c>
      <c r="X2161" s="564">
        <v>36</v>
      </c>
    </row>
    <row r="2162" spans="23:24" x14ac:dyDescent="0.25">
      <c r="W2162" s="574">
        <f t="shared" si="52"/>
        <v>2153</v>
      </c>
      <c r="X2162" s="564">
        <v>36</v>
      </c>
    </row>
    <row r="2163" spans="23:24" x14ac:dyDescent="0.25">
      <c r="W2163" s="574">
        <f t="shared" si="52"/>
        <v>2154</v>
      </c>
      <c r="X2163" s="564">
        <v>36</v>
      </c>
    </row>
    <row r="2164" spans="23:24" x14ac:dyDescent="0.25">
      <c r="W2164" s="574">
        <f t="shared" si="52"/>
        <v>2155</v>
      </c>
      <c r="X2164" s="564">
        <v>36</v>
      </c>
    </row>
    <row r="2165" spans="23:24" x14ac:dyDescent="0.25">
      <c r="W2165" s="574">
        <f t="shared" si="52"/>
        <v>2156</v>
      </c>
      <c r="X2165" s="564">
        <v>36</v>
      </c>
    </row>
    <row r="2166" spans="23:24" x14ac:dyDescent="0.25">
      <c r="W2166" s="574">
        <f t="shared" si="52"/>
        <v>2157</v>
      </c>
      <c r="X2166" s="564">
        <v>36</v>
      </c>
    </row>
    <row r="2167" spans="23:24" x14ac:dyDescent="0.25">
      <c r="W2167" s="574">
        <f t="shared" si="52"/>
        <v>2158</v>
      </c>
      <c r="X2167" s="564">
        <v>36</v>
      </c>
    </row>
    <row r="2168" spans="23:24" x14ac:dyDescent="0.25">
      <c r="W2168" s="574">
        <f t="shared" si="52"/>
        <v>2159</v>
      </c>
      <c r="X2168" s="564">
        <v>36</v>
      </c>
    </row>
    <row r="2169" spans="23:24" x14ac:dyDescent="0.25">
      <c r="W2169" s="574">
        <f t="shared" si="52"/>
        <v>2160</v>
      </c>
      <c r="X2169" s="564">
        <v>36</v>
      </c>
    </row>
    <row r="2170" spans="23:24" x14ac:dyDescent="0.25">
      <c r="W2170" s="574">
        <f t="shared" si="52"/>
        <v>2161</v>
      </c>
      <c r="X2170" s="564">
        <v>36</v>
      </c>
    </row>
    <row r="2171" spans="23:24" x14ac:dyDescent="0.25">
      <c r="W2171" s="574">
        <f t="shared" si="52"/>
        <v>2162</v>
      </c>
      <c r="X2171" s="564">
        <v>36</v>
      </c>
    </row>
    <row r="2172" spans="23:24" x14ac:dyDescent="0.25">
      <c r="W2172" s="574">
        <f t="shared" si="52"/>
        <v>2163</v>
      </c>
      <c r="X2172" s="564">
        <v>36</v>
      </c>
    </row>
    <row r="2173" spans="23:24" x14ac:dyDescent="0.25">
      <c r="W2173" s="574">
        <f t="shared" si="52"/>
        <v>2164</v>
      </c>
      <c r="X2173" s="564">
        <v>36</v>
      </c>
    </row>
    <row r="2174" spans="23:24" x14ac:dyDescent="0.25">
      <c r="W2174" s="574">
        <f t="shared" si="52"/>
        <v>2165</v>
      </c>
      <c r="X2174" s="564">
        <v>36</v>
      </c>
    </row>
    <row r="2175" spans="23:24" x14ac:dyDescent="0.25">
      <c r="W2175" s="574">
        <f t="shared" si="52"/>
        <v>2166</v>
      </c>
      <c r="X2175" s="564">
        <v>36</v>
      </c>
    </row>
    <row r="2176" spans="23:24" x14ac:dyDescent="0.25">
      <c r="W2176" s="574">
        <f t="shared" si="52"/>
        <v>2167</v>
      </c>
      <c r="X2176" s="564">
        <v>36</v>
      </c>
    </row>
    <row r="2177" spans="23:24" x14ac:dyDescent="0.25">
      <c r="W2177" s="574">
        <f t="shared" si="52"/>
        <v>2168</v>
      </c>
      <c r="X2177" s="564">
        <v>36</v>
      </c>
    </row>
    <row r="2178" spans="23:24" x14ac:dyDescent="0.25">
      <c r="W2178" s="574">
        <f t="shared" si="52"/>
        <v>2169</v>
      </c>
      <c r="X2178" s="564">
        <v>36</v>
      </c>
    </row>
    <row r="2179" spans="23:24" x14ac:dyDescent="0.25">
      <c r="W2179" s="574">
        <f t="shared" si="52"/>
        <v>2170</v>
      </c>
      <c r="X2179" s="564">
        <v>36</v>
      </c>
    </row>
    <row r="2180" spans="23:24" x14ac:dyDescent="0.25">
      <c r="W2180" s="574">
        <f t="shared" si="52"/>
        <v>2171</v>
      </c>
      <c r="X2180" s="564">
        <v>36</v>
      </c>
    </row>
    <row r="2181" spans="23:24" x14ac:dyDescent="0.25">
      <c r="W2181" s="574">
        <f t="shared" si="52"/>
        <v>2172</v>
      </c>
      <c r="X2181" s="564">
        <v>36</v>
      </c>
    </row>
    <row r="2182" spans="23:24" x14ac:dyDescent="0.25">
      <c r="W2182" s="574">
        <f t="shared" si="52"/>
        <v>2173</v>
      </c>
      <c r="X2182" s="564">
        <v>36</v>
      </c>
    </row>
    <row r="2183" spans="23:24" x14ac:dyDescent="0.25">
      <c r="W2183" s="574">
        <f t="shared" si="52"/>
        <v>2174</v>
      </c>
      <c r="X2183" s="564">
        <v>36</v>
      </c>
    </row>
    <row r="2184" spans="23:24" x14ac:dyDescent="0.25">
      <c r="W2184" s="574">
        <f t="shared" si="52"/>
        <v>2175</v>
      </c>
      <c r="X2184" s="564">
        <v>36</v>
      </c>
    </row>
    <row r="2185" spans="23:24" x14ac:dyDescent="0.25">
      <c r="W2185" s="574">
        <f t="shared" si="52"/>
        <v>2176</v>
      </c>
      <c r="X2185" s="564">
        <v>36</v>
      </c>
    </row>
    <row r="2186" spans="23:24" x14ac:dyDescent="0.25">
      <c r="W2186" s="574">
        <f t="shared" si="52"/>
        <v>2177</v>
      </c>
      <c r="X2186" s="564">
        <v>36</v>
      </c>
    </row>
    <row r="2187" spans="23:24" x14ac:dyDescent="0.25">
      <c r="W2187" s="574">
        <f t="shared" si="52"/>
        <v>2178</v>
      </c>
      <c r="X2187" s="564">
        <v>36</v>
      </c>
    </row>
    <row r="2188" spans="23:24" x14ac:dyDescent="0.25">
      <c r="W2188" s="574">
        <f t="shared" si="52"/>
        <v>2179</v>
      </c>
      <c r="X2188" s="564">
        <v>36</v>
      </c>
    </row>
    <row r="2189" spans="23:24" x14ac:dyDescent="0.25">
      <c r="W2189" s="574">
        <f t="shared" si="52"/>
        <v>2180</v>
      </c>
      <c r="X2189" s="564">
        <v>36</v>
      </c>
    </row>
    <row r="2190" spans="23:24" x14ac:dyDescent="0.25">
      <c r="W2190" s="574">
        <f t="shared" si="52"/>
        <v>2181</v>
      </c>
      <c r="X2190" s="564">
        <v>36</v>
      </c>
    </row>
    <row r="2191" spans="23:24" x14ac:dyDescent="0.25">
      <c r="W2191" s="574">
        <f t="shared" si="52"/>
        <v>2182</v>
      </c>
      <c r="X2191" s="564">
        <v>36</v>
      </c>
    </row>
    <row r="2192" spans="23:24" x14ac:dyDescent="0.25">
      <c r="W2192" s="574">
        <f t="shared" si="52"/>
        <v>2183</v>
      </c>
      <c r="X2192" s="564">
        <v>36</v>
      </c>
    </row>
    <row r="2193" spans="23:24" x14ac:dyDescent="0.25">
      <c r="W2193" s="574">
        <f t="shared" si="52"/>
        <v>2184</v>
      </c>
      <c r="X2193" s="564">
        <v>36</v>
      </c>
    </row>
    <row r="2194" spans="23:24" x14ac:dyDescent="0.25">
      <c r="W2194" s="574">
        <f t="shared" si="52"/>
        <v>2185</v>
      </c>
      <c r="X2194" s="564">
        <v>36</v>
      </c>
    </row>
    <row r="2195" spans="23:24" x14ac:dyDescent="0.25">
      <c r="W2195" s="574">
        <f t="shared" si="52"/>
        <v>2186</v>
      </c>
      <c r="X2195" s="564">
        <v>36</v>
      </c>
    </row>
    <row r="2196" spans="23:24" x14ac:dyDescent="0.25">
      <c r="W2196" s="574">
        <f t="shared" si="52"/>
        <v>2187</v>
      </c>
      <c r="X2196" s="564">
        <v>36</v>
      </c>
    </row>
    <row r="2197" spans="23:24" x14ac:dyDescent="0.25">
      <c r="W2197" s="574">
        <f t="shared" si="52"/>
        <v>2188</v>
      </c>
      <c r="X2197" s="564">
        <v>36</v>
      </c>
    </row>
    <row r="2198" spans="23:24" x14ac:dyDescent="0.25">
      <c r="W2198" s="574">
        <f t="shared" si="52"/>
        <v>2189</v>
      </c>
      <c r="X2198" s="564">
        <v>36</v>
      </c>
    </row>
    <row r="2199" spans="23:24" x14ac:dyDescent="0.25">
      <c r="W2199" s="574">
        <f t="shared" si="52"/>
        <v>2190</v>
      </c>
      <c r="X2199" s="564">
        <v>36</v>
      </c>
    </row>
    <row r="2200" spans="23:24" x14ac:dyDescent="0.25">
      <c r="W2200" s="574">
        <f t="shared" si="52"/>
        <v>2191</v>
      </c>
      <c r="X2200" s="564">
        <v>36</v>
      </c>
    </row>
    <row r="2201" spans="23:24" x14ac:dyDescent="0.25">
      <c r="W2201" s="574">
        <f t="shared" si="52"/>
        <v>2192</v>
      </c>
      <c r="X2201" s="564">
        <v>36</v>
      </c>
    </row>
    <row r="2202" spans="23:24" x14ac:dyDescent="0.25">
      <c r="W2202" s="574">
        <f t="shared" ref="W2202:W2265" si="53">W2201+1</f>
        <v>2193</v>
      </c>
      <c r="X2202" s="564">
        <v>36</v>
      </c>
    </row>
    <row r="2203" spans="23:24" x14ac:dyDescent="0.25">
      <c r="W2203" s="574">
        <f t="shared" si="53"/>
        <v>2194</v>
      </c>
      <c r="X2203" s="564">
        <v>36</v>
      </c>
    </row>
    <row r="2204" spans="23:24" x14ac:dyDescent="0.25">
      <c r="W2204" s="574">
        <f t="shared" si="53"/>
        <v>2195</v>
      </c>
      <c r="X2204" s="564">
        <v>36</v>
      </c>
    </row>
    <row r="2205" spans="23:24" x14ac:dyDescent="0.25">
      <c r="W2205" s="574">
        <f t="shared" si="53"/>
        <v>2196</v>
      </c>
      <c r="X2205" s="564">
        <v>36</v>
      </c>
    </row>
    <row r="2206" spans="23:24" x14ac:dyDescent="0.25">
      <c r="W2206" s="574">
        <f t="shared" si="53"/>
        <v>2197</v>
      </c>
      <c r="X2206" s="564">
        <v>36</v>
      </c>
    </row>
    <row r="2207" spans="23:24" x14ac:dyDescent="0.25">
      <c r="W2207" s="574">
        <f t="shared" si="53"/>
        <v>2198</v>
      </c>
      <c r="X2207" s="564">
        <v>36</v>
      </c>
    </row>
    <row r="2208" spans="23:24" x14ac:dyDescent="0.25">
      <c r="W2208" s="574">
        <f t="shared" si="53"/>
        <v>2199</v>
      </c>
      <c r="X2208" s="564">
        <v>36</v>
      </c>
    </row>
    <row r="2209" spans="23:24" x14ac:dyDescent="0.25">
      <c r="W2209" s="574">
        <f t="shared" si="53"/>
        <v>2200</v>
      </c>
      <c r="X2209" s="564">
        <v>36</v>
      </c>
    </row>
    <row r="2210" spans="23:24" x14ac:dyDescent="0.25">
      <c r="W2210" s="574">
        <f t="shared" si="53"/>
        <v>2201</v>
      </c>
      <c r="X2210" s="564">
        <v>36</v>
      </c>
    </row>
    <row r="2211" spans="23:24" x14ac:dyDescent="0.25">
      <c r="W2211" s="574">
        <f t="shared" si="53"/>
        <v>2202</v>
      </c>
      <c r="X2211" s="564">
        <v>36</v>
      </c>
    </row>
    <row r="2212" spans="23:24" x14ac:dyDescent="0.25">
      <c r="W2212" s="574">
        <f t="shared" si="53"/>
        <v>2203</v>
      </c>
      <c r="X2212" s="564">
        <v>36</v>
      </c>
    </row>
    <row r="2213" spans="23:24" x14ac:dyDescent="0.25">
      <c r="W2213" s="574">
        <f t="shared" si="53"/>
        <v>2204</v>
      </c>
      <c r="X2213" s="564">
        <v>36</v>
      </c>
    </row>
    <row r="2214" spans="23:24" x14ac:dyDescent="0.25">
      <c r="W2214" s="574">
        <f t="shared" si="53"/>
        <v>2205</v>
      </c>
      <c r="X2214" s="564">
        <v>36</v>
      </c>
    </row>
    <row r="2215" spans="23:24" x14ac:dyDescent="0.25">
      <c r="W2215" s="574">
        <f t="shared" si="53"/>
        <v>2206</v>
      </c>
      <c r="X2215" s="564">
        <v>36</v>
      </c>
    </row>
    <row r="2216" spans="23:24" x14ac:dyDescent="0.25">
      <c r="W2216" s="574">
        <f t="shared" si="53"/>
        <v>2207</v>
      </c>
      <c r="X2216" s="564">
        <v>36</v>
      </c>
    </row>
    <row r="2217" spans="23:24" x14ac:dyDescent="0.25">
      <c r="W2217" s="574">
        <f t="shared" si="53"/>
        <v>2208</v>
      </c>
      <c r="X2217" s="564">
        <v>36</v>
      </c>
    </row>
    <row r="2218" spans="23:24" x14ac:dyDescent="0.25">
      <c r="W2218" s="574">
        <f t="shared" si="53"/>
        <v>2209</v>
      </c>
      <c r="X2218" s="564">
        <v>36</v>
      </c>
    </row>
    <row r="2219" spans="23:24" x14ac:dyDescent="0.25">
      <c r="W2219" s="574">
        <f t="shared" si="53"/>
        <v>2210</v>
      </c>
      <c r="X2219" s="564">
        <v>36</v>
      </c>
    </row>
    <row r="2220" spans="23:24" x14ac:dyDescent="0.25">
      <c r="W2220" s="574">
        <f t="shared" si="53"/>
        <v>2211</v>
      </c>
      <c r="X2220" s="564">
        <v>36</v>
      </c>
    </row>
    <row r="2221" spans="23:24" x14ac:dyDescent="0.25">
      <c r="W2221" s="574">
        <f t="shared" si="53"/>
        <v>2212</v>
      </c>
      <c r="X2221" s="564">
        <v>36</v>
      </c>
    </row>
    <row r="2222" spans="23:24" x14ac:dyDescent="0.25">
      <c r="W2222" s="574">
        <f t="shared" si="53"/>
        <v>2213</v>
      </c>
      <c r="X2222" s="564">
        <v>36</v>
      </c>
    </row>
    <row r="2223" spans="23:24" x14ac:dyDescent="0.25">
      <c r="W2223" s="574">
        <f t="shared" si="53"/>
        <v>2214</v>
      </c>
      <c r="X2223" s="564">
        <v>36</v>
      </c>
    </row>
    <row r="2224" spans="23:24" x14ac:dyDescent="0.25">
      <c r="W2224" s="574">
        <f t="shared" si="53"/>
        <v>2215</v>
      </c>
      <c r="X2224" s="564">
        <v>36</v>
      </c>
    </row>
    <row r="2225" spans="23:24" x14ac:dyDescent="0.25">
      <c r="W2225" s="574">
        <f t="shared" si="53"/>
        <v>2216</v>
      </c>
      <c r="X2225" s="564">
        <v>36</v>
      </c>
    </row>
    <row r="2226" spans="23:24" x14ac:dyDescent="0.25">
      <c r="W2226" s="574">
        <f t="shared" si="53"/>
        <v>2217</v>
      </c>
      <c r="X2226" s="564">
        <v>36</v>
      </c>
    </row>
    <row r="2227" spans="23:24" x14ac:dyDescent="0.25">
      <c r="W2227" s="574">
        <f t="shared" si="53"/>
        <v>2218</v>
      </c>
      <c r="X2227" s="564">
        <v>36</v>
      </c>
    </row>
    <row r="2228" spans="23:24" x14ac:dyDescent="0.25">
      <c r="W2228" s="574">
        <f t="shared" si="53"/>
        <v>2219</v>
      </c>
      <c r="X2228" s="564">
        <v>36</v>
      </c>
    </row>
    <row r="2229" spans="23:24" x14ac:dyDescent="0.25">
      <c r="W2229" s="574">
        <f t="shared" si="53"/>
        <v>2220</v>
      </c>
      <c r="X2229" s="564">
        <v>36</v>
      </c>
    </row>
    <row r="2230" spans="23:24" x14ac:dyDescent="0.25">
      <c r="W2230" s="574">
        <f t="shared" si="53"/>
        <v>2221</v>
      </c>
      <c r="X2230" s="564">
        <v>36</v>
      </c>
    </row>
    <row r="2231" spans="23:24" x14ac:dyDescent="0.25">
      <c r="W2231" s="574">
        <f t="shared" si="53"/>
        <v>2222</v>
      </c>
      <c r="X2231" s="564">
        <v>36</v>
      </c>
    </row>
    <row r="2232" spans="23:24" x14ac:dyDescent="0.25">
      <c r="W2232" s="574">
        <f t="shared" si="53"/>
        <v>2223</v>
      </c>
      <c r="X2232" s="564">
        <v>36</v>
      </c>
    </row>
    <row r="2233" spans="23:24" x14ac:dyDescent="0.25">
      <c r="W2233" s="574">
        <f t="shared" si="53"/>
        <v>2224</v>
      </c>
      <c r="X2233" s="564">
        <v>36</v>
      </c>
    </row>
    <row r="2234" spans="23:24" x14ac:dyDescent="0.25">
      <c r="W2234" s="574">
        <f t="shared" si="53"/>
        <v>2225</v>
      </c>
      <c r="X2234" s="564">
        <v>36</v>
      </c>
    </row>
    <row r="2235" spans="23:24" x14ac:dyDescent="0.25">
      <c r="W2235" s="574">
        <f t="shared" si="53"/>
        <v>2226</v>
      </c>
      <c r="X2235" s="564">
        <v>36</v>
      </c>
    </row>
    <row r="2236" spans="23:24" x14ac:dyDescent="0.25">
      <c r="W2236" s="574">
        <f t="shared" si="53"/>
        <v>2227</v>
      </c>
      <c r="X2236" s="564">
        <v>36</v>
      </c>
    </row>
    <row r="2237" spans="23:24" x14ac:dyDescent="0.25">
      <c r="W2237" s="574">
        <f t="shared" si="53"/>
        <v>2228</v>
      </c>
      <c r="X2237" s="564">
        <v>36</v>
      </c>
    </row>
    <row r="2238" spans="23:24" x14ac:dyDescent="0.25">
      <c r="W2238" s="574">
        <f t="shared" si="53"/>
        <v>2229</v>
      </c>
      <c r="X2238" s="564">
        <v>36</v>
      </c>
    </row>
    <row r="2239" spans="23:24" x14ac:dyDescent="0.25">
      <c r="W2239" s="574">
        <f t="shared" si="53"/>
        <v>2230</v>
      </c>
      <c r="X2239" s="564">
        <v>36</v>
      </c>
    </row>
    <row r="2240" spans="23:24" x14ac:dyDescent="0.25">
      <c r="W2240" s="574">
        <f t="shared" si="53"/>
        <v>2231</v>
      </c>
      <c r="X2240" s="564">
        <v>36</v>
      </c>
    </row>
    <row r="2241" spans="23:24" x14ac:dyDescent="0.25">
      <c r="W2241" s="574">
        <f t="shared" si="53"/>
        <v>2232</v>
      </c>
      <c r="X2241" s="564">
        <v>36</v>
      </c>
    </row>
    <row r="2242" spans="23:24" x14ac:dyDescent="0.25">
      <c r="W2242" s="574">
        <f t="shared" si="53"/>
        <v>2233</v>
      </c>
      <c r="X2242" s="564">
        <v>36</v>
      </c>
    </row>
    <row r="2243" spans="23:24" x14ac:dyDescent="0.25">
      <c r="W2243" s="574">
        <f t="shared" si="53"/>
        <v>2234</v>
      </c>
      <c r="X2243" s="564">
        <v>36</v>
      </c>
    </row>
    <row r="2244" spans="23:24" x14ac:dyDescent="0.25">
      <c r="W2244" s="574">
        <f t="shared" si="53"/>
        <v>2235</v>
      </c>
      <c r="X2244" s="564">
        <v>36</v>
      </c>
    </row>
    <row r="2245" spans="23:24" x14ac:dyDescent="0.25">
      <c r="W2245" s="574">
        <f t="shared" si="53"/>
        <v>2236</v>
      </c>
      <c r="X2245" s="564">
        <v>36</v>
      </c>
    </row>
    <row r="2246" spans="23:24" x14ac:dyDescent="0.25">
      <c r="W2246" s="574">
        <f t="shared" si="53"/>
        <v>2237</v>
      </c>
      <c r="X2246" s="564">
        <v>36</v>
      </c>
    </row>
    <row r="2247" spans="23:24" x14ac:dyDescent="0.25">
      <c r="W2247" s="574">
        <f t="shared" si="53"/>
        <v>2238</v>
      </c>
      <c r="X2247" s="564">
        <v>36</v>
      </c>
    </row>
    <row r="2248" spans="23:24" x14ac:dyDescent="0.25">
      <c r="W2248" s="574">
        <f t="shared" si="53"/>
        <v>2239</v>
      </c>
      <c r="X2248" s="564">
        <v>36</v>
      </c>
    </row>
    <row r="2249" spans="23:24" x14ac:dyDescent="0.25">
      <c r="W2249" s="574">
        <f t="shared" si="53"/>
        <v>2240</v>
      </c>
      <c r="X2249" s="564">
        <v>36</v>
      </c>
    </row>
    <row r="2250" spans="23:24" x14ac:dyDescent="0.25">
      <c r="W2250" s="574">
        <f t="shared" si="53"/>
        <v>2241</v>
      </c>
      <c r="X2250" s="564">
        <v>36</v>
      </c>
    </row>
    <row r="2251" spans="23:24" x14ac:dyDescent="0.25">
      <c r="W2251" s="574">
        <f t="shared" si="53"/>
        <v>2242</v>
      </c>
      <c r="X2251" s="564">
        <v>36</v>
      </c>
    </row>
    <row r="2252" spans="23:24" x14ac:dyDescent="0.25">
      <c r="W2252" s="574">
        <f t="shared" si="53"/>
        <v>2243</v>
      </c>
      <c r="X2252" s="564">
        <v>36</v>
      </c>
    </row>
    <row r="2253" spans="23:24" x14ac:dyDescent="0.25">
      <c r="W2253" s="574">
        <f t="shared" si="53"/>
        <v>2244</v>
      </c>
      <c r="X2253" s="564">
        <v>36</v>
      </c>
    </row>
    <row r="2254" spans="23:24" x14ac:dyDescent="0.25">
      <c r="W2254" s="574">
        <f t="shared" si="53"/>
        <v>2245</v>
      </c>
      <c r="X2254" s="564">
        <v>36</v>
      </c>
    </row>
    <row r="2255" spans="23:24" x14ac:dyDescent="0.25">
      <c r="W2255" s="574">
        <f t="shared" si="53"/>
        <v>2246</v>
      </c>
      <c r="X2255" s="564">
        <v>36</v>
      </c>
    </row>
    <row r="2256" spans="23:24" x14ac:dyDescent="0.25">
      <c r="W2256" s="574">
        <f t="shared" si="53"/>
        <v>2247</v>
      </c>
      <c r="X2256" s="564">
        <v>36</v>
      </c>
    </row>
    <row r="2257" spans="23:24" x14ac:dyDescent="0.25">
      <c r="W2257" s="574">
        <f t="shared" si="53"/>
        <v>2248</v>
      </c>
      <c r="X2257" s="564">
        <v>36</v>
      </c>
    </row>
    <row r="2258" spans="23:24" x14ac:dyDescent="0.25">
      <c r="W2258" s="574">
        <f t="shared" si="53"/>
        <v>2249</v>
      </c>
      <c r="X2258" s="564">
        <v>36</v>
      </c>
    </row>
    <row r="2259" spans="23:24" x14ac:dyDescent="0.25">
      <c r="W2259" s="574">
        <f t="shared" si="53"/>
        <v>2250</v>
      </c>
      <c r="X2259" s="564">
        <v>37</v>
      </c>
    </row>
    <row r="2260" spans="23:24" x14ac:dyDescent="0.25">
      <c r="W2260" s="574">
        <f t="shared" si="53"/>
        <v>2251</v>
      </c>
      <c r="X2260" s="564">
        <v>37</v>
      </c>
    </row>
    <row r="2261" spans="23:24" x14ac:dyDescent="0.25">
      <c r="W2261" s="574">
        <f t="shared" si="53"/>
        <v>2252</v>
      </c>
      <c r="X2261" s="564">
        <v>37</v>
      </c>
    </row>
    <row r="2262" spans="23:24" x14ac:dyDescent="0.25">
      <c r="W2262" s="574">
        <f t="shared" si="53"/>
        <v>2253</v>
      </c>
      <c r="X2262" s="564">
        <v>37</v>
      </c>
    </row>
    <row r="2263" spans="23:24" x14ac:dyDescent="0.25">
      <c r="W2263" s="574">
        <f t="shared" si="53"/>
        <v>2254</v>
      </c>
      <c r="X2263" s="564">
        <v>37</v>
      </c>
    </row>
    <row r="2264" spans="23:24" x14ac:dyDescent="0.25">
      <c r="W2264" s="574">
        <f t="shared" si="53"/>
        <v>2255</v>
      </c>
      <c r="X2264" s="564">
        <v>37</v>
      </c>
    </row>
    <row r="2265" spans="23:24" x14ac:dyDescent="0.25">
      <c r="W2265" s="574">
        <f t="shared" si="53"/>
        <v>2256</v>
      </c>
      <c r="X2265" s="564">
        <v>37</v>
      </c>
    </row>
    <row r="2266" spans="23:24" x14ac:dyDescent="0.25">
      <c r="W2266" s="574">
        <f t="shared" ref="W2266:W2329" si="54">W2265+1</f>
        <v>2257</v>
      </c>
      <c r="X2266" s="564">
        <v>37</v>
      </c>
    </row>
    <row r="2267" spans="23:24" x14ac:dyDescent="0.25">
      <c r="W2267" s="574">
        <f t="shared" si="54"/>
        <v>2258</v>
      </c>
      <c r="X2267" s="564">
        <v>37</v>
      </c>
    </row>
    <row r="2268" spans="23:24" x14ac:dyDescent="0.25">
      <c r="W2268" s="574">
        <f t="shared" si="54"/>
        <v>2259</v>
      </c>
      <c r="X2268" s="564">
        <v>37</v>
      </c>
    </row>
    <row r="2269" spans="23:24" x14ac:dyDescent="0.25">
      <c r="W2269" s="574">
        <f t="shared" si="54"/>
        <v>2260</v>
      </c>
      <c r="X2269" s="564">
        <v>37</v>
      </c>
    </row>
    <row r="2270" spans="23:24" x14ac:dyDescent="0.25">
      <c r="W2270" s="574">
        <f t="shared" si="54"/>
        <v>2261</v>
      </c>
      <c r="X2270" s="564">
        <v>37</v>
      </c>
    </row>
    <row r="2271" spans="23:24" x14ac:dyDescent="0.25">
      <c r="W2271" s="574">
        <f t="shared" si="54"/>
        <v>2262</v>
      </c>
      <c r="X2271" s="564">
        <v>37</v>
      </c>
    </row>
    <row r="2272" spans="23:24" x14ac:dyDescent="0.25">
      <c r="W2272" s="574">
        <f t="shared" si="54"/>
        <v>2263</v>
      </c>
      <c r="X2272" s="564">
        <v>37</v>
      </c>
    </row>
    <row r="2273" spans="23:24" x14ac:dyDescent="0.25">
      <c r="W2273" s="574">
        <f t="shared" si="54"/>
        <v>2264</v>
      </c>
      <c r="X2273" s="564">
        <v>37</v>
      </c>
    </row>
    <row r="2274" spans="23:24" x14ac:dyDescent="0.25">
      <c r="W2274" s="574">
        <f t="shared" si="54"/>
        <v>2265</v>
      </c>
      <c r="X2274" s="564">
        <v>37</v>
      </c>
    </row>
    <row r="2275" spans="23:24" x14ac:dyDescent="0.25">
      <c r="W2275" s="574">
        <f t="shared" si="54"/>
        <v>2266</v>
      </c>
      <c r="X2275" s="564">
        <v>37</v>
      </c>
    </row>
    <row r="2276" spans="23:24" x14ac:dyDescent="0.25">
      <c r="W2276" s="574">
        <f t="shared" si="54"/>
        <v>2267</v>
      </c>
      <c r="X2276" s="564">
        <v>37</v>
      </c>
    </row>
    <row r="2277" spans="23:24" x14ac:dyDescent="0.25">
      <c r="W2277" s="574">
        <f t="shared" si="54"/>
        <v>2268</v>
      </c>
      <c r="X2277" s="564">
        <v>37</v>
      </c>
    </row>
    <row r="2278" spans="23:24" x14ac:dyDescent="0.25">
      <c r="W2278" s="574">
        <f t="shared" si="54"/>
        <v>2269</v>
      </c>
      <c r="X2278" s="564">
        <v>37</v>
      </c>
    </row>
    <row r="2279" spans="23:24" x14ac:dyDescent="0.25">
      <c r="W2279" s="574">
        <f t="shared" si="54"/>
        <v>2270</v>
      </c>
      <c r="X2279" s="564">
        <v>37</v>
      </c>
    </row>
    <row r="2280" spans="23:24" x14ac:dyDescent="0.25">
      <c r="W2280" s="574">
        <f t="shared" si="54"/>
        <v>2271</v>
      </c>
      <c r="X2280" s="564">
        <v>37</v>
      </c>
    </row>
    <row r="2281" spans="23:24" x14ac:dyDescent="0.25">
      <c r="W2281" s="574">
        <f t="shared" si="54"/>
        <v>2272</v>
      </c>
      <c r="X2281" s="564">
        <v>37</v>
      </c>
    </row>
    <row r="2282" spans="23:24" x14ac:dyDescent="0.25">
      <c r="W2282" s="574">
        <f t="shared" si="54"/>
        <v>2273</v>
      </c>
      <c r="X2282" s="564">
        <v>37</v>
      </c>
    </row>
    <row r="2283" spans="23:24" x14ac:dyDescent="0.25">
      <c r="W2283" s="574">
        <f t="shared" si="54"/>
        <v>2274</v>
      </c>
      <c r="X2283" s="564">
        <v>37</v>
      </c>
    </row>
    <row r="2284" spans="23:24" x14ac:dyDescent="0.25">
      <c r="W2284" s="574">
        <f t="shared" si="54"/>
        <v>2275</v>
      </c>
      <c r="X2284" s="564">
        <v>37</v>
      </c>
    </row>
    <row r="2285" spans="23:24" x14ac:dyDescent="0.25">
      <c r="W2285" s="574">
        <f t="shared" si="54"/>
        <v>2276</v>
      </c>
      <c r="X2285" s="564">
        <v>37</v>
      </c>
    </row>
    <row r="2286" spans="23:24" x14ac:dyDescent="0.25">
      <c r="W2286" s="574">
        <f t="shared" si="54"/>
        <v>2277</v>
      </c>
      <c r="X2286" s="564">
        <v>37</v>
      </c>
    </row>
    <row r="2287" spans="23:24" x14ac:dyDescent="0.25">
      <c r="W2287" s="574">
        <f t="shared" si="54"/>
        <v>2278</v>
      </c>
      <c r="X2287" s="564">
        <v>37</v>
      </c>
    </row>
    <row r="2288" spans="23:24" x14ac:dyDescent="0.25">
      <c r="W2288" s="574">
        <f t="shared" si="54"/>
        <v>2279</v>
      </c>
      <c r="X2288" s="564">
        <v>37</v>
      </c>
    </row>
    <row r="2289" spans="23:24" x14ac:dyDescent="0.25">
      <c r="W2289" s="574">
        <f t="shared" si="54"/>
        <v>2280</v>
      </c>
      <c r="X2289" s="564">
        <v>37</v>
      </c>
    </row>
    <row r="2290" spans="23:24" x14ac:dyDescent="0.25">
      <c r="W2290" s="574">
        <f t="shared" si="54"/>
        <v>2281</v>
      </c>
      <c r="X2290" s="564">
        <v>37</v>
      </c>
    </row>
    <row r="2291" spans="23:24" x14ac:dyDescent="0.25">
      <c r="W2291" s="574">
        <f t="shared" si="54"/>
        <v>2282</v>
      </c>
      <c r="X2291" s="564">
        <v>37</v>
      </c>
    </row>
    <row r="2292" spans="23:24" x14ac:dyDescent="0.25">
      <c r="W2292" s="574">
        <f t="shared" si="54"/>
        <v>2283</v>
      </c>
      <c r="X2292" s="564">
        <v>37</v>
      </c>
    </row>
    <row r="2293" spans="23:24" x14ac:dyDescent="0.25">
      <c r="W2293" s="574">
        <f t="shared" si="54"/>
        <v>2284</v>
      </c>
      <c r="X2293" s="564">
        <v>37</v>
      </c>
    </row>
    <row r="2294" spans="23:24" x14ac:dyDescent="0.25">
      <c r="W2294" s="574">
        <f t="shared" si="54"/>
        <v>2285</v>
      </c>
      <c r="X2294" s="564">
        <v>37</v>
      </c>
    </row>
    <row r="2295" spans="23:24" x14ac:dyDescent="0.25">
      <c r="W2295" s="574">
        <f t="shared" si="54"/>
        <v>2286</v>
      </c>
      <c r="X2295" s="564">
        <v>37</v>
      </c>
    </row>
    <row r="2296" spans="23:24" x14ac:dyDescent="0.25">
      <c r="W2296" s="574">
        <f t="shared" si="54"/>
        <v>2287</v>
      </c>
      <c r="X2296" s="564">
        <v>37</v>
      </c>
    </row>
    <row r="2297" spans="23:24" x14ac:dyDescent="0.25">
      <c r="W2297" s="574">
        <f t="shared" si="54"/>
        <v>2288</v>
      </c>
      <c r="X2297" s="564">
        <v>37</v>
      </c>
    </row>
    <row r="2298" spans="23:24" x14ac:dyDescent="0.25">
      <c r="W2298" s="574">
        <f t="shared" si="54"/>
        <v>2289</v>
      </c>
      <c r="X2298" s="564">
        <v>37</v>
      </c>
    </row>
    <row r="2299" spans="23:24" x14ac:dyDescent="0.25">
      <c r="W2299" s="574">
        <f t="shared" si="54"/>
        <v>2290</v>
      </c>
      <c r="X2299" s="564">
        <v>37</v>
      </c>
    </row>
    <row r="2300" spans="23:24" x14ac:dyDescent="0.25">
      <c r="W2300" s="574">
        <f t="shared" si="54"/>
        <v>2291</v>
      </c>
      <c r="X2300" s="564">
        <v>37</v>
      </c>
    </row>
    <row r="2301" spans="23:24" x14ac:dyDescent="0.25">
      <c r="W2301" s="574">
        <f t="shared" si="54"/>
        <v>2292</v>
      </c>
      <c r="X2301" s="564">
        <v>37</v>
      </c>
    </row>
    <row r="2302" spans="23:24" x14ac:dyDescent="0.25">
      <c r="W2302" s="574">
        <f t="shared" si="54"/>
        <v>2293</v>
      </c>
      <c r="X2302" s="564">
        <v>37</v>
      </c>
    </row>
    <row r="2303" spans="23:24" x14ac:dyDescent="0.25">
      <c r="W2303" s="574">
        <f t="shared" si="54"/>
        <v>2294</v>
      </c>
      <c r="X2303" s="564">
        <v>37</v>
      </c>
    </row>
    <row r="2304" spans="23:24" x14ac:dyDescent="0.25">
      <c r="W2304" s="574">
        <f t="shared" si="54"/>
        <v>2295</v>
      </c>
      <c r="X2304" s="564">
        <v>37</v>
      </c>
    </row>
    <row r="2305" spans="23:24" x14ac:dyDescent="0.25">
      <c r="W2305" s="574">
        <f t="shared" si="54"/>
        <v>2296</v>
      </c>
      <c r="X2305" s="564">
        <v>37</v>
      </c>
    </row>
    <row r="2306" spans="23:24" x14ac:dyDescent="0.25">
      <c r="W2306" s="574">
        <f t="shared" si="54"/>
        <v>2297</v>
      </c>
      <c r="X2306" s="564">
        <v>37</v>
      </c>
    </row>
    <row r="2307" spans="23:24" x14ac:dyDescent="0.25">
      <c r="W2307" s="574">
        <f t="shared" si="54"/>
        <v>2298</v>
      </c>
      <c r="X2307" s="564">
        <v>37</v>
      </c>
    </row>
    <row r="2308" spans="23:24" x14ac:dyDescent="0.25">
      <c r="W2308" s="574">
        <f t="shared" si="54"/>
        <v>2299</v>
      </c>
      <c r="X2308" s="564">
        <v>37</v>
      </c>
    </row>
    <row r="2309" spans="23:24" x14ac:dyDescent="0.25">
      <c r="W2309" s="574">
        <f t="shared" si="54"/>
        <v>2300</v>
      </c>
      <c r="X2309" s="564">
        <v>37</v>
      </c>
    </row>
    <row r="2310" spans="23:24" x14ac:dyDescent="0.25">
      <c r="W2310" s="574">
        <f t="shared" si="54"/>
        <v>2301</v>
      </c>
      <c r="X2310" s="564">
        <v>37</v>
      </c>
    </row>
    <row r="2311" spans="23:24" x14ac:dyDescent="0.25">
      <c r="W2311" s="574">
        <f t="shared" si="54"/>
        <v>2302</v>
      </c>
      <c r="X2311" s="564">
        <v>37</v>
      </c>
    </row>
    <row r="2312" spans="23:24" x14ac:dyDescent="0.25">
      <c r="W2312" s="574">
        <f t="shared" si="54"/>
        <v>2303</v>
      </c>
      <c r="X2312" s="564">
        <v>37</v>
      </c>
    </row>
    <row r="2313" spans="23:24" x14ac:dyDescent="0.25">
      <c r="W2313" s="574">
        <f t="shared" si="54"/>
        <v>2304</v>
      </c>
      <c r="X2313" s="564">
        <v>37</v>
      </c>
    </row>
    <row r="2314" spans="23:24" x14ac:dyDescent="0.25">
      <c r="W2314" s="574">
        <f t="shared" si="54"/>
        <v>2305</v>
      </c>
      <c r="X2314" s="564">
        <v>37</v>
      </c>
    </row>
    <row r="2315" spans="23:24" x14ac:dyDescent="0.25">
      <c r="W2315" s="574">
        <f t="shared" si="54"/>
        <v>2306</v>
      </c>
      <c r="X2315" s="564">
        <v>37</v>
      </c>
    </row>
    <row r="2316" spans="23:24" x14ac:dyDescent="0.25">
      <c r="W2316" s="574">
        <f t="shared" si="54"/>
        <v>2307</v>
      </c>
      <c r="X2316" s="564">
        <v>37</v>
      </c>
    </row>
    <row r="2317" spans="23:24" x14ac:dyDescent="0.25">
      <c r="W2317" s="574">
        <f t="shared" si="54"/>
        <v>2308</v>
      </c>
      <c r="X2317" s="564">
        <v>37</v>
      </c>
    </row>
    <row r="2318" spans="23:24" x14ac:dyDescent="0.25">
      <c r="W2318" s="574">
        <f t="shared" si="54"/>
        <v>2309</v>
      </c>
      <c r="X2318" s="564">
        <v>37</v>
      </c>
    </row>
    <row r="2319" spans="23:24" x14ac:dyDescent="0.25">
      <c r="W2319" s="574">
        <f t="shared" si="54"/>
        <v>2310</v>
      </c>
      <c r="X2319" s="564">
        <v>37</v>
      </c>
    </row>
    <row r="2320" spans="23:24" x14ac:dyDescent="0.25">
      <c r="W2320" s="574">
        <f t="shared" si="54"/>
        <v>2311</v>
      </c>
      <c r="X2320" s="564">
        <v>37</v>
      </c>
    </row>
    <row r="2321" spans="23:24" x14ac:dyDescent="0.25">
      <c r="W2321" s="574">
        <f t="shared" si="54"/>
        <v>2312</v>
      </c>
      <c r="X2321" s="564">
        <v>37</v>
      </c>
    </row>
    <row r="2322" spans="23:24" x14ac:dyDescent="0.25">
      <c r="W2322" s="574">
        <f t="shared" si="54"/>
        <v>2313</v>
      </c>
      <c r="X2322" s="564">
        <v>37</v>
      </c>
    </row>
    <row r="2323" spans="23:24" x14ac:dyDescent="0.25">
      <c r="W2323" s="574">
        <f t="shared" si="54"/>
        <v>2314</v>
      </c>
      <c r="X2323" s="564">
        <v>37</v>
      </c>
    </row>
    <row r="2324" spans="23:24" x14ac:dyDescent="0.25">
      <c r="W2324" s="574">
        <f t="shared" si="54"/>
        <v>2315</v>
      </c>
      <c r="X2324" s="564">
        <v>37</v>
      </c>
    </row>
    <row r="2325" spans="23:24" x14ac:dyDescent="0.25">
      <c r="W2325" s="574">
        <f t="shared" si="54"/>
        <v>2316</v>
      </c>
      <c r="X2325" s="564">
        <v>37</v>
      </c>
    </row>
    <row r="2326" spans="23:24" x14ac:dyDescent="0.25">
      <c r="W2326" s="574">
        <f t="shared" si="54"/>
        <v>2317</v>
      </c>
      <c r="X2326" s="564">
        <v>37</v>
      </c>
    </row>
    <row r="2327" spans="23:24" x14ac:dyDescent="0.25">
      <c r="W2327" s="574">
        <f t="shared" si="54"/>
        <v>2318</v>
      </c>
      <c r="X2327" s="564">
        <v>37</v>
      </c>
    </row>
    <row r="2328" spans="23:24" x14ac:dyDescent="0.25">
      <c r="W2328" s="574">
        <f t="shared" si="54"/>
        <v>2319</v>
      </c>
      <c r="X2328" s="564">
        <v>37</v>
      </c>
    </row>
    <row r="2329" spans="23:24" x14ac:dyDescent="0.25">
      <c r="W2329" s="574">
        <f t="shared" si="54"/>
        <v>2320</v>
      </c>
      <c r="X2329" s="564">
        <v>37</v>
      </c>
    </row>
    <row r="2330" spans="23:24" x14ac:dyDescent="0.25">
      <c r="W2330" s="574">
        <f t="shared" ref="W2330:W2393" si="55">W2329+1</f>
        <v>2321</v>
      </c>
      <c r="X2330" s="564">
        <v>37</v>
      </c>
    </row>
    <row r="2331" spans="23:24" x14ac:dyDescent="0.25">
      <c r="W2331" s="574">
        <f t="shared" si="55"/>
        <v>2322</v>
      </c>
      <c r="X2331" s="564">
        <v>37</v>
      </c>
    </row>
    <row r="2332" spans="23:24" x14ac:dyDescent="0.25">
      <c r="W2332" s="574">
        <f t="shared" si="55"/>
        <v>2323</v>
      </c>
      <c r="X2332" s="564">
        <v>37</v>
      </c>
    </row>
    <row r="2333" spans="23:24" x14ac:dyDescent="0.25">
      <c r="W2333" s="574">
        <f t="shared" si="55"/>
        <v>2324</v>
      </c>
      <c r="X2333" s="564">
        <v>37</v>
      </c>
    </row>
    <row r="2334" spans="23:24" x14ac:dyDescent="0.25">
      <c r="W2334" s="574">
        <f t="shared" si="55"/>
        <v>2325</v>
      </c>
      <c r="X2334" s="564">
        <v>37</v>
      </c>
    </row>
    <row r="2335" spans="23:24" x14ac:dyDescent="0.25">
      <c r="W2335" s="574">
        <f t="shared" si="55"/>
        <v>2326</v>
      </c>
      <c r="X2335" s="564">
        <v>37</v>
      </c>
    </row>
    <row r="2336" spans="23:24" x14ac:dyDescent="0.25">
      <c r="W2336" s="574">
        <f t="shared" si="55"/>
        <v>2327</v>
      </c>
      <c r="X2336" s="564">
        <v>37</v>
      </c>
    </row>
    <row r="2337" spans="23:24" x14ac:dyDescent="0.25">
      <c r="W2337" s="574">
        <f t="shared" si="55"/>
        <v>2328</v>
      </c>
      <c r="X2337" s="564">
        <v>37</v>
      </c>
    </row>
    <row r="2338" spans="23:24" x14ac:dyDescent="0.25">
      <c r="W2338" s="574">
        <f t="shared" si="55"/>
        <v>2329</v>
      </c>
      <c r="X2338" s="564">
        <v>37</v>
      </c>
    </row>
    <row r="2339" spans="23:24" x14ac:dyDescent="0.25">
      <c r="W2339" s="574">
        <f t="shared" si="55"/>
        <v>2330</v>
      </c>
      <c r="X2339" s="564">
        <v>37</v>
      </c>
    </row>
    <row r="2340" spans="23:24" x14ac:dyDescent="0.25">
      <c r="W2340" s="574">
        <f t="shared" si="55"/>
        <v>2331</v>
      </c>
      <c r="X2340" s="564">
        <v>37</v>
      </c>
    </row>
    <row r="2341" spans="23:24" x14ac:dyDescent="0.25">
      <c r="W2341" s="574">
        <f t="shared" si="55"/>
        <v>2332</v>
      </c>
      <c r="X2341" s="564">
        <v>37</v>
      </c>
    </row>
    <row r="2342" spans="23:24" x14ac:dyDescent="0.25">
      <c r="W2342" s="574">
        <f t="shared" si="55"/>
        <v>2333</v>
      </c>
      <c r="X2342" s="564">
        <v>37</v>
      </c>
    </row>
    <row r="2343" spans="23:24" x14ac:dyDescent="0.25">
      <c r="W2343" s="574">
        <f t="shared" si="55"/>
        <v>2334</v>
      </c>
      <c r="X2343" s="564">
        <v>37</v>
      </c>
    </row>
    <row r="2344" spans="23:24" x14ac:dyDescent="0.25">
      <c r="W2344" s="574">
        <f t="shared" si="55"/>
        <v>2335</v>
      </c>
      <c r="X2344" s="564">
        <v>37</v>
      </c>
    </row>
    <row r="2345" spans="23:24" x14ac:dyDescent="0.25">
      <c r="W2345" s="574">
        <f t="shared" si="55"/>
        <v>2336</v>
      </c>
      <c r="X2345" s="564">
        <v>37</v>
      </c>
    </row>
    <row r="2346" spans="23:24" x14ac:dyDescent="0.25">
      <c r="W2346" s="574">
        <f t="shared" si="55"/>
        <v>2337</v>
      </c>
      <c r="X2346" s="564">
        <v>37</v>
      </c>
    </row>
    <row r="2347" spans="23:24" x14ac:dyDescent="0.25">
      <c r="W2347" s="574">
        <f t="shared" si="55"/>
        <v>2338</v>
      </c>
      <c r="X2347" s="564">
        <v>37</v>
      </c>
    </row>
    <row r="2348" spans="23:24" x14ac:dyDescent="0.25">
      <c r="W2348" s="574">
        <f t="shared" si="55"/>
        <v>2339</v>
      </c>
      <c r="X2348" s="564">
        <v>37</v>
      </c>
    </row>
    <row r="2349" spans="23:24" x14ac:dyDescent="0.25">
      <c r="W2349" s="574">
        <f t="shared" si="55"/>
        <v>2340</v>
      </c>
      <c r="X2349" s="564">
        <v>37</v>
      </c>
    </row>
    <row r="2350" spans="23:24" x14ac:dyDescent="0.25">
      <c r="W2350" s="574">
        <f t="shared" si="55"/>
        <v>2341</v>
      </c>
      <c r="X2350" s="564">
        <v>37</v>
      </c>
    </row>
    <row r="2351" spans="23:24" x14ac:dyDescent="0.25">
      <c r="W2351" s="574">
        <f t="shared" si="55"/>
        <v>2342</v>
      </c>
      <c r="X2351" s="564">
        <v>37</v>
      </c>
    </row>
    <row r="2352" spans="23:24" x14ac:dyDescent="0.25">
      <c r="W2352" s="574">
        <f t="shared" si="55"/>
        <v>2343</v>
      </c>
      <c r="X2352" s="564">
        <v>37</v>
      </c>
    </row>
    <row r="2353" spans="23:24" x14ac:dyDescent="0.25">
      <c r="W2353" s="574">
        <f t="shared" si="55"/>
        <v>2344</v>
      </c>
      <c r="X2353" s="564">
        <v>37</v>
      </c>
    </row>
    <row r="2354" spans="23:24" x14ac:dyDescent="0.25">
      <c r="W2354" s="574">
        <f t="shared" si="55"/>
        <v>2345</v>
      </c>
      <c r="X2354" s="564">
        <v>37</v>
      </c>
    </row>
    <row r="2355" spans="23:24" x14ac:dyDescent="0.25">
      <c r="W2355" s="574">
        <f t="shared" si="55"/>
        <v>2346</v>
      </c>
      <c r="X2355" s="564">
        <v>37</v>
      </c>
    </row>
    <row r="2356" spans="23:24" x14ac:dyDescent="0.25">
      <c r="W2356" s="574">
        <f t="shared" si="55"/>
        <v>2347</v>
      </c>
      <c r="X2356" s="564">
        <v>37</v>
      </c>
    </row>
    <row r="2357" spans="23:24" x14ac:dyDescent="0.25">
      <c r="W2357" s="574">
        <f t="shared" si="55"/>
        <v>2348</v>
      </c>
      <c r="X2357" s="564">
        <v>37</v>
      </c>
    </row>
    <row r="2358" spans="23:24" x14ac:dyDescent="0.25">
      <c r="W2358" s="574">
        <f t="shared" si="55"/>
        <v>2349</v>
      </c>
      <c r="X2358" s="564">
        <v>37</v>
      </c>
    </row>
    <row r="2359" spans="23:24" x14ac:dyDescent="0.25">
      <c r="W2359" s="574">
        <f t="shared" si="55"/>
        <v>2350</v>
      </c>
      <c r="X2359" s="564">
        <v>37</v>
      </c>
    </row>
    <row r="2360" spans="23:24" x14ac:dyDescent="0.25">
      <c r="W2360" s="574">
        <f t="shared" si="55"/>
        <v>2351</v>
      </c>
      <c r="X2360" s="564">
        <v>37</v>
      </c>
    </row>
    <row r="2361" spans="23:24" x14ac:dyDescent="0.25">
      <c r="W2361" s="574">
        <f t="shared" si="55"/>
        <v>2352</v>
      </c>
      <c r="X2361" s="564">
        <v>37</v>
      </c>
    </row>
    <row r="2362" spans="23:24" x14ac:dyDescent="0.25">
      <c r="W2362" s="574">
        <f t="shared" si="55"/>
        <v>2353</v>
      </c>
      <c r="X2362" s="564">
        <v>37</v>
      </c>
    </row>
    <row r="2363" spans="23:24" x14ac:dyDescent="0.25">
      <c r="W2363" s="574">
        <f t="shared" si="55"/>
        <v>2354</v>
      </c>
      <c r="X2363" s="564">
        <v>37</v>
      </c>
    </row>
    <row r="2364" spans="23:24" x14ac:dyDescent="0.25">
      <c r="W2364" s="574">
        <f t="shared" si="55"/>
        <v>2355</v>
      </c>
      <c r="X2364" s="564">
        <v>37</v>
      </c>
    </row>
    <row r="2365" spans="23:24" x14ac:dyDescent="0.25">
      <c r="W2365" s="574">
        <f t="shared" si="55"/>
        <v>2356</v>
      </c>
      <c r="X2365" s="564">
        <v>37</v>
      </c>
    </row>
    <row r="2366" spans="23:24" x14ac:dyDescent="0.25">
      <c r="W2366" s="574">
        <f t="shared" si="55"/>
        <v>2357</v>
      </c>
      <c r="X2366" s="564">
        <v>37</v>
      </c>
    </row>
    <row r="2367" spans="23:24" x14ac:dyDescent="0.25">
      <c r="W2367" s="574">
        <f t="shared" si="55"/>
        <v>2358</v>
      </c>
      <c r="X2367" s="564">
        <v>37</v>
      </c>
    </row>
    <row r="2368" spans="23:24" x14ac:dyDescent="0.25">
      <c r="W2368" s="574">
        <f t="shared" si="55"/>
        <v>2359</v>
      </c>
      <c r="X2368" s="564">
        <v>37</v>
      </c>
    </row>
    <row r="2369" spans="23:24" x14ac:dyDescent="0.25">
      <c r="W2369" s="574">
        <f t="shared" si="55"/>
        <v>2360</v>
      </c>
      <c r="X2369" s="564">
        <v>37</v>
      </c>
    </row>
    <row r="2370" spans="23:24" x14ac:dyDescent="0.25">
      <c r="W2370" s="574">
        <f t="shared" si="55"/>
        <v>2361</v>
      </c>
      <c r="X2370" s="564">
        <v>37</v>
      </c>
    </row>
    <row r="2371" spans="23:24" x14ac:dyDescent="0.25">
      <c r="W2371" s="574">
        <f t="shared" si="55"/>
        <v>2362</v>
      </c>
      <c r="X2371" s="564">
        <v>37</v>
      </c>
    </row>
    <row r="2372" spans="23:24" x14ac:dyDescent="0.25">
      <c r="W2372" s="574">
        <f t="shared" si="55"/>
        <v>2363</v>
      </c>
      <c r="X2372" s="564">
        <v>37</v>
      </c>
    </row>
    <row r="2373" spans="23:24" x14ac:dyDescent="0.25">
      <c r="W2373" s="574">
        <f t="shared" si="55"/>
        <v>2364</v>
      </c>
      <c r="X2373" s="564">
        <v>37</v>
      </c>
    </row>
    <row r="2374" spans="23:24" x14ac:dyDescent="0.25">
      <c r="W2374" s="574">
        <f t="shared" si="55"/>
        <v>2365</v>
      </c>
      <c r="X2374" s="564">
        <v>37</v>
      </c>
    </row>
    <row r="2375" spans="23:24" x14ac:dyDescent="0.25">
      <c r="W2375" s="574">
        <f t="shared" si="55"/>
        <v>2366</v>
      </c>
      <c r="X2375" s="564">
        <v>37</v>
      </c>
    </row>
    <row r="2376" spans="23:24" x14ac:dyDescent="0.25">
      <c r="W2376" s="574">
        <f t="shared" si="55"/>
        <v>2367</v>
      </c>
      <c r="X2376" s="564">
        <v>37</v>
      </c>
    </row>
    <row r="2377" spans="23:24" x14ac:dyDescent="0.25">
      <c r="W2377" s="574">
        <f t="shared" si="55"/>
        <v>2368</v>
      </c>
      <c r="X2377" s="564">
        <v>37</v>
      </c>
    </row>
    <row r="2378" spans="23:24" x14ac:dyDescent="0.25">
      <c r="W2378" s="574">
        <f t="shared" si="55"/>
        <v>2369</v>
      </c>
      <c r="X2378" s="564">
        <v>37</v>
      </c>
    </row>
    <row r="2379" spans="23:24" x14ac:dyDescent="0.25">
      <c r="W2379" s="574">
        <f t="shared" si="55"/>
        <v>2370</v>
      </c>
      <c r="X2379" s="564">
        <v>37</v>
      </c>
    </row>
    <row r="2380" spans="23:24" x14ac:dyDescent="0.25">
      <c r="W2380" s="574">
        <f t="shared" si="55"/>
        <v>2371</v>
      </c>
      <c r="X2380" s="564">
        <v>37</v>
      </c>
    </row>
    <row r="2381" spans="23:24" x14ac:dyDescent="0.25">
      <c r="W2381" s="574">
        <f t="shared" si="55"/>
        <v>2372</v>
      </c>
      <c r="X2381" s="564">
        <v>37</v>
      </c>
    </row>
    <row r="2382" spans="23:24" x14ac:dyDescent="0.25">
      <c r="W2382" s="574">
        <f t="shared" si="55"/>
        <v>2373</v>
      </c>
      <c r="X2382" s="564">
        <v>37</v>
      </c>
    </row>
    <row r="2383" spans="23:24" x14ac:dyDescent="0.25">
      <c r="W2383" s="574">
        <f t="shared" si="55"/>
        <v>2374</v>
      </c>
      <c r="X2383" s="564">
        <v>37</v>
      </c>
    </row>
    <row r="2384" spans="23:24" x14ac:dyDescent="0.25">
      <c r="W2384" s="574">
        <f t="shared" si="55"/>
        <v>2375</v>
      </c>
      <c r="X2384" s="564">
        <v>37</v>
      </c>
    </row>
    <row r="2385" spans="23:24" x14ac:dyDescent="0.25">
      <c r="W2385" s="574">
        <f t="shared" si="55"/>
        <v>2376</v>
      </c>
      <c r="X2385" s="564">
        <v>37</v>
      </c>
    </row>
    <row r="2386" spans="23:24" x14ac:dyDescent="0.25">
      <c r="W2386" s="574">
        <f t="shared" si="55"/>
        <v>2377</v>
      </c>
      <c r="X2386" s="564">
        <v>37</v>
      </c>
    </row>
    <row r="2387" spans="23:24" x14ac:dyDescent="0.25">
      <c r="W2387" s="574">
        <f t="shared" si="55"/>
        <v>2378</v>
      </c>
      <c r="X2387" s="564">
        <v>37</v>
      </c>
    </row>
    <row r="2388" spans="23:24" x14ac:dyDescent="0.25">
      <c r="W2388" s="574">
        <f t="shared" si="55"/>
        <v>2379</v>
      </c>
      <c r="X2388" s="564">
        <v>37</v>
      </c>
    </row>
    <row r="2389" spans="23:24" x14ac:dyDescent="0.25">
      <c r="W2389" s="574">
        <f t="shared" si="55"/>
        <v>2380</v>
      </c>
      <c r="X2389" s="564">
        <v>37</v>
      </c>
    </row>
    <row r="2390" spans="23:24" x14ac:dyDescent="0.25">
      <c r="W2390" s="574">
        <f t="shared" si="55"/>
        <v>2381</v>
      </c>
      <c r="X2390" s="564">
        <v>37</v>
      </c>
    </row>
    <row r="2391" spans="23:24" x14ac:dyDescent="0.25">
      <c r="W2391" s="574">
        <f t="shared" si="55"/>
        <v>2382</v>
      </c>
      <c r="X2391" s="564">
        <v>37</v>
      </c>
    </row>
    <row r="2392" spans="23:24" x14ac:dyDescent="0.25">
      <c r="W2392" s="574">
        <f t="shared" si="55"/>
        <v>2383</v>
      </c>
      <c r="X2392" s="564">
        <v>37</v>
      </c>
    </row>
    <row r="2393" spans="23:24" x14ac:dyDescent="0.25">
      <c r="W2393" s="574">
        <f t="shared" si="55"/>
        <v>2384</v>
      </c>
      <c r="X2393" s="564">
        <v>37</v>
      </c>
    </row>
    <row r="2394" spans="23:24" x14ac:dyDescent="0.25">
      <c r="W2394" s="574">
        <f t="shared" ref="W2394:W2457" si="56">W2393+1</f>
        <v>2385</v>
      </c>
      <c r="X2394" s="564">
        <v>37</v>
      </c>
    </row>
    <row r="2395" spans="23:24" x14ac:dyDescent="0.25">
      <c r="W2395" s="574">
        <f t="shared" si="56"/>
        <v>2386</v>
      </c>
      <c r="X2395" s="564">
        <v>37</v>
      </c>
    </row>
    <row r="2396" spans="23:24" x14ac:dyDescent="0.25">
      <c r="W2396" s="574">
        <f t="shared" si="56"/>
        <v>2387</v>
      </c>
      <c r="X2396" s="564">
        <v>37</v>
      </c>
    </row>
    <row r="2397" spans="23:24" x14ac:dyDescent="0.25">
      <c r="W2397" s="574">
        <f t="shared" si="56"/>
        <v>2388</v>
      </c>
      <c r="X2397" s="564">
        <v>37</v>
      </c>
    </row>
    <row r="2398" spans="23:24" x14ac:dyDescent="0.25">
      <c r="W2398" s="574">
        <f t="shared" si="56"/>
        <v>2389</v>
      </c>
      <c r="X2398" s="564">
        <v>37</v>
      </c>
    </row>
    <row r="2399" spans="23:24" x14ac:dyDescent="0.25">
      <c r="W2399" s="574">
        <f t="shared" si="56"/>
        <v>2390</v>
      </c>
      <c r="X2399" s="564">
        <v>37</v>
      </c>
    </row>
    <row r="2400" spans="23:24" x14ac:dyDescent="0.25">
      <c r="W2400" s="574">
        <f t="shared" si="56"/>
        <v>2391</v>
      </c>
      <c r="X2400" s="564">
        <v>37</v>
      </c>
    </row>
    <row r="2401" spans="23:24" x14ac:dyDescent="0.25">
      <c r="W2401" s="574">
        <f t="shared" si="56"/>
        <v>2392</v>
      </c>
      <c r="X2401" s="564">
        <v>37</v>
      </c>
    </row>
    <row r="2402" spans="23:24" x14ac:dyDescent="0.25">
      <c r="W2402" s="574">
        <f t="shared" si="56"/>
        <v>2393</v>
      </c>
      <c r="X2402" s="564">
        <v>37</v>
      </c>
    </row>
    <row r="2403" spans="23:24" x14ac:dyDescent="0.25">
      <c r="W2403" s="574">
        <f t="shared" si="56"/>
        <v>2394</v>
      </c>
      <c r="X2403" s="564">
        <v>37</v>
      </c>
    </row>
    <row r="2404" spans="23:24" x14ac:dyDescent="0.25">
      <c r="W2404" s="574">
        <f t="shared" si="56"/>
        <v>2395</v>
      </c>
      <c r="X2404" s="564">
        <v>37</v>
      </c>
    </row>
    <row r="2405" spans="23:24" x14ac:dyDescent="0.25">
      <c r="W2405" s="574">
        <f t="shared" si="56"/>
        <v>2396</v>
      </c>
      <c r="X2405" s="564">
        <v>37</v>
      </c>
    </row>
    <row r="2406" spans="23:24" x14ac:dyDescent="0.25">
      <c r="W2406" s="574">
        <f t="shared" si="56"/>
        <v>2397</v>
      </c>
      <c r="X2406" s="564">
        <v>37</v>
      </c>
    </row>
    <row r="2407" spans="23:24" x14ac:dyDescent="0.25">
      <c r="W2407" s="574">
        <f t="shared" si="56"/>
        <v>2398</v>
      </c>
      <c r="X2407" s="564">
        <v>37</v>
      </c>
    </row>
    <row r="2408" spans="23:24" x14ac:dyDescent="0.25">
      <c r="W2408" s="574">
        <f t="shared" si="56"/>
        <v>2399</v>
      </c>
      <c r="X2408" s="564">
        <v>37</v>
      </c>
    </row>
    <row r="2409" spans="23:24" x14ac:dyDescent="0.25">
      <c r="W2409" s="574">
        <f t="shared" si="56"/>
        <v>2400</v>
      </c>
      <c r="X2409" s="564">
        <v>37</v>
      </c>
    </row>
    <row r="2410" spans="23:24" x14ac:dyDescent="0.25">
      <c r="W2410" s="574">
        <f t="shared" si="56"/>
        <v>2401</v>
      </c>
      <c r="X2410" s="564">
        <v>37</v>
      </c>
    </row>
    <row r="2411" spans="23:24" x14ac:dyDescent="0.25">
      <c r="W2411" s="574">
        <f t="shared" si="56"/>
        <v>2402</v>
      </c>
      <c r="X2411" s="564">
        <v>37</v>
      </c>
    </row>
    <row r="2412" spans="23:24" x14ac:dyDescent="0.25">
      <c r="W2412" s="574">
        <f t="shared" si="56"/>
        <v>2403</v>
      </c>
      <c r="X2412" s="564">
        <v>37</v>
      </c>
    </row>
    <row r="2413" spans="23:24" x14ac:dyDescent="0.25">
      <c r="W2413" s="574">
        <f t="shared" si="56"/>
        <v>2404</v>
      </c>
      <c r="X2413" s="564">
        <v>37</v>
      </c>
    </row>
    <row r="2414" spans="23:24" x14ac:dyDescent="0.25">
      <c r="W2414" s="574">
        <f t="shared" si="56"/>
        <v>2405</v>
      </c>
      <c r="X2414" s="564">
        <v>37</v>
      </c>
    </row>
    <row r="2415" spans="23:24" x14ac:dyDescent="0.25">
      <c r="W2415" s="574">
        <f t="shared" si="56"/>
        <v>2406</v>
      </c>
      <c r="X2415" s="564">
        <v>37</v>
      </c>
    </row>
    <row r="2416" spans="23:24" x14ac:dyDescent="0.25">
      <c r="W2416" s="574">
        <f t="shared" si="56"/>
        <v>2407</v>
      </c>
      <c r="X2416" s="564">
        <v>37</v>
      </c>
    </row>
    <row r="2417" spans="23:24" x14ac:dyDescent="0.25">
      <c r="W2417" s="574">
        <f t="shared" si="56"/>
        <v>2408</v>
      </c>
      <c r="X2417" s="564">
        <v>37</v>
      </c>
    </row>
    <row r="2418" spans="23:24" x14ac:dyDescent="0.25">
      <c r="W2418" s="574">
        <f t="shared" si="56"/>
        <v>2409</v>
      </c>
      <c r="X2418" s="564">
        <v>37</v>
      </c>
    </row>
    <row r="2419" spans="23:24" x14ac:dyDescent="0.25">
      <c r="W2419" s="574">
        <f t="shared" si="56"/>
        <v>2410</v>
      </c>
      <c r="X2419" s="564">
        <v>37</v>
      </c>
    </row>
    <row r="2420" spans="23:24" x14ac:dyDescent="0.25">
      <c r="W2420" s="574">
        <f t="shared" si="56"/>
        <v>2411</v>
      </c>
      <c r="X2420" s="564">
        <v>37</v>
      </c>
    </row>
    <row r="2421" spans="23:24" x14ac:dyDescent="0.25">
      <c r="W2421" s="574">
        <f t="shared" si="56"/>
        <v>2412</v>
      </c>
      <c r="X2421" s="564">
        <v>37</v>
      </c>
    </row>
    <row r="2422" spans="23:24" x14ac:dyDescent="0.25">
      <c r="W2422" s="574">
        <f t="shared" si="56"/>
        <v>2413</v>
      </c>
      <c r="X2422" s="564">
        <v>37</v>
      </c>
    </row>
    <row r="2423" spans="23:24" x14ac:dyDescent="0.25">
      <c r="W2423" s="574">
        <f t="shared" si="56"/>
        <v>2414</v>
      </c>
      <c r="X2423" s="564">
        <v>37</v>
      </c>
    </row>
    <row r="2424" spans="23:24" x14ac:dyDescent="0.25">
      <c r="W2424" s="574">
        <f t="shared" si="56"/>
        <v>2415</v>
      </c>
      <c r="X2424" s="564">
        <v>37</v>
      </c>
    </row>
    <row r="2425" spans="23:24" x14ac:dyDescent="0.25">
      <c r="W2425" s="574">
        <f t="shared" si="56"/>
        <v>2416</v>
      </c>
      <c r="X2425" s="564">
        <v>37</v>
      </c>
    </row>
    <row r="2426" spans="23:24" x14ac:dyDescent="0.25">
      <c r="W2426" s="574">
        <f t="shared" si="56"/>
        <v>2417</v>
      </c>
      <c r="X2426" s="564">
        <v>37</v>
      </c>
    </row>
    <row r="2427" spans="23:24" x14ac:dyDescent="0.25">
      <c r="W2427" s="574">
        <f t="shared" si="56"/>
        <v>2418</v>
      </c>
      <c r="X2427" s="564">
        <v>37</v>
      </c>
    </row>
    <row r="2428" spans="23:24" x14ac:dyDescent="0.25">
      <c r="W2428" s="574">
        <f t="shared" si="56"/>
        <v>2419</v>
      </c>
      <c r="X2428" s="564">
        <v>37</v>
      </c>
    </row>
    <row r="2429" spans="23:24" x14ac:dyDescent="0.25">
      <c r="W2429" s="574">
        <f t="shared" si="56"/>
        <v>2420</v>
      </c>
      <c r="X2429" s="564">
        <v>37</v>
      </c>
    </row>
    <row r="2430" spans="23:24" x14ac:dyDescent="0.25">
      <c r="W2430" s="574">
        <f t="shared" si="56"/>
        <v>2421</v>
      </c>
      <c r="X2430" s="564">
        <v>37</v>
      </c>
    </row>
    <row r="2431" spans="23:24" x14ac:dyDescent="0.25">
      <c r="W2431" s="574">
        <f t="shared" si="56"/>
        <v>2422</v>
      </c>
      <c r="X2431" s="564">
        <v>37</v>
      </c>
    </row>
    <row r="2432" spans="23:24" x14ac:dyDescent="0.25">
      <c r="W2432" s="574">
        <f t="shared" si="56"/>
        <v>2423</v>
      </c>
      <c r="X2432" s="564">
        <v>37</v>
      </c>
    </row>
    <row r="2433" spans="23:24" x14ac:dyDescent="0.25">
      <c r="W2433" s="574">
        <f t="shared" si="56"/>
        <v>2424</v>
      </c>
      <c r="X2433" s="564">
        <v>37</v>
      </c>
    </row>
    <row r="2434" spans="23:24" x14ac:dyDescent="0.25">
      <c r="W2434" s="574">
        <f t="shared" si="56"/>
        <v>2425</v>
      </c>
      <c r="X2434" s="564">
        <v>37</v>
      </c>
    </row>
    <row r="2435" spans="23:24" x14ac:dyDescent="0.25">
      <c r="W2435" s="574">
        <f t="shared" si="56"/>
        <v>2426</v>
      </c>
      <c r="X2435" s="564">
        <v>37</v>
      </c>
    </row>
    <row r="2436" spans="23:24" x14ac:dyDescent="0.25">
      <c r="W2436" s="574">
        <f t="shared" si="56"/>
        <v>2427</v>
      </c>
      <c r="X2436" s="564">
        <v>37</v>
      </c>
    </row>
    <row r="2437" spans="23:24" x14ac:dyDescent="0.25">
      <c r="W2437" s="574">
        <f t="shared" si="56"/>
        <v>2428</v>
      </c>
      <c r="X2437" s="564">
        <v>37</v>
      </c>
    </row>
    <row r="2438" spans="23:24" x14ac:dyDescent="0.25">
      <c r="W2438" s="574">
        <f t="shared" si="56"/>
        <v>2429</v>
      </c>
      <c r="X2438" s="564">
        <v>37</v>
      </c>
    </row>
    <row r="2439" spans="23:24" x14ac:dyDescent="0.25">
      <c r="W2439" s="574">
        <f t="shared" si="56"/>
        <v>2430</v>
      </c>
      <c r="X2439" s="564">
        <v>37</v>
      </c>
    </row>
    <row r="2440" spans="23:24" x14ac:dyDescent="0.25">
      <c r="W2440" s="574">
        <f t="shared" si="56"/>
        <v>2431</v>
      </c>
      <c r="X2440" s="564">
        <v>37</v>
      </c>
    </row>
    <row r="2441" spans="23:24" x14ac:dyDescent="0.25">
      <c r="W2441" s="574">
        <f t="shared" si="56"/>
        <v>2432</v>
      </c>
      <c r="X2441" s="564">
        <v>37</v>
      </c>
    </row>
    <row r="2442" spans="23:24" x14ac:dyDescent="0.25">
      <c r="W2442" s="574">
        <f t="shared" si="56"/>
        <v>2433</v>
      </c>
      <c r="X2442" s="564">
        <v>37</v>
      </c>
    </row>
    <row r="2443" spans="23:24" x14ac:dyDescent="0.25">
      <c r="W2443" s="574">
        <f t="shared" si="56"/>
        <v>2434</v>
      </c>
      <c r="X2443" s="564">
        <v>37</v>
      </c>
    </row>
    <row r="2444" spans="23:24" x14ac:dyDescent="0.25">
      <c r="W2444" s="574">
        <f t="shared" si="56"/>
        <v>2435</v>
      </c>
      <c r="X2444" s="564">
        <v>37</v>
      </c>
    </row>
    <row r="2445" spans="23:24" x14ac:dyDescent="0.25">
      <c r="W2445" s="574">
        <f t="shared" si="56"/>
        <v>2436</v>
      </c>
      <c r="X2445" s="564">
        <v>37</v>
      </c>
    </row>
    <row r="2446" spans="23:24" x14ac:dyDescent="0.25">
      <c r="W2446" s="574">
        <f t="shared" si="56"/>
        <v>2437</v>
      </c>
      <c r="X2446" s="564">
        <v>37</v>
      </c>
    </row>
    <row r="2447" spans="23:24" x14ac:dyDescent="0.25">
      <c r="W2447" s="574">
        <f t="shared" si="56"/>
        <v>2438</v>
      </c>
      <c r="X2447" s="564">
        <v>37</v>
      </c>
    </row>
    <row r="2448" spans="23:24" x14ac:dyDescent="0.25">
      <c r="W2448" s="574">
        <f t="shared" si="56"/>
        <v>2439</v>
      </c>
      <c r="X2448" s="564">
        <v>37</v>
      </c>
    </row>
    <row r="2449" spans="23:24" x14ac:dyDescent="0.25">
      <c r="W2449" s="574">
        <f t="shared" si="56"/>
        <v>2440</v>
      </c>
      <c r="X2449" s="564">
        <v>37</v>
      </c>
    </row>
    <row r="2450" spans="23:24" x14ac:dyDescent="0.25">
      <c r="W2450" s="574">
        <f t="shared" si="56"/>
        <v>2441</v>
      </c>
      <c r="X2450" s="564">
        <v>37</v>
      </c>
    </row>
    <row r="2451" spans="23:24" x14ac:dyDescent="0.25">
      <c r="W2451" s="574">
        <f t="shared" si="56"/>
        <v>2442</v>
      </c>
      <c r="X2451" s="564">
        <v>37</v>
      </c>
    </row>
    <row r="2452" spans="23:24" x14ac:dyDescent="0.25">
      <c r="W2452" s="574">
        <f t="shared" si="56"/>
        <v>2443</v>
      </c>
      <c r="X2452" s="564">
        <v>37</v>
      </c>
    </row>
    <row r="2453" spans="23:24" x14ac:dyDescent="0.25">
      <c r="W2453" s="574">
        <f t="shared" si="56"/>
        <v>2444</v>
      </c>
      <c r="X2453" s="564">
        <v>37</v>
      </c>
    </row>
    <row r="2454" spans="23:24" x14ac:dyDescent="0.25">
      <c r="W2454" s="574">
        <f t="shared" si="56"/>
        <v>2445</v>
      </c>
      <c r="X2454" s="564">
        <v>37</v>
      </c>
    </row>
    <row r="2455" spans="23:24" x14ac:dyDescent="0.25">
      <c r="W2455" s="574">
        <f t="shared" si="56"/>
        <v>2446</v>
      </c>
      <c r="X2455" s="564">
        <v>37</v>
      </c>
    </row>
    <row r="2456" spans="23:24" x14ac:dyDescent="0.25">
      <c r="W2456" s="574">
        <f t="shared" si="56"/>
        <v>2447</v>
      </c>
      <c r="X2456" s="564">
        <v>37</v>
      </c>
    </row>
    <row r="2457" spans="23:24" x14ac:dyDescent="0.25">
      <c r="W2457" s="574">
        <f t="shared" si="56"/>
        <v>2448</v>
      </c>
      <c r="X2457" s="564">
        <v>37</v>
      </c>
    </row>
    <row r="2458" spans="23:24" x14ac:dyDescent="0.25">
      <c r="W2458" s="574">
        <f t="shared" ref="W2458:W2521" si="57">W2457+1</f>
        <v>2449</v>
      </c>
      <c r="X2458" s="564">
        <v>37</v>
      </c>
    </row>
    <row r="2459" spans="23:24" x14ac:dyDescent="0.25">
      <c r="W2459" s="574">
        <f t="shared" si="57"/>
        <v>2450</v>
      </c>
      <c r="X2459" s="564">
        <v>37</v>
      </c>
    </row>
    <row r="2460" spans="23:24" x14ac:dyDescent="0.25">
      <c r="W2460" s="574">
        <f t="shared" si="57"/>
        <v>2451</v>
      </c>
      <c r="X2460" s="564">
        <v>37</v>
      </c>
    </row>
    <row r="2461" spans="23:24" x14ac:dyDescent="0.25">
      <c r="W2461" s="574">
        <f t="shared" si="57"/>
        <v>2452</v>
      </c>
      <c r="X2461" s="564">
        <v>37</v>
      </c>
    </row>
    <row r="2462" spans="23:24" x14ac:dyDescent="0.25">
      <c r="W2462" s="574">
        <f t="shared" si="57"/>
        <v>2453</v>
      </c>
      <c r="X2462" s="564">
        <v>37</v>
      </c>
    </row>
    <row r="2463" spans="23:24" x14ac:dyDescent="0.25">
      <c r="W2463" s="574">
        <f t="shared" si="57"/>
        <v>2454</v>
      </c>
      <c r="X2463" s="564">
        <v>37</v>
      </c>
    </row>
    <row r="2464" spans="23:24" x14ac:dyDescent="0.25">
      <c r="W2464" s="574">
        <f t="shared" si="57"/>
        <v>2455</v>
      </c>
      <c r="X2464" s="564">
        <v>37</v>
      </c>
    </row>
    <row r="2465" spans="23:24" x14ac:dyDescent="0.25">
      <c r="W2465" s="574">
        <f t="shared" si="57"/>
        <v>2456</v>
      </c>
      <c r="X2465" s="564">
        <v>37</v>
      </c>
    </row>
    <row r="2466" spans="23:24" x14ac:dyDescent="0.25">
      <c r="W2466" s="574">
        <f t="shared" si="57"/>
        <v>2457</v>
      </c>
      <c r="X2466" s="564">
        <v>37</v>
      </c>
    </row>
    <row r="2467" spans="23:24" x14ac:dyDescent="0.25">
      <c r="W2467" s="574">
        <f t="shared" si="57"/>
        <v>2458</v>
      </c>
      <c r="X2467" s="564">
        <v>37</v>
      </c>
    </row>
    <row r="2468" spans="23:24" x14ac:dyDescent="0.25">
      <c r="W2468" s="574">
        <f t="shared" si="57"/>
        <v>2459</v>
      </c>
      <c r="X2468" s="564">
        <v>37</v>
      </c>
    </row>
    <row r="2469" spans="23:24" x14ac:dyDescent="0.25">
      <c r="W2469" s="574">
        <f t="shared" si="57"/>
        <v>2460</v>
      </c>
      <c r="X2469" s="564">
        <v>37</v>
      </c>
    </row>
    <row r="2470" spans="23:24" x14ac:dyDescent="0.25">
      <c r="W2470" s="574">
        <f t="shared" si="57"/>
        <v>2461</v>
      </c>
      <c r="X2470" s="564">
        <v>37</v>
      </c>
    </row>
    <row r="2471" spans="23:24" x14ac:dyDescent="0.25">
      <c r="W2471" s="574">
        <f t="shared" si="57"/>
        <v>2462</v>
      </c>
      <c r="X2471" s="564">
        <v>37</v>
      </c>
    </row>
    <row r="2472" spans="23:24" x14ac:dyDescent="0.25">
      <c r="W2472" s="574">
        <f t="shared" si="57"/>
        <v>2463</v>
      </c>
      <c r="X2472" s="564">
        <v>37</v>
      </c>
    </row>
    <row r="2473" spans="23:24" x14ac:dyDescent="0.25">
      <c r="W2473" s="574">
        <f t="shared" si="57"/>
        <v>2464</v>
      </c>
      <c r="X2473" s="564">
        <v>37</v>
      </c>
    </row>
    <row r="2474" spans="23:24" x14ac:dyDescent="0.25">
      <c r="W2474" s="574">
        <f t="shared" si="57"/>
        <v>2465</v>
      </c>
      <c r="X2474" s="564">
        <v>37</v>
      </c>
    </row>
    <row r="2475" spans="23:24" x14ac:dyDescent="0.25">
      <c r="W2475" s="574">
        <f t="shared" si="57"/>
        <v>2466</v>
      </c>
      <c r="X2475" s="564">
        <v>37</v>
      </c>
    </row>
    <row r="2476" spans="23:24" x14ac:dyDescent="0.25">
      <c r="W2476" s="574">
        <f t="shared" si="57"/>
        <v>2467</v>
      </c>
      <c r="X2476" s="564">
        <v>37</v>
      </c>
    </row>
    <row r="2477" spans="23:24" x14ac:dyDescent="0.25">
      <c r="W2477" s="574">
        <f t="shared" si="57"/>
        <v>2468</v>
      </c>
      <c r="X2477" s="564">
        <v>37</v>
      </c>
    </row>
    <row r="2478" spans="23:24" x14ac:dyDescent="0.25">
      <c r="W2478" s="574">
        <f t="shared" si="57"/>
        <v>2469</v>
      </c>
      <c r="X2478" s="564">
        <v>37</v>
      </c>
    </row>
    <row r="2479" spans="23:24" x14ac:dyDescent="0.25">
      <c r="W2479" s="574">
        <f t="shared" si="57"/>
        <v>2470</v>
      </c>
      <c r="X2479" s="564">
        <v>37</v>
      </c>
    </row>
    <row r="2480" spans="23:24" x14ac:dyDescent="0.25">
      <c r="W2480" s="574">
        <f t="shared" si="57"/>
        <v>2471</v>
      </c>
      <c r="X2480" s="564">
        <v>37</v>
      </c>
    </row>
    <row r="2481" spans="23:24" x14ac:dyDescent="0.25">
      <c r="W2481" s="574">
        <f t="shared" si="57"/>
        <v>2472</v>
      </c>
      <c r="X2481" s="564">
        <v>37</v>
      </c>
    </row>
    <row r="2482" spans="23:24" x14ac:dyDescent="0.25">
      <c r="W2482" s="574">
        <f t="shared" si="57"/>
        <v>2473</v>
      </c>
      <c r="X2482" s="564">
        <v>37</v>
      </c>
    </row>
    <row r="2483" spans="23:24" x14ac:dyDescent="0.25">
      <c r="W2483" s="574">
        <f t="shared" si="57"/>
        <v>2474</v>
      </c>
      <c r="X2483" s="564">
        <v>37</v>
      </c>
    </row>
    <row r="2484" spans="23:24" x14ac:dyDescent="0.25">
      <c r="W2484" s="574">
        <f t="shared" si="57"/>
        <v>2475</v>
      </c>
      <c r="X2484" s="564">
        <v>37</v>
      </c>
    </row>
    <row r="2485" spans="23:24" x14ac:dyDescent="0.25">
      <c r="W2485" s="574">
        <f t="shared" si="57"/>
        <v>2476</v>
      </c>
      <c r="X2485" s="564">
        <v>37</v>
      </c>
    </row>
    <row r="2486" spans="23:24" x14ac:dyDescent="0.25">
      <c r="W2486" s="574">
        <f t="shared" si="57"/>
        <v>2477</v>
      </c>
      <c r="X2486" s="564">
        <v>37</v>
      </c>
    </row>
    <row r="2487" spans="23:24" x14ac:dyDescent="0.25">
      <c r="W2487" s="574">
        <f t="shared" si="57"/>
        <v>2478</v>
      </c>
      <c r="X2487" s="564">
        <v>37</v>
      </c>
    </row>
    <row r="2488" spans="23:24" x14ac:dyDescent="0.25">
      <c r="W2488" s="574">
        <f t="shared" si="57"/>
        <v>2479</v>
      </c>
      <c r="X2488" s="564">
        <v>37</v>
      </c>
    </row>
    <row r="2489" spans="23:24" x14ac:dyDescent="0.25">
      <c r="W2489" s="574">
        <f t="shared" si="57"/>
        <v>2480</v>
      </c>
      <c r="X2489" s="564">
        <v>37</v>
      </c>
    </row>
    <row r="2490" spans="23:24" x14ac:dyDescent="0.25">
      <c r="W2490" s="574">
        <f t="shared" si="57"/>
        <v>2481</v>
      </c>
      <c r="X2490" s="564">
        <v>37</v>
      </c>
    </row>
    <row r="2491" spans="23:24" x14ac:dyDescent="0.25">
      <c r="W2491" s="574">
        <f t="shared" si="57"/>
        <v>2482</v>
      </c>
      <c r="X2491" s="564">
        <v>37</v>
      </c>
    </row>
    <row r="2492" spans="23:24" x14ac:dyDescent="0.25">
      <c r="W2492" s="574">
        <f t="shared" si="57"/>
        <v>2483</v>
      </c>
      <c r="X2492" s="564">
        <v>37</v>
      </c>
    </row>
    <row r="2493" spans="23:24" x14ac:dyDescent="0.25">
      <c r="W2493" s="574">
        <f t="shared" si="57"/>
        <v>2484</v>
      </c>
      <c r="X2493" s="564">
        <v>37</v>
      </c>
    </row>
    <row r="2494" spans="23:24" x14ac:dyDescent="0.25">
      <c r="W2494" s="574">
        <f t="shared" si="57"/>
        <v>2485</v>
      </c>
      <c r="X2494" s="564">
        <v>37</v>
      </c>
    </row>
    <row r="2495" spans="23:24" x14ac:dyDescent="0.25">
      <c r="W2495" s="574">
        <f t="shared" si="57"/>
        <v>2486</v>
      </c>
      <c r="X2495" s="564">
        <v>37</v>
      </c>
    </row>
    <row r="2496" spans="23:24" x14ac:dyDescent="0.25">
      <c r="W2496" s="574">
        <f t="shared" si="57"/>
        <v>2487</v>
      </c>
      <c r="X2496" s="564">
        <v>37</v>
      </c>
    </row>
    <row r="2497" spans="23:24" x14ac:dyDescent="0.25">
      <c r="W2497" s="574">
        <f t="shared" si="57"/>
        <v>2488</v>
      </c>
      <c r="X2497" s="564">
        <v>37</v>
      </c>
    </row>
    <row r="2498" spans="23:24" x14ac:dyDescent="0.25">
      <c r="W2498" s="574">
        <f t="shared" si="57"/>
        <v>2489</v>
      </c>
      <c r="X2498" s="564">
        <v>37</v>
      </c>
    </row>
    <row r="2499" spans="23:24" x14ac:dyDescent="0.25">
      <c r="W2499" s="574">
        <f t="shared" si="57"/>
        <v>2490</v>
      </c>
      <c r="X2499" s="564">
        <v>37</v>
      </c>
    </row>
    <row r="2500" spans="23:24" x14ac:dyDescent="0.25">
      <c r="W2500" s="574">
        <f t="shared" si="57"/>
        <v>2491</v>
      </c>
      <c r="X2500" s="564">
        <v>37</v>
      </c>
    </row>
    <row r="2501" spans="23:24" x14ac:dyDescent="0.25">
      <c r="W2501" s="574">
        <f t="shared" si="57"/>
        <v>2492</v>
      </c>
      <c r="X2501" s="564">
        <v>37</v>
      </c>
    </row>
    <row r="2502" spans="23:24" x14ac:dyDescent="0.25">
      <c r="W2502" s="574">
        <f t="shared" si="57"/>
        <v>2493</v>
      </c>
      <c r="X2502" s="564">
        <v>37</v>
      </c>
    </row>
    <row r="2503" spans="23:24" x14ac:dyDescent="0.25">
      <c r="W2503" s="574">
        <f t="shared" si="57"/>
        <v>2494</v>
      </c>
      <c r="X2503" s="564">
        <v>37</v>
      </c>
    </row>
    <row r="2504" spans="23:24" x14ac:dyDescent="0.25">
      <c r="W2504" s="574">
        <f t="shared" si="57"/>
        <v>2495</v>
      </c>
      <c r="X2504" s="564">
        <v>37</v>
      </c>
    </row>
    <row r="2505" spans="23:24" x14ac:dyDescent="0.25">
      <c r="W2505" s="574">
        <f t="shared" si="57"/>
        <v>2496</v>
      </c>
      <c r="X2505" s="564">
        <v>37</v>
      </c>
    </row>
    <row r="2506" spans="23:24" x14ac:dyDescent="0.25">
      <c r="W2506" s="574">
        <f t="shared" si="57"/>
        <v>2497</v>
      </c>
      <c r="X2506" s="564">
        <v>37</v>
      </c>
    </row>
    <row r="2507" spans="23:24" x14ac:dyDescent="0.25">
      <c r="W2507" s="574">
        <f t="shared" si="57"/>
        <v>2498</v>
      </c>
      <c r="X2507" s="564">
        <v>37</v>
      </c>
    </row>
    <row r="2508" spans="23:24" x14ac:dyDescent="0.25">
      <c r="W2508" s="574">
        <f t="shared" si="57"/>
        <v>2499</v>
      </c>
      <c r="X2508" s="564">
        <v>37</v>
      </c>
    </row>
    <row r="2509" spans="23:24" x14ac:dyDescent="0.25">
      <c r="W2509" s="574">
        <f t="shared" si="57"/>
        <v>2500</v>
      </c>
      <c r="X2509" s="564">
        <v>38</v>
      </c>
    </row>
    <row r="2510" spans="23:24" x14ac:dyDescent="0.25">
      <c r="W2510" s="574">
        <f t="shared" si="57"/>
        <v>2501</v>
      </c>
      <c r="X2510" s="564">
        <v>38</v>
      </c>
    </row>
    <row r="2511" spans="23:24" x14ac:dyDescent="0.25">
      <c r="W2511" s="574">
        <f t="shared" si="57"/>
        <v>2502</v>
      </c>
      <c r="X2511" s="564">
        <v>38</v>
      </c>
    </row>
    <row r="2512" spans="23:24" x14ac:dyDescent="0.25">
      <c r="W2512" s="574">
        <f t="shared" si="57"/>
        <v>2503</v>
      </c>
      <c r="X2512" s="564">
        <v>38</v>
      </c>
    </row>
    <row r="2513" spans="23:24" x14ac:dyDescent="0.25">
      <c r="W2513" s="574">
        <f t="shared" si="57"/>
        <v>2504</v>
      </c>
      <c r="X2513" s="564">
        <v>38</v>
      </c>
    </row>
    <row r="2514" spans="23:24" x14ac:dyDescent="0.25">
      <c r="W2514" s="574">
        <f t="shared" si="57"/>
        <v>2505</v>
      </c>
      <c r="X2514" s="564">
        <v>38</v>
      </c>
    </row>
    <row r="2515" spans="23:24" x14ac:dyDescent="0.25">
      <c r="W2515" s="574">
        <f t="shared" si="57"/>
        <v>2506</v>
      </c>
      <c r="X2515" s="564">
        <v>38</v>
      </c>
    </row>
    <row r="2516" spans="23:24" x14ac:dyDescent="0.25">
      <c r="W2516" s="574">
        <f t="shared" si="57"/>
        <v>2507</v>
      </c>
      <c r="X2516" s="564">
        <v>38</v>
      </c>
    </row>
    <row r="2517" spans="23:24" x14ac:dyDescent="0.25">
      <c r="W2517" s="574">
        <f t="shared" si="57"/>
        <v>2508</v>
      </c>
      <c r="X2517" s="564">
        <v>38</v>
      </c>
    </row>
    <row r="2518" spans="23:24" x14ac:dyDescent="0.25">
      <c r="W2518" s="574">
        <f t="shared" si="57"/>
        <v>2509</v>
      </c>
      <c r="X2518" s="564">
        <v>38</v>
      </c>
    </row>
    <row r="2519" spans="23:24" x14ac:dyDescent="0.25">
      <c r="W2519" s="574">
        <f t="shared" si="57"/>
        <v>2510</v>
      </c>
      <c r="X2519" s="564">
        <v>38</v>
      </c>
    </row>
    <row r="2520" spans="23:24" x14ac:dyDescent="0.25">
      <c r="W2520" s="574">
        <f t="shared" si="57"/>
        <v>2511</v>
      </c>
      <c r="X2520" s="564">
        <v>38</v>
      </c>
    </row>
    <row r="2521" spans="23:24" x14ac:dyDescent="0.25">
      <c r="W2521" s="574">
        <f t="shared" si="57"/>
        <v>2512</v>
      </c>
      <c r="X2521" s="564">
        <v>38</v>
      </c>
    </row>
    <row r="2522" spans="23:24" x14ac:dyDescent="0.25">
      <c r="W2522" s="574">
        <f t="shared" ref="W2522:W2585" si="58">W2521+1</f>
        <v>2513</v>
      </c>
      <c r="X2522" s="564">
        <v>38</v>
      </c>
    </row>
    <row r="2523" spans="23:24" x14ac:dyDescent="0.25">
      <c r="W2523" s="574">
        <f t="shared" si="58"/>
        <v>2514</v>
      </c>
      <c r="X2523" s="564">
        <v>38</v>
      </c>
    </row>
    <row r="2524" spans="23:24" x14ac:dyDescent="0.25">
      <c r="W2524" s="574">
        <f t="shared" si="58"/>
        <v>2515</v>
      </c>
      <c r="X2524" s="564">
        <v>38</v>
      </c>
    </row>
    <row r="2525" spans="23:24" x14ac:dyDescent="0.25">
      <c r="W2525" s="574">
        <f t="shared" si="58"/>
        <v>2516</v>
      </c>
      <c r="X2525" s="564">
        <v>38</v>
      </c>
    </row>
    <row r="2526" spans="23:24" x14ac:dyDescent="0.25">
      <c r="W2526" s="574">
        <f t="shared" si="58"/>
        <v>2517</v>
      </c>
      <c r="X2526" s="564">
        <v>38</v>
      </c>
    </row>
    <row r="2527" spans="23:24" x14ac:dyDescent="0.25">
      <c r="W2527" s="574">
        <f t="shared" si="58"/>
        <v>2518</v>
      </c>
      <c r="X2527" s="564">
        <v>38</v>
      </c>
    </row>
    <row r="2528" spans="23:24" x14ac:dyDescent="0.25">
      <c r="W2528" s="574">
        <f t="shared" si="58"/>
        <v>2519</v>
      </c>
      <c r="X2528" s="564">
        <v>38</v>
      </c>
    </row>
    <row r="2529" spans="23:24" x14ac:dyDescent="0.25">
      <c r="W2529" s="574">
        <f t="shared" si="58"/>
        <v>2520</v>
      </c>
      <c r="X2529" s="564">
        <v>38</v>
      </c>
    </row>
    <row r="2530" spans="23:24" x14ac:dyDescent="0.25">
      <c r="W2530" s="574">
        <f t="shared" si="58"/>
        <v>2521</v>
      </c>
      <c r="X2530" s="564">
        <v>38</v>
      </c>
    </row>
    <row r="2531" spans="23:24" x14ac:dyDescent="0.25">
      <c r="W2531" s="574">
        <f t="shared" si="58"/>
        <v>2522</v>
      </c>
      <c r="X2531" s="564">
        <v>38</v>
      </c>
    </row>
    <row r="2532" spans="23:24" x14ac:dyDescent="0.25">
      <c r="W2532" s="574">
        <f t="shared" si="58"/>
        <v>2523</v>
      </c>
      <c r="X2532" s="564">
        <v>38</v>
      </c>
    </row>
    <row r="2533" spans="23:24" x14ac:dyDescent="0.25">
      <c r="W2533" s="574">
        <f t="shared" si="58"/>
        <v>2524</v>
      </c>
      <c r="X2533" s="564">
        <v>38</v>
      </c>
    </row>
    <row r="2534" spans="23:24" x14ac:dyDescent="0.25">
      <c r="W2534" s="574">
        <f t="shared" si="58"/>
        <v>2525</v>
      </c>
      <c r="X2534" s="564">
        <v>38</v>
      </c>
    </row>
    <row r="2535" spans="23:24" x14ac:dyDescent="0.25">
      <c r="W2535" s="574">
        <f t="shared" si="58"/>
        <v>2526</v>
      </c>
      <c r="X2535" s="564">
        <v>38</v>
      </c>
    </row>
    <row r="2536" spans="23:24" x14ac:dyDescent="0.25">
      <c r="W2536" s="574">
        <f t="shared" si="58"/>
        <v>2527</v>
      </c>
      <c r="X2536" s="564">
        <v>38</v>
      </c>
    </row>
    <row r="2537" spans="23:24" x14ac:dyDescent="0.25">
      <c r="W2537" s="574">
        <f t="shared" si="58"/>
        <v>2528</v>
      </c>
      <c r="X2537" s="564">
        <v>38</v>
      </c>
    </row>
    <row r="2538" spans="23:24" x14ac:dyDescent="0.25">
      <c r="W2538" s="574">
        <f t="shared" si="58"/>
        <v>2529</v>
      </c>
      <c r="X2538" s="564">
        <v>38</v>
      </c>
    </row>
    <row r="2539" spans="23:24" x14ac:dyDescent="0.25">
      <c r="W2539" s="574">
        <f t="shared" si="58"/>
        <v>2530</v>
      </c>
      <c r="X2539" s="564">
        <v>38</v>
      </c>
    </row>
    <row r="2540" spans="23:24" x14ac:dyDescent="0.25">
      <c r="W2540" s="574">
        <f t="shared" si="58"/>
        <v>2531</v>
      </c>
      <c r="X2540" s="564">
        <v>38</v>
      </c>
    </row>
    <row r="2541" spans="23:24" x14ac:dyDescent="0.25">
      <c r="W2541" s="574">
        <f t="shared" si="58"/>
        <v>2532</v>
      </c>
      <c r="X2541" s="564">
        <v>38</v>
      </c>
    </row>
    <row r="2542" spans="23:24" x14ac:dyDescent="0.25">
      <c r="W2542" s="574">
        <f t="shared" si="58"/>
        <v>2533</v>
      </c>
      <c r="X2542" s="564">
        <v>38</v>
      </c>
    </row>
    <row r="2543" spans="23:24" x14ac:dyDescent="0.25">
      <c r="W2543" s="574">
        <f t="shared" si="58"/>
        <v>2534</v>
      </c>
      <c r="X2543" s="564">
        <v>38</v>
      </c>
    </row>
    <row r="2544" spans="23:24" x14ac:dyDescent="0.25">
      <c r="W2544" s="574">
        <f t="shared" si="58"/>
        <v>2535</v>
      </c>
      <c r="X2544" s="564">
        <v>38</v>
      </c>
    </row>
    <row r="2545" spans="23:24" x14ac:dyDescent="0.25">
      <c r="W2545" s="574">
        <f t="shared" si="58"/>
        <v>2536</v>
      </c>
      <c r="X2545" s="564">
        <v>38</v>
      </c>
    </row>
    <row r="2546" spans="23:24" x14ac:dyDescent="0.25">
      <c r="W2546" s="574">
        <f t="shared" si="58"/>
        <v>2537</v>
      </c>
      <c r="X2546" s="564">
        <v>38</v>
      </c>
    </row>
    <row r="2547" spans="23:24" x14ac:dyDescent="0.25">
      <c r="W2547" s="574">
        <f t="shared" si="58"/>
        <v>2538</v>
      </c>
      <c r="X2547" s="564">
        <v>38</v>
      </c>
    </row>
    <row r="2548" spans="23:24" x14ac:dyDescent="0.25">
      <c r="W2548" s="574">
        <f t="shared" si="58"/>
        <v>2539</v>
      </c>
      <c r="X2548" s="564">
        <v>38</v>
      </c>
    </row>
    <row r="2549" spans="23:24" x14ac:dyDescent="0.25">
      <c r="W2549" s="574">
        <f t="shared" si="58"/>
        <v>2540</v>
      </c>
      <c r="X2549" s="564">
        <v>38</v>
      </c>
    </row>
    <row r="2550" spans="23:24" x14ac:dyDescent="0.25">
      <c r="W2550" s="574">
        <f t="shared" si="58"/>
        <v>2541</v>
      </c>
      <c r="X2550" s="564">
        <v>38</v>
      </c>
    </row>
    <row r="2551" spans="23:24" x14ac:dyDescent="0.25">
      <c r="W2551" s="574">
        <f t="shared" si="58"/>
        <v>2542</v>
      </c>
      <c r="X2551" s="564">
        <v>38</v>
      </c>
    </row>
    <row r="2552" spans="23:24" x14ac:dyDescent="0.25">
      <c r="W2552" s="574">
        <f t="shared" si="58"/>
        <v>2543</v>
      </c>
      <c r="X2552" s="564">
        <v>38</v>
      </c>
    </row>
    <row r="2553" spans="23:24" x14ac:dyDescent="0.25">
      <c r="W2553" s="574">
        <f t="shared" si="58"/>
        <v>2544</v>
      </c>
      <c r="X2553" s="564">
        <v>38</v>
      </c>
    </row>
    <row r="2554" spans="23:24" x14ac:dyDescent="0.25">
      <c r="W2554" s="574">
        <f t="shared" si="58"/>
        <v>2545</v>
      </c>
      <c r="X2554" s="564">
        <v>38</v>
      </c>
    </row>
    <row r="2555" spans="23:24" x14ac:dyDescent="0.25">
      <c r="W2555" s="574">
        <f t="shared" si="58"/>
        <v>2546</v>
      </c>
      <c r="X2555" s="564">
        <v>38</v>
      </c>
    </row>
    <row r="2556" spans="23:24" x14ac:dyDescent="0.25">
      <c r="W2556" s="574">
        <f t="shared" si="58"/>
        <v>2547</v>
      </c>
      <c r="X2556" s="564">
        <v>38</v>
      </c>
    </row>
    <row r="2557" spans="23:24" x14ac:dyDescent="0.25">
      <c r="W2557" s="574">
        <f t="shared" si="58"/>
        <v>2548</v>
      </c>
      <c r="X2557" s="564">
        <v>38</v>
      </c>
    </row>
    <row r="2558" spans="23:24" x14ac:dyDescent="0.25">
      <c r="W2558" s="574">
        <f t="shared" si="58"/>
        <v>2549</v>
      </c>
      <c r="X2558" s="564">
        <v>38</v>
      </c>
    </row>
    <row r="2559" spans="23:24" x14ac:dyDescent="0.25">
      <c r="W2559" s="574">
        <f t="shared" si="58"/>
        <v>2550</v>
      </c>
      <c r="X2559" s="564">
        <v>38</v>
      </c>
    </row>
    <row r="2560" spans="23:24" x14ac:dyDescent="0.25">
      <c r="W2560" s="574">
        <f t="shared" si="58"/>
        <v>2551</v>
      </c>
      <c r="X2560" s="564">
        <v>38</v>
      </c>
    </row>
    <row r="2561" spans="23:24" x14ac:dyDescent="0.25">
      <c r="W2561" s="574">
        <f t="shared" si="58"/>
        <v>2552</v>
      </c>
      <c r="X2561" s="564">
        <v>38</v>
      </c>
    </row>
    <row r="2562" spans="23:24" x14ac:dyDescent="0.25">
      <c r="W2562" s="574">
        <f t="shared" si="58"/>
        <v>2553</v>
      </c>
      <c r="X2562" s="564">
        <v>38</v>
      </c>
    </row>
    <row r="2563" spans="23:24" x14ac:dyDescent="0.25">
      <c r="W2563" s="574">
        <f t="shared" si="58"/>
        <v>2554</v>
      </c>
      <c r="X2563" s="564">
        <v>38</v>
      </c>
    </row>
    <row r="2564" spans="23:24" x14ac:dyDescent="0.25">
      <c r="W2564" s="574">
        <f t="shared" si="58"/>
        <v>2555</v>
      </c>
      <c r="X2564" s="564">
        <v>38</v>
      </c>
    </row>
    <row r="2565" spans="23:24" x14ac:dyDescent="0.25">
      <c r="W2565" s="574">
        <f t="shared" si="58"/>
        <v>2556</v>
      </c>
      <c r="X2565" s="564">
        <v>38</v>
      </c>
    </row>
    <row r="2566" spans="23:24" x14ac:dyDescent="0.25">
      <c r="W2566" s="574">
        <f t="shared" si="58"/>
        <v>2557</v>
      </c>
      <c r="X2566" s="564">
        <v>38</v>
      </c>
    </row>
    <row r="2567" spans="23:24" x14ac:dyDescent="0.25">
      <c r="W2567" s="574">
        <f t="shared" si="58"/>
        <v>2558</v>
      </c>
      <c r="X2567" s="564">
        <v>38</v>
      </c>
    </row>
    <row r="2568" spans="23:24" x14ac:dyDescent="0.25">
      <c r="W2568" s="574">
        <f t="shared" si="58"/>
        <v>2559</v>
      </c>
      <c r="X2568" s="564">
        <v>38</v>
      </c>
    </row>
    <row r="2569" spans="23:24" x14ac:dyDescent="0.25">
      <c r="W2569" s="574">
        <f t="shared" si="58"/>
        <v>2560</v>
      </c>
      <c r="X2569" s="564">
        <v>38</v>
      </c>
    </row>
    <row r="2570" spans="23:24" x14ac:dyDescent="0.25">
      <c r="W2570" s="574">
        <f t="shared" si="58"/>
        <v>2561</v>
      </c>
      <c r="X2570" s="564">
        <v>38</v>
      </c>
    </row>
    <row r="2571" spans="23:24" x14ac:dyDescent="0.25">
      <c r="W2571" s="574">
        <f t="shared" si="58"/>
        <v>2562</v>
      </c>
      <c r="X2571" s="564">
        <v>38</v>
      </c>
    </row>
    <row r="2572" spans="23:24" x14ac:dyDescent="0.25">
      <c r="W2572" s="574">
        <f t="shared" si="58"/>
        <v>2563</v>
      </c>
      <c r="X2572" s="564">
        <v>38</v>
      </c>
    </row>
    <row r="2573" spans="23:24" x14ac:dyDescent="0.25">
      <c r="W2573" s="574">
        <f t="shared" si="58"/>
        <v>2564</v>
      </c>
      <c r="X2573" s="564">
        <v>38</v>
      </c>
    </row>
    <row r="2574" spans="23:24" x14ac:dyDescent="0.25">
      <c r="W2574" s="574">
        <f t="shared" si="58"/>
        <v>2565</v>
      </c>
      <c r="X2574" s="564">
        <v>38</v>
      </c>
    </row>
    <row r="2575" spans="23:24" x14ac:dyDescent="0.25">
      <c r="W2575" s="574">
        <f t="shared" si="58"/>
        <v>2566</v>
      </c>
      <c r="X2575" s="564">
        <v>38</v>
      </c>
    </row>
    <row r="2576" spans="23:24" x14ac:dyDescent="0.25">
      <c r="W2576" s="574">
        <f t="shared" si="58"/>
        <v>2567</v>
      </c>
      <c r="X2576" s="564">
        <v>38</v>
      </c>
    </row>
    <row r="2577" spans="23:24" x14ac:dyDescent="0.25">
      <c r="W2577" s="574">
        <f t="shared" si="58"/>
        <v>2568</v>
      </c>
      <c r="X2577" s="564">
        <v>38</v>
      </c>
    </row>
    <row r="2578" spans="23:24" x14ac:dyDescent="0.25">
      <c r="W2578" s="574">
        <f t="shared" si="58"/>
        <v>2569</v>
      </c>
      <c r="X2578" s="564">
        <v>38</v>
      </c>
    </row>
    <row r="2579" spans="23:24" x14ac:dyDescent="0.25">
      <c r="W2579" s="574">
        <f t="shared" si="58"/>
        <v>2570</v>
      </c>
      <c r="X2579" s="564">
        <v>38</v>
      </c>
    </row>
    <row r="2580" spans="23:24" x14ac:dyDescent="0.25">
      <c r="W2580" s="574">
        <f t="shared" si="58"/>
        <v>2571</v>
      </c>
      <c r="X2580" s="564">
        <v>38</v>
      </c>
    </row>
    <row r="2581" spans="23:24" x14ac:dyDescent="0.25">
      <c r="W2581" s="574">
        <f t="shared" si="58"/>
        <v>2572</v>
      </c>
      <c r="X2581" s="564">
        <v>38</v>
      </c>
    </row>
    <row r="2582" spans="23:24" x14ac:dyDescent="0.25">
      <c r="W2582" s="574">
        <f t="shared" si="58"/>
        <v>2573</v>
      </c>
      <c r="X2582" s="564">
        <v>38</v>
      </c>
    </row>
    <row r="2583" spans="23:24" x14ac:dyDescent="0.25">
      <c r="W2583" s="574">
        <f t="shared" si="58"/>
        <v>2574</v>
      </c>
      <c r="X2583" s="564">
        <v>38</v>
      </c>
    </row>
    <row r="2584" spans="23:24" x14ac:dyDescent="0.25">
      <c r="W2584" s="574">
        <f t="shared" si="58"/>
        <v>2575</v>
      </c>
      <c r="X2584" s="564">
        <v>38</v>
      </c>
    </row>
    <row r="2585" spans="23:24" x14ac:dyDescent="0.25">
      <c r="W2585" s="574">
        <f t="shared" si="58"/>
        <v>2576</v>
      </c>
      <c r="X2585" s="564">
        <v>38</v>
      </c>
    </row>
    <row r="2586" spans="23:24" x14ac:dyDescent="0.25">
      <c r="W2586" s="574">
        <f t="shared" ref="W2586:W2649" si="59">W2585+1</f>
        <v>2577</v>
      </c>
      <c r="X2586" s="564">
        <v>38</v>
      </c>
    </row>
    <row r="2587" spans="23:24" x14ac:dyDescent="0.25">
      <c r="W2587" s="574">
        <f t="shared" si="59"/>
        <v>2578</v>
      </c>
      <c r="X2587" s="564">
        <v>38</v>
      </c>
    </row>
    <row r="2588" spans="23:24" x14ac:dyDescent="0.25">
      <c r="W2588" s="574">
        <f t="shared" si="59"/>
        <v>2579</v>
      </c>
      <c r="X2588" s="564">
        <v>38</v>
      </c>
    </row>
    <row r="2589" spans="23:24" x14ac:dyDescent="0.25">
      <c r="W2589" s="574">
        <f t="shared" si="59"/>
        <v>2580</v>
      </c>
      <c r="X2589" s="564">
        <v>38</v>
      </c>
    </row>
    <row r="2590" spans="23:24" x14ac:dyDescent="0.25">
      <c r="W2590" s="574">
        <f t="shared" si="59"/>
        <v>2581</v>
      </c>
      <c r="X2590" s="564">
        <v>38</v>
      </c>
    </row>
    <row r="2591" spans="23:24" x14ac:dyDescent="0.25">
      <c r="W2591" s="574">
        <f t="shared" si="59"/>
        <v>2582</v>
      </c>
      <c r="X2591" s="564">
        <v>38</v>
      </c>
    </row>
    <row r="2592" spans="23:24" x14ac:dyDescent="0.25">
      <c r="W2592" s="574">
        <f t="shared" si="59"/>
        <v>2583</v>
      </c>
      <c r="X2592" s="564">
        <v>38</v>
      </c>
    </row>
    <row r="2593" spans="23:24" x14ac:dyDescent="0.25">
      <c r="W2593" s="574">
        <f t="shared" si="59"/>
        <v>2584</v>
      </c>
      <c r="X2593" s="564">
        <v>38</v>
      </c>
    </row>
    <row r="2594" spans="23:24" x14ac:dyDescent="0.25">
      <c r="W2594" s="574">
        <f t="shared" si="59"/>
        <v>2585</v>
      </c>
      <c r="X2594" s="564">
        <v>38</v>
      </c>
    </row>
    <row r="2595" spans="23:24" x14ac:dyDescent="0.25">
      <c r="W2595" s="574">
        <f t="shared" si="59"/>
        <v>2586</v>
      </c>
      <c r="X2595" s="564">
        <v>38</v>
      </c>
    </row>
    <row r="2596" spans="23:24" x14ac:dyDescent="0.25">
      <c r="W2596" s="574">
        <f t="shared" si="59"/>
        <v>2587</v>
      </c>
      <c r="X2596" s="564">
        <v>38</v>
      </c>
    </row>
    <row r="2597" spans="23:24" x14ac:dyDescent="0.25">
      <c r="W2597" s="574">
        <f t="shared" si="59"/>
        <v>2588</v>
      </c>
      <c r="X2597" s="564">
        <v>38</v>
      </c>
    </row>
    <row r="2598" spans="23:24" x14ac:dyDescent="0.25">
      <c r="W2598" s="574">
        <f t="shared" si="59"/>
        <v>2589</v>
      </c>
      <c r="X2598" s="564">
        <v>38</v>
      </c>
    </row>
    <row r="2599" spans="23:24" x14ac:dyDescent="0.25">
      <c r="W2599" s="574">
        <f t="shared" si="59"/>
        <v>2590</v>
      </c>
      <c r="X2599" s="564">
        <v>38</v>
      </c>
    </row>
    <row r="2600" spans="23:24" x14ac:dyDescent="0.25">
      <c r="W2600" s="574">
        <f t="shared" si="59"/>
        <v>2591</v>
      </c>
      <c r="X2600" s="564">
        <v>38</v>
      </c>
    </row>
    <row r="2601" spans="23:24" x14ac:dyDescent="0.25">
      <c r="W2601" s="574">
        <f t="shared" si="59"/>
        <v>2592</v>
      </c>
      <c r="X2601" s="564">
        <v>38</v>
      </c>
    </row>
    <row r="2602" spans="23:24" x14ac:dyDescent="0.25">
      <c r="W2602" s="574">
        <f t="shared" si="59"/>
        <v>2593</v>
      </c>
      <c r="X2602" s="564">
        <v>38</v>
      </c>
    </row>
    <row r="2603" spans="23:24" x14ac:dyDescent="0.25">
      <c r="W2603" s="574">
        <f t="shared" si="59"/>
        <v>2594</v>
      </c>
      <c r="X2603" s="564">
        <v>38</v>
      </c>
    </row>
    <row r="2604" spans="23:24" x14ac:dyDescent="0.25">
      <c r="W2604" s="574">
        <f t="shared" si="59"/>
        <v>2595</v>
      </c>
      <c r="X2604" s="564">
        <v>38</v>
      </c>
    </row>
    <row r="2605" spans="23:24" x14ac:dyDescent="0.25">
      <c r="W2605" s="574">
        <f t="shared" si="59"/>
        <v>2596</v>
      </c>
      <c r="X2605" s="564">
        <v>38</v>
      </c>
    </row>
    <row r="2606" spans="23:24" x14ac:dyDescent="0.25">
      <c r="W2606" s="574">
        <f t="shared" si="59"/>
        <v>2597</v>
      </c>
      <c r="X2606" s="564">
        <v>38</v>
      </c>
    </row>
    <row r="2607" spans="23:24" x14ac:dyDescent="0.25">
      <c r="W2607" s="574">
        <f t="shared" si="59"/>
        <v>2598</v>
      </c>
      <c r="X2607" s="564">
        <v>38</v>
      </c>
    </row>
    <row r="2608" spans="23:24" x14ac:dyDescent="0.25">
      <c r="W2608" s="574">
        <f t="shared" si="59"/>
        <v>2599</v>
      </c>
      <c r="X2608" s="564">
        <v>38</v>
      </c>
    </row>
    <row r="2609" spans="23:24" x14ac:dyDescent="0.25">
      <c r="W2609" s="574">
        <f t="shared" si="59"/>
        <v>2600</v>
      </c>
      <c r="X2609" s="564">
        <v>38</v>
      </c>
    </row>
    <row r="2610" spans="23:24" x14ac:dyDescent="0.25">
      <c r="W2610" s="574">
        <f t="shared" si="59"/>
        <v>2601</v>
      </c>
      <c r="X2610" s="564">
        <v>38</v>
      </c>
    </row>
    <row r="2611" spans="23:24" x14ac:dyDescent="0.25">
      <c r="W2611" s="574">
        <f t="shared" si="59"/>
        <v>2602</v>
      </c>
      <c r="X2611" s="564">
        <v>38</v>
      </c>
    </row>
    <row r="2612" spans="23:24" x14ac:dyDescent="0.25">
      <c r="W2612" s="574">
        <f t="shared" si="59"/>
        <v>2603</v>
      </c>
      <c r="X2612" s="564">
        <v>38</v>
      </c>
    </row>
    <row r="2613" spans="23:24" x14ac:dyDescent="0.25">
      <c r="W2613" s="574">
        <f t="shared" si="59"/>
        <v>2604</v>
      </c>
      <c r="X2613" s="564">
        <v>38</v>
      </c>
    </row>
    <row r="2614" spans="23:24" x14ac:dyDescent="0.25">
      <c r="W2614" s="574">
        <f t="shared" si="59"/>
        <v>2605</v>
      </c>
      <c r="X2614" s="564">
        <v>38</v>
      </c>
    </row>
    <row r="2615" spans="23:24" x14ac:dyDescent="0.25">
      <c r="W2615" s="574">
        <f t="shared" si="59"/>
        <v>2606</v>
      </c>
      <c r="X2615" s="564">
        <v>38</v>
      </c>
    </row>
    <row r="2616" spans="23:24" x14ac:dyDescent="0.25">
      <c r="W2616" s="574">
        <f t="shared" si="59"/>
        <v>2607</v>
      </c>
      <c r="X2616" s="564">
        <v>38</v>
      </c>
    </row>
    <row r="2617" spans="23:24" x14ac:dyDescent="0.25">
      <c r="W2617" s="574">
        <f t="shared" si="59"/>
        <v>2608</v>
      </c>
      <c r="X2617" s="564">
        <v>38</v>
      </c>
    </row>
    <row r="2618" spans="23:24" x14ac:dyDescent="0.25">
      <c r="W2618" s="574">
        <f t="shared" si="59"/>
        <v>2609</v>
      </c>
      <c r="X2618" s="564">
        <v>38</v>
      </c>
    </row>
    <row r="2619" spans="23:24" x14ac:dyDescent="0.25">
      <c r="W2619" s="574">
        <f t="shared" si="59"/>
        <v>2610</v>
      </c>
      <c r="X2619" s="564">
        <v>38</v>
      </c>
    </row>
    <row r="2620" spans="23:24" x14ac:dyDescent="0.25">
      <c r="W2620" s="574">
        <f t="shared" si="59"/>
        <v>2611</v>
      </c>
      <c r="X2620" s="564">
        <v>38</v>
      </c>
    </row>
    <row r="2621" spans="23:24" x14ac:dyDescent="0.25">
      <c r="W2621" s="574">
        <f t="shared" si="59"/>
        <v>2612</v>
      </c>
      <c r="X2621" s="564">
        <v>38</v>
      </c>
    </row>
    <row r="2622" spans="23:24" x14ac:dyDescent="0.25">
      <c r="W2622" s="574">
        <f t="shared" si="59"/>
        <v>2613</v>
      </c>
      <c r="X2622" s="564">
        <v>38</v>
      </c>
    </row>
    <row r="2623" spans="23:24" x14ac:dyDescent="0.25">
      <c r="W2623" s="574">
        <f t="shared" si="59"/>
        <v>2614</v>
      </c>
      <c r="X2623" s="564">
        <v>38</v>
      </c>
    </row>
    <row r="2624" spans="23:24" x14ac:dyDescent="0.25">
      <c r="W2624" s="574">
        <f t="shared" si="59"/>
        <v>2615</v>
      </c>
      <c r="X2624" s="564">
        <v>38</v>
      </c>
    </row>
    <row r="2625" spans="23:24" x14ac:dyDescent="0.25">
      <c r="W2625" s="574">
        <f t="shared" si="59"/>
        <v>2616</v>
      </c>
      <c r="X2625" s="564">
        <v>38</v>
      </c>
    </row>
    <row r="2626" spans="23:24" x14ac:dyDescent="0.25">
      <c r="W2626" s="574">
        <f t="shared" si="59"/>
        <v>2617</v>
      </c>
      <c r="X2626" s="564">
        <v>38</v>
      </c>
    </row>
    <row r="2627" spans="23:24" x14ac:dyDescent="0.25">
      <c r="W2627" s="574">
        <f t="shared" si="59"/>
        <v>2618</v>
      </c>
      <c r="X2627" s="564">
        <v>38</v>
      </c>
    </row>
    <row r="2628" spans="23:24" x14ac:dyDescent="0.25">
      <c r="W2628" s="574">
        <f t="shared" si="59"/>
        <v>2619</v>
      </c>
      <c r="X2628" s="564">
        <v>38</v>
      </c>
    </row>
    <row r="2629" spans="23:24" x14ac:dyDescent="0.25">
      <c r="W2629" s="574">
        <f t="shared" si="59"/>
        <v>2620</v>
      </c>
      <c r="X2629" s="564">
        <v>38</v>
      </c>
    </row>
    <row r="2630" spans="23:24" x14ac:dyDescent="0.25">
      <c r="W2630" s="574">
        <f t="shared" si="59"/>
        <v>2621</v>
      </c>
      <c r="X2630" s="564">
        <v>38</v>
      </c>
    </row>
    <row r="2631" spans="23:24" x14ac:dyDescent="0.25">
      <c r="W2631" s="574">
        <f t="shared" si="59"/>
        <v>2622</v>
      </c>
      <c r="X2631" s="564">
        <v>38</v>
      </c>
    </row>
    <row r="2632" spans="23:24" x14ac:dyDescent="0.25">
      <c r="W2632" s="574">
        <f t="shared" si="59"/>
        <v>2623</v>
      </c>
      <c r="X2632" s="564">
        <v>38</v>
      </c>
    </row>
    <row r="2633" spans="23:24" x14ac:dyDescent="0.25">
      <c r="W2633" s="574">
        <f t="shared" si="59"/>
        <v>2624</v>
      </c>
      <c r="X2633" s="564">
        <v>38</v>
      </c>
    </row>
    <row r="2634" spans="23:24" x14ac:dyDescent="0.25">
      <c r="W2634" s="574">
        <f t="shared" si="59"/>
        <v>2625</v>
      </c>
      <c r="X2634" s="564">
        <v>38</v>
      </c>
    </row>
    <row r="2635" spans="23:24" x14ac:dyDescent="0.25">
      <c r="W2635" s="574">
        <f t="shared" si="59"/>
        <v>2626</v>
      </c>
      <c r="X2635" s="564">
        <v>38</v>
      </c>
    </row>
    <row r="2636" spans="23:24" x14ac:dyDescent="0.25">
      <c r="W2636" s="574">
        <f t="shared" si="59"/>
        <v>2627</v>
      </c>
      <c r="X2636" s="564">
        <v>38</v>
      </c>
    </row>
    <row r="2637" spans="23:24" x14ac:dyDescent="0.25">
      <c r="W2637" s="574">
        <f t="shared" si="59"/>
        <v>2628</v>
      </c>
      <c r="X2637" s="564">
        <v>38</v>
      </c>
    </row>
    <row r="2638" spans="23:24" x14ac:dyDescent="0.25">
      <c r="W2638" s="574">
        <f t="shared" si="59"/>
        <v>2629</v>
      </c>
      <c r="X2638" s="564">
        <v>38</v>
      </c>
    </row>
    <row r="2639" spans="23:24" x14ac:dyDescent="0.25">
      <c r="W2639" s="574">
        <f t="shared" si="59"/>
        <v>2630</v>
      </c>
      <c r="X2639" s="564">
        <v>38</v>
      </c>
    </row>
    <row r="2640" spans="23:24" x14ac:dyDescent="0.25">
      <c r="W2640" s="574">
        <f t="shared" si="59"/>
        <v>2631</v>
      </c>
      <c r="X2640" s="564">
        <v>38</v>
      </c>
    </row>
    <row r="2641" spans="23:24" x14ac:dyDescent="0.25">
      <c r="W2641" s="574">
        <f t="shared" si="59"/>
        <v>2632</v>
      </c>
      <c r="X2641" s="564">
        <v>38</v>
      </c>
    </row>
    <row r="2642" spans="23:24" x14ac:dyDescent="0.25">
      <c r="W2642" s="574">
        <f t="shared" si="59"/>
        <v>2633</v>
      </c>
      <c r="X2642" s="564">
        <v>38</v>
      </c>
    </row>
    <row r="2643" spans="23:24" x14ac:dyDescent="0.25">
      <c r="W2643" s="574">
        <f t="shared" si="59"/>
        <v>2634</v>
      </c>
      <c r="X2643" s="564">
        <v>38</v>
      </c>
    </row>
    <row r="2644" spans="23:24" x14ac:dyDescent="0.25">
      <c r="W2644" s="574">
        <f t="shared" si="59"/>
        <v>2635</v>
      </c>
      <c r="X2644" s="564">
        <v>38</v>
      </c>
    </row>
    <row r="2645" spans="23:24" x14ac:dyDescent="0.25">
      <c r="W2645" s="574">
        <f t="shared" si="59"/>
        <v>2636</v>
      </c>
      <c r="X2645" s="564">
        <v>38</v>
      </c>
    </row>
    <row r="2646" spans="23:24" x14ac:dyDescent="0.25">
      <c r="W2646" s="574">
        <f t="shared" si="59"/>
        <v>2637</v>
      </c>
      <c r="X2646" s="564">
        <v>38</v>
      </c>
    </row>
    <row r="2647" spans="23:24" x14ac:dyDescent="0.25">
      <c r="W2647" s="574">
        <f t="shared" si="59"/>
        <v>2638</v>
      </c>
      <c r="X2647" s="564">
        <v>38</v>
      </c>
    </row>
    <row r="2648" spans="23:24" x14ac:dyDescent="0.25">
      <c r="W2648" s="574">
        <f t="shared" si="59"/>
        <v>2639</v>
      </c>
      <c r="X2648" s="564">
        <v>38</v>
      </c>
    </row>
    <row r="2649" spans="23:24" x14ac:dyDescent="0.25">
      <c r="W2649" s="574">
        <f t="shared" si="59"/>
        <v>2640</v>
      </c>
      <c r="X2649" s="564">
        <v>38</v>
      </c>
    </row>
    <row r="2650" spans="23:24" x14ac:dyDescent="0.25">
      <c r="W2650" s="574">
        <f t="shared" ref="W2650:W2713" si="60">W2649+1</f>
        <v>2641</v>
      </c>
      <c r="X2650" s="564">
        <v>38</v>
      </c>
    </row>
    <row r="2651" spans="23:24" x14ac:dyDescent="0.25">
      <c r="W2651" s="574">
        <f t="shared" si="60"/>
        <v>2642</v>
      </c>
      <c r="X2651" s="564">
        <v>38</v>
      </c>
    </row>
    <row r="2652" spans="23:24" x14ac:dyDescent="0.25">
      <c r="W2652" s="574">
        <f t="shared" si="60"/>
        <v>2643</v>
      </c>
      <c r="X2652" s="564">
        <v>38</v>
      </c>
    </row>
    <row r="2653" spans="23:24" x14ac:dyDescent="0.25">
      <c r="W2653" s="574">
        <f t="shared" si="60"/>
        <v>2644</v>
      </c>
      <c r="X2653" s="564">
        <v>38</v>
      </c>
    </row>
    <row r="2654" spans="23:24" x14ac:dyDescent="0.25">
      <c r="W2654" s="574">
        <f t="shared" si="60"/>
        <v>2645</v>
      </c>
      <c r="X2654" s="564">
        <v>38</v>
      </c>
    </row>
    <row r="2655" spans="23:24" x14ac:dyDescent="0.25">
      <c r="W2655" s="574">
        <f t="shared" si="60"/>
        <v>2646</v>
      </c>
      <c r="X2655" s="564">
        <v>38</v>
      </c>
    </row>
    <row r="2656" spans="23:24" x14ac:dyDescent="0.25">
      <c r="W2656" s="574">
        <f t="shared" si="60"/>
        <v>2647</v>
      </c>
      <c r="X2656" s="564">
        <v>38</v>
      </c>
    </row>
    <row r="2657" spans="23:24" x14ac:dyDescent="0.25">
      <c r="W2657" s="574">
        <f t="shared" si="60"/>
        <v>2648</v>
      </c>
      <c r="X2657" s="564">
        <v>38</v>
      </c>
    </row>
    <row r="2658" spans="23:24" x14ac:dyDescent="0.25">
      <c r="W2658" s="574">
        <f t="shared" si="60"/>
        <v>2649</v>
      </c>
      <c r="X2658" s="564">
        <v>38</v>
      </c>
    </row>
    <row r="2659" spans="23:24" x14ac:dyDescent="0.25">
      <c r="W2659" s="574">
        <f t="shared" si="60"/>
        <v>2650</v>
      </c>
      <c r="X2659" s="564">
        <v>38</v>
      </c>
    </row>
    <row r="2660" spans="23:24" x14ac:dyDescent="0.25">
      <c r="W2660" s="574">
        <f t="shared" si="60"/>
        <v>2651</v>
      </c>
      <c r="X2660" s="564">
        <v>38</v>
      </c>
    </row>
    <row r="2661" spans="23:24" x14ac:dyDescent="0.25">
      <c r="W2661" s="574">
        <f t="shared" si="60"/>
        <v>2652</v>
      </c>
      <c r="X2661" s="564">
        <v>38</v>
      </c>
    </row>
    <row r="2662" spans="23:24" x14ac:dyDescent="0.25">
      <c r="W2662" s="574">
        <f t="shared" si="60"/>
        <v>2653</v>
      </c>
      <c r="X2662" s="564">
        <v>38</v>
      </c>
    </row>
    <row r="2663" spans="23:24" x14ac:dyDescent="0.25">
      <c r="W2663" s="574">
        <f t="shared" si="60"/>
        <v>2654</v>
      </c>
      <c r="X2663" s="564">
        <v>38</v>
      </c>
    </row>
    <row r="2664" spans="23:24" x14ac:dyDescent="0.25">
      <c r="W2664" s="574">
        <f t="shared" si="60"/>
        <v>2655</v>
      </c>
      <c r="X2664" s="564">
        <v>38</v>
      </c>
    </row>
    <row r="2665" spans="23:24" x14ac:dyDescent="0.25">
      <c r="W2665" s="574">
        <f t="shared" si="60"/>
        <v>2656</v>
      </c>
      <c r="X2665" s="564">
        <v>38</v>
      </c>
    </row>
    <row r="2666" spans="23:24" x14ac:dyDescent="0.25">
      <c r="W2666" s="574">
        <f t="shared" si="60"/>
        <v>2657</v>
      </c>
      <c r="X2666" s="564">
        <v>38</v>
      </c>
    </row>
    <row r="2667" spans="23:24" x14ac:dyDescent="0.25">
      <c r="W2667" s="574">
        <f t="shared" si="60"/>
        <v>2658</v>
      </c>
      <c r="X2667" s="564">
        <v>38</v>
      </c>
    </row>
    <row r="2668" spans="23:24" x14ac:dyDescent="0.25">
      <c r="W2668" s="574">
        <f t="shared" si="60"/>
        <v>2659</v>
      </c>
      <c r="X2668" s="564">
        <v>38</v>
      </c>
    </row>
    <row r="2669" spans="23:24" x14ac:dyDescent="0.25">
      <c r="W2669" s="574">
        <f t="shared" si="60"/>
        <v>2660</v>
      </c>
      <c r="X2669" s="564">
        <v>38</v>
      </c>
    </row>
    <row r="2670" spans="23:24" x14ac:dyDescent="0.25">
      <c r="W2670" s="574">
        <f t="shared" si="60"/>
        <v>2661</v>
      </c>
      <c r="X2670" s="564">
        <v>38</v>
      </c>
    </row>
    <row r="2671" spans="23:24" x14ac:dyDescent="0.25">
      <c r="W2671" s="574">
        <f t="shared" si="60"/>
        <v>2662</v>
      </c>
      <c r="X2671" s="564">
        <v>38</v>
      </c>
    </row>
    <row r="2672" spans="23:24" x14ac:dyDescent="0.25">
      <c r="W2672" s="574">
        <f t="shared" si="60"/>
        <v>2663</v>
      </c>
      <c r="X2672" s="564">
        <v>38</v>
      </c>
    </row>
    <row r="2673" spans="23:24" x14ac:dyDescent="0.25">
      <c r="W2673" s="574">
        <f t="shared" si="60"/>
        <v>2664</v>
      </c>
      <c r="X2673" s="564">
        <v>38</v>
      </c>
    </row>
    <row r="2674" spans="23:24" x14ac:dyDescent="0.25">
      <c r="W2674" s="574">
        <f t="shared" si="60"/>
        <v>2665</v>
      </c>
      <c r="X2674" s="564">
        <v>38</v>
      </c>
    </row>
    <row r="2675" spans="23:24" x14ac:dyDescent="0.25">
      <c r="W2675" s="574">
        <f t="shared" si="60"/>
        <v>2666</v>
      </c>
      <c r="X2675" s="564">
        <v>38</v>
      </c>
    </row>
    <row r="2676" spans="23:24" x14ac:dyDescent="0.25">
      <c r="W2676" s="574">
        <f t="shared" si="60"/>
        <v>2667</v>
      </c>
      <c r="X2676" s="564">
        <v>38</v>
      </c>
    </row>
    <row r="2677" spans="23:24" x14ac:dyDescent="0.25">
      <c r="W2677" s="574">
        <f t="shared" si="60"/>
        <v>2668</v>
      </c>
      <c r="X2677" s="564">
        <v>38</v>
      </c>
    </row>
    <row r="2678" spans="23:24" x14ac:dyDescent="0.25">
      <c r="W2678" s="574">
        <f t="shared" si="60"/>
        <v>2669</v>
      </c>
      <c r="X2678" s="564">
        <v>38</v>
      </c>
    </row>
    <row r="2679" spans="23:24" x14ac:dyDescent="0.25">
      <c r="W2679" s="574">
        <f t="shared" si="60"/>
        <v>2670</v>
      </c>
      <c r="X2679" s="564">
        <v>38</v>
      </c>
    </row>
    <row r="2680" spans="23:24" x14ac:dyDescent="0.25">
      <c r="W2680" s="574">
        <f t="shared" si="60"/>
        <v>2671</v>
      </c>
      <c r="X2680" s="564">
        <v>38</v>
      </c>
    </row>
    <row r="2681" spans="23:24" x14ac:dyDescent="0.25">
      <c r="W2681" s="574">
        <f t="shared" si="60"/>
        <v>2672</v>
      </c>
      <c r="X2681" s="564">
        <v>38</v>
      </c>
    </row>
    <row r="2682" spans="23:24" x14ac:dyDescent="0.25">
      <c r="W2682" s="574">
        <f t="shared" si="60"/>
        <v>2673</v>
      </c>
      <c r="X2682" s="564">
        <v>38</v>
      </c>
    </row>
    <row r="2683" spans="23:24" x14ac:dyDescent="0.25">
      <c r="W2683" s="574">
        <f t="shared" si="60"/>
        <v>2674</v>
      </c>
      <c r="X2683" s="564">
        <v>38</v>
      </c>
    </row>
    <row r="2684" spans="23:24" x14ac:dyDescent="0.25">
      <c r="W2684" s="574">
        <f t="shared" si="60"/>
        <v>2675</v>
      </c>
      <c r="X2684" s="564">
        <v>38</v>
      </c>
    </row>
    <row r="2685" spans="23:24" x14ac:dyDescent="0.25">
      <c r="W2685" s="574">
        <f t="shared" si="60"/>
        <v>2676</v>
      </c>
      <c r="X2685" s="564">
        <v>38</v>
      </c>
    </row>
    <row r="2686" spans="23:24" x14ac:dyDescent="0.25">
      <c r="W2686" s="574">
        <f t="shared" si="60"/>
        <v>2677</v>
      </c>
      <c r="X2686" s="564">
        <v>38</v>
      </c>
    </row>
    <row r="2687" spans="23:24" x14ac:dyDescent="0.25">
      <c r="W2687" s="574">
        <f t="shared" si="60"/>
        <v>2678</v>
      </c>
      <c r="X2687" s="564">
        <v>38</v>
      </c>
    </row>
    <row r="2688" spans="23:24" x14ac:dyDescent="0.25">
      <c r="W2688" s="574">
        <f t="shared" si="60"/>
        <v>2679</v>
      </c>
      <c r="X2688" s="564">
        <v>38</v>
      </c>
    </row>
    <row r="2689" spans="23:24" x14ac:dyDescent="0.25">
      <c r="W2689" s="574">
        <f t="shared" si="60"/>
        <v>2680</v>
      </c>
      <c r="X2689" s="564">
        <v>38</v>
      </c>
    </row>
    <row r="2690" spans="23:24" x14ac:dyDescent="0.25">
      <c r="W2690" s="574">
        <f t="shared" si="60"/>
        <v>2681</v>
      </c>
      <c r="X2690" s="564">
        <v>38</v>
      </c>
    </row>
    <row r="2691" spans="23:24" x14ac:dyDescent="0.25">
      <c r="W2691" s="574">
        <f t="shared" si="60"/>
        <v>2682</v>
      </c>
      <c r="X2691" s="564">
        <v>38</v>
      </c>
    </row>
    <row r="2692" spans="23:24" x14ac:dyDescent="0.25">
      <c r="W2692" s="574">
        <f t="shared" si="60"/>
        <v>2683</v>
      </c>
      <c r="X2692" s="564">
        <v>38</v>
      </c>
    </row>
    <row r="2693" spans="23:24" x14ac:dyDescent="0.25">
      <c r="W2693" s="574">
        <f t="shared" si="60"/>
        <v>2684</v>
      </c>
      <c r="X2693" s="564">
        <v>38</v>
      </c>
    </row>
    <row r="2694" spans="23:24" x14ac:dyDescent="0.25">
      <c r="W2694" s="574">
        <f t="shared" si="60"/>
        <v>2685</v>
      </c>
      <c r="X2694" s="564">
        <v>38</v>
      </c>
    </row>
    <row r="2695" spans="23:24" x14ac:dyDescent="0.25">
      <c r="W2695" s="574">
        <f t="shared" si="60"/>
        <v>2686</v>
      </c>
      <c r="X2695" s="564">
        <v>38</v>
      </c>
    </row>
    <row r="2696" spans="23:24" x14ac:dyDescent="0.25">
      <c r="W2696" s="574">
        <f t="shared" si="60"/>
        <v>2687</v>
      </c>
      <c r="X2696" s="564">
        <v>38</v>
      </c>
    </row>
    <row r="2697" spans="23:24" x14ac:dyDescent="0.25">
      <c r="W2697" s="574">
        <f t="shared" si="60"/>
        <v>2688</v>
      </c>
      <c r="X2697" s="564">
        <v>38</v>
      </c>
    </row>
    <row r="2698" spans="23:24" x14ac:dyDescent="0.25">
      <c r="W2698" s="574">
        <f t="shared" si="60"/>
        <v>2689</v>
      </c>
      <c r="X2698" s="564">
        <v>38</v>
      </c>
    </row>
    <row r="2699" spans="23:24" x14ac:dyDescent="0.25">
      <c r="W2699" s="574">
        <f t="shared" si="60"/>
        <v>2690</v>
      </c>
      <c r="X2699" s="564">
        <v>38</v>
      </c>
    </row>
    <row r="2700" spans="23:24" x14ac:dyDescent="0.25">
      <c r="W2700" s="574">
        <f t="shared" si="60"/>
        <v>2691</v>
      </c>
      <c r="X2700" s="564">
        <v>38</v>
      </c>
    </row>
    <row r="2701" spans="23:24" x14ac:dyDescent="0.25">
      <c r="W2701" s="574">
        <f t="shared" si="60"/>
        <v>2692</v>
      </c>
      <c r="X2701" s="564">
        <v>38</v>
      </c>
    </row>
    <row r="2702" spans="23:24" x14ac:dyDescent="0.25">
      <c r="W2702" s="574">
        <f t="shared" si="60"/>
        <v>2693</v>
      </c>
      <c r="X2702" s="564">
        <v>38</v>
      </c>
    </row>
    <row r="2703" spans="23:24" x14ac:dyDescent="0.25">
      <c r="W2703" s="574">
        <f t="shared" si="60"/>
        <v>2694</v>
      </c>
      <c r="X2703" s="564">
        <v>38</v>
      </c>
    </row>
    <row r="2704" spans="23:24" x14ac:dyDescent="0.25">
      <c r="W2704" s="574">
        <f t="shared" si="60"/>
        <v>2695</v>
      </c>
      <c r="X2704" s="564">
        <v>38</v>
      </c>
    </row>
    <row r="2705" spans="23:24" x14ac:dyDescent="0.25">
      <c r="W2705" s="574">
        <f t="shared" si="60"/>
        <v>2696</v>
      </c>
      <c r="X2705" s="564">
        <v>38</v>
      </c>
    </row>
    <row r="2706" spans="23:24" x14ac:dyDescent="0.25">
      <c r="W2706" s="574">
        <f t="shared" si="60"/>
        <v>2697</v>
      </c>
      <c r="X2706" s="564">
        <v>38</v>
      </c>
    </row>
    <row r="2707" spans="23:24" x14ac:dyDescent="0.25">
      <c r="W2707" s="574">
        <f t="shared" si="60"/>
        <v>2698</v>
      </c>
      <c r="X2707" s="564">
        <v>38</v>
      </c>
    </row>
    <row r="2708" spans="23:24" x14ac:dyDescent="0.25">
      <c r="W2708" s="574">
        <f t="shared" si="60"/>
        <v>2699</v>
      </c>
      <c r="X2708" s="564">
        <v>38</v>
      </c>
    </row>
    <row r="2709" spans="23:24" x14ac:dyDescent="0.25">
      <c r="W2709" s="574">
        <f t="shared" si="60"/>
        <v>2700</v>
      </c>
      <c r="X2709" s="564">
        <v>38</v>
      </c>
    </row>
    <row r="2710" spans="23:24" x14ac:dyDescent="0.25">
      <c r="W2710" s="574">
        <f t="shared" si="60"/>
        <v>2701</v>
      </c>
      <c r="X2710" s="564">
        <v>38</v>
      </c>
    </row>
    <row r="2711" spans="23:24" x14ac:dyDescent="0.25">
      <c r="W2711" s="574">
        <f t="shared" si="60"/>
        <v>2702</v>
      </c>
      <c r="X2711" s="564">
        <v>38</v>
      </c>
    </row>
    <row r="2712" spans="23:24" x14ac:dyDescent="0.25">
      <c r="W2712" s="574">
        <f t="shared" si="60"/>
        <v>2703</v>
      </c>
      <c r="X2712" s="564">
        <v>38</v>
      </c>
    </row>
    <row r="2713" spans="23:24" x14ac:dyDescent="0.25">
      <c r="W2713" s="574">
        <f t="shared" si="60"/>
        <v>2704</v>
      </c>
      <c r="X2713" s="564">
        <v>38</v>
      </c>
    </row>
    <row r="2714" spans="23:24" x14ac:dyDescent="0.25">
      <c r="W2714" s="574">
        <f t="shared" ref="W2714:W2777" si="61">W2713+1</f>
        <v>2705</v>
      </c>
      <c r="X2714" s="564">
        <v>38</v>
      </c>
    </row>
    <row r="2715" spans="23:24" x14ac:dyDescent="0.25">
      <c r="W2715" s="574">
        <f t="shared" si="61"/>
        <v>2706</v>
      </c>
      <c r="X2715" s="564">
        <v>38</v>
      </c>
    </row>
    <row r="2716" spans="23:24" x14ac:dyDescent="0.25">
      <c r="W2716" s="574">
        <f t="shared" si="61"/>
        <v>2707</v>
      </c>
      <c r="X2716" s="564">
        <v>38</v>
      </c>
    </row>
    <row r="2717" spans="23:24" x14ac:dyDescent="0.25">
      <c r="W2717" s="574">
        <f t="shared" si="61"/>
        <v>2708</v>
      </c>
      <c r="X2717" s="564">
        <v>38</v>
      </c>
    </row>
    <row r="2718" spans="23:24" x14ac:dyDescent="0.25">
      <c r="W2718" s="574">
        <f t="shared" si="61"/>
        <v>2709</v>
      </c>
      <c r="X2718" s="564">
        <v>38</v>
      </c>
    </row>
    <row r="2719" spans="23:24" x14ac:dyDescent="0.25">
      <c r="W2719" s="574">
        <f t="shared" si="61"/>
        <v>2710</v>
      </c>
      <c r="X2719" s="564">
        <v>38</v>
      </c>
    </row>
    <row r="2720" spans="23:24" x14ac:dyDescent="0.25">
      <c r="W2720" s="574">
        <f t="shared" si="61"/>
        <v>2711</v>
      </c>
      <c r="X2720" s="564">
        <v>38</v>
      </c>
    </row>
    <row r="2721" spans="23:24" x14ac:dyDescent="0.25">
      <c r="W2721" s="574">
        <f t="shared" si="61"/>
        <v>2712</v>
      </c>
      <c r="X2721" s="564">
        <v>38</v>
      </c>
    </row>
    <row r="2722" spans="23:24" x14ac:dyDescent="0.25">
      <c r="W2722" s="574">
        <f t="shared" si="61"/>
        <v>2713</v>
      </c>
      <c r="X2722" s="564">
        <v>38</v>
      </c>
    </row>
    <row r="2723" spans="23:24" x14ac:dyDescent="0.25">
      <c r="W2723" s="574">
        <f t="shared" si="61"/>
        <v>2714</v>
      </c>
      <c r="X2723" s="564">
        <v>38</v>
      </c>
    </row>
    <row r="2724" spans="23:24" x14ac:dyDescent="0.25">
      <c r="W2724" s="574">
        <f t="shared" si="61"/>
        <v>2715</v>
      </c>
      <c r="X2724" s="564">
        <v>38</v>
      </c>
    </row>
    <row r="2725" spans="23:24" x14ac:dyDescent="0.25">
      <c r="W2725" s="574">
        <f t="shared" si="61"/>
        <v>2716</v>
      </c>
      <c r="X2725" s="564">
        <v>38</v>
      </c>
    </row>
    <row r="2726" spans="23:24" x14ac:dyDescent="0.25">
      <c r="W2726" s="574">
        <f t="shared" si="61"/>
        <v>2717</v>
      </c>
      <c r="X2726" s="564">
        <v>38</v>
      </c>
    </row>
    <row r="2727" spans="23:24" x14ac:dyDescent="0.25">
      <c r="W2727" s="574">
        <f t="shared" si="61"/>
        <v>2718</v>
      </c>
      <c r="X2727" s="564">
        <v>38</v>
      </c>
    </row>
    <row r="2728" spans="23:24" x14ac:dyDescent="0.25">
      <c r="W2728" s="574">
        <f t="shared" si="61"/>
        <v>2719</v>
      </c>
      <c r="X2728" s="564">
        <v>38</v>
      </c>
    </row>
    <row r="2729" spans="23:24" x14ac:dyDescent="0.25">
      <c r="W2729" s="574">
        <f t="shared" si="61"/>
        <v>2720</v>
      </c>
      <c r="X2729" s="564">
        <v>38</v>
      </c>
    </row>
    <row r="2730" spans="23:24" x14ac:dyDescent="0.25">
      <c r="W2730" s="574">
        <f t="shared" si="61"/>
        <v>2721</v>
      </c>
      <c r="X2730" s="564">
        <v>38</v>
      </c>
    </row>
    <row r="2731" spans="23:24" x14ac:dyDescent="0.25">
      <c r="W2731" s="574">
        <f t="shared" si="61"/>
        <v>2722</v>
      </c>
      <c r="X2731" s="564">
        <v>38</v>
      </c>
    </row>
    <row r="2732" spans="23:24" x14ac:dyDescent="0.25">
      <c r="W2732" s="574">
        <f t="shared" si="61"/>
        <v>2723</v>
      </c>
      <c r="X2732" s="564">
        <v>38</v>
      </c>
    </row>
    <row r="2733" spans="23:24" x14ac:dyDescent="0.25">
      <c r="W2733" s="574">
        <f t="shared" si="61"/>
        <v>2724</v>
      </c>
      <c r="X2733" s="564">
        <v>38</v>
      </c>
    </row>
    <row r="2734" spans="23:24" x14ac:dyDescent="0.25">
      <c r="W2734" s="574">
        <f t="shared" si="61"/>
        <v>2725</v>
      </c>
      <c r="X2734" s="564">
        <v>38</v>
      </c>
    </row>
    <row r="2735" spans="23:24" x14ac:dyDescent="0.25">
      <c r="W2735" s="574">
        <f t="shared" si="61"/>
        <v>2726</v>
      </c>
      <c r="X2735" s="564">
        <v>38</v>
      </c>
    </row>
    <row r="2736" spans="23:24" x14ac:dyDescent="0.25">
      <c r="W2736" s="574">
        <f t="shared" si="61"/>
        <v>2727</v>
      </c>
      <c r="X2736" s="564">
        <v>38</v>
      </c>
    </row>
    <row r="2737" spans="23:24" x14ac:dyDescent="0.25">
      <c r="W2737" s="574">
        <f t="shared" si="61"/>
        <v>2728</v>
      </c>
      <c r="X2737" s="564">
        <v>38</v>
      </c>
    </row>
    <row r="2738" spans="23:24" x14ac:dyDescent="0.25">
      <c r="W2738" s="574">
        <f t="shared" si="61"/>
        <v>2729</v>
      </c>
      <c r="X2738" s="564">
        <v>38</v>
      </c>
    </row>
    <row r="2739" spans="23:24" x14ac:dyDescent="0.25">
      <c r="W2739" s="574">
        <f t="shared" si="61"/>
        <v>2730</v>
      </c>
      <c r="X2739" s="564">
        <v>38</v>
      </c>
    </row>
    <row r="2740" spans="23:24" x14ac:dyDescent="0.25">
      <c r="W2740" s="574">
        <f t="shared" si="61"/>
        <v>2731</v>
      </c>
      <c r="X2740" s="564">
        <v>38</v>
      </c>
    </row>
    <row r="2741" spans="23:24" x14ac:dyDescent="0.25">
      <c r="W2741" s="574">
        <f t="shared" si="61"/>
        <v>2732</v>
      </c>
      <c r="X2741" s="564">
        <v>38</v>
      </c>
    </row>
    <row r="2742" spans="23:24" x14ac:dyDescent="0.25">
      <c r="W2742" s="574">
        <f t="shared" si="61"/>
        <v>2733</v>
      </c>
      <c r="X2742" s="564">
        <v>38</v>
      </c>
    </row>
    <row r="2743" spans="23:24" x14ac:dyDescent="0.25">
      <c r="W2743" s="574">
        <f t="shared" si="61"/>
        <v>2734</v>
      </c>
      <c r="X2743" s="564">
        <v>38</v>
      </c>
    </row>
    <row r="2744" spans="23:24" x14ac:dyDescent="0.25">
      <c r="W2744" s="574">
        <f t="shared" si="61"/>
        <v>2735</v>
      </c>
      <c r="X2744" s="564">
        <v>38</v>
      </c>
    </row>
    <row r="2745" spans="23:24" x14ac:dyDescent="0.25">
      <c r="W2745" s="574">
        <f t="shared" si="61"/>
        <v>2736</v>
      </c>
      <c r="X2745" s="564">
        <v>38</v>
      </c>
    </row>
    <row r="2746" spans="23:24" x14ac:dyDescent="0.25">
      <c r="W2746" s="574">
        <f t="shared" si="61"/>
        <v>2737</v>
      </c>
      <c r="X2746" s="564">
        <v>38</v>
      </c>
    </row>
    <row r="2747" spans="23:24" x14ac:dyDescent="0.25">
      <c r="W2747" s="574">
        <f t="shared" si="61"/>
        <v>2738</v>
      </c>
      <c r="X2747" s="564">
        <v>38</v>
      </c>
    </row>
    <row r="2748" spans="23:24" x14ac:dyDescent="0.25">
      <c r="W2748" s="574">
        <f t="shared" si="61"/>
        <v>2739</v>
      </c>
      <c r="X2748" s="564">
        <v>38</v>
      </c>
    </row>
    <row r="2749" spans="23:24" x14ac:dyDescent="0.25">
      <c r="W2749" s="574">
        <f t="shared" si="61"/>
        <v>2740</v>
      </c>
      <c r="X2749" s="564">
        <v>38</v>
      </c>
    </row>
    <row r="2750" spans="23:24" x14ac:dyDescent="0.25">
      <c r="W2750" s="574">
        <f t="shared" si="61"/>
        <v>2741</v>
      </c>
      <c r="X2750" s="564">
        <v>38</v>
      </c>
    </row>
    <row r="2751" spans="23:24" x14ac:dyDescent="0.25">
      <c r="W2751" s="574">
        <f t="shared" si="61"/>
        <v>2742</v>
      </c>
      <c r="X2751" s="564">
        <v>38</v>
      </c>
    </row>
    <row r="2752" spans="23:24" x14ac:dyDescent="0.25">
      <c r="W2752" s="574">
        <f t="shared" si="61"/>
        <v>2743</v>
      </c>
      <c r="X2752" s="564">
        <v>38</v>
      </c>
    </row>
    <row r="2753" spans="23:24" x14ac:dyDescent="0.25">
      <c r="W2753" s="574">
        <f t="shared" si="61"/>
        <v>2744</v>
      </c>
      <c r="X2753" s="564">
        <v>38</v>
      </c>
    </row>
    <row r="2754" spans="23:24" x14ac:dyDescent="0.25">
      <c r="W2754" s="574">
        <f t="shared" si="61"/>
        <v>2745</v>
      </c>
      <c r="X2754" s="564">
        <v>38</v>
      </c>
    </row>
    <row r="2755" spans="23:24" x14ac:dyDescent="0.25">
      <c r="W2755" s="574">
        <f t="shared" si="61"/>
        <v>2746</v>
      </c>
      <c r="X2755" s="564">
        <v>38</v>
      </c>
    </row>
    <row r="2756" spans="23:24" x14ac:dyDescent="0.25">
      <c r="W2756" s="574">
        <f t="shared" si="61"/>
        <v>2747</v>
      </c>
      <c r="X2756" s="564">
        <v>38</v>
      </c>
    </row>
    <row r="2757" spans="23:24" x14ac:dyDescent="0.25">
      <c r="W2757" s="574">
        <f t="shared" si="61"/>
        <v>2748</v>
      </c>
      <c r="X2757" s="564">
        <v>38</v>
      </c>
    </row>
    <row r="2758" spans="23:24" x14ac:dyDescent="0.25">
      <c r="W2758" s="574">
        <f t="shared" si="61"/>
        <v>2749</v>
      </c>
      <c r="X2758" s="564">
        <v>38</v>
      </c>
    </row>
    <row r="2759" spans="23:24" x14ac:dyDescent="0.25">
      <c r="W2759" s="574">
        <f t="shared" si="61"/>
        <v>2750</v>
      </c>
      <c r="X2759" s="564">
        <v>39</v>
      </c>
    </row>
    <row r="2760" spans="23:24" x14ac:dyDescent="0.25">
      <c r="W2760" s="574">
        <f t="shared" si="61"/>
        <v>2751</v>
      </c>
      <c r="X2760" s="564">
        <v>39</v>
      </c>
    </row>
    <row r="2761" spans="23:24" x14ac:dyDescent="0.25">
      <c r="W2761" s="574">
        <f t="shared" si="61"/>
        <v>2752</v>
      </c>
      <c r="X2761" s="564">
        <v>39</v>
      </c>
    </row>
    <row r="2762" spans="23:24" x14ac:dyDescent="0.25">
      <c r="W2762" s="574">
        <f t="shared" si="61"/>
        <v>2753</v>
      </c>
      <c r="X2762" s="564">
        <v>39</v>
      </c>
    </row>
    <row r="2763" spans="23:24" x14ac:dyDescent="0.25">
      <c r="W2763" s="574">
        <f t="shared" si="61"/>
        <v>2754</v>
      </c>
      <c r="X2763" s="564">
        <v>39</v>
      </c>
    </row>
    <row r="2764" spans="23:24" x14ac:dyDescent="0.25">
      <c r="W2764" s="574">
        <f t="shared" si="61"/>
        <v>2755</v>
      </c>
      <c r="X2764" s="564">
        <v>39</v>
      </c>
    </row>
    <row r="2765" spans="23:24" x14ac:dyDescent="0.25">
      <c r="W2765" s="574">
        <f t="shared" si="61"/>
        <v>2756</v>
      </c>
      <c r="X2765" s="564">
        <v>39</v>
      </c>
    </row>
    <row r="2766" spans="23:24" x14ac:dyDescent="0.25">
      <c r="W2766" s="574">
        <f t="shared" si="61"/>
        <v>2757</v>
      </c>
      <c r="X2766" s="564">
        <v>39</v>
      </c>
    </row>
    <row r="2767" spans="23:24" x14ac:dyDescent="0.25">
      <c r="W2767" s="574">
        <f t="shared" si="61"/>
        <v>2758</v>
      </c>
      <c r="X2767" s="564">
        <v>39</v>
      </c>
    </row>
    <row r="2768" spans="23:24" x14ac:dyDescent="0.25">
      <c r="W2768" s="574">
        <f t="shared" si="61"/>
        <v>2759</v>
      </c>
      <c r="X2768" s="564">
        <v>39</v>
      </c>
    </row>
    <row r="2769" spans="23:24" x14ac:dyDescent="0.25">
      <c r="W2769" s="574">
        <f t="shared" si="61"/>
        <v>2760</v>
      </c>
      <c r="X2769" s="564">
        <v>39</v>
      </c>
    </row>
    <row r="2770" spans="23:24" x14ac:dyDescent="0.25">
      <c r="W2770" s="574">
        <f t="shared" si="61"/>
        <v>2761</v>
      </c>
      <c r="X2770" s="564">
        <v>39</v>
      </c>
    </row>
    <row r="2771" spans="23:24" x14ac:dyDescent="0.25">
      <c r="W2771" s="574">
        <f t="shared" si="61"/>
        <v>2762</v>
      </c>
      <c r="X2771" s="564">
        <v>39</v>
      </c>
    </row>
    <row r="2772" spans="23:24" x14ac:dyDescent="0.25">
      <c r="W2772" s="574">
        <f t="shared" si="61"/>
        <v>2763</v>
      </c>
      <c r="X2772" s="564">
        <v>39</v>
      </c>
    </row>
    <row r="2773" spans="23:24" x14ac:dyDescent="0.25">
      <c r="W2773" s="574">
        <f t="shared" si="61"/>
        <v>2764</v>
      </c>
      <c r="X2773" s="564">
        <v>39</v>
      </c>
    </row>
    <row r="2774" spans="23:24" x14ac:dyDescent="0.25">
      <c r="W2774" s="574">
        <f t="shared" si="61"/>
        <v>2765</v>
      </c>
      <c r="X2774" s="564">
        <v>39</v>
      </c>
    </row>
    <row r="2775" spans="23:24" x14ac:dyDescent="0.25">
      <c r="W2775" s="574">
        <f t="shared" si="61"/>
        <v>2766</v>
      </c>
      <c r="X2775" s="564">
        <v>39</v>
      </c>
    </row>
    <row r="2776" spans="23:24" x14ac:dyDescent="0.25">
      <c r="W2776" s="574">
        <f t="shared" si="61"/>
        <v>2767</v>
      </c>
      <c r="X2776" s="564">
        <v>39</v>
      </c>
    </row>
    <row r="2777" spans="23:24" x14ac:dyDescent="0.25">
      <c r="W2777" s="574">
        <f t="shared" si="61"/>
        <v>2768</v>
      </c>
      <c r="X2777" s="564">
        <v>39</v>
      </c>
    </row>
    <row r="2778" spans="23:24" x14ac:dyDescent="0.25">
      <c r="W2778" s="574">
        <f t="shared" ref="W2778:W2841" si="62">W2777+1</f>
        <v>2769</v>
      </c>
      <c r="X2778" s="564">
        <v>39</v>
      </c>
    </row>
    <row r="2779" spans="23:24" x14ac:dyDescent="0.25">
      <c r="W2779" s="574">
        <f t="shared" si="62"/>
        <v>2770</v>
      </c>
      <c r="X2779" s="564">
        <v>39</v>
      </c>
    </row>
    <row r="2780" spans="23:24" x14ac:dyDescent="0.25">
      <c r="W2780" s="574">
        <f t="shared" si="62"/>
        <v>2771</v>
      </c>
      <c r="X2780" s="564">
        <v>39</v>
      </c>
    </row>
    <row r="2781" spans="23:24" x14ac:dyDescent="0.25">
      <c r="W2781" s="574">
        <f t="shared" si="62"/>
        <v>2772</v>
      </c>
      <c r="X2781" s="564">
        <v>39</v>
      </c>
    </row>
    <row r="2782" spans="23:24" x14ac:dyDescent="0.25">
      <c r="W2782" s="574">
        <f t="shared" si="62"/>
        <v>2773</v>
      </c>
      <c r="X2782" s="564">
        <v>39</v>
      </c>
    </row>
    <row r="2783" spans="23:24" x14ac:dyDescent="0.25">
      <c r="W2783" s="574">
        <f t="shared" si="62"/>
        <v>2774</v>
      </c>
      <c r="X2783" s="564">
        <v>39</v>
      </c>
    </row>
    <row r="2784" spans="23:24" x14ac:dyDescent="0.25">
      <c r="W2784" s="574">
        <f t="shared" si="62"/>
        <v>2775</v>
      </c>
      <c r="X2784" s="564">
        <v>39</v>
      </c>
    </row>
    <row r="2785" spans="23:24" x14ac:dyDescent="0.25">
      <c r="W2785" s="574">
        <f t="shared" si="62"/>
        <v>2776</v>
      </c>
      <c r="X2785" s="564">
        <v>39</v>
      </c>
    </row>
    <row r="2786" spans="23:24" x14ac:dyDescent="0.25">
      <c r="W2786" s="574">
        <f t="shared" si="62"/>
        <v>2777</v>
      </c>
      <c r="X2786" s="564">
        <v>39</v>
      </c>
    </row>
    <row r="2787" spans="23:24" x14ac:dyDescent="0.25">
      <c r="W2787" s="574">
        <f t="shared" si="62"/>
        <v>2778</v>
      </c>
      <c r="X2787" s="564">
        <v>39</v>
      </c>
    </row>
    <row r="2788" spans="23:24" x14ac:dyDescent="0.25">
      <c r="W2788" s="574">
        <f t="shared" si="62"/>
        <v>2779</v>
      </c>
      <c r="X2788" s="564">
        <v>39</v>
      </c>
    </row>
    <row r="2789" spans="23:24" x14ac:dyDescent="0.25">
      <c r="W2789" s="574">
        <f t="shared" si="62"/>
        <v>2780</v>
      </c>
      <c r="X2789" s="564">
        <v>39</v>
      </c>
    </row>
    <row r="2790" spans="23:24" x14ac:dyDescent="0.25">
      <c r="W2790" s="574">
        <f t="shared" si="62"/>
        <v>2781</v>
      </c>
      <c r="X2790" s="564">
        <v>39</v>
      </c>
    </row>
    <row r="2791" spans="23:24" x14ac:dyDescent="0.25">
      <c r="W2791" s="574">
        <f t="shared" si="62"/>
        <v>2782</v>
      </c>
      <c r="X2791" s="564">
        <v>39</v>
      </c>
    </row>
    <row r="2792" spans="23:24" x14ac:dyDescent="0.25">
      <c r="W2792" s="574">
        <f t="shared" si="62"/>
        <v>2783</v>
      </c>
      <c r="X2792" s="564">
        <v>39</v>
      </c>
    </row>
    <row r="2793" spans="23:24" x14ac:dyDescent="0.25">
      <c r="W2793" s="574">
        <f t="shared" si="62"/>
        <v>2784</v>
      </c>
      <c r="X2793" s="564">
        <v>39</v>
      </c>
    </row>
    <row r="2794" spans="23:24" x14ac:dyDescent="0.25">
      <c r="W2794" s="574">
        <f t="shared" si="62"/>
        <v>2785</v>
      </c>
      <c r="X2794" s="564">
        <v>39</v>
      </c>
    </row>
    <row r="2795" spans="23:24" x14ac:dyDescent="0.25">
      <c r="W2795" s="574">
        <f t="shared" si="62"/>
        <v>2786</v>
      </c>
      <c r="X2795" s="564">
        <v>39</v>
      </c>
    </row>
    <row r="2796" spans="23:24" x14ac:dyDescent="0.25">
      <c r="W2796" s="574">
        <f t="shared" si="62"/>
        <v>2787</v>
      </c>
      <c r="X2796" s="564">
        <v>39</v>
      </c>
    </row>
    <row r="2797" spans="23:24" x14ac:dyDescent="0.25">
      <c r="W2797" s="574">
        <f t="shared" si="62"/>
        <v>2788</v>
      </c>
      <c r="X2797" s="564">
        <v>39</v>
      </c>
    </row>
    <row r="2798" spans="23:24" x14ac:dyDescent="0.25">
      <c r="W2798" s="574">
        <f t="shared" si="62"/>
        <v>2789</v>
      </c>
      <c r="X2798" s="564">
        <v>39</v>
      </c>
    </row>
    <row r="2799" spans="23:24" x14ac:dyDescent="0.25">
      <c r="W2799" s="574">
        <f t="shared" si="62"/>
        <v>2790</v>
      </c>
      <c r="X2799" s="564">
        <v>39</v>
      </c>
    </row>
    <row r="2800" spans="23:24" x14ac:dyDescent="0.25">
      <c r="W2800" s="574">
        <f t="shared" si="62"/>
        <v>2791</v>
      </c>
      <c r="X2800" s="564">
        <v>39</v>
      </c>
    </row>
    <row r="2801" spans="23:24" x14ac:dyDescent="0.25">
      <c r="W2801" s="574">
        <f t="shared" si="62"/>
        <v>2792</v>
      </c>
      <c r="X2801" s="564">
        <v>39</v>
      </c>
    </row>
    <row r="2802" spans="23:24" x14ac:dyDescent="0.25">
      <c r="W2802" s="574">
        <f t="shared" si="62"/>
        <v>2793</v>
      </c>
      <c r="X2802" s="564">
        <v>39</v>
      </c>
    </row>
    <row r="2803" spans="23:24" x14ac:dyDescent="0.25">
      <c r="W2803" s="574">
        <f t="shared" si="62"/>
        <v>2794</v>
      </c>
      <c r="X2803" s="564">
        <v>39</v>
      </c>
    </row>
    <row r="2804" spans="23:24" x14ac:dyDescent="0.25">
      <c r="W2804" s="574">
        <f t="shared" si="62"/>
        <v>2795</v>
      </c>
      <c r="X2804" s="564">
        <v>39</v>
      </c>
    </row>
    <row r="2805" spans="23:24" x14ac:dyDescent="0.25">
      <c r="W2805" s="574">
        <f t="shared" si="62"/>
        <v>2796</v>
      </c>
      <c r="X2805" s="564">
        <v>39</v>
      </c>
    </row>
    <row r="2806" spans="23:24" x14ac:dyDescent="0.25">
      <c r="W2806" s="574">
        <f t="shared" si="62"/>
        <v>2797</v>
      </c>
      <c r="X2806" s="564">
        <v>39</v>
      </c>
    </row>
    <row r="2807" spans="23:24" x14ac:dyDescent="0.25">
      <c r="W2807" s="574">
        <f t="shared" si="62"/>
        <v>2798</v>
      </c>
      <c r="X2807" s="564">
        <v>39</v>
      </c>
    </row>
    <row r="2808" spans="23:24" x14ac:dyDescent="0.25">
      <c r="W2808" s="574">
        <f t="shared" si="62"/>
        <v>2799</v>
      </c>
      <c r="X2808" s="564">
        <v>39</v>
      </c>
    </row>
    <row r="2809" spans="23:24" x14ac:dyDescent="0.25">
      <c r="W2809" s="574">
        <f t="shared" si="62"/>
        <v>2800</v>
      </c>
      <c r="X2809" s="564">
        <v>39</v>
      </c>
    </row>
    <row r="2810" spans="23:24" x14ac:dyDescent="0.25">
      <c r="W2810" s="574">
        <f t="shared" si="62"/>
        <v>2801</v>
      </c>
      <c r="X2810" s="564">
        <v>39</v>
      </c>
    </row>
    <row r="2811" spans="23:24" x14ac:dyDescent="0.25">
      <c r="W2811" s="574">
        <f t="shared" si="62"/>
        <v>2802</v>
      </c>
      <c r="X2811" s="564">
        <v>39</v>
      </c>
    </row>
    <row r="2812" spans="23:24" x14ac:dyDescent="0.25">
      <c r="W2812" s="574">
        <f t="shared" si="62"/>
        <v>2803</v>
      </c>
      <c r="X2812" s="564">
        <v>39</v>
      </c>
    </row>
    <row r="2813" spans="23:24" x14ac:dyDescent="0.25">
      <c r="W2813" s="574">
        <f t="shared" si="62"/>
        <v>2804</v>
      </c>
      <c r="X2813" s="564">
        <v>39</v>
      </c>
    </row>
    <row r="2814" spans="23:24" x14ac:dyDescent="0.25">
      <c r="W2814" s="574">
        <f t="shared" si="62"/>
        <v>2805</v>
      </c>
      <c r="X2814" s="564">
        <v>39</v>
      </c>
    </row>
    <row r="2815" spans="23:24" x14ac:dyDescent="0.25">
      <c r="W2815" s="574">
        <f t="shared" si="62"/>
        <v>2806</v>
      </c>
      <c r="X2815" s="564">
        <v>39</v>
      </c>
    </row>
    <row r="2816" spans="23:24" x14ac:dyDescent="0.25">
      <c r="W2816" s="574">
        <f t="shared" si="62"/>
        <v>2807</v>
      </c>
      <c r="X2816" s="564">
        <v>39</v>
      </c>
    </row>
    <row r="2817" spans="23:24" x14ac:dyDescent="0.25">
      <c r="W2817" s="574">
        <f t="shared" si="62"/>
        <v>2808</v>
      </c>
      <c r="X2817" s="564">
        <v>39</v>
      </c>
    </row>
    <row r="2818" spans="23:24" x14ac:dyDescent="0.25">
      <c r="W2818" s="574">
        <f t="shared" si="62"/>
        <v>2809</v>
      </c>
      <c r="X2818" s="564">
        <v>39</v>
      </c>
    </row>
    <row r="2819" spans="23:24" x14ac:dyDescent="0.25">
      <c r="W2819" s="574">
        <f t="shared" si="62"/>
        <v>2810</v>
      </c>
      <c r="X2819" s="564">
        <v>39</v>
      </c>
    </row>
    <row r="2820" spans="23:24" x14ac:dyDescent="0.25">
      <c r="W2820" s="574">
        <f t="shared" si="62"/>
        <v>2811</v>
      </c>
      <c r="X2820" s="564">
        <v>39</v>
      </c>
    </row>
    <row r="2821" spans="23:24" x14ac:dyDescent="0.25">
      <c r="W2821" s="574">
        <f t="shared" si="62"/>
        <v>2812</v>
      </c>
      <c r="X2821" s="564">
        <v>39</v>
      </c>
    </row>
    <row r="2822" spans="23:24" x14ac:dyDescent="0.25">
      <c r="W2822" s="574">
        <f t="shared" si="62"/>
        <v>2813</v>
      </c>
      <c r="X2822" s="564">
        <v>39</v>
      </c>
    </row>
    <row r="2823" spans="23:24" x14ac:dyDescent="0.25">
      <c r="W2823" s="574">
        <f t="shared" si="62"/>
        <v>2814</v>
      </c>
      <c r="X2823" s="564">
        <v>39</v>
      </c>
    </row>
    <row r="2824" spans="23:24" x14ac:dyDescent="0.25">
      <c r="W2824" s="574">
        <f t="shared" si="62"/>
        <v>2815</v>
      </c>
      <c r="X2824" s="564">
        <v>39</v>
      </c>
    </row>
    <row r="2825" spans="23:24" x14ac:dyDescent="0.25">
      <c r="W2825" s="574">
        <f t="shared" si="62"/>
        <v>2816</v>
      </c>
      <c r="X2825" s="564">
        <v>39</v>
      </c>
    </row>
    <row r="2826" spans="23:24" x14ac:dyDescent="0.25">
      <c r="W2826" s="574">
        <f t="shared" si="62"/>
        <v>2817</v>
      </c>
      <c r="X2826" s="564">
        <v>39</v>
      </c>
    </row>
    <row r="2827" spans="23:24" x14ac:dyDescent="0.25">
      <c r="W2827" s="574">
        <f t="shared" si="62"/>
        <v>2818</v>
      </c>
      <c r="X2827" s="564">
        <v>39</v>
      </c>
    </row>
    <row r="2828" spans="23:24" x14ac:dyDescent="0.25">
      <c r="W2828" s="574">
        <f t="shared" si="62"/>
        <v>2819</v>
      </c>
      <c r="X2828" s="564">
        <v>39</v>
      </c>
    </row>
    <row r="2829" spans="23:24" x14ac:dyDescent="0.25">
      <c r="W2829" s="574">
        <f t="shared" si="62"/>
        <v>2820</v>
      </c>
      <c r="X2829" s="564">
        <v>39</v>
      </c>
    </row>
    <row r="2830" spans="23:24" x14ac:dyDescent="0.25">
      <c r="W2830" s="574">
        <f t="shared" si="62"/>
        <v>2821</v>
      </c>
      <c r="X2830" s="564">
        <v>39</v>
      </c>
    </row>
    <row r="2831" spans="23:24" x14ac:dyDescent="0.25">
      <c r="W2831" s="574">
        <f t="shared" si="62"/>
        <v>2822</v>
      </c>
      <c r="X2831" s="564">
        <v>39</v>
      </c>
    </row>
    <row r="2832" spans="23:24" x14ac:dyDescent="0.25">
      <c r="W2832" s="574">
        <f t="shared" si="62"/>
        <v>2823</v>
      </c>
      <c r="X2832" s="564">
        <v>39</v>
      </c>
    </row>
    <row r="2833" spans="23:24" x14ac:dyDescent="0.25">
      <c r="W2833" s="574">
        <f t="shared" si="62"/>
        <v>2824</v>
      </c>
      <c r="X2833" s="564">
        <v>39</v>
      </c>
    </row>
    <row r="2834" spans="23:24" x14ac:dyDescent="0.25">
      <c r="W2834" s="574">
        <f t="shared" si="62"/>
        <v>2825</v>
      </c>
      <c r="X2834" s="564">
        <v>39</v>
      </c>
    </row>
    <row r="2835" spans="23:24" x14ac:dyDescent="0.25">
      <c r="W2835" s="574">
        <f t="shared" si="62"/>
        <v>2826</v>
      </c>
      <c r="X2835" s="564">
        <v>39</v>
      </c>
    </row>
    <row r="2836" spans="23:24" x14ac:dyDescent="0.25">
      <c r="W2836" s="574">
        <f t="shared" si="62"/>
        <v>2827</v>
      </c>
      <c r="X2836" s="564">
        <v>39</v>
      </c>
    </row>
    <row r="2837" spans="23:24" x14ac:dyDescent="0.25">
      <c r="W2837" s="574">
        <f t="shared" si="62"/>
        <v>2828</v>
      </c>
      <c r="X2837" s="564">
        <v>39</v>
      </c>
    </row>
    <row r="2838" spans="23:24" x14ac:dyDescent="0.25">
      <c r="W2838" s="574">
        <f t="shared" si="62"/>
        <v>2829</v>
      </c>
      <c r="X2838" s="564">
        <v>39</v>
      </c>
    </row>
    <row r="2839" spans="23:24" x14ac:dyDescent="0.25">
      <c r="W2839" s="574">
        <f t="shared" si="62"/>
        <v>2830</v>
      </c>
      <c r="X2839" s="564">
        <v>39</v>
      </c>
    </row>
    <row r="2840" spans="23:24" x14ac:dyDescent="0.25">
      <c r="W2840" s="574">
        <f t="shared" si="62"/>
        <v>2831</v>
      </c>
      <c r="X2840" s="564">
        <v>39</v>
      </c>
    </row>
    <row r="2841" spans="23:24" x14ac:dyDescent="0.25">
      <c r="W2841" s="574">
        <f t="shared" si="62"/>
        <v>2832</v>
      </c>
      <c r="X2841" s="564">
        <v>39</v>
      </c>
    </row>
    <row r="2842" spans="23:24" x14ac:dyDescent="0.25">
      <c r="W2842" s="574">
        <f t="shared" ref="W2842:W2905" si="63">W2841+1</f>
        <v>2833</v>
      </c>
      <c r="X2842" s="564">
        <v>39</v>
      </c>
    </row>
    <row r="2843" spans="23:24" x14ac:dyDescent="0.25">
      <c r="W2843" s="574">
        <f t="shared" si="63"/>
        <v>2834</v>
      </c>
      <c r="X2843" s="564">
        <v>39</v>
      </c>
    </row>
    <row r="2844" spans="23:24" x14ac:dyDescent="0.25">
      <c r="W2844" s="574">
        <f t="shared" si="63"/>
        <v>2835</v>
      </c>
      <c r="X2844" s="564">
        <v>39</v>
      </c>
    </row>
    <row r="2845" spans="23:24" x14ac:dyDescent="0.25">
      <c r="W2845" s="574">
        <f t="shared" si="63"/>
        <v>2836</v>
      </c>
      <c r="X2845" s="564">
        <v>39</v>
      </c>
    </row>
    <row r="2846" spans="23:24" x14ac:dyDescent="0.25">
      <c r="W2846" s="574">
        <f t="shared" si="63"/>
        <v>2837</v>
      </c>
      <c r="X2846" s="564">
        <v>39</v>
      </c>
    </row>
    <row r="2847" spans="23:24" x14ac:dyDescent="0.25">
      <c r="W2847" s="574">
        <f t="shared" si="63"/>
        <v>2838</v>
      </c>
      <c r="X2847" s="564">
        <v>39</v>
      </c>
    </row>
    <row r="2848" spans="23:24" x14ac:dyDescent="0.25">
      <c r="W2848" s="574">
        <f t="shared" si="63"/>
        <v>2839</v>
      </c>
      <c r="X2848" s="564">
        <v>39</v>
      </c>
    </row>
    <row r="2849" spans="23:24" x14ac:dyDescent="0.25">
      <c r="W2849" s="574">
        <f t="shared" si="63"/>
        <v>2840</v>
      </c>
      <c r="X2849" s="564">
        <v>39</v>
      </c>
    </row>
    <row r="2850" spans="23:24" x14ac:dyDescent="0.25">
      <c r="W2850" s="574">
        <f t="shared" si="63"/>
        <v>2841</v>
      </c>
      <c r="X2850" s="564">
        <v>39</v>
      </c>
    </row>
    <row r="2851" spans="23:24" x14ac:dyDescent="0.25">
      <c r="W2851" s="574">
        <f t="shared" si="63"/>
        <v>2842</v>
      </c>
      <c r="X2851" s="564">
        <v>39</v>
      </c>
    </row>
    <row r="2852" spans="23:24" x14ac:dyDescent="0.25">
      <c r="W2852" s="574">
        <f t="shared" si="63"/>
        <v>2843</v>
      </c>
      <c r="X2852" s="564">
        <v>39</v>
      </c>
    </row>
    <row r="2853" spans="23:24" x14ac:dyDescent="0.25">
      <c r="W2853" s="574">
        <f t="shared" si="63"/>
        <v>2844</v>
      </c>
      <c r="X2853" s="564">
        <v>39</v>
      </c>
    </row>
    <row r="2854" spans="23:24" x14ac:dyDescent="0.25">
      <c r="W2854" s="574">
        <f t="shared" si="63"/>
        <v>2845</v>
      </c>
      <c r="X2854" s="564">
        <v>39</v>
      </c>
    </row>
    <row r="2855" spans="23:24" x14ac:dyDescent="0.25">
      <c r="W2855" s="574">
        <f t="shared" si="63"/>
        <v>2846</v>
      </c>
      <c r="X2855" s="564">
        <v>39</v>
      </c>
    </row>
    <row r="2856" spans="23:24" x14ac:dyDescent="0.25">
      <c r="W2856" s="574">
        <f t="shared" si="63"/>
        <v>2847</v>
      </c>
      <c r="X2856" s="564">
        <v>39</v>
      </c>
    </row>
    <row r="2857" spans="23:24" x14ac:dyDescent="0.25">
      <c r="W2857" s="574">
        <f t="shared" si="63"/>
        <v>2848</v>
      </c>
      <c r="X2857" s="564">
        <v>39</v>
      </c>
    </row>
    <row r="2858" spans="23:24" x14ac:dyDescent="0.25">
      <c r="W2858" s="574">
        <f t="shared" si="63"/>
        <v>2849</v>
      </c>
      <c r="X2858" s="564">
        <v>39</v>
      </c>
    </row>
    <row r="2859" spans="23:24" x14ac:dyDescent="0.25">
      <c r="W2859" s="574">
        <f t="shared" si="63"/>
        <v>2850</v>
      </c>
      <c r="X2859" s="564">
        <v>39</v>
      </c>
    </row>
    <row r="2860" spans="23:24" x14ac:dyDescent="0.25">
      <c r="W2860" s="574">
        <f t="shared" si="63"/>
        <v>2851</v>
      </c>
      <c r="X2860" s="564">
        <v>39</v>
      </c>
    </row>
    <row r="2861" spans="23:24" x14ac:dyDescent="0.25">
      <c r="W2861" s="574">
        <f t="shared" si="63"/>
        <v>2852</v>
      </c>
      <c r="X2861" s="564">
        <v>39</v>
      </c>
    </row>
    <row r="2862" spans="23:24" x14ac:dyDescent="0.25">
      <c r="W2862" s="574">
        <f t="shared" si="63"/>
        <v>2853</v>
      </c>
      <c r="X2862" s="564">
        <v>39</v>
      </c>
    </row>
    <row r="2863" spans="23:24" x14ac:dyDescent="0.25">
      <c r="W2863" s="574">
        <f t="shared" si="63"/>
        <v>2854</v>
      </c>
      <c r="X2863" s="564">
        <v>39</v>
      </c>
    </row>
    <row r="2864" spans="23:24" x14ac:dyDescent="0.25">
      <c r="W2864" s="574">
        <f t="shared" si="63"/>
        <v>2855</v>
      </c>
      <c r="X2864" s="564">
        <v>39</v>
      </c>
    </row>
    <row r="2865" spans="23:24" x14ac:dyDescent="0.25">
      <c r="W2865" s="574">
        <f t="shared" si="63"/>
        <v>2856</v>
      </c>
      <c r="X2865" s="564">
        <v>39</v>
      </c>
    </row>
    <row r="2866" spans="23:24" x14ac:dyDescent="0.25">
      <c r="W2866" s="574">
        <f t="shared" si="63"/>
        <v>2857</v>
      </c>
      <c r="X2866" s="564">
        <v>39</v>
      </c>
    </row>
    <row r="2867" spans="23:24" x14ac:dyDescent="0.25">
      <c r="W2867" s="574">
        <f t="shared" si="63"/>
        <v>2858</v>
      </c>
      <c r="X2867" s="564">
        <v>39</v>
      </c>
    </row>
    <row r="2868" spans="23:24" x14ac:dyDescent="0.25">
      <c r="W2868" s="574">
        <f t="shared" si="63"/>
        <v>2859</v>
      </c>
      <c r="X2868" s="564">
        <v>39</v>
      </c>
    </row>
    <row r="2869" spans="23:24" x14ac:dyDescent="0.25">
      <c r="W2869" s="574">
        <f t="shared" si="63"/>
        <v>2860</v>
      </c>
      <c r="X2869" s="564">
        <v>39</v>
      </c>
    </row>
    <row r="2870" spans="23:24" x14ac:dyDescent="0.25">
      <c r="W2870" s="574">
        <f t="shared" si="63"/>
        <v>2861</v>
      </c>
      <c r="X2870" s="564">
        <v>39</v>
      </c>
    </row>
    <row r="2871" spans="23:24" x14ac:dyDescent="0.25">
      <c r="W2871" s="574">
        <f t="shared" si="63"/>
        <v>2862</v>
      </c>
      <c r="X2871" s="564">
        <v>39</v>
      </c>
    </row>
    <row r="2872" spans="23:24" x14ac:dyDescent="0.25">
      <c r="W2872" s="574">
        <f t="shared" si="63"/>
        <v>2863</v>
      </c>
      <c r="X2872" s="564">
        <v>39</v>
      </c>
    </row>
    <row r="2873" spans="23:24" x14ac:dyDescent="0.25">
      <c r="W2873" s="574">
        <f t="shared" si="63"/>
        <v>2864</v>
      </c>
      <c r="X2873" s="564">
        <v>39</v>
      </c>
    </row>
    <row r="2874" spans="23:24" x14ac:dyDescent="0.25">
      <c r="W2874" s="574">
        <f t="shared" si="63"/>
        <v>2865</v>
      </c>
      <c r="X2874" s="564">
        <v>39</v>
      </c>
    </row>
    <row r="2875" spans="23:24" x14ac:dyDescent="0.25">
      <c r="W2875" s="574">
        <f t="shared" si="63"/>
        <v>2866</v>
      </c>
      <c r="X2875" s="564">
        <v>39</v>
      </c>
    </row>
    <row r="2876" spans="23:24" x14ac:dyDescent="0.25">
      <c r="W2876" s="574">
        <f t="shared" si="63"/>
        <v>2867</v>
      </c>
      <c r="X2876" s="564">
        <v>39</v>
      </c>
    </row>
    <row r="2877" spans="23:24" x14ac:dyDescent="0.25">
      <c r="W2877" s="574">
        <f t="shared" si="63"/>
        <v>2868</v>
      </c>
      <c r="X2877" s="564">
        <v>39</v>
      </c>
    </row>
    <row r="2878" spans="23:24" x14ac:dyDescent="0.25">
      <c r="W2878" s="574">
        <f t="shared" si="63"/>
        <v>2869</v>
      </c>
      <c r="X2878" s="564">
        <v>39</v>
      </c>
    </row>
    <row r="2879" spans="23:24" x14ac:dyDescent="0.25">
      <c r="W2879" s="574">
        <f t="shared" si="63"/>
        <v>2870</v>
      </c>
      <c r="X2879" s="564">
        <v>39</v>
      </c>
    </row>
    <row r="2880" spans="23:24" x14ac:dyDescent="0.25">
      <c r="W2880" s="574">
        <f t="shared" si="63"/>
        <v>2871</v>
      </c>
      <c r="X2880" s="564">
        <v>39</v>
      </c>
    </row>
    <row r="2881" spans="23:24" x14ac:dyDescent="0.25">
      <c r="W2881" s="574">
        <f t="shared" si="63"/>
        <v>2872</v>
      </c>
      <c r="X2881" s="564">
        <v>39</v>
      </c>
    </row>
    <row r="2882" spans="23:24" x14ac:dyDescent="0.25">
      <c r="W2882" s="574">
        <f t="shared" si="63"/>
        <v>2873</v>
      </c>
      <c r="X2882" s="564">
        <v>39</v>
      </c>
    </row>
    <row r="2883" spans="23:24" x14ac:dyDescent="0.25">
      <c r="W2883" s="574">
        <f t="shared" si="63"/>
        <v>2874</v>
      </c>
      <c r="X2883" s="564">
        <v>39</v>
      </c>
    </row>
    <row r="2884" spans="23:24" x14ac:dyDescent="0.25">
      <c r="W2884" s="574">
        <f t="shared" si="63"/>
        <v>2875</v>
      </c>
      <c r="X2884" s="564">
        <v>39</v>
      </c>
    </row>
    <row r="2885" spans="23:24" x14ac:dyDescent="0.25">
      <c r="W2885" s="574">
        <f t="shared" si="63"/>
        <v>2876</v>
      </c>
      <c r="X2885" s="564">
        <v>39</v>
      </c>
    </row>
    <row r="2886" spans="23:24" x14ac:dyDescent="0.25">
      <c r="W2886" s="574">
        <f t="shared" si="63"/>
        <v>2877</v>
      </c>
      <c r="X2886" s="564">
        <v>39</v>
      </c>
    </row>
    <row r="2887" spans="23:24" x14ac:dyDescent="0.25">
      <c r="W2887" s="574">
        <f t="shared" si="63"/>
        <v>2878</v>
      </c>
      <c r="X2887" s="564">
        <v>39</v>
      </c>
    </row>
    <row r="2888" spans="23:24" x14ac:dyDescent="0.25">
      <c r="W2888" s="574">
        <f t="shared" si="63"/>
        <v>2879</v>
      </c>
      <c r="X2888" s="564">
        <v>39</v>
      </c>
    </row>
    <row r="2889" spans="23:24" x14ac:dyDescent="0.25">
      <c r="W2889" s="574">
        <f t="shared" si="63"/>
        <v>2880</v>
      </c>
      <c r="X2889" s="564">
        <v>39</v>
      </c>
    </row>
    <row r="2890" spans="23:24" x14ac:dyDescent="0.25">
      <c r="W2890" s="574">
        <f t="shared" si="63"/>
        <v>2881</v>
      </c>
      <c r="X2890" s="564">
        <v>39</v>
      </c>
    </row>
    <row r="2891" spans="23:24" x14ac:dyDescent="0.25">
      <c r="W2891" s="574">
        <f t="shared" si="63"/>
        <v>2882</v>
      </c>
      <c r="X2891" s="564">
        <v>39</v>
      </c>
    </row>
    <row r="2892" spans="23:24" x14ac:dyDescent="0.25">
      <c r="W2892" s="574">
        <f t="shared" si="63"/>
        <v>2883</v>
      </c>
      <c r="X2892" s="564">
        <v>39</v>
      </c>
    </row>
    <row r="2893" spans="23:24" x14ac:dyDescent="0.25">
      <c r="W2893" s="574">
        <f t="shared" si="63"/>
        <v>2884</v>
      </c>
      <c r="X2893" s="564">
        <v>39</v>
      </c>
    </row>
    <row r="2894" spans="23:24" x14ac:dyDescent="0.25">
      <c r="W2894" s="574">
        <f t="shared" si="63"/>
        <v>2885</v>
      </c>
      <c r="X2894" s="564">
        <v>39</v>
      </c>
    </row>
    <row r="2895" spans="23:24" x14ac:dyDescent="0.25">
      <c r="W2895" s="574">
        <f t="shared" si="63"/>
        <v>2886</v>
      </c>
      <c r="X2895" s="564">
        <v>39</v>
      </c>
    </row>
    <row r="2896" spans="23:24" x14ac:dyDescent="0.25">
      <c r="W2896" s="574">
        <f t="shared" si="63"/>
        <v>2887</v>
      </c>
      <c r="X2896" s="564">
        <v>39</v>
      </c>
    </row>
    <row r="2897" spans="23:24" x14ac:dyDescent="0.25">
      <c r="W2897" s="574">
        <f t="shared" si="63"/>
        <v>2888</v>
      </c>
      <c r="X2897" s="564">
        <v>39</v>
      </c>
    </row>
    <row r="2898" spans="23:24" x14ac:dyDescent="0.25">
      <c r="W2898" s="574">
        <f t="shared" si="63"/>
        <v>2889</v>
      </c>
      <c r="X2898" s="564">
        <v>39</v>
      </c>
    </row>
    <row r="2899" spans="23:24" x14ac:dyDescent="0.25">
      <c r="W2899" s="574">
        <f t="shared" si="63"/>
        <v>2890</v>
      </c>
      <c r="X2899" s="564">
        <v>39</v>
      </c>
    </row>
    <row r="2900" spans="23:24" x14ac:dyDescent="0.25">
      <c r="W2900" s="574">
        <f t="shared" si="63"/>
        <v>2891</v>
      </c>
      <c r="X2900" s="564">
        <v>39</v>
      </c>
    </row>
    <row r="2901" spans="23:24" x14ac:dyDescent="0.25">
      <c r="W2901" s="574">
        <f t="shared" si="63"/>
        <v>2892</v>
      </c>
      <c r="X2901" s="564">
        <v>39</v>
      </c>
    </row>
    <row r="2902" spans="23:24" x14ac:dyDescent="0.25">
      <c r="W2902" s="574">
        <f t="shared" si="63"/>
        <v>2893</v>
      </c>
      <c r="X2902" s="564">
        <v>39</v>
      </c>
    </row>
    <row r="2903" spans="23:24" x14ac:dyDescent="0.25">
      <c r="W2903" s="574">
        <f t="shared" si="63"/>
        <v>2894</v>
      </c>
      <c r="X2903" s="564">
        <v>39</v>
      </c>
    </row>
    <row r="2904" spans="23:24" x14ac:dyDescent="0.25">
      <c r="W2904" s="574">
        <f t="shared" si="63"/>
        <v>2895</v>
      </c>
      <c r="X2904" s="564">
        <v>39</v>
      </c>
    </row>
    <row r="2905" spans="23:24" x14ac:dyDescent="0.25">
      <c r="W2905" s="574">
        <f t="shared" si="63"/>
        <v>2896</v>
      </c>
      <c r="X2905" s="564">
        <v>39</v>
      </c>
    </row>
    <row r="2906" spans="23:24" x14ac:dyDescent="0.25">
      <c r="W2906" s="574">
        <f t="shared" ref="W2906:W2969" si="64">W2905+1</f>
        <v>2897</v>
      </c>
      <c r="X2906" s="564">
        <v>39</v>
      </c>
    </row>
    <row r="2907" spans="23:24" x14ac:dyDescent="0.25">
      <c r="W2907" s="574">
        <f t="shared" si="64"/>
        <v>2898</v>
      </c>
      <c r="X2907" s="564">
        <v>39</v>
      </c>
    </row>
    <row r="2908" spans="23:24" x14ac:dyDescent="0.25">
      <c r="W2908" s="574">
        <f t="shared" si="64"/>
        <v>2899</v>
      </c>
      <c r="X2908" s="564">
        <v>39</v>
      </c>
    </row>
    <row r="2909" spans="23:24" x14ac:dyDescent="0.25">
      <c r="W2909" s="574">
        <f t="shared" si="64"/>
        <v>2900</v>
      </c>
      <c r="X2909" s="564">
        <v>39</v>
      </c>
    </row>
    <row r="2910" spans="23:24" x14ac:dyDescent="0.25">
      <c r="W2910" s="574">
        <f t="shared" si="64"/>
        <v>2901</v>
      </c>
      <c r="X2910" s="564">
        <v>39</v>
      </c>
    </row>
    <row r="2911" spans="23:24" x14ac:dyDescent="0.25">
      <c r="W2911" s="574">
        <f t="shared" si="64"/>
        <v>2902</v>
      </c>
      <c r="X2911" s="564">
        <v>39</v>
      </c>
    </row>
    <row r="2912" spans="23:24" x14ac:dyDescent="0.25">
      <c r="W2912" s="574">
        <f t="shared" si="64"/>
        <v>2903</v>
      </c>
      <c r="X2912" s="564">
        <v>39</v>
      </c>
    </row>
    <row r="2913" spans="23:24" x14ac:dyDescent="0.25">
      <c r="W2913" s="574">
        <f t="shared" si="64"/>
        <v>2904</v>
      </c>
      <c r="X2913" s="564">
        <v>39</v>
      </c>
    </row>
    <row r="2914" spans="23:24" x14ac:dyDescent="0.25">
      <c r="W2914" s="574">
        <f t="shared" si="64"/>
        <v>2905</v>
      </c>
      <c r="X2914" s="564">
        <v>39</v>
      </c>
    </row>
    <row r="2915" spans="23:24" x14ac:dyDescent="0.25">
      <c r="W2915" s="574">
        <f t="shared" si="64"/>
        <v>2906</v>
      </c>
      <c r="X2915" s="564">
        <v>39</v>
      </c>
    </row>
    <row r="2916" spans="23:24" x14ac:dyDescent="0.25">
      <c r="W2916" s="574">
        <f t="shared" si="64"/>
        <v>2907</v>
      </c>
      <c r="X2916" s="564">
        <v>39</v>
      </c>
    </row>
    <row r="2917" spans="23:24" x14ac:dyDescent="0.25">
      <c r="W2917" s="574">
        <f t="shared" si="64"/>
        <v>2908</v>
      </c>
      <c r="X2917" s="564">
        <v>39</v>
      </c>
    </row>
    <row r="2918" spans="23:24" x14ac:dyDescent="0.25">
      <c r="W2918" s="574">
        <f t="shared" si="64"/>
        <v>2909</v>
      </c>
      <c r="X2918" s="564">
        <v>39</v>
      </c>
    </row>
    <row r="2919" spans="23:24" x14ac:dyDescent="0.25">
      <c r="W2919" s="574">
        <f t="shared" si="64"/>
        <v>2910</v>
      </c>
      <c r="X2919" s="564">
        <v>39</v>
      </c>
    </row>
    <row r="2920" spans="23:24" x14ac:dyDescent="0.25">
      <c r="W2920" s="574">
        <f t="shared" si="64"/>
        <v>2911</v>
      </c>
      <c r="X2920" s="564">
        <v>39</v>
      </c>
    </row>
    <row r="2921" spans="23:24" x14ac:dyDescent="0.25">
      <c r="W2921" s="574">
        <f t="shared" si="64"/>
        <v>2912</v>
      </c>
      <c r="X2921" s="564">
        <v>39</v>
      </c>
    </row>
    <row r="2922" spans="23:24" x14ac:dyDescent="0.25">
      <c r="W2922" s="574">
        <f t="shared" si="64"/>
        <v>2913</v>
      </c>
      <c r="X2922" s="564">
        <v>39</v>
      </c>
    </row>
    <row r="2923" spans="23:24" x14ac:dyDescent="0.25">
      <c r="W2923" s="574">
        <f t="shared" si="64"/>
        <v>2914</v>
      </c>
      <c r="X2923" s="564">
        <v>39</v>
      </c>
    </row>
    <row r="2924" spans="23:24" x14ac:dyDescent="0.25">
      <c r="W2924" s="574">
        <f t="shared" si="64"/>
        <v>2915</v>
      </c>
      <c r="X2924" s="564">
        <v>39</v>
      </c>
    </row>
    <row r="2925" spans="23:24" x14ac:dyDescent="0.25">
      <c r="W2925" s="574">
        <f t="shared" si="64"/>
        <v>2916</v>
      </c>
      <c r="X2925" s="564">
        <v>39</v>
      </c>
    </row>
    <row r="2926" spans="23:24" x14ac:dyDescent="0.25">
      <c r="W2926" s="574">
        <f t="shared" si="64"/>
        <v>2917</v>
      </c>
      <c r="X2926" s="564">
        <v>39</v>
      </c>
    </row>
    <row r="2927" spans="23:24" x14ac:dyDescent="0.25">
      <c r="W2927" s="574">
        <f t="shared" si="64"/>
        <v>2918</v>
      </c>
      <c r="X2927" s="564">
        <v>39</v>
      </c>
    </row>
    <row r="2928" spans="23:24" x14ac:dyDescent="0.25">
      <c r="W2928" s="574">
        <f t="shared" si="64"/>
        <v>2919</v>
      </c>
      <c r="X2928" s="564">
        <v>39</v>
      </c>
    </row>
    <row r="2929" spans="23:24" x14ac:dyDescent="0.25">
      <c r="W2929" s="574">
        <f t="shared" si="64"/>
        <v>2920</v>
      </c>
      <c r="X2929" s="564">
        <v>39</v>
      </c>
    </row>
    <row r="2930" spans="23:24" x14ac:dyDescent="0.25">
      <c r="W2930" s="574">
        <f t="shared" si="64"/>
        <v>2921</v>
      </c>
      <c r="X2930" s="564">
        <v>39</v>
      </c>
    </row>
    <row r="2931" spans="23:24" x14ac:dyDescent="0.25">
      <c r="W2931" s="574">
        <f t="shared" si="64"/>
        <v>2922</v>
      </c>
      <c r="X2931" s="564">
        <v>39</v>
      </c>
    </row>
    <row r="2932" spans="23:24" x14ac:dyDescent="0.25">
      <c r="W2932" s="574">
        <f t="shared" si="64"/>
        <v>2923</v>
      </c>
      <c r="X2932" s="564">
        <v>39</v>
      </c>
    </row>
    <row r="2933" spans="23:24" x14ac:dyDescent="0.25">
      <c r="W2933" s="574">
        <f t="shared" si="64"/>
        <v>2924</v>
      </c>
      <c r="X2933" s="564">
        <v>39</v>
      </c>
    </row>
    <row r="2934" spans="23:24" x14ac:dyDescent="0.25">
      <c r="W2934" s="574">
        <f t="shared" si="64"/>
        <v>2925</v>
      </c>
      <c r="X2934" s="564">
        <v>39</v>
      </c>
    </row>
    <row r="2935" spans="23:24" x14ac:dyDescent="0.25">
      <c r="W2935" s="574">
        <f t="shared" si="64"/>
        <v>2926</v>
      </c>
      <c r="X2935" s="564">
        <v>39</v>
      </c>
    </row>
    <row r="2936" spans="23:24" x14ac:dyDescent="0.25">
      <c r="W2936" s="574">
        <f t="shared" si="64"/>
        <v>2927</v>
      </c>
      <c r="X2936" s="564">
        <v>39</v>
      </c>
    </row>
    <row r="2937" spans="23:24" x14ac:dyDescent="0.25">
      <c r="W2937" s="574">
        <f t="shared" si="64"/>
        <v>2928</v>
      </c>
      <c r="X2937" s="564">
        <v>39</v>
      </c>
    </row>
    <row r="2938" spans="23:24" x14ac:dyDescent="0.25">
      <c r="W2938" s="574">
        <f t="shared" si="64"/>
        <v>2929</v>
      </c>
      <c r="X2938" s="564">
        <v>39</v>
      </c>
    </row>
    <row r="2939" spans="23:24" x14ac:dyDescent="0.25">
      <c r="W2939" s="574">
        <f t="shared" si="64"/>
        <v>2930</v>
      </c>
      <c r="X2939" s="564">
        <v>39</v>
      </c>
    </row>
    <row r="2940" spans="23:24" x14ac:dyDescent="0.25">
      <c r="W2940" s="574">
        <f t="shared" si="64"/>
        <v>2931</v>
      </c>
      <c r="X2940" s="564">
        <v>39</v>
      </c>
    </row>
    <row r="2941" spans="23:24" x14ac:dyDescent="0.25">
      <c r="W2941" s="574">
        <f t="shared" si="64"/>
        <v>2932</v>
      </c>
      <c r="X2941" s="564">
        <v>39</v>
      </c>
    </row>
    <row r="2942" spans="23:24" x14ac:dyDescent="0.25">
      <c r="W2942" s="574">
        <f t="shared" si="64"/>
        <v>2933</v>
      </c>
      <c r="X2942" s="564">
        <v>39</v>
      </c>
    </row>
    <row r="2943" spans="23:24" x14ac:dyDescent="0.25">
      <c r="W2943" s="574">
        <f t="shared" si="64"/>
        <v>2934</v>
      </c>
      <c r="X2943" s="564">
        <v>39</v>
      </c>
    </row>
    <row r="2944" spans="23:24" x14ac:dyDescent="0.25">
      <c r="W2944" s="574">
        <f t="shared" si="64"/>
        <v>2935</v>
      </c>
      <c r="X2944" s="564">
        <v>39</v>
      </c>
    </row>
    <row r="2945" spans="23:24" x14ac:dyDescent="0.25">
      <c r="W2945" s="574">
        <f t="shared" si="64"/>
        <v>2936</v>
      </c>
      <c r="X2945" s="564">
        <v>39</v>
      </c>
    </row>
    <row r="2946" spans="23:24" x14ac:dyDescent="0.25">
      <c r="W2946" s="574">
        <f t="shared" si="64"/>
        <v>2937</v>
      </c>
      <c r="X2946" s="564">
        <v>39</v>
      </c>
    </row>
    <row r="2947" spans="23:24" x14ac:dyDescent="0.25">
      <c r="W2947" s="574">
        <f t="shared" si="64"/>
        <v>2938</v>
      </c>
      <c r="X2947" s="564">
        <v>39</v>
      </c>
    </row>
    <row r="2948" spans="23:24" x14ac:dyDescent="0.25">
      <c r="W2948" s="574">
        <f t="shared" si="64"/>
        <v>2939</v>
      </c>
      <c r="X2948" s="564">
        <v>39</v>
      </c>
    </row>
    <row r="2949" spans="23:24" x14ac:dyDescent="0.25">
      <c r="W2949" s="574">
        <f t="shared" si="64"/>
        <v>2940</v>
      </c>
      <c r="X2949" s="564">
        <v>39</v>
      </c>
    </row>
    <row r="2950" spans="23:24" x14ac:dyDescent="0.25">
      <c r="W2950" s="574">
        <f t="shared" si="64"/>
        <v>2941</v>
      </c>
      <c r="X2950" s="564">
        <v>39</v>
      </c>
    </row>
    <row r="2951" spans="23:24" x14ac:dyDescent="0.25">
      <c r="W2951" s="574">
        <f t="shared" si="64"/>
        <v>2942</v>
      </c>
      <c r="X2951" s="564">
        <v>39</v>
      </c>
    </row>
    <row r="2952" spans="23:24" x14ac:dyDescent="0.25">
      <c r="W2952" s="574">
        <f t="shared" si="64"/>
        <v>2943</v>
      </c>
      <c r="X2952" s="564">
        <v>39</v>
      </c>
    </row>
    <row r="2953" spans="23:24" x14ac:dyDescent="0.25">
      <c r="W2953" s="574">
        <f t="shared" si="64"/>
        <v>2944</v>
      </c>
      <c r="X2953" s="564">
        <v>39</v>
      </c>
    </row>
    <row r="2954" spans="23:24" x14ac:dyDescent="0.25">
      <c r="W2954" s="574">
        <f t="shared" si="64"/>
        <v>2945</v>
      </c>
      <c r="X2954" s="564">
        <v>39</v>
      </c>
    </row>
    <row r="2955" spans="23:24" x14ac:dyDescent="0.25">
      <c r="W2955" s="574">
        <f t="shared" si="64"/>
        <v>2946</v>
      </c>
      <c r="X2955" s="564">
        <v>39</v>
      </c>
    </row>
    <row r="2956" spans="23:24" x14ac:dyDescent="0.25">
      <c r="W2956" s="574">
        <f t="shared" si="64"/>
        <v>2947</v>
      </c>
      <c r="X2956" s="564">
        <v>39</v>
      </c>
    </row>
    <row r="2957" spans="23:24" x14ac:dyDescent="0.25">
      <c r="W2957" s="574">
        <f t="shared" si="64"/>
        <v>2948</v>
      </c>
      <c r="X2957" s="564">
        <v>39</v>
      </c>
    </row>
    <row r="2958" spans="23:24" x14ac:dyDescent="0.25">
      <c r="W2958" s="574">
        <f t="shared" si="64"/>
        <v>2949</v>
      </c>
      <c r="X2958" s="564">
        <v>39</v>
      </c>
    </row>
    <row r="2959" spans="23:24" x14ac:dyDescent="0.25">
      <c r="W2959" s="574">
        <f t="shared" si="64"/>
        <v>2950</v>
      </c>
      <c r="X2959" s="564">
        <v>39</v>
      </c>
    </row>
    <row r="2960" spans="23:24" x14ac:dyDescent="0.25">
      <c r="W2960" s="574">
        <f t="shared" si="64"/>
        <v>2951</v>
      </c>
      <c r="X2960" s="564">
        <v>39</v>
      </c>
    </row>
    <row r="2961" spans="23:24" x14ac:dyDescent="0.25">
      <c r="W2961" s="574">
        <f t="shared" si="64"/>
        <v>2952</v>
      </c>
      <c r="X2961" s="564">
        <v>39</v>
      </c>
    </row>
    <row r="2962" spans="23:24" x14ac:dyDescent="0.25">
      <c r="W2962" s="574">
        <f t="shared" si="64"/>
        <v>2953</v>
      </c>
      <c r="X2962" s="564">
        <v>39</v>
      </c>
    </row>
    <row r="2963" spans="23:24" x14ac:dyDescent="0.25">
      <c r="W2963" s="574">
        <f t="shared" si="64"/>
        <v>2954</v>
      </c>
      <c r="X2963" s="564">
        <v>39</v>
      </c>
    </row>
    <row r="2964" spans="23:24" x14ac:dyDescent="0.25">
      <c r="W2964" s="574">
        <f t="shared" si="64"/>
        <v>2955</v>
      </c>
      <c r="X2964" s="564">
        <v>39</v>
      </c>
    </row>
    <row r="2965" spans="23:24" x14ac:dyDescent="0.25">
      <c r="W2965" s="574">
        <f t="shared" si="64"/>
        <v>2956</v>
      </c>
      <c r="X2965" s="564">
        <v>39</v>
      </c>
    </row>
    <row r="2966" spans="23:24" x14ac:dyDescent="0.25">
      <c r="W2966" s="574">
        <f t="shared" si="64"/>
        <v>2957</v>
      </c>
      <c r="X2966" s="564">
        <v>39</v>
      </c>
    </row>
    <row r="2967" spans="23:24" x14ac:dyDescent="0.25">
      <c r="W2967" s="574">
        <f t="shared" si="64"/>
        <v>2958</v>
      </c>
      <c r="X2967" s="564">
        <v>39</v>
      </c>
    </row>
    <row r="2968" spans="23:24" x14ac:dyDescent="0.25">
      <c r="W2968" s="574">
        <f t="shared" si="64"/>
        <v>2959</v>
      </c>
      <c r="X2968" s="564">
        <v>39</v>
      </c>
    </row>
    <row r="2969" spans="23:24" x14ac:dyDescent="0.25">
      <c r="W2969" s="574">
        <f t="shared" si="64"/>
        <v>2960</v>
      </c>
      <c r="X2969" s="564">
        <v>39</v>
      </c>
    </row>
    <row r="2970" spans="23:24" x14ac:dyDescent="0.25">
      <c r="W2970" s="574">
        <f t="shared" ref="W2970:W3033" si="65">W2969+1</f>
        <v>2961</v>
      </c>
      <c r="X2970" s="564">
        <v>39</v>
      </c>
    </row>
    <row r="2971" spans="23:24" x14ac:dyDescent="0.25">
      <c r="W2971" s="574">
        <f t="shared" si="65"/>
        <v>2962</v>
      </c>
      <c r="X2971" s="564">
        <v>39</v>
      </c>
    </row>
    <row r="2972" spans="23:24" x14ac:dyDescent="0.25">
      <c r="W2972" s="574">
        <f t="shared" si="65"/>
        <v>2963</v>
      </c>
      <c r="X2972" s="564">
        <v>39</v>
      </c>
    </row>
    <row r="2973" spans="23:24" x14ac:dyDescent="0.25">
      <c r="W2973" s="574">
        <f t="shared" si="65"/>
        <v>2964</v>
      </c>
      <c r="X2973" s="564">
        <v>39</v>
      </c>
    </row>
    <row r="2974" spans="23:24" x14ac:dyDescent="0.25">
      <c r="W2974" s="574">
        <f t="shared" si="65"/>
        <v>2965</v>
      </c>
      <c r="X2974" s="564">
        <v>39</v>
      </c>
    </row>
    <row r="2975" spans="23:24" x14ac:dyDescent="0.25">
      <c r="W2975" s="574">
        <f t="shared" si="65"/>
        <v>2966</v>
      </c>
      <c r="X2975" s="564">
        <v>39</v>
      </c>
    </row>
    <row r="2976" spans="23:24" x14ac:dyDescent="0.25">
      <c r="W2976" s="574">
        <f t="shared" si="65"/>
        <v>2967</v>
      </c>
      <c r="X2976" s="564">
        <v>39</v>
      </c>
    </row>
    <row r="2977" spans="23:24" x14ac:dyDescent="0.25">
      <c r="W2977" s="574">
        <f t="shared" si="65"/>
        <v>2968</v>
      </c>
      <c r="X2977" s="564">
        <v>39</v>
      </c>
    </row>
    <row r="2978" spans="23:24" x14ac:dyDescent="0.25">
      <c r="W2978" s="574">
        <f t="shared" si="65"/>
        <v>2969</v>
      </c>
      <c r="X2978" s="564">
        <v>39</v>
      </c>
    </row>
    <row r="2979" spans="23:24" x14ac:dyDescent="0.25">
      <c r="W2979" s="574">
        <f t="shared" si="65"/>
        <v>2970</v>
      </c>
      <c r="X2979" s="564">
        <v>39</v>
      </c>
    </row>
    <row r="2980" spans="23:24" x14ac:dyDescent="0.25">
      <c r="W2980" s="574">
        <f t="shared" si="65"/>
        <v>2971</v>
      </c>
      <c r="X2980" s="564">
        <v>39</v>
      </c>
    </row>
    <row r="2981" spans="23:24" x14ac:dyDescent="0.25">
      <c r="W2981" s="574">
        <f t="shared" si="65"/>
        <v>2972</v>
      </c>
      <c r="X2981" s="564">
        <v>39</v>
      </c>
    </row>
    <row r="2982" spans="23:24" x14ac:dyDescent="0.25">
      <c r="W2982" s="574">
        <f t="shared" si="65"/>
        <v>2973</v>
      </c>
      <c r="X2982" s="564">
        <v>39</v>
      </c>
    </row>
    <row r="2983" spans="23:24" x14ac:dyDescent="0.25">
      <c r="W2983" s="574">
        <f t="shared" si="65"/>
        <v>2974</v>
      </c>
      <c r="X2983" s="564">
        <v>39</v>
      </c>
    </row>
    <row r="2984" spans="23:24" x14ac:dyDescent="0.25">
      <c r="W2984" s="574">
        <f t="shared" si="65"/>
        <v>2975</v>
      </c>
      <c r="X2984" s="564">
        <v>39</v>
      </c>
    </row>
    <row r="2985" spans="23:24" x14ac:dyDescent="0.25">
      <c r="W2985" s="574">
        <f t="shared" si="65"/>
        <v>2976</v>
      </c>
      <c r="X2985" s="564">
        <v>39</v>
      </c>
    </row>
    <row r="2986" spans="23:24" x14ac:dyDescent="0.25">
      <c r="W2986" s="574">
        <f t="shared" si="65"/>
        <v>2977</v>
      </c>
      <c r="X2986" s="564">
        <v>39</v>
      </c>
    </row>
    <row r="2987" spans="23:24" x14ac:dyDescent="0.25">
      <c r="W2987" s="574">
        <f t="shared" si="65"/>
        <v>2978</v>
      </c>
      <c r="X2987" s="564">
        <v>39</v>
      </c>
    </row>
    <row r="2988" spans="23:24" x14ac:dyDescent="0.25">
      <c r="W2988" s="574">
        <f t="shared" si="65"/>
        <v>2979</v>
      </c>
      <c r="X2988" s="564">
        <v>39</v>
      </c>
    </row>
    <row r="2989" spans="23:24" x14ac:dyDescent="0.25">
      <c r="W2989" s="574">
        <f t="shared" si="65"/>
        <v>2980</v>
      </c>
      <c r="X2989" s="564">
        <v>39</v>
      </c>
    </row>
    <row r="2990" spans="23:24" x14ac:dyDescent="0.25">
      <c r="W2990" s="574">
        <f t="shared" si="65"/>
        <v>2981</v>
      </c>
      <c r="X2990" s="564">
        <v>39</v>
      </c>
    </row>
    <row r="2991" spans="23:24" x14ac:dyDescent="0.25">
      <c r="W2991" s="574">
        <f t="shared" si="65"/>
        <v>2982</v>
      </c>
      <c r="X2991" s="564">
        <v>39</v>
      </c>
    </row>
    <row r="2992" spans="23:24" x14ac:dyDescent="0.25">
      <c r="W2992" s="574">
        <f t="shared" si="65"/>
        <v>2983</v>
      </c>
      <c r="X2992" s="564">
        <v>39</v>
      </c>
    </row>
    <row r="2993" spans="23:24" x14ac:dyDescent="0.25">
      <c r="W2993" s="574">
        <f t="shared" si="65"/>
        <v>2984</v>
      </c>
      <c r="X2993" s="564">
        <v>39</v>
      </c>
    </row>
    <row r="2994" spans="23:24" x14ac:dyDescent="0.25">
      <c r="W2994" s="574">
        <f t="shared" si="65"/>
        <v>2985</v>
      </c>
      <c r="X2994" s="564">
        <v>39</v>
      </c>
    </row>
    <row r="2995" spans="23:24" x14ac:dyDescent="0.25">
      <c r="W2995" s="574">
        <f t="shared" si="65"/>
        <v>2986</v>
      </c>
      <c r="X2995" s="564">
        <v>39</v>
      </c>
    </row>
    <row r="2996" spans="23:24" x14ac:dyDescent="0.25">
      <c r="W2996" s="574">
        <f t="shared" si="65"/>
        <v>2987</v>
      </c>
      <c r="X2996" s="564">
        <v>39</v>
      </c>
    </row>
    <row r="2997" spans="23:24" x14ac:dyDescent="0.25">
      <c r="W2997" s="574">
        <f t="shared" si="65"/>
        <v>2988</v>
      </c>
      <c r="X2997" s="564">
        <v>39</v>
      </c>
    </row>
    <row r="2998" spans="23:24" x14ac:dyDescent="0.25">
      <c r="W2998" s="574">
        <f t="shared" si="65"/>
        <v>2989</v>
      </c>
      <c r="X2998" s="564">
        <v>39</v>
      </c>
    </row>
    <row r="2999" spans="23:24" x14ac:dyDescent="0.25">
      <c r="W2999" s="574">
        <f t="shared" si="65"/>
        <v>2990</v>
      </c>
      <c r="X2999" s="564">
        <v>39</v>
      </c>
    </row>
    <row r="3000" spans="23:24" x14ac:dyDescent="0.25">
      <c r="W3000" s="574">
        <f t="shared" si="65"/>
        <v>2991</v>
      </c>
      <c r="X3000" s="564">
        <v>39</v>
      </c>
    </row>
    <row r="3001" spans="23:24" x14ac:dyDescent="0.25">
      <c r="W3001" s="574">
        <f t="shared" si="65"/>
        <v>2992</v>
      </c>
      <c r="X3001" s="564">
        <v>39</v>
      </c>
    </row>
    <row r="3002" spans="23:24" x14ac:dyDescent="0.25">
      <c r="W3002" s="574">
        <f t="shared" si="65"/>
        <v>2993</v>
      </c>
      <c r="X3002" s="564">
        <v>39</v>
      </c>
    </row>
    <row r="3003" spans="23:24" x14ac:dyDescent="0.25">
      <c r="W3003" s="574">
        <f t="shared" si="65"/>
        <v>2994</v>
      </c>
      <c r="X3003" s="564">
        <v>39</v>
      </c>
    </row>
    <row r="3004" spans="23:24" x14ac:dyDescent="0.25">
      <c r="W3004" s="574">
        <f t="shared" si="65"/>
        <v>2995</v>
      </c>
      <c r="X3004" s="564">
        <v>39</v>
      </c>
    </row>
    <row r="3005" spans="23:24" x14ac:dyDescent="0.25">
      <c r="W3005" s="574">
        <f t="shared" si="65"/>
        <v>2996</v>
      </c>
      <c r="X3005" s="564">
        <v>39</v>
      </c>
    </row>
    <row r="3006" spans="23:24" x14ac:dyDescent="0.25">
      <c r="W3006" s="574">
        <f t="shared" si="65"/>
        <v>2997</v>
      </c>
      <c r="X3006" s="564">
        <v>39</v>
      </c>
    </row>
    <row r="3007" spans="23:24" x14ac:dyDescent="0.25">
      <c r="W3007" s="574">
        <f t="shared" si="65"/>
        <v>2998</v>
      </c>
      <c r="X3007" s="564">
        <v>39</v>
      </c>
    </row>
    <row r="3008" spans="23:24" x14ac:dyDescent="0.25">
      <c r="W3008" s="574">
        <f t="shared" si="65"/>
        <v>2999</v>
      </c>
      <c r="X3008" s="564">
        <v>39</v>
      </c>
    </row>
    <row r="3009" spans="23:24" x14ac:dyDescent="0.25">
      <c r="W3009" s="574">
        <f t="shared" si="65"/>
        <v>3000</v>
      </c>
      <c r="X3009" s="564">
        <v>40</v>
      </c>
    </row>
    <row r="3010" spans="23:24" x14ac:dyDescent="0.25">
      <c r="W3010" s="574">
        <f t="shared" si="65"/>
        <v>3001</v>
      </c>
      <c r="X3010" s="564">
        <v>40</v>
      </c>
    </row>
    <row r="3011" spans="23:24" x14ac:dyDescent="0.25">
      <c r="W3011" s="574">
        <f t="shared" si="65"/>
        <v>3002</v>
      </c>
      <c r="X3011" s="564">
        <v>40</v>
      </c>
    </row>
    <row r="3012" spans="23:24" x14ac:dyDescent="0.25">
      <c r="W3012" s="574">
        <f t="shared" si="65"/>
        <v>3003</v>
      </c>
      <c r="X3012" s="564">
        <v>40</v>
      </c>
    </row>
    <row r="3013" spans="23:24" x14ac:dyDescent="0.25">
      <c r="W3013" s="574">
        <f t="shared" si="65"/>
        <v>3004</v>
      </c>
      <c r="X3013" s="564">
        <v>40</v>
      </c>
    </row>
    <row r="3014" spans="23:24" x14ac:dyDescent="0.25">
      <c r="W3014" s="574">
        <f t="shared" si="65"/>
        <v>3005</v>
      </c>
      <c r="X3014" s="564">
        <v>40</v>
      </c>
    </row>
    <row r="3015" spans="23:24" x14ac:dyDescent="0.25">
      <c r="W3015" s="574">
        <f t="shared" si="65"/>
        <v>3006</v>
      </c>
      <c r="X3015" s="564">
        <v>40</v>
      </c>
    </row>
    <row r="3016" spans="23:24" x14ac:dyDescent="0.25">
      <c r="W3016" s="574">
        <f t="shared" si="65"/>
        <v>3007</v>
      </c>
      <c r="X3016" s="564">
        <v>40</v>
      </c>
    </row>
    <row r="3017" spans="23:24" x14ac:dyDescent="0.25">
      <c r="W3017" s="574">
        <f t="shared" si="65"/>
        <v>3008</v>
      </c>
      <c r="X3017" s="564">
        <v>40</v>
      </c>
    </row>
    <row r="3018" spans="23:24" x14ac:dyDescent="0.25">
      <c r="W3018" s="574">
        <f t="shared" si="65"/>
        <v>3009</v>
      </c>
      <c r="X3018" s="564">
        <v>40</v>
      </c>
    </row>
    <row r="3019" spans="23:24" x14ac:dyDescent="0.25">
      <c r="W3019" s="574">
        <f t="shared" si="65"/>
        <v>3010</v>
      </c>
      <c r="X3019" s="564">
        <v>40</v>
      </c>
    </row>
    <row r="3020" spans="23:24" x14ac:dyDescent="0.25">
      <c r="W3020" s="574">
        <f t="shared" si="65"/>
        <v>3011</v>
      </c>
      <c r="X3020" s="564">
        <v>40</v>
      </c>
    </row>
    <row r="3021" spans="23:24" x14ac:dyDescent="0.25">
      <c r="W3021" s="574">
        <f t="shared" si="65"/>
        <v>3012</v>
      </c>
      <c r="X3021" s="564">
        <v>40</v>
      </c>
    </row>
    <row r="3022" spans="23:24" x14ac:dyDescent="0.25">
      <c r="W3022" s="574">
        <f t="shared" si="65"/>
        <v>3013</v>
      </c>
      <c r="X3022" s="564">
        <v>40</v>
      </c>
    </row>
    <row r="3023" spans="23:24" x14ac:dyDescent="0.25">
      <c r="W3023" s="574">
        <f t="shared" si="65"/>
        <v>3014</v>
      </c>
      <c r="X3023" s="564">
        <v>40</v>
      </c>
    </row>
    <row r="3024" spans="23:24" x14ac:dyDescent="0.25">
      <c r="W3024" s="574">
        <f t="shared" si="65"/>
        <v>3015</v>
      </c>
      <c r="X3024" s="564">
        <v>40</v>
      </c>
    </row>
    <row r="3025" spans="23:24" x14ac:dyDescent="0.25">
      <c r="W3025" s="574">
        <f t="shared" si="65"/>
        <v>3016</v>
      </c>
      <c r="X3025" s="564">
        <v>40</v>
      </c>
    </row>
    <row r="3026" spans="23:24" x14ac:dyDescent="0.25">
      <c r="W3026" s="574">
        <f t="shared" si="65"/>
        <v>3017</v>
      </c>
      <c r="X3026" s="564">
        <v>40</v>
      </c>
    </row>
    <row r="3027" spans="23:24" x14ac:dyDescent="0.25">
      <c r="W3027" s="574">
        <f t="shared" si="65"/>
        <v>3018</v>
      </c>
      <c r="X3027" s="564">
        <v>40</v>
      </c>
    </row>
    <row r="3028" spans="23:24" x14ac:dyDescent="0.25">
      <c r="W3028" s="574">
        <f t="shared" si="65"/>
        <v>3019</v>
      </c>
      <c r="X3028" s="564">
        <v>40</v>
      </c>
    </row>
    <row r="3029" spans="23:24" x14ac:dyDescent="0.25">
      <c r="W3029" s="574">
        <f t="shared" si="65"/>
        <v>3020</v>
      </c>
      <c r="X3029" s="564">
        <v>40</v>
      </c>
    </row>
    <row r="3030" spans="23:24" x14ac:dyDescent="0.25">
      <c r="W3030" s="574">
        <f t="shared" si="65"/>
        <v>3021</v>
      </c>
      <c r="X3030" s="564">
        <v>40</v>
      </c>
    </row>
    <row r="3031" spans="23:24" x14ac:dyDescent="0.25">
      <c r="W3031" s="574">
        <f t="shared" si="65"/>
        <v>3022</v>
      </c>
      <c r="X3031" s="564">
        <v>40</v>
      </c>
    </row>
    <row r="3032" spans="23:24" x14ac:dyDescent="0.25">
      <c r="W3032" s="574">
        <f t="shared" si="65"/>
        <v>3023</v>
      </c>
      <c r="X3032" s="564">
        <v>40</v>
      </c>
    </row>
    <row r="3033" spans="23:24" x14ac:dyDescent="0.25">
      <c r="W3033" s="574">
        <f t="shared" si="65"/>
        <v>3024</v>
      </c>
      <c r="X3033" s="564">
        <v>40</v>
      </c>
    </row>
    <row r="3034" spans="23:24" x14ac:dyDescent="0.25">
      <c r="W3034" s="574">
        <f t="shared" ref="W3034:W3097" si="66">W3033+1</f>
        <v>3025</v>
      </c>
      <c r="X3034" s="564">
        <v>40</v>
      </c>
    </row>
    <row r="3035" spans="23:24" x14ac:dyDescent="0.25">
      <c r="W3035" s="574">
        <f t="shared" si="66"/>
        <v>3026</v>
      </c>
      <c r="X3035" s="564">
        <v>40</v>
      </c>
    </row>
    <row r="3036" spans="23:24" x14ac:dyDescent="0.25">
      <c r="W3036" s="574">
        <f t="shared" si="66"/>
        <v>3027</v>
      </c>
      <c r="X3036" s="564">
        <v>40</v>
      </c>
    </row>
    <row r="3037" spans="23:24" x14ac:dyDescent="0.25">
      <c r="W3037" s="574">
        <f t="shared" si="66"/>
        <v>3028</v>
      </c>
      <c r="X3037" s="564">
        <v>40</v>
      </c>
    </row>
    <row r="3038" spans="23:24" x14ac:dyDescent="0.25">
      <c r="W3038" s="574">
        <f t="shared" si="66"/>
        <v>3029</v>
      </c>
      <c r="X3038" s="564">
        <v>40</v>
      </c>
    </row>
    <row r="3039" spans="23:24" x14ac:dyDescent="0.25">
      <c r="W3039" s="574">
        <f t="shared" si="66"/>
        <v>3030</v>
      </c>
      <c r="X3039" s="564">
        <v>40</v>
      </c>
    </row>
    <row r="3040" spans="23:24" x14ac:dyDescent="0.25">
      <c r="W3040" s="574">
        <f t="shared" si="66"/>
        <v>3031</v>
      </c>
      <c r="X3040" s="564">
        <v>40</v>
      </c>
    </row>
    <row r="3041" spans="23:24" x14ac:dyDescent="0.25">
      <c r="W3041" s="574">
        <f t="shared" si="66"/>
        <v>3032</v>
      </c>
      <c r="X3041" s="564">
        <v>40</v>
      </c>
    </row>
    <row r="3042" spans="23:24" x14ac:dyDescent="0.25">
      <c r="W3042" s="574">
        <f t="shared" si="66"/>
        <v>3033</v>
      </c>
      <c r="X3042" s="564">
        <v>40</v>
      </c>
    </row>
    <row r="3043" spans="23:24" x14ac:dyDescent="0.25">
      <c r="W3043" s="574">
        <f t="shared" si="66"/>
        <v>3034</v>
      </c>
      <c r="X3043" s="564">
        <v>40</v>
      </c>
    </row>
    <row r="3044" spans="23:24" x14ac:dyDescent="0.25">
      <c r="W3044" s="574">
        <f t="shared" si="66"/>
        <v>3035</v>
      </c>
      <c r="X3044" s="564">
        <v>40</v>
      </c>
    </row>
    <row r="3045" spans="23:24" x14ac:dyDescent="0.25">
      <c r="W3045" s="574">
        <f t="shared" si="66"/>
        <v>3036</v>
      </c>
      <c r="X3045" s="564">
        <v>40</v>
      </c>
    </row>
    <row r="3046" spans="23:24" x14ac:dyDescent="0.25">
      <c r="W3046" s="574">
        <f t="shared" si="66"/>
        <v>3037</v>
      </c>
      <c r="X3046" s="564">
        <v>40</v>
      </c>
    </row>
    <row r="3047" spans="23:24" x14ac:dyDescent="0.25">
      <c r="W3047" s="574">
        <f t="shared" si="66"/>
        <v>3038</v>
      </c>
      <c r="X3047" s="564">
        <v>40</v>
      </c>
    </row>
    <row r="3048" spans="23:24" x14ac:dyDescent="0.25">
      <c r="W3048" s="574">
        <f t="shared" si="66"/>
        <v>3039</v>
      </c>
      <c r="X3048" s="564">
        <v>40</v>
      </c>
    </row>
    <row r="3049" spans="23:24" x14ac:dyDescent="0.25">
      <c r="W3049" s="574">
        <f t="shared" si="66"/>
        <v>3040</v>
      </c>
      <c r="X3049" s="564">
        <v>40</v>
      </c>
    </row>
    <row r="3050" spans="23:24" x14ac:dyDescent="0.25">
      <c r="W3050" s="574">
        <f t="shared" si="66"/>
        <v>3041</v>
      </c>
      <c r="X3050" s="564">
        <v>40</v>
      </c>
    </row>
    <row r="3051" spans="23:24" x14ac:dyDescent="0.25">
      <c r="W3051" s="574">
        <f t="shared" si="66"/>
        <v>3042</v>
      </c>
      <c r="X3051" s="564">
        <v>40</v>
      </c>
    </row>
    <row r="3052" spans="23:24" x14ac:dyDescent="0.25">
      <c r="W3052" s="574">
        <f t="shared" si="66"/>
        <v>3043</v>
      </c>
      <c r="X3052" s="564">
        <v>40</v>
      </c>
    </row>
    <row r="3053" spans="23:24" x14ac:dyDescent="0.25">
      <c r="W3053" s="574">
        <f t="shared" si="66"/>
        <v>3044</v>
      </c>
      <c r="X3053" s="564">
        <v>40</v>
      </c>
    </row>
    <row r="3054" spans="23:24" x14ac:dyDescent="0.25">
      <c r="W3054" s="574">
        <f t="shared" si="66"/>
        <v>3045</v>
      </c>
      <c r="X3054" s="564">
        <v>40</v>
      </c>
    </row>
    <row r="3055" spans="23:24" x14ac:dyDescent="0.25">
      <c r="W3055" s="574">
        <f t="shared" si="66"/>
        <v>3046</v>
      </c>
      <c r="X3055" s="564">
        <v>40</v>
      </c>
    </row>
    <row r="3056" spans="23:24" x14ac:dyDescent="0.25">
      <c r="W3056" s="574">
        <f t="shared" si="66"/>
        <v>3047</v>
      </c>
      <c r="X3056" s="564">
        <v>40</v>
      </c>
    </row>
    <row r="3057" spans="23:24" x14ac:dyDescent="0.25">
      <c r="W3057" s="574">
        <f t="shared" si="66"/>
        <v>3048</v>
      </c>
      <c r="X3057" s="564">
        <v>40</v>
      </c>
    </row>
    <row r="3058" spans="23:24" x14ac:dyDescent="0.25">
      <c r="W3058" s="574">
        <f t="shared" si="66"/>
        <v>3049</v>
      </c>
      <c r="X3058" s="564">
        <v>40</v>
      </c>
    </row>
    <row r="3059" spans="23:24" x14ac:dyDescent="0.25">
      <c r="W3059" s="574">
        <f t="shared" si="66"/>
        <v>3050</v>
      </c>
      <c r="X3059" s="564">
        <v>40</v>
      </c>
    </row>
    <row r="3060" spans="23:24" x14ac:dyDescent="0.25">
      <c r="W3060" s="574">
        <f t="shared" si="66"/>
        <v>3051</v>
      </c>
      <c r="X3060" s="564">
        <v>40</v>
      </c>
    </row>
    <row r="3061" spans="23:24" x14ac:dyDescent="0.25">
      <c r="W3061" s="574">
        <f t="shared" si="66"/>
        <v>3052</v>
      </c>
      <c r="X3061" s="564">
        <v>40</v>
      </c>
    </row>
    <row r="3062" spans="23:24" x14ac:dyDescent="0.25">
      <c r="W3062" s="574">
        <f t="shared" si="66"/>
        <v>3053</v>
      </c>
      <c r="X3062" s="564">
        <v>40</v>
      </c>
    </row>
    <row r="3063" spans="23:24" x14ac:dyDescent="0.25">
      <c r="W3063" s="574">
        <f t="shared" si="66"/>
        <v>3054</v>
      </c>
      <c r="X3063" s="564">
        <v>40</v>
      </c>
    </row>
    <row r="3064" spans="23:24" x14ac:dyDescent="0.25">
      <c r="W3064" s="574">
        <f t="shared" si="66"/>
        <v>3055</v>
      </c>
      <c r="X3064" s="564">
        <v>40</v>
      </c>
    </row>
    <row r="3065" spans="23:24" x14ac:dyDescent="0.25">
      <c r="W3065" s="574">
        <f t="shared" si="66"/>
        <v>3056</v>
      </c>
      <c r="X3065" s="564">
        <v>40</v>
      </c>
    </row>
    <row r="3066" spans="23:24" x14ac:dyDescent="0.25">
      <c r="W3066" s="574">
        <f t="shared" si="66"/>
        <v>3057</v>
      </c>
      <c r="X3066" s="564">
        <v>40</v>
      </c>
    </row>
    <row r="3067" spans="23:24" x14ac:dyDescent="0.25">
      <c r="W3067" s="574">
        <f t="shared" si="66"/>
        <v>3058</v>
      </c>
      <c r="X3067" s="564">
        <v>40</v>
      </c>
    </row>
    <row r="3068" spans="23:24" x14ac:dyDescent="0.25">
      <c r="W3068" s="574">
        <f t="shared" si="66"/>
        <v>3059</v>
      </c>
      <c r="X3068" s="564">
        <v>40</v>
      </c>
    </row>
    <row r="3069" spans="23:24" x14ac:dyDescent="0.25">
      <c r="W3069" s="574">
        <f t="shared" si="66"/>
        <v>3060</v>
      </c>
      <c r="X3069" s="564">
        <v>40</v>
      </c>
    </row>
    <row r="3070" spans="23:24" x14ac:dyDescent="0.25">
      <c r="W3070" s="574">
        <f t="shared" si="66"/>
        <v>3061</v>
      </c>
      <c r="X3070" s="564">
        <v>40</v>
      </c>
    </row>
    <row r="3071" spans="23:24" x14ac:dyDescent="0.25">
      <c r="W3071" s="574">
        <f t="shared" si="66"/>
        <v>3062</v>
      </c>
      <c r="X3071" s="564">
        <v>40</v>
      </c>
    </row>
    <row r="3072" spans="23:24" x14ac:dyDescent="0.25">
      <c r="W3072" s="574">
        <f t="shared" si="66"/>
        <v>3063</v>
      </c>
      <c r="X3072" s="564">
        <v>40</v>
      </c>
    </row>
    <row r="3073" spans="23:24" x14ac:dyDescent="0.25">
      <c r="W3073" s="574">
        <f t="shared" si="66"/>
        <v>3064</v>
      </c>
      <c r="X3073" s="564">
        <v>40</v>
      </c>
    </row>
    <row r="3074" spans="23:24" x14ac:dyDescent="0.25">
      <c r="W3074" s="574">
        <f t="shared" si="66"/>
        <v>3065</v>
      </c>
      <c r="X3074" s="564">
        <v>40</v>
      </c>
    </row>
    <row r="3075" spans="23:24" x14ac:dyDescent="0.25">
      <c r="W3075" s="574">
        <f t="shared" si="66"/>
        <v>3066</v>
      </c>
      <c r="X3075" s="564">
        <v>40</v>
      </c>
    </row>
    <row r="3076" spans="23:24" x14ac:dyDescent="0.25">
      <c r="W3076" s="574">
        <f t="shared" si="66"/>
        <v>3067</v>
      </c>
      <c r="X3076" s="564">
        <v>40</v>
      </c>
    </row>
    <row r="3077" spans="23:24" x14ac:dyDescent="0.25">
      <c r="W3077" s="574">
        <f t="shared" si="66"/>
        <v>3068</v>
      </c>
      <c r="X3077" s="564">
        <v>40</v>
      </c>
    </row>
    <row r="3078" spans="23:24" x14ac:dyDescent="0.25">
      <c r="W3078" s="574">
        <f t="shared" si="66"/>
        <v>3069</v>
      </c>
      <c r="X3078" s="564">
        <v>40</v>
      </c>
    </row>
    <row r="3079" spans="23:24" x14ac:dyDescent="0.25">
      <c r="W3079" s="574">
        <f t="shared" si="66"/>
        <v>3070</v>
      </c>
      <c r="X3079" s="564">
        <v>40</v>
      </c>
    </row>
    <row r="3080" spans="23:24" x14ac:dyDescent="0.25">
      <c r="W3080" s="574">
        <f t="shared" si="66"/>
        <v>3071</v>
      </c>
      <c r="X3080" s="564">
        <v>40</v>
      </c>
    </row>
    <row r="3081" spans="23:24" x14ac:dyDescent="0.25">
      <c r="W3081" s="574">
        <f t="shared" si="66"/>
        <v>3072</v>
      </c>
      <c r="X3081" s="564">
        <v>40</v>
      </c>
    </row>
    <row r="3082" spans="23:24" x14ac:dyDescent="0.25">
      <c r="W3082" s="574">
        <f t="shared" si="66"/>
        <v>3073</v>
      </c>
      <c r="X3082" s="564">
        <v>40</v>
      </c>
    </row>
    <row r="3083" spans="23:24" x14ac:dyDescent="0.25">
      <c r="W3083" s="574">
        <f t="shared" si="66"/>
        <v>3074</v>
      </c>
      <c r="X3083" s="564">
        <v>40</v>
      </c>
    </row>
    <row r="3084" spans="23:24" x14ac:dyDescent="0.25">
      <c r="W3084" s="574">
        <f t="shared" si="66"/>
        <v>3075</v>
      </c>
      <c r="X3084" s="564">
        <v>40</v>
      </c>
    </row>
    <row r="3085" spans="23:24" x14ac:dyDescent="0.25">
      <c r="W3085" s="574">
        <f t="shared" si="66"/>
        <v>3076</v>
      </c>
      <c r="X3085" s="564">
        <v>40</v>
      </c>
    </row>
    <row r="3086" spans="23:24" x14ac:dyDescent="0.25">
      <c r="W3086" s="574">
        <f t="shared" si="66"/>
        <v>3077</v>
      </c>
      <c r="X3086" s="564">
        <v>40</v>
      </c>
    </row>
    <row r="3087" spans="23:24" x14ac:dyDescent="0.25">
      <c r="W3087" s="574">
        <f t="shared" si="66"/>
        <v>3078</v>
      </c>
      <c r="X3087" s="564">
        <v>40</v>
      </c>
    </row>
    <row r="3088" spans="23:24" x14ac:dyDescent="0.25">
      <c r="W3088" s="574">
        <f t="shared" si="66"/>
        <v>3079</v>
      </c>
      <c r="X3088" s="564">
        <v>40</v>
      </c>
    </row>
    <row r="3089" spans="23:24" x14ac:dyDescent="0.25">
      <c r="W3089" s="574">
        <f t="shared" si="66"/>
        <v>3080</v>
      </c>
      <c r="X3089" s="564">
        <v>40</v>
      </c>
    </row>
    <row r="3090" spans="23:24" x14ac:dyDescent="0.25">
      <c r="W3090" s="574">
        <f t="shared" si="66"/>
        <v>3081</v>
      </c>
      <c r="X3090" s="564">
        <v>40</v>
      </c>
    </row>
    <row r="3091" spans="23:24" x14ac:dyDescent="0.25">
      <c r="W3091" s="574">
        <f t="shared" si="66"/>
        <v>3082</v>
      </c>
      <c r="X3091" s="564">
        <v>40</v>
      </c>
    </row>
    <row r="3092" spans="23:24" x14ac:dyDescent="0.25">
      <c r="W3092" s="574">
        <f t="shared" si="66"/>
        <v>3083</v>
      </c>
      <c r="X3092" s="564">
        <v>40</v>
      </c>
    </row>
    <row r="3093" spans="23:24" x14ac:dyDescent="0.25">
      <c r="W3093" s="574">
        <f t="shared" si="66"/>
        <v>3084</v>
      </c>
      <c r="X3093" s="564">
        <v>40</v>
      </c>
    </row>
    <row r="3094" spans="23:24" x14ac:dyDescent="0.25">
      <c r="W3094" s="574">
        <f t="shared" si="66"/>
        <v>3085</v>
      </c>
      <c r="X3094" s="564">
        <v>40</v>
      </c>
    </row>
    <row r="3095" spans="23:24" x14ac:dyDescent="0.25">
      <c r="W3095" s="574">
        <f t="shared" si="66"/>
        <v>3086</v>
      </c>
      <c r="X3095" s="564">
        <v>40</v>
      </c>
    </row>
    <row r="3096" spans="23:24" x14ac:dyDescent="0.25">
      <c r="W3096" s="574">
        <f t="shared" si="66"/>
        <v>3087</v>
      </c>
      <c r="X3096" s="564">
        <v>40</v>
      </c>
    </row>
    <row r="3097" spans="23:24" x14ac:dyDescent="0.25">
      <c r="W3097" s="574">
        <f t="shared" si="66"/>
        <v>3088</v>
      </c>
      <c r="X3097" s="564">
        <v>40</v>
      </c>
    </row>
    <row r="3098" spans="23:24" x14ac:dyDescent="0.25">
      <c r="W3098" s="574">
        <f t="shared" ref="W3098:W3161" si="67">W3097+1</f>
        <v>3089</v>
      </c>
      <c r="X3098" s="564">
        <v>40</v>
      </c>
    </row>
    <row r="3099" spans="23:24" x14ac:dyDescent="0.25">
      <c r="W3099" s="574">
        <f t="shared" si="67"/>
        <v>3090</v>
      </c>
      <c r="X3099" s="564">
        <v>40</v>
      </c>
    </row>
    <row r="3100" spans="23:24" x14ac:dyDescent="0.25">
      <c r="W3100" s="574">
        <f t="shared" si="67"/>
        <v>3091</v>
      </c>
      <c r="X3100" s="564">
        <v>40</v>
      </c>
    </row>
    <row r="3101" spans="23:24" x14ac:dyDescent="0.25">
      <c r="W3101" s="574">
        <f t="shared" si="67"/>
        <v>3092</v>
      </c>
      <c r="X3101" s="564">
        <v>40</v>
      </c>
    </row>
    <row r="3102" spans="23:24" x14ac:dyDescent="0.25">
      <c r="W3102" s="574">
        <f t="shared" si="67"/>
        <v>3093</v>
      </c>
      <c r="X3102" s="564">
        <v>40</v>
      </c>
    </row>
    <row r="3103" spans="23:24" x14ac:dyDescent="0.25">
      <c r="W3103" s="574">
        <f t="shared" si="67"/>
        <v>3094</v>
      </c>
      <c r="X3103" s="564">
        <v>40</v>
      </c>
    </row>
    <row r="3104" spans="23:24" x14ac:dyDescent="0.25">
      <c r="W3104" s="574">
        <f t="shared" si="67"/>
        <v>3095</v>
      </c>
      <c r="X3104" s="564">
        <v>40</v>
      </c>
    </row>
    <row r="3105" spans="23:24" x14ac:dyDescent="0.25">
      <c r="W3105" s="574">
        <f t="shared" si="67"/>
        <v>3096</v>
      </c>
      <c r="X3105" s="564">
        <v>40</v>
      </c>
    </row>
    <row r="3106" spans="23:24" x14ac:dyDescent="0.25">
      <c r="W3106" s="574">
        <f t="shared" si="67"/>
        <v>3097</v>
      </c>
      <c r="X3106" s="564">
        <v>40</v>
      </c>
    </row>
    <row r="3107" spans="23:24" x14ac:dyDescent="0.25">
      <c r="W3107" s="574">
        <f t="shared" si="67"/>
        <v>3098</v>
      </c>
      <c r="X3107" s="564">
        <v>40</v>
      </c>
    </row>
    <row r="3108" spans="23:24" x14ac:dyDescent="0.25">
      <c r="W3108" s="574">
        <f t="shared" si="67"/>
        <v>3099</v>
      </c>
      <c r="X3108" s="564">
        <v>40</v>
      </c>
    </row>
    <row r="3109" spans="23:24" x14ac:dyDescent="0.25">
      <c r="W3109" s="574">
        <f t="shared" si="67"/>
        <v>3100</v>
      </c>
      <c r="X3109" s="564">
        <v>40</v>
      </c>
    </row>
    <row r="3110" spans="23:24" x14ac:dyDescent="0.25">
      <c r="W3110" s="574">
        <f t="shared" si="67"/>
        <v>3101</v>
      </c>
      <c r="X3110" s="564">
        <v>40</v>
      </c>
    </row>
    <row r="3111" spans="23:24" x14ac:dyDescent="0.25">
      <c r="W3111" s="574">
        <f t="shared" si="67"/>
        <v>3102</v>
      </c>
      <c r="X3111" s="564">
        <v>40</v>
      </c>
    </row>
    <row r="3112" spans="23:24" x14ac:dyDescent="0.25">
      <c r="W3112" s="574">
        <f t="shared" si="67"/>
        <v>3103</v>
      </c>
      <c r="X3112" s="564">
        <v>40</v>
      </c>
    </row>
    <row r="3113" spans="23:24" x14ac:dyDescent="0.25">
      <c r="W3113" s="574">
        <f t="shared" si="67"/>
        <v>3104</v>
      </c>
      <c r="X3113" s="564">
        <v>40</v>
      </c>
    </row>
    <row r="3114" spans="23:24" x14ac:dyDescent="0.25">
      <c r="W3114" s="574">
        <f t="shared" si="67"/>
        <v>3105</v>
      </c>
      <c r="X3114" s="564">
        <v>40</v>
      </c>
    </row>
    <row r="3115" spans="23:24" x14ac:dyDescent="0.25">
      <c r="W3115" s="574">
        <f t="shared" si="67"/>
        <v>3106</v>
      </c>
      <c r="X3115" s="564">
        <v>40</v>
      </c>
    </row>
    <row r="3116" spans="23:24" x14ac:dyDescent="0.25">
      <c r="W3116" s="574">
        <f t="shared" si="67"/>
        <v>3107</v>
      </c>
      <c r="X3116" s="564">
        <v>40</v>
      </c>
    </row>
    <row r="3117" spans="23:24" x14ac:dyDescent="0.25">
      <c r="W3117" s="574">
        <f t="shared" si="67"/>
        <v>3108</v>
      </c>
      <c r="X3117" s="564">
        <v>40</v>
      </c>
    </row>
    <row r="3118" spans="23:24" x14ac:dyDescent="0.25">
      <c r="W3118" s="574">
        <f t="shared" si="67"/>
        <v>3109</v>
      </c>
      <c r="X3118" s="564">
        <v>40</v>
      </c>
    </row>
    <row r="3119" spans="23:24" x14ac:dyDescent="0.25">
      <c r="W3119" s="574">
        <f t="shared" si="67"/>
        <v>3110</v>
      </c>
      <c r="X3119" s="564">
        <v>40</v>
      </c>
    </row>
    <row r="3120" spans="23:24" x14ac:dyDescent="0.25">
      <c r="W3120" s="574">
        <f t="shared" si="67"/>
        <v>3111</v>
      </c>
      <c r="X3120" s="564">
        <v>40</v>
      </c>
    </row>
    <row r="3121" spans="23:24" x14ac:dyDescent="0.25">
      <c r="W3121" s="574">
        <f t="shared" si="67"/>
        <v>3112</v>
      </c>
      <c r="X3121" s="564">
        <v>40</v>
      </c>
    </row>
    <row r="3122" spans="23:24" x14ac:dyDescent="0.25">
      <c r="W3122" s="574">
        <f t="shared" si="67"/>
        <v>3113</v>
      </c>
      <c r="X3122" s="564">
        <v>40</v>
      </c>
    </row>
    <row r="3123" spans="23:24" x14ac:dyDescent="0.25">
      <c r="W3123" s="574">
        <f t="shared" si="67"/>
        <v>3114</v>
      </c>
      <c r="X3123" s="564">
        <v>40</v>
      </c>
    </row>
    <row r="3124" spans="23:24" x14ac:dyDescent="0.25">
      <c r="W3124" s="574">
        <f t="shared" si="67"/>
        <v>3115</v>
      </c>
      <c r="X3124" s="564">
        <v>40</v>
      </c>
    </row>
    <row r="3125" spans="23:24" x14ac:dyDescent="0.25">
      <c r="W3125" s="574">
        <f t="shared" si="67"/>
        <v>3116</v>
      </c>
      <c r="X3125" s="564">
        <v>40</v>
      </c>
    </row>
    <row r="3126" spans="23:24" x14ac:dyDescent="0.25">
      <c r="W3126" s="574">
        <f t="shared" si="67"/>
        <v>3117</v>
      </c>
      <c r="X3126" s="564">
        <v>40</v>
      </c>
    </row>
    <row r="3127" spans="23:24" x14ac:dyDescent="0.25">
      <c r="W3127" s="574">
        <f t="shared" si="67"/>
        <v>3118</v>
      </c>
      <c r="X3127" s="564">
        <v>40</v>
      </c>
    </row>
    <row r="3128" spans="23:24" x14ac:dyDescent="0.25">
      <c r="W3128" s="574">
        <f t="shared" si="67"/>
        <v>3119</v>
      </c>
      <c r="X3128" s="564">
        <v>40</v>
      </c>
    </row>
    <row r="3129" spans="23:24" x14ac:dyDescent="0.25">
      <c r="W3129" s="574">
        <f t="shared" si="67"/>
        <v>3120</v>
      </c>
      <c r="X3129" s="564">
        <v>40</v>
      </c>
    </row>
    <row r="3130" spans="23:24" x14ac:dyDescent="0.25">
      <c r="W3130" s="574">
        <f t="shared" si="67"/>
        <v>3121</v>
      </c>
      <c r="X3130" s="564">
        <v>40</v>
      </c>
    </row>
    <row r="3131" spans="23:24" x14ac:dyDescent="0.25">
      <c r="W3131" s="574">
        <f t="shared" si="67"/>
        <v>3122</v>
      </c>
      <c r="X3131" s="564">
        <v>40</v>
      </c>
    </row>
    <row r="3132" spans="23:24" x14ac:dyDescent="0.25">
      <c r="W3132" s="574">
        <f t="shared" si="67"/>
        <v>3123</v>
      </c>
      <c r="X3132" s="564">
        <v>40</v>
      </c>
    </row>
    <row r="3133" spans="23:24" x14ac:dyDescent="0.25">
      <c r="W3133" s="574">
        <f t="shared" si="67"/>
        <v>3124</v>
      </c>
      <c r="X3133" s="564">
        <v>40</v>
      </c>
    </row>
    <row r="3134" spans="23:24" x14ac:dyDescent="0.25">
      <c r="W3134" s="574">
        <f t="shared" si="67"/>
        <v>3125</v>
      </c>
      <c r="X3134" s="564">
        <v>40</v>
      </c>
    </row>
    <row r="3135" spans="23:24" x14ac:dyDescent="0.25">
      <c r="W3135" s="574">
        <f t="shared" si="67"/>
        <v>3126</v>
      </c>
      <c r="X3135" s="564">
        <v>40</v>
      </c>
    </row>
    <row r="3136" spans="23:24" x14ac:dyDescent="0.25">
      <c r="W3136" s="574">
        <f t="shared" si="67"/>
        <v>3127</v>
      </c>
      <c r="X3136" s="564">
        <v>40</v>
      </c>
    </row>
    <row r="3137" spans="23:24" x14ac:dyDescent="0.25">
      <c r="W3137" s="574">
        <f t="shared" si="67"/>
        <v>3128</v>
      </c>
      <c r="X3137" s="564">
        <v>40</v>
      </c>
    </row>
    <row r="3138" spans="23:24" x14ac:dyDescent="0.25">
      <c r="W3138" s="574">
        <f t="shared" si="67"/>
        <v>3129</v>
      </c>
      <c r="X3138" s="564">
        <v>40</v>
      </c>
    </row>
    <row r="3139" spans="23:24" x14ac:dyDescent="0.25">
      <c r="W3139" s="574">
        <f t="shared" si="67"/>
        <v>3130</v>
      </c>
      <c r="X3139" s="564">
        <v>40</v>
      </c>
    </row>
    <row r="3140" spans="23:24" x14ac:dyDescent="0.25">
      <c r="W3140" s="574">
        <f t="shared" si="67"/>
        <v>3131</v>
      </c>
      <c r="X3140" s="564">
        <v>40</v>
      </c>
    </row>
    <row r="3141" spans="23:24" x14ac:dyDescent="0.25">
      <c r="W3141" s="574">
        <f t="shared" si="67"/>
        <v>3132</v>
      </c>
      <c r="X3141" s="564">
        <v>40</v>
      </c>
    </row>
    <row r="3142" spans="23:24" x14ac:dyDescent="0.25">
      <c r="W3142" s="574">
        <f t="shared" si="67"/>
        <v>3133</v>
      </c>
      <c r="X3142" s="564">
        <v>40</v>
      </c>
    </row>
    <row r="3143" spans="23:24" x14ac:dyDescent="0.25">
      <c r="W3143" s="574">
        <f t="shared" si="67"/>
        <v>3134</v>
      </c>
      <c r="X3143" s="564">
        <v>40</v>
      </c>
    </row>
    <row r="3144" spans="23:24" x14ac:dyDescent="0.25">
      <c r="W3144" s="574">
        <f t="shared" si="67"/>
        <v>3135</v>
      </c>
      <c r="X3144" s="564">
        <v>40</v>
      </c>
    </row>
    <row r="3145" spans="23:24" x14ac:dyDescent="0.25">
      <c r="W3145" s="574">
        <f t="shared" si="67"/>
        <v>3136</v>
      </c>
      <c r="X3145" s="564">
        <v>40</v>
      </c>
    </row>
    <row r="3146" spans="23:24" x14ac:dyDescent="0.25">
      <c r="W3146" s="574">
        <f t="shared" si="67"/>
        <v>3137</v>
      </c>
      <c r="X3146" s="564">
        <v>40</v>
      </c>
    </row>
    <row r="3147" spans="23:24" x14ac:dyDescent="0.25">
      <c r="W3147" s="574">
        <f t="shared" si="67"/>
        <v>3138</v>
      </c>
      <c r="X3147" s="564">
        <v>40</v>
      </c>
    </row>
    <row r="3148" spans="23:24" x14ac:dyDescent="0.25">
      <c r="W3148" s="574">
        <f t="shared" si="67"/>
        <v>3139</v>
      </c>
      <c r="X3148" s="564">
        <v>40</v>
      </c>
    </row>
    <row r="3149" spans="23:24" x14ac:dyDescent="0.25">
      <c r="W3149" s="574">
        <f t="shared" si="67"/>
        <v>3140</v>
      </c>
      <c r="X3149" s="564">
        <v>40</v>
      </c>
    </row>
    <row r="3150" spans="23:24" x14ac:dyDescent="0.25">
      <c r="W3150" s="574">
        <f t="shared" si="67"/>
        <v>3141</v>
      </c>
      <c r="X3150" s="564">
        <v>40</v>
      </c>
    </row>
    <row r="3151" spans="23:24" x14ac:dyDescent="0.25">
      <c r="W3151" s="574">
        <f t="shared" si="67"/>
        <v>3142</v>
      </c>
      <c r="X3151" s="564">
        <v>40</v>
      </c>
    </row>
    <row r="3152" spans="23:24" x14ac:dyDescent="0.25">
      <c r="W3152" s="574">
        <f t="shared" si="67"/>
        <v>3143</v>
      </c>
      <c r="X3152" s="564">
        <v>40</v>
      </c>
    </row>
    <row r="3153" spans="23:24" x14ac:dyDescent="0.25">
      <c r="W3153" s="574">
        <f t="shared" si="67"/>
        <v>3144</v>
      </c>
      <c r="X3153" s="564">
        <v>40</v>
      </c>
    </row>
    <row r="3154" spans="23:24" x14ac:dyDescent="0.25">
      <c r="W3154" s="574">
        <f t="shared" si="67"/>
        <v>3145</v>
      </c>
      <c r="X3154" s="564">
        <v>40</v>
      </c>
    </row>
    <row r="3155" spans="23:24" x14ac:dyDescent="0.25">
      <c r="W3155" s="574">
        <f t="shared" si="67"/>
        <v>3146</v>
      </c>
      <c r="X3155" s="564">
        <v>40</v>
      </c>
    </row>
    <row r="3156" spans="23:24" x14ac:dyDescent="0.25">
      <c r="W3156" s="574">
        <f t="shared" si="67"/>
        <v>3147</v>
      </c>
      <c r="X3156" s="564">
        <v>40</v>
      </c>
    </row>
    <row r="3157" spans="23:24" x14ac:dyDescent="0.25">
      <c r="W3157" s="574">
        <f t="shared" si="67"/>
        <v>3148</v>
      </c>
      <c r="X3157" s="564">
        <v>40</v>
      </c>
    </row>
    <row r="3158" spans="23:24" x14ac:dyDescent="0.25">
      <c r="W3158" s="574">
        <f t="shared" si="67"/>
        <v>3149</v>
      </c>
      <c r="X3158" s="564">
        <v>40</v>
      </c>
    </row>
    <row r="3159" spans="23:24" x14ac:dyDescent="0.25">
      <c r="W3159" s="574">
        <f t="shared" si="67"/>
        <v>3150</v>
      </c>
      <c r="X3159" s="564">
        <v>40</v>
      </c>
    </row>
    <row r="3160" spans="23:24" x14ac:dyDescent="0.25">
      <c r="W3160" s="574">
        <f t="shared" si="67"/>
        <v>3151</v>
      </c>
      <c r="X3160" s="564">
        <v>40</v>
      </c>
    </row>
    <row r="3161" spans="23:24" x14ac:dyDescent="0.25">
      <c r="W3161" s="574">
        <f t="shared" si="67"/>
        <v>3152</v>
      </c>
      <c r="X3161" s="564">
        <v>40</v>
      </c>
    </row>
    <row r="3162" spans="23:24" x14ac:dyDescent="0.25">
      <c r="W3162" s="574">
        <f t="shared" ref="W3162:W3225" si="68">W3161+1</f>
        <v>3153</v>
      </c>
      <c r="X3162" s="564">
        <v>40</v>
      </c>
    </row>
    <row r="3163" spans="23:24" x14ac:dyDescent="0.25">
      <c r="W3163" s="574">
        <f t="shared" si="68"/>
        <v>3154</v>
      </c>
      <c r="X3163" s="564">
        <v>40</v>
      </c>
    </row>
    <row r="3164" spans="23:24" x14ac:dyDescent="0.25">
      <c r="W3164" s="574">
        <f t="shared" si="68"/>
        <v>3155</v>
      </c>
      <c r="X3164" s="564">
        <v>40</v>
      </c>
    </row>
    <row r="3165" spans="23:24" x14ac:dyDescent="0.25">
      <c r="W3165" s="574">
        <f t="shared" si="68"/>
        <v>3156</v>
      </c>
      <c r="X3165" s="564">
        <v>40</v>
      </c>
    </row>
    <row r="3166" spans="23:24" x14ac:dyDescent="0.25">
      <c r="W3166" s="574">
        <f t="shared" si="68"/>
        <v>3157</v>
      </c>
      <c r="X3166" s="564">
        <v>40</v>
      </c>
    </row>
    <row r="3167" spans="23:24" x14ac:dyDescent="0.25">
      <c r="W3167" s="574">
        <f t="shared" si="68"/>
        <v>3158</v>
      </c>
      <c r="X3167" s="564">
        <v>40</v>
      </c>
    </row>
    <row r="3168" spans="23:24" x14ac:dyDescent="0.25">
      <c r="W3168" s="574">
        <f t="shared" si="68"/>
        <v>3159</v>
      </c>
      <c r="X3168" s="564">
        <v>40</v>
      </c>
    </row>
    <row r="3169" spans="23:24" x14ac:dyDescent="0.25">
      <c r="W3169" s="574">
        <f t="shared" si="68"/>
        <v>3160</v>
      </c>
      <c r="X3169" s="564">
        <v>40</v>
      </c>
    </row>
    <row r="3170" spans="23:24" x14ac:dyDescent="0.25">
      <c r="W3170" s="574">
        <f t="shared" si="68"/>
        <v>3161</v>
      </c>
      <c r="X3170" s="564">
        <v>40</v>
      </c>
    </row>
    <row r="3171" spans="23:24" x14ac:dyDescent="0.25">
      <c r="W3171" s="574">
        <f t="shared" si="68"/>
        <v>3162</v>
      </c>
      <c r="X3171" s="564">
        <v>40</v>
      </c>
    </row>
    <row r="3172" spans="23:24" x14ac:dyDescent="0.25">
      <c r="W3172" s="574">
        <f t="shared" si="68"/>
        <v>3163</v>
      </c>
      <c r="X3172" s="564">
        <v>40</v>
      </c>
    </row>
    <row r="3173" spans="23:24" x14ac:dyDescent="0.25">
      <c r="W3173" s="574">
        <f t="shared" si="68"/>
        <v>3164</v>
      </c>
      <c r="X3173" s="564">
        <v>40</v>
      </c>
    </row>
    <row r="3174" spans="23:24" x14ac:dyDescent="0.25">
      <c r="W3174" s="574">
        <f t="shared" si="68"/>
        <v>3165</v>
      </c>
      <c r="X3174" s="564">
        <v>40</v>
      </c>
    </row>
    <row r="3175" spans="23:24" x14ac:dyDescent="0.25">
      <c r="W3175" s="574">
        <f t="shared" si="68"/>
        <v>3166</v>
      </c>
      <c r="X3175" s="564">
        <v>40</v>
      </c>
    </row>
    <row r="3176" spans="23:24" x14ac:dyDescent="0.25">
      <c r="W3176" s="574">
        <f t="shared" si="68"/>
        <v>3167</v>
      </c>
      <c r="X3176" s="564">
        <v>40</v>
      </c>
    </row>
    <row r="3177" spans="23:24" x14ac:dyDescent="0.25">
      <c r="W3177" s="574">
        <f t="shared" si="68"/>
        <v>3168</v>
      </c>
      <c r="X3177" s="564">
        <v>40</v>
      </c>
    </row>
    <row r="3178" spans="23:24" x14ac:dyDescent="0.25">
      <c r="W3178" s="574">
        <f t="shared" si="68"/>
        <v>3169</v>
      </c>
      <c r="X3178" s="564">
        <v>40</v>
      </c>
    </row>
    <row r="3179" spans="23:24" x14ac:dyDescent="0.25">
      <c r="W3179" s="574">
        <f t="shared" si="68"/>
        <v>3170</v>
      </c>
      <c r="X3179" s="564">
        <v>40</v>
      </c>
    </row>
    <row r="3180" spans="23:24" x14ac:dyDescent="0.25">
      <c r="W3180" s="574">
        <f t="shared" si="68"/>
        <v>3171</v>
      </c>
      <c r="X3180" s="564">
        <v>40</v>
      </c>
    </row>
    <row r="3181" spans="23:24" x14ac:dyDescent="0.25">
      <c r="W3181" s="574">
        <f t="shared" si="68"/>
        <v>3172</v>
      </c>
      <c r="X3181" s="564">
        <v>40</v>
      </c>
    </row>
    <row r="3182" spans="23:24" x14ac:dyDescent="0.25">
      <c r="W3182" s="574">
        <f t="shared" si="68"/>
        <v>3173</v>
      </c>
      <c r="X3182" s="564">
        <v>40</v>
      </c>
    </row>
    <row r="3183" spans="23:24" x14ac:dyDescent="0.25">
      <c r="W3183" s="574">
        <f t="shared" si="68"/>
        <v>3174</v>
      </c>
      <c r="X3183" s="564">
        <v>40</v>
      </c>
    </row>
    <row r="3184" spans="23:24" x14ac:dyDescent="0.25">
      <c r="W3184" s="574">
        <f t="shared" si="68"/>
        <v>3175</v>
      </c>
      <c r="X3184" s="564">
        <v>40</v>
      </c>
    </row>
    <row r="3185" spans="23:24" x14ac:dyDescent="0.25">
      <c r="W3185" s="574">
        <f t="shared" si="68"/>
        <v>3176</v>
      </c>
      <c r="X3185" s="564">
        <v>40</v>
      </c>
    </row>
    <row r="3186" spans="23:24" x14ac:dyDescent="0.25">
      <c r="W3186" s="574">
        <f t="shared" si="68"/>
        <v>3177</v>
      </c>
      <c r="X3186" s="564">
        <v>40</v>
      </c>
    </row>
    <row r="3187" spans="23:24" x14ac:dyDescent="0.25">
      <c r="W3187" s="574">
        <f t="shared" si="68"/>
        <v>3178</v>
      </c>
      <c r="X3187" s="564">
        <v>40</v>
      </c>
    </row>
    <row r="3188" spans="23:24" x14ac:dyDescent="0.25">
      <c r="W3188" s="574">
        <f t="shared" si="68"/>
        <v>3179</v>
      </c>
      <c r="X3188" s="564">
        <v>40</v>
      </c>
    </row>
    <row r="3189" spans="23:24" x14ac:dyDescent="0.25">
      <c r="W3189" s="574">
        <f t="shared" si="68"/>
        <v>3180</v>
      </c>
      <c r="X3189" s="564">
        <v>40</v>
      </c>
    </row>
    <row r="3190" spans="23:24" x14ac:dyDescent="0.25">
      <c r="W3190" s="574">
        <f t="shared" si="68"/>
        <v>3181</v>
      </c>
      <c r="X3190" s="564">
        <v>40</v>
      </c>
    </row>
    <row r="3191" spans="23:24" x14ac:dyDescent="0.25">
      <c r="W3191" s="574">
        <f t="shared" si="68"/>
        <v>3182</v>
      </c>
      <c r="X3191" s="564">
        <v>40</v>
      </c>
    </row>
    <row r="3192" spans="23:24" x14ac:dyDescent="0.25">
      <c r="W3192" s="574">
        <f t="shared" si="68"/>
        <v>3183</v>
      </c>
      <c r="X3192" s="564">
        <v>40</v>
      </c>
    </row>
    <row r="3193" spans="23:24" x14ac:dyDescent="0.25">
      <c r="W3193" s="574">
        <f t="shared" si="68"/>
        <v>3184</v>
      </c>
      <c r="X3193" s="564">
        <v>40</v>
      </c>
    </row>
    <row r="3194" spans="23:24" x14ac:dyDescent="0.25">
      <c r="W3194" s="574">
        <f t="shared" si="68"/>
        <v>3185</v>
      </c>
      <c r="X3194" s="564">
        <v>40</v>
      </c>
    </row>
    <row r="3195" spans="23:24" x14ac:dyDescent="0.25">
      <c r="W3195" s="574">
        <f t="shared" si="68"/>
        <v>3186</v>
      </c>
      <c r="X3195" s="564">
        <v>40</v>
      </c>
    </row>
    <row r="3196" spans="23:24" x14ac:dyDescent="0.25">
      <c r="W3196" s="574">
        <f t="shared" si="68"/>
        <v>3187</v>
      </c>
      <c r="X3196" s="564">
        <v>40</v>
      </c>
    </row>
    <row r="3197" spans="23:24" x14ac:dyDescent="0.25">
      <c r="W3197" s="574">
        <f t="shared" si="68"/>
        <v>3188</v>
      </c>
      <c r="X3197" s="564">
        <v>40</v>
      </c>
    </row>
    <row r="3198" spans="23:24" x14ac:dyDescent="0.25">
      <c r="W3198" s="574">
        <f t="shared" si="68"/>
        <v>3189</v>
      </c>
      <c r="X3198" s="564">
        <v>40</v>
      </c>
    </row>
    <row r="3199" spans="23:24" x14ac:dyDescent="0.25">
      <c r="W3199" s="574">
        <f t="shared" si="68"/>
        <v>3190</v>
      </c>
      <c r="X3199" s="564">
        <v>40</v>
      </c>
    </row>
    <row r="3200" spans="23:24" x14ac:dyDescent="0.25">
      <c r="W3200" s="574">
        <f t="shared" si="68"/>
        <v>3191</v>
      </c>
      <c r="X3200" s="564">
        <v>40</v>
      </c>
    </row>
    <row r="3201" spans="23:24" x14ac:dyDescent="0.25">
      <c r="W3201" s="574">
        <f t="shared" si="68"/>
        <v>3192</v>
      </c>
      <c r="X3201" s="564">
        <v>40</v>
      </c>
    </row>
    <row r="3202" spans="23:24" x14ac:dyDescent="0.25">
      <c r="W3202" s="574">
        <f t="shared" si="68"/>
        <v>3193</v>
      </c>
      <c r="X3202" s="564">
        <v>40</v>
      </c>
    </row>
    <row r="3203" spans="23:24" x14ac:dyDescent="0.25">
      <c r="W3203" s="574">
        <f t="shared" si="68"/>
        <v>3194</v>
      </c>
      <c r="X3203" s="564">
        <v>40</v>
      </c>
    </row>
    <row r="3204" spans="23:24" x14ac:dyDescent="0.25">
      <c r="W3204" s="574">
        <f t="shared" si="68"/>
        <v>3195</v>
      </c>
      <c r="X3204" s="564">
        <v>40</v>
      </c>
    </row>
    <row r="3205" spans="23:24" x14ac:dyDescent="0.25">
      <c r="W3205" s="574">
        <f t="shared" si="68"/>
        <v>3196</v>
      </c>
      <c r="X3205" s="564">
        <v>40</v>
      </c>
    </row>
    <row r="3206" spans="23:24" x14ac:dyDescent="0.25">
      <c r="W3206" s="574">
        <f t="shared" si="68"/>
        <v>3197</v>
      </c>
      <c r="X3206" s="564">
        <v>40</v>
      </c>
    </row>
    <row r="3207" spans="23:24" x14ac:dyDescent="0.25">
      <c r="W3207" s="574">
        <f t="shared" si="68"/>
        <v>3198</v>
      </c>
      <c r="X3207" s="564">
        <v>40</v>
      </c>
    </row>
    <row r="3208" spans="23:24" x14ac:dyDescent="0.25">
      <c r="W3208" s="574">
        <f t="shared" si="68"/>
        <v>3199</v>
      </c>
      <c r="X3208" s="564">
        <v>40</v>
      </c>
    </row>
    <row r="3209" spans="23:24" x14ac:dyDescent="0.25">
      <c r="W3209" s="574">
        <f t="shared" si="68"/>
        <v>3200</v>
      </c>
      <c r="X3209" s="564">
        <v>40</v>
      </c>
    </row>
    <row r="3210" spans="23:24" x14ac:dyDescent="0.25">
      <c r="W3210" s="574">
        <f t="shared" si="68"/>
        <v>3201</v>
      </c>
      <c r="X3210" s="564">
        <v>40</v>
      </c>
    </row>
    <row r="3211" spans="23:24" x14ac:dyDescent="0.25">
      <c r="W3211" s="574">
        <f t="shared" si="68"/>
        <v>3202</v>
      </c>
      <c r="X3211" s="564">
        <v>40</v>
      </c>
    </row>
    <row r="3212" spans="23:24" x14ac:dyDescent="0.25">
      <c r="W3212" s="574">
        <f t="shared" si="68"/>
        <v>3203</v>
      </c>
      <c r="X3212" s="564">
        <v>40</v>
      </c>
    </row>
    <row r="3213" spans="23:24" x14ac:dyDescent="0.25">
      <c r="W3213" s="574">
        <f t="shared" si="68"/>
        <v>3204</v>
      </c>
      <c r="X3213" s="564">
        <v>40</v>
      </c>
    </row>
    <row r="3214" spans="23:24" x14ac:dyDescent="0.25">
      <c r="W3214" s="574">
        <f t="shared" si="68"/>
        <v>3205</v>
      </c>
      <c r="X3214" s="564">
        <v>40</v>
      </c>
    </row>
    <row r="3215" spans="23:24" x14ac:dyDescent="0.25">
      <c r="W3215" s="574">
        <f t="shared" si="68"/>
        <v>3206</v>
      </c>
      <c r="X3215" s="564">
        <v>40</v>
      </c>
    </row>
    <row r="3216" spans="23:24" x14ac:dyDescent="0.25">
      <c r="W3216" s="574">
        <f t="shared" si="68"/>
        <v>3207</v>
      </c>
      <c r="X3216" s="564">
        <v>40</v>
      </c>
    </row>
    <row r="3217" spans="23:24" x14ac:dyDescent="0.25">
      <c r="W3217" s="574">
        <f t="shared" si="68"/>
        <v>3208</v>
      </c>
      <c r="X3217" s="564">
        <v>40</v>
      </c>
    </row>
    <row r="3218" spans="23:24" x14ac:dyDescent="0.25">
      <c r="W3218" s="574">
        <f t="shared" si="68"/>
        <v>3209</v>
      </c>
      <c r="X3218" s="564">
        <v>40</v>
      </c>
    </row>
    <row r="3219" spans="23:24" x14ac:dyDescent="0.25">
      <c r="W3219" s="574">
        <f t="shared" si="68"/>
        <v>3210</v>
      </c>
      <c r="X3219" s="564">
        <v>40</v>
      </c>
    </row>
    <row r="3220" spans="23:24" x14ac:dyDescent="0.25">
      <c r="W3220" s="574">
        <f t="shared" si="68"/>
        <v>3211</v>
      </c>
      <c r="X3220" s="564">
        <v>40</v>
      </c>
    </row>
    <row r="3221" spans="23:24" x14ac:dyDescent="0.25">
      <c r="W3221" s="574">
        <f t="shared" si="68"/>
        <v>3212</v>
      </c>
      <c r="X3221" s="564">
        <v>40</v>
      </c>
    </row>
    <row r="3222" spans="23:24" x14ac:dyDescent="0.25">
      <c r="W3222" s="574">
        <f t="shared" si="68"/>
        <v>3213</v>
      </c>
      <c r="X3222" s="564">
        <v>40</v>
      </c>
    </row>
    <row r="3223" spans="23:24" x14ac:dyDescent="0.25">
      <c r="W3223" s="574">
        <f t="shared" si="68"/>
        <v>3214</v>
      </c>
      <c r="X3223" s="564">
        <v>40</v>
      </c>
    </row>
    <row r="3224" spans="23:24" x14ac:dyDescent="0.25">
      <c r="W3224" s="574">
        <f t="shared" si="68"/>
        <v>3215</v>
      </c>
      <c r="X3224" s="564">
        <v>40</v>
      </c>
    </row>
    <row r="3225" spans="23:24" x14ac:dyDescent="0.25">
      <c r="W3225" s="574">
        <f t="shared" si="68"/>
        <v>3216</v>
      </c>
      <c r="X3225" s="564">
        <v>40</v>
      </c>
    </row>
    <row r="3226" spans="23:24" x14ac:dyDescent="0.25">
      <c r="W3226" s="574">
        <f t="shared" ref="W3226:W3289" si="69">W3225+1</f>
        <v>3217</v>
      </c>
      <c r="X3226" s="564">
        <v>40</v>
      </c>
    </row>
    <row r="3227" spans="23:24" x14ac:dyDescent="0.25">
      <c r="W3227" s="574">
        <f t="shared" si="69"/>
        <v>3218</v>
      </c>
      <c r="X3227" s="564">
        <v>40</v>
      </c>
    </row>
    <row r="3228" spans="23:24" x14ac:dyDescent="0.25">
      <c r="W3228" s="574">
        <f t="shared" si="69"/>
        <v>3219</v>
      </c>
      <c r="X3228" s="564">
        <v>40</v>
      </c>
    </row>
    <row r="3229" spans="23:24" x14ac:dyDescent="0.25">
      <c r="W3229" s="574">
        <f t="shared" si="69"/>
        <v>3220</v>
      </c>
      <c r="X3229" s="564">
        <v>40</v>
      </c>
    </row>
    <row r="3230" spans="23:24" x14ac:dyDescent="0.25">
      <c r="W3230" s="574">
        <f t="shared" si="69"/>
        <v>3221</v>
      </c>
      <c r="X3230" s="564">
        <v>40</v>
      </c>
    </row>
    <row r="3231" spans="23:24" x14ac:dyDescent="0.25">
      <c r="W3231" s="574">
        <f t="shared" si="69"/>
        <v>3222</v>
      </c>
      <c r="X3231" s="564">
        <v>40</v>
      </c>
    </row>
    <row r="3232" spans="23:24" x14ac:dyDescent="0.25">
      <c r="W3232" s="574">
        <f t="shared" si="69"/>
        <v>3223</v>
      </c>
      <c r="X3232" s="564">
        <v>40</v>
      </c>
    </row>
    <row r="3233" spans="23:24" x14ac:dyDescent="0.25">
      <c r="W3233" s="574">
        <f t="shared" si="69"/>
        <v>3224</v>
      </c>
      <c r="X3233" s="564">
        <v>40</v>
      </c>
    </row>
    <row r="3234" spans="23:24" x14ac:dyDescent="0.25">
      <c r="W3234" s="574">
        <f t="shared" si="69"/>
        <v>3225</v>
      </c>
      <c r="X3234" s="564">
        <v>40</v>
      </c>
    </row>
    <row r="3235" spans="23:24" x14ac:dyDescent="0.25">
      <c r="W3235" s="574">
        <f t="shared" si="69"/>
        <v>3226</v>
      </c>
      <c r="X3235" s="564">
        <v>40</v>
      </c>
    </row>
    <row r="3236" spans="23:24" x14ac:dyDescent="0.25">
      <c r="W3236" s="574">
        <f t="shared" si="69"/>
        <v>3227</v>
      </c>
      <c r="X3236" s="564">
        <v>40</v>
      </c>
    </row>
    <row r="3237" spans="23:24" x14ac:dyDescent="0.25">
      <c r="W3237" s="574">
        <f t="shared" si="69"/>
        <v>3228</v>
      </c>
      <c r="X3237" s="564">
        <v>40</v>
      </c>
    </row>
    <row r="3238" spans="23:24" x14ac:dyDescent="0.25">
      <c r="W3238" s="574">
        <f t="shared" si="69"/>
        <v>3229</v>
      </c>
      <c r="X3238" s="564">
        <v>40</v>
      </c>
    </row>
    <row r="3239" spans="23:24" x14ac:dyDescent="0.25">
      <c r="W3239" s="574">
        <f t="shared" si="69"/>
        <v>3230</v>
      </c>
      <c r="X3239" s="564">
        <v>40</v>
      </c>
    </row>
    <row r="3240" spans="23:24" x14ac:dyDescent="0.25">
      <c r="W3240" s="574">
        <f t="shared" si="69"/>
        <v>3231</v>
      </c>
      <c r="X3240" s="564">
        <v>40</v>
      </c>
    </row>
    <row r="3241" spans="23:24" x14ac:dyDescent="0.25">
      <c r="W3241" s="574">
        <f t="shared" si="69"/>
        <v>3232</v>
      </c>
      <c r="X3241" s="564">
        <v>40</v>
      </c>
    </row>
    <row r="3242" spans="23:24" x14ac:dyDescent="0.25">
      <c r="W3242" s="574">
        <f t="shared" si="69"/>
        <v>3233</v>
      </c>
      <c r="X3242" s="564">
        <v>40</v>
      </c>
    </row>
    <row r="3243" spans="23:24" x14ac:dyDescent="0.25">
      <c r="W3243" s="574">
        <f t="shared" si="69"/>
        <v>3234</v>
      </c>
      <c r="X3243" s="564">
        <v>40</v>
      </c>
    </row>
    <row r="3244" spans="23:24" x14ac:dyDescent="0.25">
      <c r="W3244" s="574">
        <f t="shared" si="69"/>
        <v>3235</v>
      </c>
      <c r="X3244" s="564">
        <v>40</v>
      </c>
    </row>
    <row r="3245" spans="23:24" x14ac:dyDescent="0.25">
      <c r="W3245" s="574">
        <f t="shared" si="69"/>
        <v>3236</v>
      </c>
      <c r="X3245" s="564">
        <v>40</v>
      </c>
    </row>
    <row r="3246" spans="23:24" x14ac:dyDescent="0.25">
      <c r="W3246" s="574">
        <f t="shared" si="69"/>
        <v>3237</v>
      </c>
      <c r="X3246" s="564">
        <v>40</v>
      </c>
    </row>
    <row r="3247" spans="23:24" x14ac:dyDescent="0.25">
      <c r="W3247" s="574">
        <f t="shared" si="69"/>
        <v>3238</v>
      </c>
      <c r="X3247" s="564">
        <v>40</v>
      </c>
    </row>
    <row r="3248" spans="23:24" x14ac:dyDescent="0.25">
      <c r="W3248" s="574">
        <f t="shared" si="69"/>
        <v>3239</v>
      </c>
      <c r="X3248" s="564">
        <v>40</v>
      </c>
    </row>
    <row r="3249" spans="23:24" x14ac:dyDescent="0.25">
      <c r="W3249" s="574">
        <f t="shared" si="69"/>
        <v>3240</v>
      </c>
      <c r="X3249" s="564">
        <v>40</v>
      </c>
    </row>
    <row r="3250" spans="23:24" x14ac:dyDescent="0.25">
      <c r="W3250" s="574">
        <f t="shared" si="69"/>
        <v>3241</v>
      </c>
      <c r="X3250" s="564">
        <v>40</v>
      </c>
    </row>
    <row r="3251" spans="23:24" x14ac:dyDescent="0.25">
      <c r="W3251" s="574">
        <f t="shared" si="69"/>
        <v>3242</v>
      </c>
      <c r="X3251" s="564">
        <v>40</v>
      </c>
    </row>
    <row r="3252" spans="23:24" x14ac:dyDescent="0.25">
      <c r="W3252" s="574">
        <f t="shared" si="69"/>
        <v>3243</v>
      </c>
      <c r="X3252" s="564">
        <v>40</v>
      </c>
    </row>
    <row r="3253" spans="23:24" x14ac:dyDescent="0.25">
      <c r="W3253" s="574">
        <f t="shared" si="69"/>
        <v>3244</v>
      </c>
      <c r="X3253" s="564">
        <v>40</v>
      </c>
    </row>
    <row r="3254" spans="23:24" x14ac:dyDescent="0.25">
      <c r="W3254" s="574">
        <f t="shared" si="69"/>
        <v>3245</v>
      </c>
      <c r="X3254" s="564">
        <v>40</v>
      </c>
    </row>
    <row r="3255" spans="23:24" x14ac:dyDescent="0.25">
      <c r="W3255" s="574">
        <f t="shared" si="69"/>
        <v>3246</v>
      </c>
      <c r="X3255" s="564">
        <v>40</v>
      </c>
    </row>
    <row r="3256" spans="23:24" x14ac:dyDescent="0.25">
      <c r="W3256" s="574">
        <f t="shared" si="69"/>
        <v>3247</v>
      </c>
      <c r="X3256" s="564">
        <v>40</v>
      </c>
    </row>
    <row r="3257" spans="23:24" x14ac:dyDescent="0.25">
      <c r="W3257" s="574">
        <f t="shared" si="69"/>
        <v>3248</v>
      </c>
      <c r="X3257" s="564">
        <v>40</v>
      </c>
    </row>
    <row r="3258" spans="23:24" x14ac:dyDescent="0.25">
      <c r="W3258" s="574">
        <f t="shared" si="69"/>
        <v>3249</v>
      </c>
      <c r="X3258" s="564">
        <v>40</v>
      </c>
    </row>
    <row r="3259" spans="23:24" x14ac:dyDescent="0.25">
      <c r="W3259" s="574">
        <f t="shared" si="69"/>
        <v>3250</v>
      </c>
      <c r="X3259" s="564">
        <v>41</v>
      </c>
    </row>
    <row r="3260" spans="23:24" x14ac:dyDescent="0.25">
      <c r="W3260" s="574">
        <f t="shared" si="69"/>
        <v>3251</v>
      </c>
      <c r="X3260" s="564">
        <v>41</v>
      </c>
    </row>
    <row r="3261" spans="23:24" x14ac:dyDescent="0.25">
      <c r="W3261" s="574">
        <f t="shared" si="69"/>
        <v>3252</v>
      </c>
      <c r="X3261" s="564">
        <v>41</v>
      </c>
    </row>
    <row r="3262" spans="23:24" x14ac:dyDescent="0.25">
      <c r="W3262" s="574">
        <f t="shared" si="69"/>
        <v>3253</v>
      </c>
      <c r="X3262" s="564">
        <v>41</v>
      </c>
    </row>
    <row r="3263" spans="23:24" x14ac:dyDescent="0.25">
      <c r="W3263" s="574">
        <f t="shared" si="69"/>
        <v>3254</v>
      </c>
      <c r="X3263" s="564">
        <v>41</v>
      </c>
    </row>
    <row r="3264" spans="23:24" x14ac:dyDescent="0.25">
      <c r="W3264" s="574">
        <f t="shared" si="69"/>
        <v>3255</v>
      </c>
      <c r="X3264" s="564">
        <v>41</v>
      </c>
    </row>
    <row r="3265" spans="23:24" x14ac:dyDescent="0.25">
      <c r="W3265" s="574">
        <f t="shared" si="69"/>
        <v>3256</v>
      </c>
      <c r="X3265" s="564">
        <v>41</v>
      </c>
    </row>
    <row r="3266" spans="23:24" x14ac:dyDescent="0.25">
      <c r="W3266" s="574">
        <f t="shared" si="69"/>
        <v>3257</v>
      </c>
      <c r="X3266" s="564">
        <v>41</v>
      </c>
    </row>
    <row r="3267" spans="23:24" x14ac:dyDescent="0.25">
      <c r="W3267" s="574">
        <f t="shared" si="69"/>
        <v>3258</v>
      </c>
      <c r="X3267" s="564">
        <v>41</v>
      </c>
    </row>
    <row r="3268" spans="23:24" x14ac:dyDescent="0.25">
      <c r="W3268" s="574">
        <f t="shared" si="69"/>
        <v>3259</v>
      </c>
      <c r="X3268" s="564">
        <v>41</v>
      </c>
    </row>
    <row r="3269" spans="23:24" x14ac:dyDescent="0.25">
      <c r="W3269" s="574">
        <f t="shared" si="69"/>
        <v>3260</v>
      </c>
      <c r="X3269" s="564">
        <v>41</v>
      </c>
    </row>
    <row r="3270" spans="23:24" x14ac:dyDescent="0.25">
      <c r="W3270" s="574">
        <f t="shared" si="69"/>
        <v>3261</v>
      </c>
      <c r="X3270" s="564">
        <v>41</v>
      </c>
    </row>
    <row r="3271" spans="23:24" x14ac:dyDescent="0.25">
      <c r="W3271" s="574">
        <f t="shared" si="69"/>
        <v>3262</v>
      </c>
      <c r="X3271" s="564">
        <v>41</v>
      </c>
    </row>
    <row r="3272" spans="23:24" x14ac:dyDescent="0.25">
      <c r="W3272" s="574">
        <f t="shared" si="69"/>
        <v>3263</v>
      </c>
      <c r="X3272" s="564">
        <v>41</v>
      </c>
    </row>
    <row r="3273" spans="23:24" x14ac:dyDescent="0.25">
      <c r="W3273" s="574">
        <f t="shared" si="69"/>
        <v>3264</v>
      </c>
      <c r="X3273" s="564">
        <v>41</v>
      </c>
    </row>
    <row r="3274" spans="23:24" x14ac:dyDescent="0.25">
      <c r="W3274" s="574">
        <f t="shared" si="69"/>
        <v>3265</v>
      </c>
      <c r="X3274" s="564">
        <v>41</v>
      </c>
    </row>
    <row r="3275" spans="23:24" x14ac:dyDescent="0.25">
      <c r="W3275" s="574">
        <f t="shared" si="69"/>
        <v>3266</v>
      </c>
      <c r="X3275" s="564">
        <v>41</v>
      </c>
    </row>
    <row r="3276" spans="23:24" x14ac:dyDescent="0.25">
      <c r="W3276" s="574">
        <f t="shared" si="69"/>
        <v>3267</v>
      </c>
      <c r="X3276" s="564">
        <v>41</v>
      </c>
    </row>
    <row r="3277" spans="23:24" x14ac:dyDescent="0.25">
      <c r="W3277" s="574">
        <f t="shared" si="69"/>
        <v>3268</v>
      </c>
      <c r="X3277" s="564">
        <v>41</v>
      </c>
    </row>
    <row r="3278" spans="23:24" x14ac:dyDescent="0.25">
      <c r="W3278" s="574">
        <f t="shared" si="69"/>
        <v>3269</v>
      </c>
      <c r="X3278" s="564">
        <v>41</v>
      </c>
    </row>
    <row r="3279" spans="23:24" x14ac:dyDescent="0.25">
      <c r="W3279" s="574">
        <f t="shared" si="69"/>
        <v>3270</v>
      </c>
      <c r="X3279" s="564">
        <v>41</v>
      </c>
    </row>
    <row r="3280" spans="23:24" x14ac:dyDescent="0.25">
      <c r="W3280" s="574">
        <f t="shared" si="69"/>
        <v>3271</v>
      </c>
      <c r="X3280" s="564">
        <v>41</v>
      </c>
    </row>
    <row r="3281" spans="23:24" x14ac:dyDescent="0.25">
      <c r="W3281" s="574">
        <f t="shared" si="69"/>
        <v>3272</v>
      </c>
      <c r="X3281" s="564">
        <v>41</v>
      </c>
    </row>
    <row r="3282" spans="23:24" x14ac:dyDescent="0.25">
      <c r="W3282" s="574">
        <f t="shared" si="69"/>
        <v>3273</v>
      </c>
      <c r="X3282" s="564">
        <v>41</v>
      </c>
    </row>
    <row r="3283" spans="23:24" x14ac:dyDescent="0.25">
      <c r="W3283" s="574">
        <f t="shared" si="69"/>
        <v>3274</v>
      </c>
      <c r="X3283" s="564">
        <v>41</v>
      </c>
    </row>
    <row r="3284" spans="23:24" x14ac:dyDescent="0.25">
      <c r="W3284" s="574">
        <f t="shared" si="69"/>
        <v>3275</v>
      </c>
      <c r="X3284" s="564">
        <v>41</v>
      </c>
    </row>
    <row r="3285" spans="23:24" x14ac:dyDescent="0.25">
      <c r="W3285" s="574">
        <f t="shared" si="69"/>
        <v>3276</v>
      </c>
      <c r="X3285" s="564">
        <v>41</v>
      </c>
    </row>
    <row r="3286" spans="23:24" x14ac:dyDescent="0.25">
      <c r="W3286" s="574">
        <f t="shared" si="69"/>
        <v>3277</v>
      </c>
      <c r="X3286" s="564">
        <v>41</v>
      </c>
    </row>
    <row r="3287" spans="23:24" x14ac:dyDescent="0.25">
      <c r="W3287" s="574">
        <f t="shared" si="69"/>
        <v>3278</v>
      </c>
      <c r="X3287" s="564">
        <v>41</v>
      </c>
    </row>
    <row r="3288" spans="23:24" x14ac:dyDescent="0.25">
      <c r="W3288" s="574">
        <f t="shared" si="69"/>
        <v>3279</v>
      </c>
      <c r="X3288" s="564">
        <v>41</v>
      </c>
    </row>
    <row r="3289" spans="23:24" x14ac:dyDescent="0.25">
      <c r="W3289" s="574">
        <f t="shared" si="69"/>
        <v>3280</v>
      </c>
      <c r="X3289" s="564">
        <v>41</v>
      </c>
    </row>
    <row r="3290" spans="23:24" x14ac:dyDescent="0.25">
      <c r="W3290" s="574">
        <f t="shared" ref="W3290:W3353" si="70">W3289+1</f>
        <v>3281</v>
      </c>
      <c r="X3290" s="564">
        <v>41</v>
      </c>
    </row>
    <row r="3291" spans="23:24" x14ac:dyDescent="0.25">
      <c r="W3291" s="574">
        <f t="shared" si="70"/>
        <v>3282</v>
      </c>
      <c r="X3291" s="564">
        <v>41</v>
      </c>
    </row>
    <row r="3292" spans="23:24" x14ac:dyDescent="0.25">
      <c r="W3292" s="574">
        <f t="shared" si="70"/>
        <v>3283</v>
      </c>
      <c r="X3292" s="564">
        <v>41</v>
      </c>
    </row>
    <row r="3293" spans="23:24" x14ac:dyDescent="0.25">
      <c r="W3293" s="574">
        <f t="shared" si="70"/>
        <v>3284</v>
      </c>
      <c r="X3293" s="564">
        <v>41</v>
      </c>
    </row>
    <row r="3294" spans="23:24" x14ac:dyDescent="0.25">
      <c r="W3294" s="574">
        <f t="shared" si="70"/>
        <v>3285</v>
      </c>
      <c r="X3294" s="564">
        <v>41</v>
      </c>
    </row>
    <row r="3295" spans="23:24" x14ac:dyDescent="0.25">
      <c r="W3295" s="574">
        <f t="shared" si="70"/>
        <v>3286</v>
      </c>
      <c r="X3295" s="564">
        <v>41</v>
      </c>
    </row>
    <row r="3296" spans="23:24" x14ac:dyDescent="0.25">
      <c r="W3296" s="574">
        <f t="shared" si="70"/>
        <v>3287</v>
      </c>
      <c r="X3296" s="564">
        <v>41</v>
      </c>
    </row>
    <row r="3297" spans="23:24" x14ac:dyDescent="0.25">
      <c r="W3297" s="574">
        <f t="shared" si="70"/>
        <v>3288</v>
      </c>
      <c r="X3297" s="564">
        <v>41</v>
      </c>
    </row>
    <row r="3298" spans="23:24" x14ac:dyDescent="0.25">
      <c r="W3298" s="574">
        <f t="shared" si="70"/>
        <v>3289</v>
      </c>
      <c r="X3298" s="564">
        <v>41</v>
      </c>
    </row>
    <row r="3299" spans="23:24" x14ac:dyDescent="0.25">
      <c r="W3299" s="574">
        <f t="shared" si="70"/>
        <v>3290</v>
      </c>
      <c r="X3299" s="564">
        <v>41</v>
      </c>
    </row>
    <row r="3300" spans="23:24" x14ac:dyDescent="0.25">
      <c r="W3300" s="574">
        <f t="shared" si="70"/>
        <v>3291</v>
      </c>
      <c r="X3300" s="564">
        <v>41</v>
      </c>
    </row>
    <row r="3301" spans="23:24" x14ac:dyDescent="0.25">
      <c r="W3301" s="574">
        <f t="shared" si="70"/>
        <v>3292</v>
      </c>
      <c r="X3301" s="564">
        <v>41</v>
      </c>
    </row>
    <row r="3302" spans="23:24" x14ac:dyDescent="0.25">
      <c r="W3302" s="574">
        <f t="shared" si="70"/>
        <v>3293</v>
      </c>
      <c r="X3302" s="564">
        <v>41</v>
      </c>
    </row>
    <row r="3303" spans="23:24" x14ac:dyDescent="0.25">
      <c r="W3303" s="574">
        <f t="shared" si="70"/>
        <v>3294</v>
      </c>
      <c r="X3303" s="564">
        <v>41</v>
      </c>
    </row>
    <row r="3304" spans="23:24" x14ac:dyDescent="0.25">
      <c r="W3304" s="574">
        <f t="shared" si="70"/>
        <v>3295</v>
      </c>
      <c r="X3304" s="564">
        <v>41</v>
      </c>
    </row>
    <row r="3305" spans="23:24" x14ac:dyDescent="0.25">
      <c r="W3305" s="574">
        <f t="shared" si="70"/>
        <v>3296</v>
      </c>
      <c r="X3305" s="564">
        <v>41</v>
      </c>
    </row>
    <row r="3306" spans="23:24" x14ac:dyDescent="0.25">
      <c r="W3306" s="574">
        <f t="shared" si="70"/>
        <v>3297</v>
      </c>
      <c r="X3306" s="564">
        <v>41</v>
      </c>
    </row>
    <row r="3307" spans="23:24" x14ac:dyDescent="0.25">
      <c r="W3307" s="574">
        <f t="shared" si="70"/>
        <v>3298</v>
      </c>
      <c r="X3307" s="564">
        <v>41</v>
      </c>
    </row>
    <row r="3308" spans="23:24" x14ac:dyDescent="0.25">
      <c r="W3308" s="574">
        <f t="shared" si="70"/>
        <v>3299</v>
      </c>
      <c r="X3308" s="564">
        <v>41</v>
      </c>
    </row>
    <row r="3309" spans="23:24" x14ac:dyDescent="0.25">
      <c r="W3309" s="574">
        <f t="shared" si="70"/>
        <v>3300</v>
      </c>
      <c r="X3309" s="564">
        <v>41</v>
      </c>
    </row>
    <row r="3310" spans="23:24" x14ac:dyDescent="0.25">
      <c r="W3310" s="574">
        <f t="shared" si="70"/>
        <v>3301</v>
      </c>
      <c r="X3310" s="564">
        <v>41</v>
      </c>
    </row>
    <row r="3311" spans="23:24" x14ac:dyDescent="0.25">
      <c r="W3311" s="574">
        <f t="shared" si="70"/>
        <v>3302</v>
      </c>
      <c r="X3311" s="564">
        <v>41</v>
      </c>
    </row>
    <row r="3312" spans="23:24" x14ac:dyDescent="0.25">
      <c r="W3312" s="574">
        <f t="shared" si="70"/>
        <v>3303</v>
      </c>
      <c r="X3312" s="564">
        <v>41</v>
      </c>
    </row>
    <row r="3313" spans="23:24" x14ac:dyDescent="0.25">
      <c r="W3313" s="574">
        <f t="shared" si="70"/>
        <v>3304</v>
      </c>
      <c r="X3313" s="564">
        <v>41</v>
      </c>
    </row>
    <row r="3314" spans="23:24" x14ac:dyDescent="0.25">
      <c r="W3314" s="574">
        <f t="shared" si="70"/>
        <v>3305</v>
      </c>
      <c r="X3314" s="564">
        <v>41</v>
      </c>
    </row>
    <row r="3315" spans="23:24" x14ac:dyDescent="0.25">
      <c r="W3315" s="574">
        <f t="shared" si="70"/>
        <v>3306</v>
      </c>
      <c r="X3315" s="564">
        <v>41</v>
      </c>
    </row>
    <row r="3316" spans="23:24" x14ac:dyDescent="0.25">
      <c r="W3316" s="574">
        <f t="shared" si="70"/>
        <v>3307</v>
      </c>
      <c r="X3316" s="564">
        <v>41</v>
      </c>
    </row>
    <row r="3317" spans="23:24" x14ac:dyDescent="0.25">
      <c r="W3317" s="574">
        <f t="shared" si="70"/>
        <v>3308</v>
      </c>
      <c r="X3317" s="564">
        <v>41</v>
      </c>
    </row>
    <row r="3318" spans="23:24" x14ac:dyDescent="0.25">
      <c r="W3318" s="574">
        <f t="shared" si="70"/>
        <v>3309</v>
      </c>
      <c r="X3318" s="564">
        <v>41</v>
      </c>
    </row>
    <row r="3319" spans="23:24" x14ac:dyDescent="0.25">
      <c r="W3319" s="574">
        <f t="shared" si="70"/>
        <v>3310</v>
      </c>
      <c r="X3319" s="564">
        <v>41</v>
      </c>
    </row>
    <row r="3320" spans="23:24" x14ac:dyDescent="0.25">
      <c r="W3320" s="574">
        <f t="shared" si="70"/>
        <v>3311</v>
      </c>
      <c r="X3320" s="564">
        <v>41</v>
      </c>
    </row>
    <row r="3321" spans="23:24" x14ac:dyDescent="0.25">
      <c r="W3321" s="574">
        <f t="shared" si="70"/>
        <v>3312</v>
      </c>
      <c r="X3321" s="564">
        <v>41</v>
      </c>
    </row>
    <row r="3322" spans="23:24" x14ac:dyDescent="0.25">
      <c r="W3322" s="574">
        <f t="shared" si="70"/>
        <v>3313</v>
      </c>
      <c r="X3322" s="564">
        <v>41</v>
      </c>
    </row>
    <row r="3323" spans="23:24" x14ac:dyDescent="0.25">
      <c r="W3323" s="574">
        <f t="shared" si="70"/>
        <v>3314</v>
      </c>
      <c r="X3323" s="564">
        <v>41</v>
      </c>
    </row>
    <row r="3324" spans="23:24" x14ac:dyDescent="0.25">
      <c r="W3324" s="574">
        <f t="shared" si="70"/>
        <v>3315</v>
      </c>
      <c r="X3324" s="564">
        <v>41</v>
      </c>
    </row>
    <row r="3325" spans="23:24" x14ac:dyDescent="0.25">
      <c r="W3325" s="574">
        <f t="shared" si="70"/>
        <v>3316</v>
      </c>
      <c r="X3325" s="564">
        <v>41</v>
      </c>
    </row>
    <row r="3326" spans="23:24" x14ac:dyDescent="0.25">
      <c r="W3326" s="574">
        <f t="shared" si="70"/>
        <v>3317</v>
      </c>
      <c r="X3326" s="564">
        <v>41</v>
      </c>
    </row>
    <row r="3327" spans="23:24" x14ac:dyDescent="0.25">
      <c r="W3327" s="574">
        <f t="shared" si="70"/>
        <v>3318</v>
      </c>
      <c r="X3327" s="564">
        <v>41</v>
      </c>
    </row>
    <row r="3328" spans="23:24" x14ac:dyDescent="0.25">
      <c r="W3328" s="574">
        <f t="shared" si="70"/>
        <v>3319</v>
      </c>
      <c r="X3328" s="564">
        <v>41</v>
      </c>
    </row>
    <row r="3329" spans="23:24" x14ac:dyDescent="0.25">
      <c r="W3329" s="574">
        <f t="shared" si="70"/>
        <v>3320</v>
      </c>
      <c r="X3329" s="564">
        <v>41</v>
      </c>
    </row>
    <row r="3330" spans="23:24" x14ac:dyDescent="0.25">
      <c r="W3330" s="574">
        <f t="shared" si="70"/>
        <v>3321</v>
      </c>
      <c r="X3330" s="564">
        <v>41</v>
      </c>
    </row>
    <row r="3331" spans="23:24" x14ac:dyDescent="0.25">
      <c r="W3331" s="574">
        <f t="shared" si="70"/>
        <v>3322</v>
      </c>
      <c r="X3331" s="564">
        <v>41</v>
      </c>
    </row>
    <row r="3332" spans="23:24" x14ac:dyDescent="0.25">
      <c r="W3332" s="574">
        <f t="shared" si="70"/>
        <v>3323</v>
      </c>
      <c r="X3332" s="564">
        <v>41</v>
      </c>
    </row>
    <row r="3333" spans="23:24" x14ac:dyDescent="0.25">
      <c r="W3333" s="574">
        <f t="shared" si="70"/>
        <v>3324</v>
      </c>
      <c r="X3333" s="564">
        <v>41</v>
      </c>
    </row>
    <row r="3334" spans="23:24" x14ac:dyDescent="0.25">
      <c r="W3334" s="574">
        <f t="shared" si="70"/>
        <v>3325</v>
      </c>
      <c r="X3334" s="564">
        <v>41</v>
      </c>
    </row>
    <row r="3335" spans="23:24" x14ac:dyDescent="0.25">
      <c r="W3335" s="574">
        <f t="shared" si="70"/>
        <v>3326</v>
      </c>
      <c r="X3335" s="564">
        <v>41</v>
      </c>
    </row>
    <row r="3336" spans="23:24" x14ac:dyDescent="0.25">
      <c r="W3336" s="574">
        <f t="shared" si="70"/>
        <v>3327</v>
      </c>
      <c r="X3336" s="564">
        <v>41</v>
      </c>
    </row>
    <row r="3337" spans="23:24" x14ac:dyDescent="0.25">
      <c r="W3337" s="574">
        <f t="shared" si="70"/>
        <v>3328</v>
      </c>
      <c r="X3337" s="564">
        <v>41</v>
      </c>
    </row>
    <row r="3338" spans="23:24" x14ac:dyDescent="0.25">
      <c r="W3338" s="574">
        <f t="shared" si="70"/>
        <v>3329</v>
      </c>
      <c r="X3338" s="564">
        <v>41</v>
      </c>
    </row>
    <row r="3339" spans="23:24" x14ac:dyDescent="0.25">
      <c r="W3339" s="574">
        <f t="shared" si="70"/>
        <v>3330</v>
      </c>
      <c r="X3339" s="564">
        <v>41</v>
      </c>
    </row>
    <row r="3340" spans="23:24" x14ac:dyDescent="0.25">
      <c r="W3340" s="574">
        <f t="shared" si="70"/>
        <v>3331</v>
      </c>
      <c r="X3340" s="564">
        <v>41</v>
      </c>
    </row>
    <row r="3341" spans="23:24" x14ac:dyDescent="0.25">
      <c r="W3341" s="574">
        <f t="shared" si="70"/>
        <v>3332</v>
      </c>
      <c r="X3341" s="564">
        <v>41</v>
      </c>
    </row>
    <row r="3342" spans="23:24" x14ac:dyDescent="0.25">
      <c r="W3342" s="574">
        <f t="shared" si="70"/>
        <v>3333</v>
      </c>
      <c r="X3342" s="564">
        <v>41</v>
      </c>
    </row>
    <row r="3343" spans="23:24" x14ac:dyDescent="0.25">
      <c r="W3343" s="574">
        <f t="shared" si="70"/>
        <v>3334</v>
      </c>
      <c r="X3343" s="564">
        <v>41</v>
      </c>
    </row>
    <row r="3344" spans="23:24" x14ac:dyDescent="0.25">
      <c r="W3344" s="574">
        <f t="shared" si="70"/>
        <v>3335</v>
      </c>
      <c r="X3344" s="564">
        <v>41</v>
      </c>
    </row>
    <row r="3345" spans="23:24" x14ac:dyDescent="0.25">
      <c r="W3345" s="574">
        <f t="shared" si="70"/>
        <v>3336</v>
      </c>
      <c r="X3345" s="564">
        <v>41</v>
      </c>
    </row>
    <row r="3346" spans="23:24" x14ac:dyDescent="0.25">
      <c r="W3346" s="574">
        <f t="shared" si="70"/>
        <v>3337</v>
      </c>
      <c r="X3346" s="564">
        <v>41</v>
      </c>
    </row>
    <row r="3347" spans="23:24" x14ac:dyDescent="0.25">
      <c r="W3347" s="574">
        <f t="shared" si="70"/>
        <v>3338</v>
      </c>
      <c r="X3347" s="564">
        <v>41</v>
      </c>
    </row>
    <row r="3348" spans="23:24" x14ac:dyDescent="0.25">
      <c r="W3348" s="574">
        <f t="shared" si="70"/>
        <v>3339</v>
      </c>
      <c r="X3348" s="564">
        <v>41</v>
      </c>
    </row>
    <row r="3349" spans="23:24" x14ac:dyDescent="0.25">
      <c r="W3349" s="574">
        <f t="shared" si="70"/>
        <v>3340</v>
      </c>
      <c r="X3349" s="564">
        <v>41</v>
      </c>
    </row>
    <row r="3350" spans="23:24" x14ac:dyDescent="0.25">
      <c r="W3350" s="574">
        <f t="shared" si="70"/>
        <v>3341</v>
      </c>
      <c r="X3350" s="564">
        <v>41</v>
      </c>
    </row>
    <row r="3351" spans="23:24" x14ac:dyDescent="0.25">
      <c r="W3351" s="574">
        <f t="shared" si="70"/>
        <v>3342</v>
      </c>
      <c r="X3351" s="564">
        <v>41</v>
      </c>
    </row>
    <row r="3352" spans="23:24" x14ac:dyDescent="0.25">
      <c r="W3352" s="574">
        <f t="shared" si="70"/>
        <v>3343</v>
      </c>
      <c r="X3352" s="564">
        <v>41</v>
      </c>
    </row>
    <row r="3353" spans="23:24" x14ac:dyDescent="0.25">
      <c r="W3353" s="574">
        <f t="shared" si="70"/>
        <v>3344</v>
      </c>
      <c r="X3353" s="564">
        <v>41</v>
      </c>
    </row>
    <row r="3354" spans="23:24" x14ac:dyDescent="0.25">
      <c r="W3354" s="574">
        <f t="shared" ref="W3354:W3417" si="71">W3353+1</f>
        <v>3345</v>
      </c>
      <c r="X3354" s="564">
        <v>41</v>
      </c>
    </row>
    <row r="3355" spans="23:24" x14ac:dyDescent="0.25">
      <c r="W3355" s="574">
        <f t="shared" si="71"/>
        <v>3346</v>
      </c>
      <c r="X3355" s="564">
        <v>41</v>
      </c>
    </row>
    <row r="3356" spans="23:24" x14ac:dyDescent="0.25">
      <c r="W3356" s="574">
        <f t="shared" si="71"/>
        <v>3347</v>
      </c>
      <c r="X3356" s="564">
        <v>41</v>
      </c>
    </row>
    <row r="3357" spans="23:24" x14ac:dyDescent="0.25">
      <c r="W3357" s="574">
        <f t="shared" si="71"/>
        <v>3348</v>
      </c>
      <c r="X3357" s="564">
        <v>41</v>
      </c>
    </row>
    <row r="3358" spans="23:24" x14ac:dyDescent="0.25">
      <c r="W3358" s="574">
        <f t="shared" si="71"/>
        <v>3349</v>
      </c>
      <c r="X3358" s="564">
        <v>41</v>
      </c>
    </row>
    <row r="3359" spans="23:24" x14ac:dyDescent="0.25">
      <c r="W3359" s="574">
        <f t="shared" si="71"/>
        <v>3350</v>
      </c>
      <c r="X3359" s="564">
        <v>41</v>
      </c>
    </row>
    <row r="3360" spans="23:24" x14ac:dyDescent="0.25">
      <c r="W3360" s="574">
        <f t="shared" si="71"/>
        <v>3351</v>
      </c>
      <c r="X3360" s="564">
        <v>41</v>
      </c>
    </row>
    <row r="3361" spans="23:24" x14ac:dyDescent="0.25">
      <c r="W3361" s="574">
        <f t="shared" si="71"/>
        <v>3352</v>
      </c>
      <c r="X3361" s="564">
        <v>41</v>
      </c>
    </row>
    <row r="3362" spans="23:24" x14ac:dyDescent="0.25">
      <c r="W3362" s="574">
        <f t="shared" si="71"/>
        <v>3353</v>
      </c>
      <c r="X3362" s="564">
        <v>41</v>
      </c>
    </row>
    <row r="3363" spans="23:24" x14ac:dyDescent="0.25">
      <c r="W3363" s="574">
        <f t="shared" si="71"/>
        <v>3354</v>
      </c>
      <c r="X3363" s="564">
        <v>41</v>
      </c>
    </row>
    <row r="3364" spans="23:24" x14ac:dyDescent="0.25">
      <c r="W3364" s="574">
        <f t="shared" si="71"/>
        <v>3355</v>
      </c>
      <c r="X3364" s="564">
        <v>41</v>
      </c>
    </row>
    <row r="3365" spans="23:24" x14ac:dyDescent="0.25">
      <c r="W3365" s="574">
        <f t="shared" si="71"/>
        <v>3356</v>
      </c>
      <c r="X3365" s="564">
        <v>41</v>
      </c>
    </row>
    <row r="3366" spans="23:24" x14ac:dyDescent="0.25">
      <c r="W3366" s="574">
        <f t="shared" si="71"/>
        <v>3357</v>
      </c>
      <c r="X3366" s="564">
        <v>41</v>
      </c>
    </row>
    <row r="3367" spans="23:24" x14ac:dyDescent="0.25">
      <c r="W3367" s="574">
        <f t="shared" si="71"/>
        <v>3358</v>
      </c>
      <c r="X3367" s="564">
        <v>41</v>
      </c>
    </row>
    <row r="3368" spans="23:24" x14ac:dyDescent="0.25">
      <c r="W3368" s="574">
        <f t="shared" si="71"/>
        <v>3359</v>
      </c>
      <c r="X3368" s="564">
        <v>41</v>
      </c>
    </row>
    <row r="3369" spans="23:24" x14ac:dyDescent="0.25">
      <c r="W3369" s="574">
        <f t="shared" si="71"/>
        <v>3360</v>
      </c>
      <c r="X3369" s="564">
        <v>41</v>
      </c>
    </row>
    <row r="3370" spans="23:24" x14ac:dyDescent="0.25">
      <c r="W3370" s="574">
        <f t="shared" si="71"/>
        <v>3361</v>
      </c>
      <c r="X3370" s="564">
        <v>41</v>
      </c>
    </row>
    <row r="3371" spans="23:24" x14ac:dyDescent="0.25">
      <c r="W3371" s="574">
        <f t="shared" si="71"/>
        <v>3362</v>
      </c>
      <c r="X3371" s="564">
        <v>41</v>
      </c>
    </row>
    <row r="3372" spans="23:24" x14ac:dyDescent="0.25">
      <c r="W3372" s="574">
        <f t="shared" si="71"/>
        <v>3363</v>
      </c>
      <c r="X3372" s="564">
        <v>41</v>
      </c>
    </row>
    <row r="3373" spans="23:24" x14ac:dyDescent="0.25">
      <c r="W3373" s="574">
        <f t="shared" si="71"/>
        <v>3364</v>
      </c>
      <c r="X3373" s="564">
        <v>41</v>
      </c>
    </row>
    <row r="3374" spans="23:24" x14ac:dyDescent="0.25">
      <c r="W3374" s="574">
        <f t="shared" si="71"/>
        <v>3365</v>
      </c>
      <c r="X3374" s="564">
        <v>41</v>
      </c>
    </row>
    <row r="3375" spans="23:24" x14ac:dyDescent="0.25">
      <c r="W3375" s="574">
        <f t="shared" si="71"/>
        <v>3366</v>
      </c>
      <c r="X3375" s="564">
        <v>41</v>
      </c>
    </row>
    <row r="3376" spans="23:24" x14ac:dyDescent="0.25">
      <c r="W3376" s="574">
        <f t="shared" si="71"/>
        <v>3367</v>
      </c>
      <c r="X3376" s="564">
        <v>41</v>
      </c>
    </row>
    <row r="3377" spans="23:24" x14ac:dyDescent="0.25">
      <c r="W3377" s="574">
        <f t="shared" si="71"/>
        <v>3368</v>
      </c>
      <c r="X3377" s="564">
        <v>41</v>
      </c>
    </row>
    <row r="3378" spans="23:24" x14ac:dyDescent="0.25">
      <c r="W3378" s="574">
        <f t="shared" si="71"/>
        <v>3369</v>
      </c>
      <c r="X3378" s="564">
        <v>41</v>
      </c>
    </row>
    <row r="3379" spans="23:24" x14ac:dyDescent="0.25">
      <c r="W3379" s="574">
        <f t="shared" si="71"/>
        <v>3370</v>
      </c>
      <c r="X3379" s="564">
        <v>41</v>
      </c>
    </row>
    <row r="3380" spans="23:24" x14ac:dyDescent="0.25">
      <c r="W3380" s="574">
        <f t="shared" si="71"/>
        <v>3371</v>
      </c>
      <c r="X3380" s="564">
        <v>41</v>
      </c>
    </row>
    <row r="3381" spans="23:24" x14ac:dyDescent="0.25">
      <c r="W3381" s="574">
        <f t="shared" si="71"/>
        <v>3372</v>
      </c>
      <c r="X3381" s="564">
        <v>41</v>
      </c>
    </row>
    <row r="3382" spans="23:24" x14ac:dyDescent="0.25">
      <c r="W3382" s="574">
        <f t="shared" si="71"/>
        <v>3373</v>
      </c>
      <c r="X3382" s="564">
        <v>41</v>
      </c>
    </row>
    <row r="3383" spans="23:24" x14ac:dyDescent="0.25">
      <c r="W3383" s="574">
        <f t="shared" si="71"/>
        <v>3374</v>
      </c>
      <c r="X3383" s="564">
        <v>41</v>
      </c>
    </row>
    <row r="3384" spans="23:24" x14ac:dyDescent="0.25">
      <c r="W3384" s="574">
        <f t="shared" si="71"/>
        <v>3375</v>
      </c>
      <c r="X3384" s="564">
        <v>41</v>
      </c>
    </row>
    <row r="3385" spans="23:24" x14ac:dyDescent="0.25">
      <c r="W3385" s="574">
        <f t="shared" si="71"/>
        <v>3376</v>
      </c>
      <c r="X3385" s="564">
        <v>41</v>
      </c>
    </row>
    <row r="3386" spans="23:24" x14ac:dyDescent="0.25">
      <c r="W3386" s="574">
        <f t="shared" si="71"/>
        <v>3377</v>
      </c>
      <c r="X3386" s="564">
        <v>41</v>
      </c>
    </row>
    <row r="3387" spans="23:24" x14ac:dyDescent="0.25">
      <c r="W3387" s="574">
        <f t="shared" si="71"/>
        <v>3378</v>
      </c>
      <c r="X3387" s="564">
        <v>41</v>
      </c>
    </row>
    <row r="3388" spans="23:24" x14ac:dyDescent="0.25">
      <c r="W3388" s="574">
        <f t="shared" si="71"/>
        <v>3379</v>
      </c>
      <c r="X3388" s="564">
        <v>41</v>
      </c>
    </row>
    <row r="3389" spans="23:24" x14ac:dyDescent="0.25">
      <c r="W3389" s="574">
        <f t="shared" si="71"/>
        <v>3380</v>
      </c>
      <c r="X3389" s="564">
        <v>41</v>
      </c>
    </row>
    <row r="3390" spans="23:24" x14ac:dyDescent="0.25">
      <c r="W3390" s="574">
        <f t="shared" si="71"/>
        <v>3381</v>
      </c>
      <c r="X3390" s="564">
        <v>41</v>
      </c>
    </row>
    <row r="3391" spans="23:24" x14ac:dyDescent="0.25">
      <c r="W3391" s="574">
        <f t="shared" si="71"/>
        <v>3382</v>
      </c>
      <c r="X3391" s="564">
        <v>41</v>
      </c>
    </row>
    <row r="3392" spans="23:24" x14ac:dyDescent="0.25">
      <c r="W3392" s="574">
        <f t="shared" si="71"/>
        <v>3383</v>
      </c>
      <c r="X3392" s="564">
        <v>41</v>
      </c>
    </row>
    <row r="3393" spans="23:24" x14ac:dyDescent="0.25">
      <c r="W3393" s="574">
        <f t="shared" si="71"/>
        <v>3384</v>
      </c>
      <c r="X3393" s="564">
        <v>41</v>
      </c>
    </row>
    <row r="3394" spans="23:24" x14ac:dyDescent="0.25">
      <c r="W3394" s="574">
        <f t="shared" si="71"/>
        <v>3385</v>
      </c>
      <c r="X3394" s="564">
        <v>41</v>
      </c>
    </row>
    <row r="3395" spans="23:24" x14ac:dyDescent="0.25">
      <c r="W3395" s="574">
        <f t="shared" si="71"/>
        <v>3386</v>
      </c>
      <c r="X3395" s="564">
        <v>41</v>
      </c>
    </row>
    <row r="3396" spans="23:24" x14ac:dyDescent="0.25">
      <c r="W3396" s="574">
        <f t="shared" si="71"/>
        <v>3387</v>
      </c>
      <c r="X3396" s="564">
        <v>41</v>
      </c>
    </row>
    <row r="3397" spans="23:24" x14ac:dyDescent="0.25">
      <c r="W3397" s="574">
        <f t="shared" si="71"/>
        <v>3388</v>
      </c>
      <c r="X3397" s="564">
        <v>41</v>
      </c>
    </row>
    <row r="3398" spans="23:24" x14ac:dyDescent="0.25">
      <c r="W3398" s="574">
        <f t="shared" si="71"/>
        <v>3389</v>
      </c>
      <c r="X3398" s="564">
        <v>41</v>
      </c>
    </row>
    <row r="3399" spans="23:24" x14ac:dyDescent="0.25">
      <c r="W3399" s="574">
        <f t="shared" si="71"/>
        <v>3390</v>
      </c>
      <c r="X3399" s="564">
        <v>41</v>
      </c>
    </row>
    <row r="3400" spans="23:24" x14ac:dyDescent="0.25">
      <c r="W3400" s="574">
        <f t="shared" si="71"/>
        <v>3391</v>
      </c>
      <c r="X3400" s="564">
        <v>41</v>
      </c>
    </row>
    <row r="3401" spans="23:24" x14ac:dyDescent="0.25">
      <c r="W3401" s="574">
        <f t="shared" si="71"/>
        <v>3392</v>
      </c>
      <c r="X3401" s="564">
        <v>41</v>
      </c>
    </row>
    <row r="3402" spans="23:24" x14ac:dyDescent="0.25">
      <c r="W3402" s="574">
        <f t="shared" si="71"/>
        <v>3393</v>
      </c>
      <c r="X3402" s="564">
        <v>41</v>
      </c>
    </row>
    <row r="3403" spans="23:24" x14ac:dyDescent="0.25">
      <c r="W3403" s="574">
        <f t="shared" si="71"/>
        <v>3394</v>
      </c>
      <c r="X3403" s="564">
        <v>41</v>
      </c>
    </row>
    <row r="3404" spans="23:24" x14ac:dyDescent="0.25">
      <c r="W3404" s="574">
        <f t="shared" si="71"/>
        <v>3395</v>
      </c>
      <c r="X3404" s="564">
        <v>41</v>
      </c>
    </row>
    <row r="3405" spans="23:24" x14ac:dyDescent="0.25">
      <c r="W3405" s="574">
        <f t="shared" si="71"/>
        <v>3396</v>
      </c>
      <c r="X3405" s="564">
        <v>41</v>
      </c>
    </row>
    <row r="3406" spans="23:24" x14ac:dyDescent="0.25">
      <c r="W3406" s="574">
        <f t="shared" si="71"/>
        <v>3397</v>
      </c>
      <c r="X3406" s="564">
        <v>41</v>
      </c>
    </row>
    <row r="3407" spans="23:24" x14ac:dyDescent="0.25">
      <c r="W3407" s="574">
        <f t="shared" si="71"/>
        <v>3398</v>
      </c>
      <c r="X3407" s="564">
        <v>41</v>
      </c>
    </row>
    <row r="3408" spans="23:24" x14ac:dyDescent="0.25">
      <c r="W3408" s="574">
        <f t="shared" si="71"/>
        <v>3399</v>
      </c>
      <c r="X3408" s="564">
        <v>41</v>
      </c>
    </row>
    <row r="3409" spans="23:24" x14ac:dyDescent="0.25">
      <c r="W3409" s="574">
        <f t="shared" si="71"/>
        <v>3400</v>
      </c>
      <c r="X3409" s="564">
        <v>41</v>
      </c>
    </row>
    <row r="3410" spans="23:24" x14ac:dyDescent="0.25">
      <c r="W3410" s="574">
        <f t="shared" si="71"/>
        <v>3401</v>
      </c>
      <c r="X3410" s="564">
        <v>41</v>
      </c>
    </row>
    <row r="3411" spans="23:24" x14ac:dyDescent="0.25">
      <c r="W3411" s="574">
        <f t="shared" si="71"/>
        <v>3402</v>
      </c>
      <c r="X3411" s="564">
        <v>41</v>
      </c>
    </row>
    <row r="3412" spans="23:24" x14ac:dyDescent="0.25">
      <c r="W3412" s="574">
        <f t="shared" si="71"/>
        <v>3403</v>
      </c>
      <c r="X3412" s="564">
        <v>41</v>
      </c>
    </row>
    <row r="3413" spans="23:24" x14ac:dyDescent="0.25">
      <c r="W3413" s="574">
        <f t="shared" si="71"/>
        <v>3404</v>
      </c>
      <c r="X3413" s="564">
        <v>41</v>
      </c>
    </row>
    <row r="3414" spans="23:24" x14ac:dyDescent="0.25">
      <c r="W3414" s="574">
        <f t="shared" si="71"/>
        <v>3405</v>
      </c>
      <c r="X3414" s="564">
        <v>41</v>
      </c>
    </row>
    <row r="3415" spans="23:24" x14ac:dyDescent="0.25">
      <c r="W3415" s="574">
        <f t="shared" si="71"/>
        <v>3406</v>
      </c>
      <c r="X3415" s="564">
        <v>41</v>
      </c>
    </row>
    <row r="3416" spans="23:24" x14ac:dyDescent="0.25">
      <c r="W3416" s="574">
        <f t="shared" si="71"/>
        <v>3407</v>
      </c>
      <c r="X3416" s="564">
        <v>41</v>
      </c>
    </row>
    <row r="3417" spans="23:24" x14ac:dyDescent="0.25">
      <c r="W3417" s="574">
        <f t="shared" si="71"/>
        <v>3408</v>
      </c>
      <c r="X3417" s="564">
        <v>41</v>
      </c>
    </row>
    <row r="3418" spans="23:24" x14ac:dyDescent="0.25">
      <c r="W3418" s="574">
        <f t="shared" ref="W3418:W3481" si="72">W3417+1</f>
        <v>3409</v>
      </c>
      <c r="X3418" s="564">
        <v>41</v>
      </c>
    </row>
    <row r="3419" spans="23:24" x14ac:dyDescent="0.25">
      <c r="W3419" s="574">
        <f t="shared" si="72"/>
        <v>3410</v>
      </c>
      <c r="X3419" s="564">
        <v>41</v>
      </c>
    </row>
    <row r="3420" spans="23:24" x14ac:dyDescent="0.25">
      <c r="W3420" s="574">
        <f t="shared" si="72"/>
        <v>3411</v>
      </c>
      <c r="X3420" s="564">
        <v>41</v>
      </c>
    </row>
    <row r="3421" spans="23:24" x14ac:dyDescent="0.25">
      <c r="W3421" s="574">
        <f t="shared" si="72"/>
        <v>3412</v>
      </c>
      <c r="X3421" s="564">
        <v>41</v>
      </c>
    </row>
    <row r="3422" spans="23:24" x14ac:dyDescent="0.25">
      <c r="W3422" s="574">
        <f t="shared" si="72"/>
        <v>3413</v>
      </c>
      <c r="X3422" s="564">
        <v>41</v>
      </c>
    </row>
    <row r="3423" spans="23:24" x14ac:dyDescent="0.25">
      <c r="W3423" s="574">
        <f t="shared" si="72"/>
        <v>3414</v>
      </c>
      <c r="X3423" s="564">
        <v>41</v>
      </c>
    </row>
    <row r="3424" spans="23:24" x14ac:dyDescent="0.25">
      <c r="W3424" s="574">
        <f t="shared" si="72"/>
        <v>3415</v>
      </c>
      <c r="X3424" s="564">
        <v>41</v>
      </c>
    </row>
    <row r="3425" spans="23:24" x14ac:dyDescent="0.25">
      <c r="W3425" s="574">
        <f t="shared" si="72"/>
        <v>3416</v>
      </c>
      <c r="X3425" s="564">
        <v>41</v>
      </c>
    </row>
    <row r="3426" spans="23:24" x14ac:dyDescent="0.25">
      <c r="W3426" s="574">
        <f t="shared" si="72"/>
        <v>3417</v>
      </c>
      <c r="X3426" s="564">
        <v>41</v>
      </c>
    </row>
    <row r="3427" spans="23:24" x14ac:dyDescent="0.25">
      <c r="W3427" s="574">
        <f t="shared" si="72"/>
        <v>3418</v>
      </c>
      <c r="X3427" s="564">
        <v>41</v>
      </c>
    </row>
    <row r="3428" spans="23:24" x14ac:dyDescent="0.25">
      <c r="W3428" s="574">
        <f t="shared" si="72"/>
        <v>3419</v>
      </c>
      <c r="X3428" s="564">
        <v>41</v>
      </c>
    </row>
    <row r="3429" spans="23:24" x14ac:dyDescent="0.25">
      <c r="W3429" s="574">
        <f t="shared" si="72"/>
        <v>3420</v>
      </c>
      <c r="X3429" s="564">
        <v>41</v>
      </c>
    </row>
    <row r="3430" spans="23:24" x14ac:dyDescent="0.25">
      <c r="W3430" s="574">
        <f t="shared" si="72"/>
        <v>3421</v>
      </c>
      <c r="X3430" s="564">
        <v>41</v>
      </c>
    </row>
    <row r="3431" spans="23:24" x14ac:dyDescent="0.25">
      <c r="W3431" s="574">
        <f t="shared" si="72"/>
        <v>3422</v>
      </c>
      <c r="X3431" s="564">
        <v>41</v>
      </c>
    </row>
    <row r="3432" spans="23:24" x14ac:dyDescent="0.25">
      <c r="W3432" s="574">
        <f t="shared" si="72"/>
        <v>3423</v>
      </c>
      <c r="X3432" s="564">
        <v>41</v>
      </c>
    </row>
    <row r="3433" spans="23:24" x14ac:dyDescent="0.25">
      <c r="W3433" s="574">
        <f t="shared" si="72"/>
        <v>3424</v>
      </c>
      <c r="X3433" s="564">
        <v>41</v>
      </c>
    </row>
    <row r="3434" spans="23:24" x14ac:dyDescent="0.25">
      <c r="W3434" s="574">
        <f t="shared" si="72"/>
        <v>3425</v>
      </c>
      <c r="X3434" s="564">
        <v>41</v>
      </c>
    </row>
    <row r="3435" spans="23:24" x14ac:dyDescent="0.25">
      <c r="W3435" s="574">
        <f t="shared" si="72"/>
        <v>3426</v>
      </c>
      <c r="X3435" s="564">
        <v>41</v>
      </c>
    </row>
    <row r="3436" spans="23:24" x14ac:dyDescent="0.25">
      <c r="W3436" s="574">
        <f t="shared" si="72"/>
        <v>3427</v>
      </c>
      <c r="X3436" s="564">
        <v>41</v>
      </c>
    </row>
    <row r="3437" spans="23:24" x14ac:dyDescent="0.25">
      <c r="W3437" s="574">
        <f t="shared" si="72"/>
        <v>3428</v>
      </c>
      <c r="X3437" s="564">
        <v>41</v>
      </c>
    </row>
    <row r="3438" spans="23:24" x14ac:dyDescent="0.25">
      <c r="W3438" s="574">
        <f t="shared" si="72"/>
        <v>3429</v>
      </c>
      <c r="X3438" s="564">
        <v>41</v>
      </c>
    </row>
    <row r="3439" spans="23:24" x14ac:dyDescent="0.25">
      <c r="W3439" s="574">
        <f t="shared" si="72"/>
        <v>3430</v>
      </c>
      <c r="X3439" s="564">
        <v>41</v>
      </c>
    </row>
    <row r="3440" spans="23:24" x14ac:dyDescent="0.25">
      <c r="W3440" s="574">
        <f t="shared" si="72"/>
        <v>3431</v>
      </c>
      <c r="X3440" s="564">
        <v>41</v>
      </c>
    </row>
    <row r="3441" spans="23:24" x14ac:dyDescent="0.25">
      <c r="W3441" s="574">
        <f t="shared" si="72"/>
        <v>3432</v>
      </c>
      <c r="X3441" s="564">
        <v>41</v>
      </c>
    </row>
    <row r="3442" spans="23:24" x14ac:dyDescent="0.25">
      <c r="W3442" s="574">
        <f t="shared" si="72"/>
        <v>3433</v>
      </c>
      <c r="X3442" s="564">
        <v>41</v>
      </c>
    </row>
    <row r="3443" spans="23:24" x14ac:dyDescent="0.25">
      <c r="W3443" s="574">
        <f t="shared" si="72"/>
        <v>3434</v>
      </c>
      <c r="X3443" s="564">
        <v>41</v>
      </c>
    </row>
    <row r="3444" spans="23:24" x14ac:dyDescent="0.25">
      <c r="W3444" s="574">
        <f t="shared" si="72"/>
        <v>3435</v>
      </c>
      <c r="X3444" s="564">
        <v>41</v>
      </c>
    </row>
    <row r="3445" spans="23:24" x14ac:dyDescent="0.25">
      <c r="W3445" s="574">
        <f t="shared" si="72"/>
        <v>3436</v>
      </c>
      <c r="X3445" s="564">
        <v>41</v>
      </c>
    </row>
    <row r="3446" spans="23:24" x14ac:dyDescent="0.25">
      <c r="W3446" s="574">
        <f t="shared" si="72"/>
        <v>3437</v>
      </c>
      <c r="X3446" s="564">
        <v>41</v>
      </c>
    </row>
    <row r="3447" spans="23:24" x14ac:dyDescent="0.25">
      <c r="W3447" s="574">
        <f t="shared" si="72"/>
        <v>3438</v>
      </c>
      <c r="X3447" s="564">
        <v>41</v>
      </c>
    </row>
    <row r="3448" spans="23:24" x14ac:dyDescent="0.25">
      <c r="W3448" s="574">
        <f t="shared" si="72"/>
        <v>3439</v>
      </c>
      <c r="X3448" s="564">
        <v>41</v>
      </c>
    </row>
    <row r="3449" spans="23:24" x14ac:dyDescent="0.25">
      <c r="W3449" s="574">
        <f t="shared" si="72"/>
        <v>3440</v>
      </c>
      <c r="X3449" s="564">
        <v>41</v>
      </c>
    </row>
    <row r="3450" spans="23:24" x14ac:dyDescent="0.25">
      <c r="W3450" s="574">
        <f t="shared" si="72"/>
        <v>3441</v>
      </c>
      <c r="X3450" s="564">
        <v>41</v>
      </c>
    </row>
    <row r="3451" spans="23:24" x14ac:dyDescent="0.25">
      <c r="W3451" s="574">
        <f t="shared" si="72"/>
        <v>3442</v>
      </c>
      <c r="X3451" s="564">
        <v>41</v>
      </c>
    </row>
    <row r="3452" spans="23:24" x14ac:dyDescent="0.25">
      <c r="W3452" s="574">
        <f t="shared" si="72"/>
        <v>3443</v>
      </c>
      <c r="X3452" s="564">
        <v>41</v>
      </c>
    </row>
    <row r="3453" spans="23:24" x14ac:dyDescent="0.25">
      <c r="W3453" s="574">
        <f t="shared" si="72"/>
        <v>3444</v>
      </c>
      <c r="X3453" s="564">
        <v>41</v>
      </c>
    </row>
    <row r="3454" spans="23:24" x14ac:dyDescent="0.25">
      <c r="W3454" s="574">
        <f t="shared" si="72"/>
        <v>3445</v>
      </c>
      <c r="X3454" s="564">
        <v>41</v>
      </c>
    </row>
    <row r="3455" spans="23:24" x14ac:dyDescent="0.25">
      <c r="W3455" s="574">
        <f t="shared" si="72"/>
        <v>3446</v>
      </c>
      <c r="X3455" s="564">
        <v>41</v>
      </c>
    </row>
    <row r="3456" spans="23:24" x14ac:dyDescent="0.25">
      <c r="W3456" s="574">
        <f t="shared" si="72"/>
        <v>3447</v>
      </c>
      <c r="X3456" s="564">
        <v>41</v>
      </c>
    </row>
    <row r="3457" spans="23:24" x14ac:dyDescent="0.25">
      <c r="W3457" s="574">
        <f t="shared" si="72"/>
        <v>3448</v>
      </c>
      <c r="X3457" s="564">
        <v>41</v>
      </c>
    </row>
    <row r="3458" spans="23:24" x14ac:dyDescent="0.25">
      <c r="W3458" s="574">
        <f t="shared" si="72"/>
        <v>3449</v>
      </c>
      <c r="X3458" s="564">
        <v>41</v>
      </c>
    </row>
    <row r="3459" spans="23:24" x14ac:dyDescent="0.25">
      <c r="W3459" s="574">
        <f t="shared" si="72"/>
        <v>3450</v>
      </c>
      <c r="X3459" s="564">
        <v>41</v>
      </c>
    </row>
    <row r="3460" spans="23:24" x14ac:dyDescent="0.25">
      <c r="W3460" s="574">
        <f t="shared" si="72"/>
        <v>3451</v>
      </c>
      <c r="X3460" s="564">
        <v>41</v>
      </c>
    </row>
    <row r="3461" spans="23:24" x14ac:dyDescent="0.25">
      <c r="W3461" s="574">
        <f t="shared" si="72"/>
        <v>3452</v>
      </c>
      <c r="X3461" s="564">
        <v>41</v>
      </c>
    </row>
    <row r="3462" spans="23:24" x14ac:dyDescent="0.25">
      <c r="W3462" s="574">
        <f t="shared" si="72"/>
        <v>3453</v>
      </c>
      <c r="X3462" s="564">
        <v>41</v>
      </c>
    </row>
    <row r="3463" spans="23:24" x14ac:dyDescent="0.25">
      <c r="W3463" s="574">
        <f t="shared" si="72"/>
        <v>3454</v>
      </c>
      <c r="X3463" s="564">
        <v>41</v>
      </c>
    </row>
    <row r="3464" spans="23:24" x14ac:dyDescent="0.25">
      <c r="W3464" s="574">
        <f t="shared" si="72"/>
        <v>3455</v>
      </c>
      <c r="X3464" s="564">
        <v>41</v>
      </c>
    </row>
    <row r="3465" spans="23:24" x14ac:dyDescent="0.25">
      <c r="W3465" s="574">
        <f t="shared" si="72"/>
        <v>3456</v>
      </c>
      <c r="X3465" s="564">
        <v>41</v>
      </c>
    </row>
    <row r="3466" spans="23:24" x14ac:dyDescent="0.25">
      <c r="W3466" s="574">
        <f t="shared" si="72"/>
        <v>3457</v>
      </c>
      <c r="X3466" s="564">
        <v>41</v>
      </c>
    </row>
    <row r="3467" spans="23:24" x14ac:dyDescent="0.25">
      <c r="W3467" s="574">
        <f t="shared" si="72"/>
        <v>3458</v>
      </c>
      <c r="X3467" s="564">
        <v>41</v>
      </c>
    </row>
    <row r="3468" spans="23:24" x14ac:dyDescent="0.25">
      <c r="W3468" s="574">
        <f t="shared" si="72"/>
        <v>3459</v>
      </c>
      <c r="X3468" s="564">
        <v>41</v>
      </c>
    </row>
    <row r="3469" spans="23:24" x14ac:dyDescent="0.25">
      <c r="W3469" s="574">
        <f t="shared" si="72"/>
        <v>3460</v>
      </c>
      <c r="X3469" s="564">
        <v>41</v>
      </c>
    </row>
    <row r="3470" spans="23:24" x14ac:dyDescent="0.25">
      <c r="W3470" s="574">
        <f t="shared" si="72"/>
        <v>3461</v>
      </c>
      <c r="X3470" s="564">
        <v>41</v>
      </c>
    </row>
    <row r="3471" spans="23:24" x14ac:dyDescent="0.25">
      <c r="W3471" s="574">
        <f t="shared" si="72"/>
        <v>3462</v>
      </c>
      <c r="X3471" s="564">
        <v>41</v>
      </c>
    </row>
    <row r="3472" spans="23:24" x14ac:dyDescent="0.25">
      <c r="W3472" s="574">
        <f t="shared" si="72"/>
        <v>3463</v>
      </c>
      <c r="X3472" s="564">
        <v>41</v>
      </c>
    </row>
    <row r="3473" spans="23:24" x14ac:dyDescent="0.25">
      <c r="W3473" s="574">
        <f t="shared" si="72"/>
        <v>3464</v>
      </c>
      <c r="X3473" s="564">
        <v>41</v>
      </c>
    </row>
    <row r="3474" spans="23:24" x14ac:dyDescent="0.25">
      <c r="W3474" s="574">
        <f t="shared" si="72"/>
        <v>3465</v>
      </c>
      <c r="X3474" s="564">
        <v>41</v>
      </c>
    </row>
    <row r="3475" spans="23:24" x14ac:dyDescent="0.25">
      <c r="W3475" s="574">
        <f t="shared" si="72"/>
        <v>3466</v>
      </c>
      <c r="X3475" s="564">
        <v>41</v>
      </c>
    </row>
    <row r="3476" spans="23:24" x14ac:dyDescent="0.25">
      <c r="W3476" s="574">
        <f t="shared" si="72"/>
        <v>3467</v>
      </c>
      <c r="X3476" s="564">
        <v>41</v>
      </c>
    </row>
    <row r="3477" spans="23:24" x14ac:dyDescent="0.25">
      <c r="W3477" s="574">
        <f t="shared" si="72"/>
        <v>3468</v>
      </c>
      <c r="X3477" s="564">
        <v>41</v>
      </c>
    </row>
    <row r="3478" spans="23:24" x14ac:dyDescent="0.25">
      <c r="W3478" s="574">
        <f t="shared" si="72"/>
        <v>3469</v>
      </c>
      <c r="X3478" s="564">
        <v>41</v>
      </c>
    </row>
    <row r="3479" spans="23:24" x14ac:dyDescent="0.25">
      <c r="W3479" s="574">
        <f t="shared" si="72"/>
        <v>3470</v>
      </c>
      <c r="X3479" s="564">
        <v>41</v>
      </c>
    </row>
    <row r="3480" spans="23:24" x14ac:dyDescent="0.25">
      <c r="W3480" s="574">
        <f t="shared" si="72"/>
        <v>3471</v>
      </c>
      <c r="X3480" s="564">
        <v>41</v>
      </c>
    </row>
    <row r="3481" spans="23:24" x14ac:dyDescent="0.25">
      <c r="W3481" s="574">
        <f t="shared" si="72"/>
        <v>3472</v>
      </c>
      <c r="X3481" s="564">
        <v>41</v>
      </c>
    </row>
    <row r="3482" spans="23:24" x14ac:dyDescent="0.25">
      <c r="W3482" s="574">
        <f t="shared" ref="W3482:W3545" si="73">W3481+1</f>
        <v>3473</v>
      </c>
      <c r="X3482" s="564">
        <v>41</v>
      </c>
    </row>
    <row r="3483" spans="23:24" x14ac:dyDescent="0.25">
      <c r="W3483" s="574">
        <f t="shared" si="73"/>
        <v>3474</v>
      </c>
      <c r="X3483" s="564">
        <v>41</v>
      </c>
    </row>
    <row r="3484" spans="23:24" x14ac:dyDescent="0.25">
      <c r="W3484" s="574">
        <f t="shared" si="73"/>
        <v>3475</v>
      </c>
      <c r="X3484" s="564">
        <v>41</v>
      </c>
    </row>
    <row r="3485" spans="23:24" x14ac:dyDescent="0.25">
      <c r="W3485" s="574">
        <f t="shared" si="73"/>
        <v>3476</v>
      </c>
      <c r="X3485" s="564">
        <v>41</v>
      </c>
    </row>
    <row r="3486" spans="23:24" x14ac:dyDescent="0.25">
      <c r="W3486" s="574">
        <f t="shared" si="73"/>
        <v>3477</v>
      </c>
      <c r="X3486" s="564">
        <v>41</v>
      </c>
    </row>
    <row r="3487" spans="23:24" x14ac:dyDescent="0.25">
      <c r="W3487" s="574">
        <f t="shared" si="73"/>
        <v>3478</v>
      </c>
      <c r="X3487" s="564">
        <v>41</v>
      </c>
    </row>
    <row r="3488" spans="23:24" x14ac:dyDescent="0.25">
      <c r="W3488" s="574">
        <f t="shared" si="73"/>
        <v>3479</v>
      </c>
      <c r="X3488" s="564">
        <v>41</v>
      </c>
    </row>
    <row r="3489" spans="23:24" x14ac:dyDescent="0.25">
      <c r="W3489" s="574">
        <f t="shared" si="73"/>
        <v>3480</v>
      </c>
      <c r="X3489" s="564">
        <v>41</v>
      </c>
    </row>
    <row r="3490" spans="23:24" x14ac:dyDescent="0.25">
      <c r="W3490" s="574">
        <f t="shared" si="73"/>
        <v>3481</v>
      </c>
      <c r="X3490" s="564">
        <v>41</v>
      </c>
    </row>
    <row r="3491" spans="23:24" x14ac:dyDescent="0.25">
      <c r="W3491" s="574">
        <f t="shared" si="73"/>
        <v>3482</v>
      </c>
      <c r="X3491" s="564">
        <v>41</v>
      </c>
    </row>
    <row r="3492" spans="23:24" x14ac:dyDescent="0.25">
      <c r="W3492" s="574">
        <f t="shared" si="73"/>
        <v>3483</v>
      </c>
      <c r="X3492" s="564">
        <v>41</v>
      </c>
    </row>
    <row r="3493" spans="23:24" x14ac:dyDescent="0.25">
      <c r="W3493" s="574">
        <f t="shared" si="73"/>
        <v>3484</v>
      </c>
      <c r="X3493" s="564">
        <v>41</v>
      </c>
    </row>
    <row r="3494" spans="23:24" x14ac:dyDescent="0.25">
      <c r="W3494" s="574">
        <f t="shared" si="73"/>
        <v>3485</v>
      </c>
      <c r="X3494" s="564">
        <v>41</v>
      </c>
    </row>
    <row r="3495" spans="23:24" x14ac:dyDescent="0.25">
      <c r="W3495" s="574">
        <f t="shared" si="73"/>
        <v>3486</v>
      </c>
      <c r="X3495" s="564">
        <v>41</v>
      </c>
    </row>
    <row r="3496" spans="23:24" x14ac:dyDescent="0.25">
      <c r="W3496" s="574">
        <f t="shared" si="73"/>
        <v>3487</v>
      </c>
      <c r="X3496" s="564">
        <v>41</v>
      </c>
    </row>
    <row r="3497" spans="23:24" x14ac:dyDescent="0.25">
      <c r="W3497" s="574">
        <f t="shared" si="73"/>
        <v>3488</v>
      </c>
      <c r="X3497" s="564">
        <v>41</v>
      </c>
    </row>
    <row r="3498" spans="23:24" x14ac:dyDescent="0.25">
      <c r="W3498" s="574">
        <f t="shared" si="73"/>
        <v>3489</v>
      </c>
      <c r="X3498" s="564">
        <v>41</v>
      </c>
    </row>
    <row r="3499" spans="23:24" x14ac:dyDescent="0.25">
      <c r="W3499" s="574">
        <f t="shared" si="73"/>
        <v>3490</v>
      </c>
      <c r="X3499" s="564">
        <v>41</v>
      </c>
    </row>
    <row r="3500" spans="23:24" x14ac:dyDescent="0.25">
      <c r="W3500" s="574">
        <f t="shared" si="73"/>
        <v>3491</v>
      </c>
      <c r="X3500" s="564">
        <v>41</v>
      </c>
    </row>
    <row r="3501" spans="23:24" x14ac:dyDescent="0.25">
      <c r="W3501" s="574">
        <f t="shared" si="73"/>
        <v>3492</v>
      </c>
      <c r="X3501" s="564">
        <v>41</v>
      </c>
    </row>
    <row r="3502" spans="23:24" x14ac:dyDescent="0.25">
      <c r="W3502" s="574">
        <f t="shared" si="73"/>
        <v>3493</v>
      </c>
      <c r="X3502" s="564">
        <v>41</v>
      </c>
    </row>
    <row r="3503" spans="23:24" x14ac:dyDescent="0.25">
      <c r="W3503" s="574">
        <f t="shared" si="73"/>
        <v>3494</v>
      </c>
      <c r="X3503" s="564">
        <v>41</v>
      </c>
    </row>
    <row r="3504" spans="23:24" x14ac:dyDescent="0.25">
      <c r="W3504" s="574">
        <f t="shared" si="73"/>
        <v>3495</v>
      </c>
      <c r="X3504" s="564">
        <v>41</v>
      </c>
    </row>
    <row r="3505" spans="23:24" x14ac:dyDescent="0.25">
      <c r="W3505" s="574">
        <f t="shared" si="73"/>
        <v>3496</v>
      </c>
      <c r="X3505" s="564">
        <v>41</v>
      </c>
    </row>
    <row r="3506" spans="23:24" x14ac:dyDescent="0.25">
      <c r="W3506" s="574">
        <f t="shared" si="73"/>
        <v>3497</v>
      </c>
      <c r="X3506" s="564">
        <v>41</v>
      </c>
    </row>
    <row r="3507" spans="23:24" x14ac:dyDescent="0.25">
      <c r="W3507" s="574">
        <f t="shared" si="73"/>
        <v>3498</v>
      </c>
      <c r="X3507" s="564">
        <v>41</v>
      </c>
    </row>
    <row r="3508" spans="23:24" x14ac:dyDescent="0.25">
      <c r="W3508" s="574">
        <f t="shared" si="73"/>
        <v>3499</v>
      </c>
      <c r="X3508" s="564">
        <v>41</v>
      </c>
    </row>
    <row r="3509" spans="23:24" x14ac:dyDescent="0.25">
      <c r="W3509" s="574">
        <f t="shared" si="73"/>
        <v>3500</v>
      </c>
      <c r="X3509" s="564">
        <v>42</v>
      </c>
    </row>
    <row r="3510" spans="23:24" x14ac:dyDescent="0.25">
      <c r="W3510" s="574">
        <f t="shared" si="73"/>
        <v>3501</v>
      </c>
      <c r="X3510" s="564">
        <v>42</v>
      </c>
    </row>
    <row r="3511" spans="23:24" x14ac:dyDescent="0.25">
      <c r="W3511" s="574">
        <f t="shared" si="73"/>
        <v>3502</v>
      </c>
      <c r="X3511" s="564">
        <v>42</v>
      </c>
    </row>
    <row r="3512" spans="23:24" x14ac:dyDescent="0.25">
      <c r="W3512" s="574">
        <f t="shared" si="73"/>
        <v>3503</v>
      </c>
      <c r="X3512" s="564">
        <v>42</v>
      </c>
    </row>
    <row r="3513" spans="23:24" x14ac:dyDescent="0.25">
      <c r="W3513" s="574">
        <f t="shared" si="73"/>
        <v>3504</v>
      </c>
      <c r="X3513" s="564">
        <v>42</v>
      </c>
    </row>
    <row r="3514" spans="23:24" x14ac:dyDescent="0.25">
      <c r="W3514" s="574">
        <f t="shared" si="73"/>
        <v>3505</v>
      </c>
      <c r="X3514" s="564">
        <v>42</v>
      </c>
    </row>
    <row r="3515" spans="23:24" x14ac:dyDescent="0.25">
      <c r="W3515" s="574">
        <f t="shared" si="73"/>
        <v>3506</v>
      </c>
      <c r="X3515" s="564">
        <v>42</v>
      </c>
    </row>
    <row r="3516" spans="23:24" x14ac:dyDescent="0.25">
      <c r="W3516" s="574">
        <f t="shared" si="73"/>
        <v>3507</v>
      </c>
      <c r="X3516" s="564">
        <v>42</v>
      </c>
    </row>
    <row r="3517" spans="23:24" x14ac:dyDescent="0.25">
      <c r="W3517" s="574">
        <f t="shared" si="73"/>
        <v>3508</v>
      </c>
      <c r="X3517" s="564">
        <v>42</v>
      </c>
    </row>
    <row r="3518" spans="23:24" x14ac:dyDescent="0.25">
      <c r="W3518" s="574">
        <f t="shared" si="73"/>
        <v>3509</v>
      </c>
      <c r="X3518" s="564">
        <v>42</v>
      </c>
    </row>
    <row r="3519" spans="23:24" x14ac:dyDescent="0.25">
      <c r="W3519" s="574">
        <f t="shared" si="73"/>
        <v>3510</v>
      </c>
      <c r="X3519" s="564">
        <v>42</v>
      </c>
    </row>
    <row r="3520" spans="23:24" x14ac:dyDescent="0.25">
      <c r="W3520" s="574">
        <f t="shared" si="73"/>
        <v>3511</v>
      </c>
      <c r="X3520" s="564">
        <v>42</v>
      </c>
    </row>
    <row r="3521" spans="23:24" x14ac:dyDescent="0.25">
      <c r="W3521" s="574">
        <f t="shared" si="73"/>
        <v>3512</v>
      </c>
      <c r="X3521" s="564">
        <v>42</v>
      </c>
    </row>
    <row r="3522" spans="23:24" x14ac:dyDescent="0.25">
      <c r="W3522" s="574">
        <f t="shared" si="73"/>
        <v>3513</v>
      </c>
      <c r="X3522" s="564">
        <v>42</v>
      </c>
    </row>
    <row r="3523" spans="23:24" x14ac:dyDescent="0.25">
      <c r="W3523" s="574">
        <f t="shared" si="73"/>
        <v>3514</v>
      </c>
      <c r="X3523" s="564">
        <v>42</v>
      </c>
    </row>
    <row r="3524" spans="23:24" x14ac:dyDescent="0.25">
      <c r="W3524" s="574">
        <f t="shared" si="73"/>
        <v>3515</v>
      </c>
      <c r="X3524" s="564">
        <v>42</v>
      </c>
    </row>
    <row r="3525" spans="23:24" x14ac:dyDescent="0.25">
      <c r="W3525" s="574">
        <f t="shared" si="73"/>
        <v>3516</v>
      </c>
      <c r="X3525" s="564">
        <v>42</v>
      </c>
    </row>
    <row r="3526" spans="23:24" x14ac:dyDescent="0.25">
      <c r="W3526" s="574">
        <f t="shared" si="73"/>
        <v>3517</v>
      </c>
      <c r="X3526" s="564">
        <v>42</v>
      </c>
    </row>
    <row r="3527" spans="23:24" x14ac:dyDescent="0.25">
      <c r="W3527" s="574">
        <f t="shared" si="73"/>
        <v>3518</v>
      </c>
      <c r="X3527" s="564">
        <v>42</v>
      </c>
    </row>
    <row r="3528" spans="23:24" x14ac:dyDescent="0.25">
      <c r="W3528" s="574">
        <f t="shared" si="73"/>
        <v>3519</v>
      </c>
      <c r="X3528" s="564">
        <v>42</v>
      </c>
    </row>
    <row r="3529" spans="23:24" x14ac:dyDescent="0.25">
      <c r="W3529" s="574">
        <f t="shared" si="73"/>
        <v>3520</v>
      </c>
      <c r="X3529" s="564">
        <v>42</v>
      </c>
    </row>
    <row r="3530" spans="23:24" x14ac:dyDescent="0.25">
      <c r="W3530" s="574">
        <f t="shared" si="73"/>
        <v>3521</v>
      </c>
      <c r="X3530" s="564">
        <v>42</v>
      </c>
    </row>
    <row r="3531" spans="23:24" x14ac:dyDescent="0.25">
      <c r="W3531" s="574">
        <f t="shared" si="73"/>
        <v>3522</v>
      </c>
      <c r="X3531" s="564">
        <v>42</v>
      </c>
    </row>
    <row r="3532" spans="23:24" x14ac:dyDescent="0.25">
      <c r="W3532" s="574">
        <f t="shared" si="73"/>
        <v>3523</v>
      </c>
      <c r="X3532" s="564">
        <v>42</v>
      </c>
    </row>
    <row r="3533" spans="23:24" x14ac:dyDescent="0.25">
      <c r="W3533" s="574">
        <f t="shared" si="73"/>
        <v>3524</v>
      </c>
      <c r="X3533" s="564">
        <v>42</v>
      </c>
    </row>
    <row r="3534" spans="23:24" x14ac:dyDescent="0.25">
      <c r="W3534" s="574">
        <f t="shared" si="73"/>
        <v>3525</v>
      </c>
      <c r="X3534" s="564">
        <v>42</v>
      </c>
    </row>
    <row r="3535" spans="23:24" x14ac:dyDescent="0.25">
      <c r="W3535" s="574">
        <f t="shared" si="73"/>
        <v>3526</v>
      </c>
      <c r="X3535" s="564">
        <v>42</v>
      </c>
    </row>
    <row r="3536" spans="23:24" x14ac:dyDescent="0.25">
      <c r="W3536" s="574">
        <f t="shared" si="73"/>
        <v>3527</v>
      </c>
      <c r="X3536" s="564">
        <v>42</v>
      </c>
    </row>
    <row r="3537" spans="23:24" x14ac:dyDescent="0.25">
      <c r="W3537" s="574">
        <f t="shared" si="73"/>
        <v>3528</v>
      </c>
      <c r="X3537" s="564">
        <v>42</v>
      </c>
    </row>
    <row r="3538" spans="23:24" x14ac:dyDescent="0.25">
      <c r="W3538" s="574">
        <f t="shared" si="73"/>
        <v>3529</v>
      </c>
      <c r="X3538" s="564">
        <v>42</v>
      </c>
    </row>
    <row r="3539" spans="23:24" x14ac:dyDescent="0.25">
      <c r="W3539" s="574">
        <f t="shared" si="73"/>
        <v>3530</v>
      </c>
      <c r="X3539" s="564">
        <v>42</v>
      </c>
    </row>
    <row r="3540" spans="23:24" x14ac:dyDescent="0.25">
      <c r="W3540" s="574">
        <f t="shared" si="73"/>
        <v>3531</v>
      </c>
      <c r="X3540" s="564">
        <v>42</v>
      </c>
    </row>
    <row r="3541" spans="23:24" x14ac:dyDescent="0.25">
      <c r="W3541" s="574">
        <f t="shared" si="73"/>
        <v>3532</v>
      </c>
      <c r="X3541" s="564">
        <v>42</v>
      </c>
    </row>
    <row r="3542" spans="23:24" x14ac:dyDescent="0.25">
      <c r="W3542" s="574">
        <f t="shared" si="73"/>
        <v>3533</v>
      </c>
      <c r="X3542" s="564">
        <v>42</v>
      </c>
    </row>
    <row r="3543" spans="23:24" x14ac:dyDescent="0.25">
      <c r="W3543" s="574">
        <f t="shared" si="73"/>
        <v>3534</v>
      </c>
      <c r="X3543" s="564">
        <v>42</v>
      </c>
    </row>
    <row r="3544" spans="23:24" x14ac:dyDescent="0.25">
      <c r="W3544" s="574">
        <f t="shared" si="73"/>
        <v>3535</v>
      </c>
      <c r="X3544" s="564">
        <v>42</v>
      </c>
    </row>
    <row r="3545" spans="23:24" x14ac:dyDescent="0.25">
      <c r="W3545" s="574">
        <f t="shared" si="73"/>
        <v>3536</v>
      </c>
      <c r="X3545" s="564">
        <v>42</v>
      </c>
    </row>
    <row r="3546" spans="23:24" x14ac:dyDescent="0.25">
      <c r="W3546" s="574">
        <f t="shared" ref="W3546:W3609" si="74">W3545+1</f>
        <v>3537</v>
      </c>
      <c r="X3546" s="564">
        <v>42</v>
      </c>
    </row>
    <row r="3547" spans="23:24" x14ac:dyDescent="0.25">
      <c r="W3547" s="574">
        <f t="shared" si="74"/>
        <v>3538</v>
      </c>
      <c r="X3547" s="564">
        <v>42</v>
      </c>
    </row>
    <row r="3548" spans="23:24" x14ac:dyDescent="0.25">
      <c r="W3548" s="574">
        <f t="shared" si="74"/>
        <v>3539</v>
      </c>
      <c r="X3548" s="564">
        <v>42</v>
      </c>
    </row>
    <row r="3549" spans="23:24" x14ac:dyDescent="0.25">
      <c r="W3549" s="574">
        <f t="shared" si="74"/>
        <v>3540</v>
      </c>
      <c r="X3549" s="564">
        <v>42</v>
      </c>
    </row>
    <row r="3550" spans="23:24" x14ac:dyDescent="0.25">
      <c r="W3550" s="574">
        <f t="shared" si="74"/>
        <v>3541</v>
      </c>
      <c r="X3550" s="564">
        <v>42</v>
      </c>
    </row>
    <row r="3551" spans="23:24" x14ac:dyDescent="0.25">
      <c r="W3551" s="574">
        <f t="shared" si="74"/>
        <v>3542</v>
      </c>
      <c r="X3551" s="564">
        <v>42</v>
      </c>
    </row>
    <row r="3552" spans="23:24" x14ac:dyDescent="0.25">
      <c r="W3552" s="574">
        <f t="shared" si="74"/>
        <v>3543</v>
      </c>
      <c r="X3552" s="564">
        <v>42</v>
      </c>
    </row>
    <row r="3553" spans="23:24" x14ac:dyDescent="0.25">
      <c r="W3553" s="574">
        <f t="shared" si="74"/>
        <v>3544</v>
      </c>
      <c r="X3553" s="564">
        <v>42</v>
      </c>
    </row>
    <row r="3554" spans="23:24" x14ac:dyDescent="0.25">
      <c r="W3554" s="574">
        <f t="shared" si="74"/>
        <v>3545</v>
      </c>
      <c r="X3554" s="564">
        <v>42</v>
      </c>
    </row>
    <row r="3555" spans="23:24" x14ac:dyDescent="0.25">
      <c r="W3555" s="574">
        <f t="shared" si="74"/>
        <v>3546</v>
      </c>
      <c r="X3555" s="564">
        <v>42</v>
      </c>
    </row>
    <row r="3556" spans="23:24" x14ac:dyDescent="0.25">
      <c r="W3556" s="574">
        <f t="shared" si="74"/>
        <v>3547</v>
      </c>
      <c r="X3556" s="564">
        <v>42</v>
      </c>
    </row>
    <row r="3557" spans="23:24" x14ac:dyDescent="0.25">
      <c r="W3557" s="574">
        <f t="shared" si="74"/>
        <v>3548</v>
      </c>
      <c r="X3557" s="564">
        <v>42</v>
      </c>
    </row>
    <row r="3558" spans="23:24" x14ac:dyDescent="0.25">
      <c r="W3558" s="574">
        <f t="shared" si="74"/>
        <v>3549</v>
      </c>
      <c r="X3558" s="564">
        <v>42</v>
      </c>
    </row>
    <row r="3559" spans="23:24" x14ac:dyDescent="0.25">
      <c r="W3559" s="574">
        <f t="shared" si="74"/>
        <v>3550</v>
      </c>
      <c r="X3559" s="564">
        <v>42</v>
      </c>
    </row>
    <row r="3560" spans="23:24" x14ac:dyDescent="0.25">
      <c r="W3560" s="574">
        <f t="shared" si="74"/>
        <v>3551</v>
      </c>
      <c r="X3560" s="564">
        <v>42</v>
      </c>
    </row>
    <row r="3561" spans="23:24" x14ac:dyDescent="0.25">
      <c r="W3561" s="574">
        <f t="shared" si="74"/>
        <v>3552</v>
      </c>
      <c r="X3561" s="564">
        <v>42</v>
      </c>
    </row>
    <row r="3562" spans="23:24" x14ac:dyDescent="0.25">
      <c r="W3562" s="574">
        <f t="shared" si="74"/>
        <v>3553</v>
      </c>
      <c r="X3562" s="564">
        <v>42</v>
      </c>
    </row>
    <row r="3563" spans="23:24" x14ac:dyDescent="0.25">
      <c r="W3563" s="574">
        <f t="shared" si="74"/>
        <v>3554</v>
      </c>
      <c r="X3563" s="564">
        <v>42</v>
      </c>
    </row>
    <row r="3564" spans="23:24" x14ac:dyDescent="0.25">
      <c r="W3564" s="574">
        <f t="shared" si="74"/>
        <v>3555</v>
      </c>
      <c r="X3564" s="564">
        <v>42</v>
      </c>
    </row>
    <row r="3565" spans="23:24" x14ac:dyDescent="0.25">
      <c r="W3565" s="574">
        <f t="shared" si="74"/>
        <v>3556</v>
      </c>
      <c r="X3565" s="564">
        <v>42</v>
      </c>
    </row>
    <row r="3566" spans="23:24" x14ac:dyDescent="0.25">
      <c r="W3566" s="574">
        <f t="shared" si="74"/>
        <v>3557</v>
      </c>
      <c r="X3566" s="564">
        <v>42</v>
      </c>
    </row>
    <row r="3567" spans="23:24" x14ac:dyDescent="0.25">
      <c r="W3567" s="574">
        <f t="shared" si="74"/>
        <v>3558</v>
      </c>
      <c r="X3567" s="564">
        <v>42</v>
      </c>
    </row>
    <row r="3568" spans="23:24" x14ac:dyDescent="0.25">
      <c r="W3568" s="574">
        <f t="shared" si="74"/>
        <v>3559</v>
      </c>
      <c r="X3568" s="564">
        <v>42</v>
      </c>
    </row>
    <row r="3569" spans="23:24" x14ac:dyDescent="0.25">
      <c r="W3569" s="574">
        <f t="shared" si="74"/>
        <v>3560</v>
      </c>
      <c r="X3569" s="564">
        <v>42</v>
      </c>
    </row>
    <row r="3570" spans="23:24" x14ac:dyDescent="0.25">
      <c r="W3570" s="574">
        <f t="shared" si="74"/>
        <v>3561</v>
      </c>
      <c r="X3570" s="564">
        <v>42</v>
      </c>
    </row>
    <row r="3571" spans="23:24" x14ac:dyDescent="0.25">
      <c r="W3571" s="574">
        <f t="shared" si="74"/>
        <v>3562</v>
      </c>
      <c r="X3571" s="564">
        <v>42</v>
      </c>
    </row>
    <row r="3572" spans="23:24" x14ac:dyDescent="0.25">
      <c r="W3572" s="574">
        <f t="shared" si="74"/>
        <v>3563</v>
      </c>
      <c r="X3572" s="564">
        <v>42</v>
      </c>
    </row>
    <row r="3573" spans="23:24" x14ac:dyDescent="0.25">
      <c r="W3573" s="574">
        <f t="shared" si="74"/>
        <v>3564</v>
      </c>
      <c r="X3573" s="564">
        <v>42</v>
      </c>
    </row>
    <row r="3574" spans="23:24" x14ac:dyDescent="0.25">
      <c r="W3574" s="574">
        <f t="shared" si="74"/>
        <v>3565</v>
      </c>
      <c r="X3574" s="564">
        <v>42</v>
      </c>
    </row>
    <row r="3575" spans="23:24" x14ac:dyDescent="0.25">
      <c r="W3575" s="574">
        <f t="shared" si="74"/>
        <v>3566</v>
      </c>
      <c r="X3575" s="564">
        <v>42</v>
      </c>
    </row>
    <row r="3576" spans="23:24" x14ac:dyDescent="0.25">
      <c r="W3576" s="574">
        <f t="shared" si="74"/>
        <v>3567</v>
      </c>
      <c r="X3576" s="564">
        <v>42</v>
      </c>
    </row>
    <row r="3577" spans="23:24" x14ac:dyDescent="0.25">
      <c r="W3577" s="574">
        <f t="shared" si="74"/>
        <v>3568</v>
      </c>
      <c r="X3577" s="564">
        <v>42</v>
      </c>
    </row>
    <row r="3578" spans="23:24" x14ac:dyDescent="0.25">
      <c r="W3578" s="574">
        <f t="shared" si="74"/>
        <v>3569</v>
      </c>
      <c r="X3578" s="564">
        <v>42</v>
      </c>
    </row>
    <row r="3579" spans="23:24" x14ac:dyDescent="0.25">
      <c r="W3579" s="574">
        <f t="shared" si="74"/>
        <v>3570</v>
      </c>
      <c r="X3579" s="564">
        <v>42</v>
      </c>
    </row>
    <row r="3580" spans="23:24" x14ac:dyDescent="0.25">
      <c r="W3580" s="574">
        <f t="shared" si="74"/>
        <v>3571</v>
      </c>
      <c r="X3580" s="564">
        <v>42</v>
      </c>
    </row>
    <row r="3581" spans="23:24" x14ac:dyDescent="0.25">
      <c r="W3581" s="574">
        <f t="shared" si="74"/>
        <v>3572</v>
      </c>
      <c r="X3581" s="564">
        <v>42</v>
      </c>
    </row>
    <row r="3582" spans="23:24" x14ac:dyDescent="0.25">
      <c r="W3582" s="574">
        <f t="shared" si="74"/>
        <v>3573</v>
      </c>
      <c r="X3582" s="564">
        <v>42</v>
      </c>
    </row>
    <row r="3583" spans="23:24" x14ac:dyDescent="0.25">
      <c r="W3583" s="574">
        <f t="shared" si="74"/>
        <v>3574</v>
      </c>
      <c r="X3583" s="564">
        <v>42</v>
      </c>
    </row>
    <row r="3584" spans="23:24" x14ac:dyDescent="0.25">
      <c r="W3584" s="574">
        <f t="shared" si="74"/>
        <v>3575</v>
      </c>
      <c r="X3584" s="564">
        <v>42</v>
      </c>
    </row>
    <row r="3585" spans="23:24" x14ac:dyDescent="0.25">
      <c r="W3585" s="574">
        <f t="shared" si="74"/>
        <v>3576</v>
      </c>
      <c r="X3585" s="564">
        <v>42</v>
      </c>
    </row>
    <row r="3586" spans="23:24" x14ac:dyDescent="0.25">
      <c r="W3586" s="574">
        <f t="shared" si="74"/>
        <v>3577</v>
      </c>
      <c r="X3586" s="564">
        <v>42</v>
      </c>
    </row>
    <row r="3587" spans="23:24" x14ac:dyDescent="0.25">
      <c r="W3587" s="574">
        <f t="shared" si="74"/>
        <v>3578</v>
      </c>
      <c r="X3587" s="564">
        <v>42</v>
      </c>
    </row>
    <row r="3588" spans="23:24" x14ac:dyDescent="0.25">
      <c r="W3588" s="574">
        <f t="shared" si="74"/>
        <v>3579</v>
      </c>
      <c r="X3588" s="564">
        <v>42</v>
      </c>
    </row>
    <row r="3589" spans="23:24" x14ac:dyDescent="0.25">
      <c r="W3589" s="574">
        <f t="shared" si="74"/>
        <v>3580</v>
      </c>
      <c r="X3589" s="564">
        <v>42</v>
      </c>
    </row>
    <row r="3590" spans="23:24" x14ac:dyDescent="0.25">
      <c r="W3590" s="574">
        <f t="shared" si="74"/>
        <v>3581</v>
      </c>
      <c r="X3590" s="564">
        <v>42</v>
      </c>
    </row>
    <row r="3591" spans="23:24" x14ac:dyDescent="0.25">
      <c r="W3591" s="574">
        <f t="shared" si="74"/>
        <v>3582</v>
      </c>
      <c r="X3591" s="564">
        <v>42</v>
      </c>
    </row>
    <row r="3592" spans="23:24" x14ac:dyDescent="0.25">
      <c r="W3592" s="574">
        <f t="shared" si="74"/>
        <v>3583</v>
      </c>
      <c r="X3592" s="564">
        <v>42</v>
      </c>
    </row>
    <row r="3593" spans="23:24" x14ac:dyDescent="0.25">
      <c r="W3593" s="574">
        <f t="shared" si="74"/>
        <v>3584</v>
      </c>
      <c r="X3593" s="564">
        <v>42</v>
      </c>
    </row>
    <row r="3594" spans="23:24" x14ac:dyDescent="0.25">
      <c r="W3594" s="574">
        <f t="shared" si="74"/>
        <v>3585</v>
      </c>
      <c r="X3594" s="564">
        <v>42</v>
      </c>
    </row>
    <row r="3595" spans="23:24" x14ac:dyDescent="0.25">
      <c r="W3595" s="574">
        <f t="shared" si="74"/>
        <v>3586</v>
      </c>
      <c r="X3595" s="564">
        <v>42</v>
      </c>
    </row>
    <row r="3596" spans="23:24" x14ac:dyDescent="0.25">
      <c r="W3596" s="574">
        <f t="shared" si="74"/>
        <v>3587</v>
      </c>
      <c r="X3596" s="564">
        <v>42</v>
      </c>
    </row>
    <row r="3597" spans="23:24" x14ac:dyDescent="0.25">
      <c r="W3597" s="574">
        <f t="shared" si="74"/>
        <v>3588</v>
      </c>
      <c r="X3597" s="564">
        <v>42</v>
      </c>
    </row>
    <row r="3598" spans="23:24" x14ac:dyDescent="0.25">
      <c r="W3598" s="574">
        <f t="shared" si="74"/>
        <v>3589</v>
      </c>
      <c r="X3598" s="564">
        <v>42</v>
      </c>
    </row>
    <row r="3599" spans="23:24" x14ac:dyDescent="0.25">
      <c r="W3599" s="574">
        <f t="shared" si="74"/>
        <v>3590</v>
      </c>
      <c r="X3599" s="564">
        <v>42</v>
      </c>
    </row>
    <row r="3600" spans="23:24" x14ac:dyDescent="0.25">
      <c r="W3600" s="574">
        <f t="shared" si="74"/>
        <v>3591</v>
      </c>
      <c r="X3600" s="564">
        <v>42</v>
      </c>
    </row>
    <row r="3601" spans="23:24" x14ac:dyDescent="0.25">
      <c r="W3601" s="574">
        <f t="shared" si="74"/>
        <v>3592</v>
      </c>
      <c r="X3601" s="564">
        <v>42</v>
      </c>
    </row>
    <row r="3602" spans="23:24" x14ac:dyDescent="0.25">
      <c r="W3602" s="574">
        <f t="shared" si="74"/>
        <v>3593</v>
      </c>
      <c r="X3602" s="564">
        <v>42</v>
      </c>
    </row>
    <row r="3603" spans="23:24" x14ac:dyDescent="0.25">
      <c r="W3603" s="574">
        <f t="shared" si="74"/>
        <v>3594</v>
      </c>
      <c r="X3603" s="564">
        <v>42</v>
      </c>
    </row>
    <row r="3604" spans="23:24" x14ac:dyDescent="0.25">
      <c r="W3604" s="574">
        <f t="shared" si="74"/>
        <v>3595</v>
      </c>
      <c r="X3604" s="564">
        <v>42</v>
      </c>
    </row>
    <row r="3605" spans="23:24" x14ac:dyDescent="0.25">
      <c r="W3605" s="574">
        <f t="shared" si="74"/>
        <v>3596</v>
      </c>
      <c r="X3605" s="564">
        <v>42</v>
      </c>
    </row>
    <row r="3606" spans="23:24" x14ac:dyDescent="0.25">
      <c r="W3606" s="574">
        <f t="shared" si="74"/>
        <v>3597</v>
      </c>
      <c r="X3606" s="564">
        <v>42</v>
      </c>
    </row>
    <row r="3607" spans="23:24" x14ac:dyDescent="0.25">
      <c r="W3607" s="574">
        <f t="shared" si="74"/>
        <v>3598</v>
      </c>
      <c r="X3607" s="564">
        <v>42</v>
      </c>
    </row>
    <row r="3608" spans="23:24" x14ac:dyDescent="0.25">
      <c r="W3608" s="574">
        <f t="shared" si="74"/>
        <v>3599</v>
      </c>
      <c r="X3608" s="564">
        <v>42</v>
      </c>
    </row>
    <row r="3609" spans="23:24" x14ac:dyDescent="0.25">
      <c r="W3609" s="574">
        <f t="shared" si="74"/>
        <v>3600</v>
      </c>
      <c r="X3609" s="564">
        <v>42</v>
      </c>
    </row>
    <row r="3610" spans="23:24" x14ac:dyDescent="0.25">
      <c r="W3610" s="574">
        <f t="shared" ref="W3610:W3673" si="75">W3609+1</f>
        <v>3601</v>
      </c>
      <c r="X3610" s="564">
        <v>42</v>
      </c>
    </row>
    <row r="3611" spans="23:24" x14ac:dyDescent="0.25">
      <c r="W3611" s="574">
        <f t="shared" si="75"/>
        <v>3602</v>
      </c>
      <c r="X3611" s="564">
        <v>42</v>
      </c>
    </row>
    <row r="3612" spans="23:24" x14ac:dyDescent="0.25">
      <c r="W3612" s="574">
        <f t="shared" si="75"/>
        <v>3603</v>
      </c>
      <c r="X3612" s="564">
        <v>42</v>
      </c>
    </row>
    <row r="3613" spans="23:24" x14ac:dyDescent="0.25">
      <c r="W3613" s="574">
        <f t="shared" si="75"/>
        <v>3604</v>
      </c>
      <c r="X3613" s="564">
        <v>42</v>
      </c>
    </row>
    <row r="3614" spans="23:24" x14ac:dyDescent="0.25">
      <c r="W3614" s="574">
        <f t="shared" si="75"/>
        <v>3605</v>
      </c>
      <c r="X3614" s="564">
        <v>42</v>
      </c>
    </row>
    <row r="3615" spans="23:24" x14ac:dyDescent="0.25">
      <c r="W3615" s="574">
        <f t="shared" si="75"/>
        <v>3606</v>
      </c>
      <c r="X3615" s="564">
        <v>42</v>
      </c>
    </row>
    <row r="3616" spans="23:24" x14ac:dyDescent="0.25">
      <c r="W3616" s="574">
        <f t="shared" si="75"/>
        <v>3607</v>
      </c>
      <c r="X3616" s="564">
        <v>42</v>
      </c>
    </row>
    <row r="3617" spans="23:24" x14ac:dyDescent="0.25">
      <c r="W3617" s="574">
        <f t="shared" si="75"/>
        <v>3608</v>
      </c>
      <c r="X3617" s="564">
        <v>42</v>
      </c>
    </row>
    <row r="3618" spans="23:24" x14ac:dyDescent="0.25">
      <c r="W3618" s="574">
        <f t="shared" si="75"/>
        <v>3609</v>
      </c>
      <c r="X3618" s="564">
        <v>42</v>
      </c>
    </row>
    <row r="3619" spans="23:24" x14ac:dyDescent="0.25">
      <c r="W3619" s="574">
        <f t="shared" si="75"/>
        <v>3610</v>
      </c>
      <c r="X3619" s="564">
        <v>42</v>
      </c>
    </row>
    <row r="3620" spans="23:24" x14ac:dyDescent="0.25">
      <c r="W3620" s="574">
        <f t="shared" si="75"/>
        <v>3611</v>
      </c>
      <c r="X3620" s="564">
        <v>42</v>
      </c>
    </row>
    <row r="3621" spans="23:24" x14ac:dyDescent="0.25">
      <c r="W3621" s="574">
        <f t="shared" si="75"/>
        <v>3612</v>
      </c>
      <c r="X3621" s="564">
        <v>42</v>
      </c>
    </row>
    <row r="3622" spans="23:24" x14ac:dyDescent="0.25">
      <c r="W3622" s="574">
        <f t="shared" si="75"/>
        <v>3613</v>
      </c>
      <c r="X3622" s="564">
        <v>42</v>
      </c>
    </row>
    <row r="3623" spans="23:24" x14ac:dyDescent="0.25">
      <c r="W3623" s="574">
        <f t="shared" si="75"/>
        <v>3614</v>
      </c>
      <c r="X3623" s="564">
        <v>42</v>
      </c>
    </row>
    <row r="3624" spans="23:24" x14ac:dyDescent="0.25">
      <c r="W3624" s="574">
        <f t="shared" si="75"/>
        <v>3615</v>
      </c>
      <c r="X3624" s="564">
        <v>42</v>
      </c>
    </row>
    <row r="3625" spans="23:24" x14ac:dyDescent="0.25">
      <c r="W3625" s="574">
        <f t="shared" si="75"/>
        <v>3616</v>
      </c>
      <c r="X3625" s="564">
        <v>42</v>
      </c>
    </row>
    <row r="3626" spans="23:24" x14ac:dyDescent="0.25">
      <c r="W3626" s="574">
        <f t="shared" si="75"/>
        <v>3617</v>
      </c>
      <c r="X3626" s="564">
        <v>42</v>
      </c>
    </row>
    <row r="3627" spans="23:24" x14ac:dyDescent="0.25">
      <c r="W3627" s="574">
        <f t="shared" si="75"/>
        <v>3618</v>
      </c>
      <c r="X3627" s="564">
        <v>42</v>
      </c>
    </row>
    <row r="3628" spans="23:24" x14ac:dyDescent="0.25">
      <c r="W3628" s="574">
        <f t="shared" si="75"/>
        <v>3619</v>
      </c>
      <c r="X3628" s="564">
        <v>42</v>
      </c>
    </row>
    <row r="3629" spans="23:24" x14ac:dyDescent="0.25">
      <c r="W3629" s="574">
        <f t="shared" si="75"/>
        <v>3620</v>
      </c>
      <c r="X3629" s="564">
        <v>42</v>
      </c>
    </row>
    <row r="3630" spans="23:24" x14ac:dyDescent="0.25">
      <c r="W3630" s="574">
        <f t="shared" si="75"/>
        <v>3621</v>
      </c>
      <c r="X3630" s="564">
        <v>42</v>
      </c>
    </row>
    <row r="3631" spans="23:24" x14ac:dyDescent="0.25">
      <c r="W3631" s="574">
        <f t="shared" si="75"/>
        <v>3622</v>
      </c>
      <c r="X3631" s="564">
        <v>42</v>
      </c>
    </row>
    <row r="3632" spans="23:24" x14ac:dyDescent="0.25">
      <c r="W3632" s="574">
        <f t="shared" si="75"/>
        <v>3623</v>
      </c>
      <c r="X3632" s="564">
        <v>42</v>
      </c>
    </row>
    <row r="3633" spans="23:24" x14ac:dyDescent="0.25">
      <c r="W3633" s="574">
        <f t="shared" si="75"/>
        <v>3624</v>
      </c>
      <c r="X3633" s="564">
        <v>42</v>
      </c>
    </row>
    <row r="3634" spans="23:24" x14ac:dyDescent="0.25">
      <c r="W3634" s="574">
        <f t="shared" si="75"/>
        <v>3625</v>
      </c>
      <c r="X3634" s="564">
        <v>42</v>
      </c>
    </row>
    <row r="3635" spans="23:24" x14ac:dyDescent="0.25">
      <c r="W3635" s="574">
        <f t="shared" si="75"/>
        <v>3626</v>
      </c>
      <c r="X3635" s="564">
        <v>42</v>
      </c>
    </row>
    <row r="3636" spans="23:24" x14ac:dyDescent="0.25">
      <c r="W3636" s="574">
        <f t="shared" si="75"/>
        <v>3627</v>
      </c>
      <c r="X3636" s="564">
        <v>42</v>
      </c>
    </row>
    <row r="3637" spans="23:24" x14ac:dyDescent="0.25">
      <c r="W3637" s="574">
        <f t="shared" si="75"/>
        <v>3628</v>
      </c>
      <c r="X3637" s="564">
        <v>42</v>
      </c>
    </row>
    <row r="3638" spans="23:24" x14ac:dyDescent="0.25">
      <c r="W3638" s="574">
        <f t="shared" si="75"/>
        <v>3629</v>
      </c>
      <c r="X3638" s="564">
        <v>42</v>
      </c>
    </row>
    <row r="3639" spans="23:24" x14ac:dyDescent="0.25">
      <c r="W3639" s="574">
        <f t="shared" si="75"/>
        <v>3630</v>
      </c>
      <c r="X3639" s="564">
        <v>42</v>
      </c>
    </row>
    <row r="3640" spans="23:24" x14ac:dyDescent="0.25">
      <c r="W3640" s="574">
        <f t="shared" si="75"/>
        <v>3631</v>
      </c>
      <c r="X3640" s="564">
        <v>42</v>
      </c>
    </row>
    <row r="3641" spans="23:24" x14ac:dyDescent="0.25">
      <c r="W3641" s="574">
        <f t="shared" si="75"/>
        <v>3632</v>
      </c>
      <c r="X3641" s="564">
        <v>42</v>
      </c>
    </row>
    <row r="3642" spans="23:24" x14ac:dyDescent="0.25">
      <c r="W3642" s="574">
        <f t="shared" si="75"/>
        <v>3633</v>
      </c>
      <c r="X3642" s="564">
        <v>42</v>
      </c>
    </row>
    <row r="3643" spans="23:24" x14ac:dyDescent="0.25">
      <c r="W3643" s="574">
        <f t="shared" si="75"/>
        <v>3634</v>
      </c>
      <c r="X3643" s="564">
        <v>42</v>
      </c>
    </row>
    <row r="3644" spans="23:24" x14ac:dyDescent="0.25">
      <c r="W3644" s="574">
        <f t="shared" si="75"/>
        <v>3635</v>
      </c>
      <c r="X3644" s="564">
        <v>42</v>
      </c>
    </row>
    <row r="3645" spans="23:24" x14ac:dyDescent="0.25">
      <c r="W3645" s="574">
        <f t="shared" si="75"/>
        <v>3636</v>
      </c>
      <c r="X3645" s="564">
        <v>42</v>
      </c>
    </row>
    <row r="3646" spans="23:24" x14ac:dyDescent="0.25">
      <c r="W3646" s="574">
        <f t="shared" si="75"/>
        <v>3637</v>
      </c>
      <c r="X3646" s="564">
        <v>42</v>
      </c>
    </row>
    <row r="3647" spans="23:24" x14ac:dyDescent="0.25">
      <c r="W3647" s="574">
        <f t="shared" si="75"/>
        <v>3638</v>
      </c>
      <c r="X3647" s="564">
        <v>42</v>
      </c>
    </row>
    <row r="3648" spans="23:24" x14ac:dyDescent="0.25">
      <c r="W3648" s="574">
        <f t="shared" si="75"/>
        <v>3639</v>
      </c>
      <c r="X3648" s="564">
        <v>42</v>
      </c>
    </row>
    <row r="3649" spans="23:24" x14ac:dyDescent="0.25">
      <c r="W3649" s="574">
        <f t="shared" si="75"/>
        <v>3640</v>
      </c>
      <c r="X3649" s="564">
        <v>42</v>
      </c>
    </row>
    <row r="3650" spans="23:24" x14ac:dyDescent="0.25">
      <c r="W3650" s="574">
        <f t="shared" si="75"/>
        <v>3641</v>
      </c>
      <c r="X3650" s="564">
        <v>42</v>
      </c>
    </row>
    <row r="3651" spans="23:24" x14ac:dyDescent="0.25">
      <c r="W3651" s="574">
        <f t="shared" si="75"/>
        <v>3642</v>
      </c>
      <c r="X3651" s="564">
        <v>42</v>
      </c>
    </row>
    <row r="3652" spans="23:24" x14ac:dyDescent="0.25">
      <c r="W3652" s="574">
        <f t="shared" si="75"/>
        <v>3643</v>
      </c>
      <c r="X3652" s="564">
        <v>42</v>
      </c>
    </row>
    <row r="3653" spans="23:24" x14ac:dyDescent="0.25">
      <c r="W3653" s="574">
        <f t="shared" si="75"/>
        <v>3644</v>
      </c>
      <c r="X3653" s="564">
        <v>42</v>
      </c>
    </row>
    <row r="3654" spans="23:24" x14ac:dyDescent="0.25">
      <c r="W3654" s="574">
        <f t="shared" si="75"/>
        <v>3645</v>
      </c>
      <c r="X3654" s="564">
        <v>42</v>
      </c>
    </row>
    <row r="3655" spans="23:24" x14ac:dyDescent="0.25">
      <c r="W3655" s="574">
        <f t="shared" si="75"/>
        <v>3646</v>
      </c>
      <c r="X3655" s="564">
        <v>42</v>
      </c>
    </row>
    <row r="3656" spans="23:24" x14ac:dyDescent="0.25">
      <c r="W3656" s="574">
        <f t="shared" si="75"/>
        <v>3647</v>
      </c>
      <c r="X3656" s="564">
        <v>42</v>
      </c>
    </row>
    <row r="3657" spans="23:24" x14ac:dyDescent="0.25">
      <c r="W3657" s="574">
        <f t="shared" si="75"/>
        <v>3648</v>
      </c>
      <c r="X3657" s="564">
        <v>42</v>
      </c>
    </row>
    <row r="3658" spans="23:24" x14ac:dyDescent="0.25">
      <c r="W3658" s="574">
        <f t="shared" si="75"/>
        <v>3649</v>
      </c>
      <c r="X3658" s="564">
        <v>42</v>
      </c>
    </row>
    <row r="3659" spans="23:24" x14ac:dyDescent="0.25">
      <c r="W3659" s="574">
        <f t="shared" si="75"/>
        <v>3650</v>
      </c>
      <c r="X3659" s="564">
        <v>42</v>
      </c>
    </row>
    <row r="3660" spans="23:24" x14ac:dyDescent="0.25">
      <c r="W3660" s="574">
        <f t="shared" si="75"/>
        <v>3651</v>
      </c>
      <c r="X3660" s="564">
        <v>42</v>
      </c>
    </row>
    <row r="3661" spans="23:24" x14ac:dyDescent="0.25">
      <c r="W3661" s="574">
        <f t="shared" si="75"/>
        <v>3652</v>
      </c>
      <c r="X3661" s="564">
        <v>42</v>
      </c>
    </row>
    <row r="3662" spans="23:24" x14ac:dyDescent="0.25">
      <c r="W3662" s="574">
        <f t="shared" si="75"/>
        <v>3653</v>
      </c>
      <c r="X3662" s="564">
        <v>42</v>
      </c>
    </row>
    <row r="3663" spans="23:24" x14ac:dyDescent="0.25">
      <c r="W3663" s="574">
        <f t="shared" si="75"/>
        <v>3654</v>
      </c>
      <c r="X3663" s="564">
        <v>42</v>
      </c>
    </row>
    <row r="3664" spans="23:24" x14ac:dyDescent="0.25">
      <c r="W3664" s="574">
        <f t="shared" si="75"/>
        <v>3655</v>
      </c>
      <c r="X3664" s="564">
        <v>42</v>
      </c>
    </row>
    <row r="3665" spans="23:24" x14ac:dyDescent="0.25">
      <c r="W3665" s="574">
        <f t="shared" si="75"/>
        <v>3656</v>
      </c>
      <c r="X3665" s="564">
        <v>42</v>
      </c>
    </row>
    <row r="3666" spans="23:24" x14ac:dyDescent="0.25">
      <c r="W3666" s="574">
        <f t="shared" si="75"/>
        <v>3657</v>
      </c>
      <c r="X3666" s="564">
        <v>42</v>
      </c>
    </row>
    <row r="3667" spans="23:24" x14ac:dyDescent="0.25">
      <c r="W3667" s="574">
        <f t="shared" si="75"/>
        <v>3658</v>
      </c>
      <c r="X3667" s="564">
        <v>42</v>
      </c>
    </row>
    <row r="3668" spans="23:24" x14ac:dyDescent="0.25">
      <c r="W3668" s="574">
        <f t="shared" si="75"/>
        <v>3659</v>
      </c>
      <c r="X3668" s="564">
        <v>42</v>
      </c>
    </row>
    <row r="3669" spans="23:24" x14ac:dyDescent="0.25">
      <c r="W3669" s="574">
        <f t="shared" si="75"/>
        <v>3660</v>
      </c>
      <c r="X3669" s="564">
        <v>42</v>
      </c>
    </row>
    <row r="3670" spans="23:24" x14ac:dyDescent="0.25">
      <c r="W3670" s="574">
        <f t="shared" si="75"/>
        <v>3661</v>
      </c>
      <c r="X3670" s="564">
        <v>42</v>
      </c>
    </row>
    <row r="3671" spans="23:24" x14ac:dyDescent="0.25">
      <c r="W3671" s="574">
        <f t="shared" si="75"/>
        <v>3662</v>
      </c>
      <c r="X3671" s="564">
        <v>42</v>
      </c>
    </row>
    <row r="3672" spans="23:24" x14ac:dyDescent="0.25">
      <c r="W3672" s="574">
        <f t="shared" si="75"/>
        <v>3663</v>
      </c>
      <c r="X3672" s="564">
        <v>42</v>
      </c>
    </row>
    <row r="3673" spans="23:24" x14ac:dyDescent="0.25">
      <c r="W3673" s="574">
        <f t="shared" si="75"/>
        <v>3664</v>
      </c>
      <c r="X3673" s="564">
        <v>42</v>
      </c>
    </row>
    <row r="3674" spans="23:24" x14ac:dyDescent="0.25">
      <c r="W3674" s="574">
        <f t="shared" ref="W3674:W3737" si="76">W3673+1</f>
        <v>3665</v>
      </c>
      <c r="X3674" s="564">
        <v>42</v>
      </c>
    </row>
    <row r="3675" spans="23:24" x14ac:dyDescent="0.25">
      <c r="W3675" s="574">
        <f t="shared" si="76"/>
        <v>3666</v>
      </c>
      <c r="X3675" s="564">
        <v>42</v>
      </c>
    </row>
    <row r="3676" spans="23:24" x14ac:dyDescent="0.25">
      <c r="W3676" s="574">
        <f t="shared" si="76"/>
        <v>3667</v>
      </c>
      <c r="X3676" s="564">
        <v>42</v>
      </c>
    </row>
    <row r="3677" spans="23:24" x14ac:dyDescent="0.25">
      <c r="W3677" s="574">
        <f t="shared" si="76"/>
        <v>3668</v>
      </c>
      <c r="X3677" s="564">
        <v>42</v>
      </c>
    </row>
    <row r="3678" spans="23:24" x14ac:dyDescent="0.25">
      <c r="W3678" s="574">
        <f t="shared" si="76"/>
        <v>3669</v>
      </c>
      <c r="X3678" s="564">
        <v>42</v>
      </c>
    </row>
    <row r="3679" spans="23:24" x14ac:dyDescent="0.25">
      <c r="W3679" s="574">
        <f t="shared" si="76"/>
        <v>3670</v>
      </c>
      <c r="X3679" s="564">
        <v>42</v>
      </c>
    </row>
    <row r="3680" spans="23:24" x14ac:dyDescent="0.25">
      <c r="W3680" s="574">
        <f t="shared" si="76"/>
        <v>3671</v>
      </c>
      <c r="X3680" s="564">
        <v>42</v>
      </c>
    </row>
    <row r="3681" spans="23:24" x14ac:dyDescent="0.25">
      <c r="W3681" s="574">
        <f t="shared" si="76"/>
        <v>3672</v>
      </c>
      <c r="X3681" s="564">
        <v>42</v>
      </c>
    </row>
    <row r="3682" spans="23:24" x14ac:dyDescent="0.25">
      <c r="W3682" s="574">
        <f t="shared" si="76"/>
        <v>3673</v>
      </c>
      <c r="X3682" s="564">
        <v>42</v>
      </c>
    </row>
    <row r="3683" spans="23:24" x14ac:dyDescent="0.25">
      <c r="W3683" s="574">
        <f t="shared" si="76"/>
        <v>3674</v>
      </c>
      <c r="X3683" s="564">
        <v>42</v>
      </c>
    </row>
    <row r="3684" spans="23:24" x14ac:dyDescent="0.25">
      <c r="W3684" s="574">
        <f t="shared" si="76"/>
        <v>3675</v>
      </c>
      <c r="X3684" s="564">
        <v>42</v>
      </c>
    </row>
    <row r="3685" spans="23:24" x14ac:dyDescent="0.25">
      <c r="W3685" s="574">
        <f t="shared" si="76"/>
        <v>3676</v>
      </c>
      <c r="X3685" s="564">
        <v>42</v>
      </c>
    </row>
    <row r="3686" spans="23:24" x14ac:dyDescent="0.25">
      <c r="W3686" s="574">
        <f t="shared" si="76"/>
        <v>3677</v>
      </c>
      <c r="X3686" s="564">
        <v>42</v>
      </c>
    </row>
    <row r="3687" spans="23:24" x14ac:dyDescent="0.25">
      <c r="W3687" s="574">
        <f t="shared" si="76"/>
        <v>3678</v>
      </c>
      <c r="X3687" s="564">
        <v>42</v>
      </c>
    </row>
    <row r="3688" spans="23:24" x14ac:dyDescent="0.25">
      <c r="W3688" s="574">
        <f t="shared" si="76"/>
        <v>3679</v>
      </c>
      <c r="X3688" s="564">
        <v>42</v>
      </c>
    </row>
    <row r="3689" spans="23:24" x14ac:dyDescent="0.25">
      <c r="W3689" s="574">
        <f t="shared" si="76"/>
        <v>3680</v>
      </c>
      <c r="X3689" s="564">
        <v>42</v>
      </c>
    </row>
    <row r="3690" spans="23:24" x14ac:dyDescent="0.25">
      <c r="W3690" s="574">
        <f t="shared" si="76"/>
        <v>3681</v>
      </c>
      <c r="X3690" s="564">
        <v>42</v>
      </c>
    </row>
    <row r="3691" spans="23:24" x14ac:dyDescent="0.25">
      <c r="W3691" s="574">
        <f t="shared" si="76"/>
        <v>3682</v>
      </c>
      <c r="X3691" s="564">
        <v>42</v>
      </c>
    </row>
    <row r="3692" spans="23:24" x14ac:dyDescent="0.25">
      <c r="W3692" s="574">
        <f t="shared" si="76"/>
        <v>3683</v>
      </c>
      <c r="X3692" s="564">
        <v>42</v>
      </c>
    </row>
    <row r="3693" spans="23:24" x14ac:dyDescent="0.25">
      <c r="W3693" s="574">
        <f t="shared" si="76"/>
        <v>3684</v>
      </c>
      <c r="X3693" s="564">
        <v>42</v>
      </c>
    </row>
    <row r="3694" spans="23:24" x14ac:dyDescent="0.25">
      <c r="W3694" s="574">
        <f t="shared" si="76"/>
        <v>3685</v>
      </c>
      <c r="X3694" s="564">
        <v>42</v>
      </c>
    </row>
    <row r="3695" spans="23:24" x14ac:dyDescent="0.25">
      <c r="W3695" s="574">
        <f t="shared" si="76"/>
        <v>3686</v>
      </c>
      <c r="X3695" s="564">
        <v>42</v>
      </c>
    </row>
    <row r="3696" spans="23:24" x14ac:dyDescent="0.25">
      <c r="W3696" s="574">
        <f t="shared" si="76"/>
        <v>3687</v>
      </c>
      <c r="X3696" s="564">
        <v>42</v>
      </c>
    </row>
    <row r="3697" spans="23:24" x14ac:dyDescent="0.25">
      <c r="W3697" s="574">
        <f t="shared" si="76"/>
        <v>3688</v>
      </c>
      <c r="X3697" s="564">
        <v>42</v>
      </c>
    </row>
    <row r="3698" spans="23:24" x14ac:dyDescent="0.25">
      <c r="W3698" s="574">
        <f t="shared" si="76"/>
        <v>3689</v>
      </c>
      <c r="X3698" s="564">
        <v>42</v>
      </c>
    </row>
    <row r="3699" spans="23:24" x14ac:dyDescent="0.25">
      <c r="W3699" s="574">
        <f t="shared" si="76"/>
        <v>3690</v>
      </c>
      <c r="X3699" s="564">
        <v>42</v>
      </c>
    </row>
    <row r="3700" spans="23:24" x14ac:dyDescent="0.25">
      <c r="W3700" s="574">
        <f t="shared" si="76"/>
        <v>3691</v>
      </c>
      <c r="X3700" s="564">
        <v>42</v>
      </c>
    </row>
    <row r="3701" spans="23:24" x14ac:dyDescent="0.25">
      <c r="W3701" s="574">
        <f t="shared" si="76"/>
        <v>3692</v>
      </c>
      <c r="X3701" s="564">
        <v>42</v>
      </c>
    </row>
    <row r="3702" spans="23:24" x14ac:dyDescent="0.25">
      <c r="W3702" s="574">
        <f t="shared" si="76"/>
        <v>3693</v>
      </c>
      <c r="X3702" s="564">
        <v>42</v>
      </c>
    </row>
    <row r="3703" spans="23:24" x14ac:dyDescent="0.25">
      <c r="W3703" s="574">
        <f t="shared" si="76"/>
        <v>3694</v>
      </c>
      <c r="X3703" s="564">
        <v>42</v>
      </c>
    </row>
    <row r="3704" spans="23:24" x14ac:dyDescent="0.25">
      <c r="W3704" s="574">
        <f t="shared" si="76"/>
        <v>3695</v>
      </c>
      <c r="X3704" s="564">
        <v>42</v>
      </c>
    </row>
    <row r="3705" spans="23:24" x14ac:dyDescent="0.25">
      <c r="W3705" s="574">
        <f t="shared" si="76"/>
        <v>3696</v>
      </c>
      <c r="X3705" s="564">
        <v>42</v>
      </c>
    </row>
    <row r="3706" spans="23:24" x14ac:dyDescent="0.25">
      <c r="W3706" s="574">
        <f t="shared" si="76"/>
        <v>3697</v>
      </c>
      <c r="X3706" s="564">
        <v>42</v>
      </c>
    </row>
    <row r="3707" spans="23:24" x14ac:dyDescent="0.25">
      <c r="W3707" s="574">
        <f t="shared" si="76"/>
        <v>3698</v>
      </c>
      <c r="X3707" s="564">
        <v>42</v>
      </c>
    </row>
    <row r="3708" spans="23:24" x14ac:dyDescent="0.25">
      <c r="W3708" s="574">
        <f t="shared" si="76"/>
        <v>3699</v>
      </c>
      <c r="X3708" s="564">
        <v>42</v>
      </c>
    </row>
    <row r="3709" spans="23:24" x14ac:dyDescent="0.25">
      <c r="W3709" s="574">
        <f t="shared" si="76"/>
        <v>3700</v>
      </c>
      <c r="X3709" s="564">
        <v>42</v>
      </c>
    </row>
    <row r="3710" spans="23:24" x14ac:dyDescent="0.25">
      <c r="W3710" s="574">
        <f t="shared" si="76"/>
        <v>3701</v>
      </c>
      <c r="X3710" s="564">
        <v>42</v>
      </c>
    </row>
    <row r="3711" spans="23:24" x14ac:dyDescent="0.25">
      <c r="W3711" s="574">
        <f t="shared" si="76"/>
        <v>3702</v>
      </c>
      <c r="X3711" s="564">
        <v>42</v>
      </c>
    </row>
    <row r="3712" spans="23:24" x14ac:dyDescent="0.25">
      <c r="W3712" s="574">
        <f t="shared" si="76"/>
        <v>3703</v>
      </c>
      <c r="X3712" s="564">
        <v>42</v>
      </c>
    </row>
    <row r="3713" spans="23:24" x14ac:dyDescent="0.25">
      <c r="W3713" s="574">
        <f t="shared" si="76"/>
        <v>3704</v>
      </c>
      <c r="X3713" s="564">
        <v>42</v>
      </c>
    </row>
    <row r="3714" spans="23:24" x14ac:dyDescent="0.25">
      <c r="W3714" s="574">
        <f t="shared" si="76"/>
        <v>3705</v>
      </c>
      <c r="X3714" s="564">
        <v>42</v>
      </c>
    </row>
    <row r="3715" spans="23:24" x14ac:dyDescent="0.25">
      <c r="W3715" s="574">
        <f t="shared" si="76"/>
        <v>3706</v>
      </c>
      <c r="X3715" s="564">
        <v>42</v>
      </c>
    </row>
    <row r="3716" spans="23:24" x14ac:dyDescent="0.25">
      <c r="W3716" s="574">
        <f t="shared" si="76"/>
        <v>3707</v>
      </c>
      <c r="X3716" s="564">
        <v>42</v>
      </c>
    </row>
    <row r="3717" spans="23:24" x14ac:dyDescent="0.25">
      <c r="W3717" s="574">
        <f t="shared" si="76"/>
        <v>3708</v>
      </c>
      <c r="X3717" s="564">
        <v>42</v>
      </c>
    </row>
    <row r="3718" spans="23:24" x14ac:dyDescent="0.25">
      <c r="W3718" s="574">
        <f t="shared" si="76"/>
        <v>3709</v>
      </c>
      <c r="X3718" s="564">
        <v>42</v>
      </c>
    </row>
    <row r="3719" spans="23:24" x14ac:dyDescent="0.25">
      <c r="W3719" s="574">
        <f t="shared" si="76"/>
        <v>3710</v>
      </c>
      <c r="X3719" s="564">
        <v>42</v>
      </c>
    </row>
    <row r="3720" spans="23:24" x14ac:dyDescent="0.25">
      <c r="W3720" s="574">
        <f t="shared" si="76"/>
        <v>3711</v>
      </c>
      <c r="X3720" s="564">
        <v>42</v>
      </c>
    </row>
    <row r="3721" spans="23:24" x14ac:dyDescent="0.25">
      <c r="W3721" s="574">
        <f t="shared" si="76"/>
        <v>3712</v>
      </c>
      <c r="X3721" s="564">
        <v>42</v>
      </c>
    </row>
    <row r="3722" spans="23:24" x14ac:dyDescent="0.25">
      <c r="W3722" s="574">
        <f t="shared" si="76"/>
        <v>3713</v>
      </c>
      <c r="X3722" s="564">
        <v>42</v>
      </c>
    </row>
    <row r="3723" spans="23:24" x14ac:dyDescent="0.25">
      <c r="W3723" s="574">
        <f t="shared" si="76"/>
        <v>3714</v>
      </c>
      <c r="X3723" s="564">
        <v>42</v>
      </c>
    </row>
    <row r="3724" spans="23:24" x14ac:dyDescent="0.25">
      <c r="W3724" s="574">
        <f t="shared" si="76"/>
        <v>3715</v>
      </c>
      <c r="X3724" s="564">
        <v>42</v>
      </c>
    </row>
    <row r="3725" spans="23:24" x14ac:dyDescent="0.25">
      <c r="W3725" s="574">
        <f t="shared" si="76"/>
        <v>3716</v>
      </c>
      <c r="X3725" s="564">
        <v>42</v>
      </c>
    </row>
    <row r="3726" spans="23:24" x14ac:dyDescent="0.25">
      <c r="W3726" s="574">
        <f t="shared" si="76"/>
        <v>3717</v>
      </c>
      <c r="X3726" s="564">
        <v>42</v>
      </c>
    </row>
    <row r="3727" spans="23:24" x14ac:dyDescent="0.25">
      <c r="W3727" s="574">
        <f t="shared" si="76"/>
        <v>3718</v>
      </c>
      <c r="X3727" s="564">
        <v>42</v>
      </c>
    </row>
    <row r="3728" spans="23:24" x14ac:dyDescent="0.25">
      <c r="W3728" s="574">
        <f t="shared" si="76"/>
        <v>3719</v>
      </c>
      <c r="X3728" s="564">
        <v>42</v>
      </c>
    </row>
    <row r="3729" spans="23:24" x14ac:dyDescent="0.25">
      <c r="W3729" s="574">
        <f t="shared" si="76"/>
        <v>3720</v>
      </c>
      <c r="X3729" s="564">
        <v>42</v>
      </c>
    </row>
    <row r="3730" spans="23:24" x14ac:dyDescent="0.25">
      <c r="W3730" s="574">
        <f t="shared" si="76"/>
        <v>3721</v>
      </c>
      <c r="X3730" s="564">
        <v>42</v>
      </c>
    </row>
    <row r="3731" spans="23:24" x14ac:dyDescent="0.25">
      <c r="W3731" s="574">
        <f t="shared" si="76"/>
        <v>3722</v>
      </c>
      <c r="X3731" s="564">
        <v>42</v>
      </c>
    </row>
    <row r="3732" spans="23:24" x14ac:dyDescent="0.25">
      <c r="W3732" s="574">
        <f t="shared" si="76"/>
        <v>3723</v>
      </c>
      <c r="X3732" s="564">
        <v>42</v>
      </c>
    </row>
    <row r="3733" spans="23:24" x14ac:dyDescent="0.25">
      <c r="W3733" s="574">
        <f t="shared" si="76"/>
        <v>3724</v>
      </c>
      <c r="X3733" s="564">
        <v>42</v>
      </c>
    </row>
    <row r="3734" spans="23:24" x14ac:dyDescent="0.25">
      <c r="W3734" s="574">
        <f t="shared" si="76"/>
        <v>3725</v>
      </c>
      <c r="X3734" s="564">
        <v>42</v>
      </c>
    </row>
    <row r="3735" spans="23:24" x14ac:dyDescent="0.25">
      <c r="W3735" s="574">
        <f t="shared" si="76"/>
        <v>3726</v>
      </c>
      <c r="X3735" s="564">
        <v>42</v>
      </c>
    </row>
    <row r="3736" spans="23:24" x14ac:dyDescent="0.25">
      <c r="W3736" s="574">
        <f t="shared" si="76"/>
        <v>3727</v>
      </c>
      <c r="X3736" s="564">
        <v>42</v>
      </c>
    </row>
    <row r="3737" spans="23:24" x14ac:dyDescent="0.25">
      <c r="W3737" s="574">
        <f t="shared" si="76"/>
        <v>3728</v>
      </c>
      <c r="X3737" s="564">
        <v>42</v>
      </c>
    </row>
    <row r="3738" spans="23:24" x14ac:dyDescent="0.25">
      <c r="W3738" s="574">
        <f t="shared" ref="W3738:W3801" si="77">W3737+1</f>
        <v>3729</v>
      </c>
      <c r="X3738" s="564">
        <v>42</v>
      </c>
    </row>
    <row r="3739" spans="23:24" x14ac:dyDescent="0.25">
      <c r="W3739" s="574">
        <f t="shared" si="77"/>
        <v>3730</v>
      </c>
      <c r="X3739" s="564">
        <v>42</v>
      </c>
    </row>
    <row r="3740" spans="23:24" x14ac:dyDescent="0.25">
      <c r="W3740" s="574">
        <f t="shared" si="77"/>
        <v>3731</v>
      </c>
      <c r="X3740" s="564">
        <v>42</v>
      </c>
    </row>
    <row r="3741" spans="23:24" x14ac:dyDescent="0.25">
      <c r="W3741" s="574">
        <f t="shared" si="77"/>
        <v>3732</v>
      </c>
      <c r="X3741" s="564">
        <v>42</v>
      </c>
    </row>
    <row r="3742" spans="23:24" x14ac:dyDescent="0.25">
      <c r="W3742" s="574">
        <f t="shared" si="77"/>
        <v>3733</v>
      </c>
      <c r="X3742" s="564">
        <v>42</v>
      </c>
    </row>
    <row r="3743" spans="23:24" x14ac:dyDescent="0.25">
      <c r="W3743" s="574">
        <f t="shared" si="77"/>
        <v>3734</v>
      </c>
      <c r="X3743" s="564">
        <v>42</v>
      </c>
    </row>
    <row r="3744" spans="23:24" x14ac:dyDescent="0.25">
      <c r="W3744" s="574">
        <f t="shared" si="77"/>
        <v>3735</v>
      </c>
      <c r="X3744" s="564">
        <v>42</v>
      </c>
    </row>
    <row r="3745" spans="23:24" x14ac:dyDescent="0.25">
      <c r="W3745" s="574">
        <f t="shared" si="77"/>
        <v>3736</v>
      </c>
      <c r="X3745" s="564">
        <v>42</v>
      </c>
    </row>
    <row r="3746" spans="23:24" x14ac:dyDescent="0.25">
      <c r="W3746" s="574">
        <f t="shared" si="77"/>
        <v>3737</v>
      </c>
      <c r="X3746" s="564">
        <v>42</v>
      </c>
    </row>
    <row r="3747" spans="23:24" x14ac:dyDescent="0.25">
      <c r="W3747" s="574">
        <f t="shared" si="77"/>
        <v>3738</v>
      </c>
      <c r="X3747" s="564">
        <v>42</v>
      </c>
    </row>
    <row r="3748" spans="23:24" x14ac:dyDescent="0.25">
      <c r="W3748" s="574">
        <f t="shared" si="77"/>
        <v>3739</v>
      </c>
      <c r="X3748" s="564">
        <v>42</v>
      </c>
    </row>
    <row r="3749" spans="23:24" x14ac:dyDescent="0.25">
      <c r="W3749" s="574">
        <f t="shared" si="77"/>
        <v>3740</v>
      </c>
      <c r="X3749" s="564">
        <v>42</v>
      </c>
    </row>
    <row r="3750" spans="23:24" x14ac:dyDescent="0.25">
      <c r="W3750" s="574">
        <f t="shared" si="77"/>
        <v>3741</v>
      </c>
      <c r="X3750" s="564">
        <v>42</v>
      </c>
    </row>
    <row r="3751" spans="23:24" x14ac:dyDescent="0.25">
      <c r="W3751" s="574">
        <f t="shared" si="77"/>
        <v>3742</v>
      </c>
      <c r="X3751" s="564">
        <v>42</v>
      </c>
    </row>
    <row r="3752" spans="23:24" x14ac:dyDescent="0.25">
      <c r="W3752" s="574">
        <f t="shared" si="77"/>
        <v>3743</v>
      </c>
      <c r="X3752" s="564">
        <v>42</v>
      </c>
    </row>
    <row r="3753" spans="23:24" x14ac:dyDescent="0.25">
      <c r="W3753" s="574">
        <f t="shared" si="77"/>
        <v>3744</v>
      </c>
      <c r="X3753" s="564">
        <v>42</v>
      </c>
    </row>
    <row r="3754" spans="23:24" x14ac:dyDescent="0.25">
      <c r="W3754" s="574">
        <f t="shared" si="77"/>
        <v>3745</v>
      </c>
      <c r="X3754" s="564">
        <v>42</v>
      </c>
    </row>
    <row r="3755" spans="23:24" x14ac:dyDescent="0.25">
      <c r="W3755" s="574">
        <f t="shared" si="77"/>
        <v>3746</v>
      </c>
      <c r="X3755" s="564">
        <v>42</v>
      </c>
    </row>
    <row r="3756" spans="23:24" x14ac:dyDescent="0.25">
      <c r="W3756" s="574">
        <f t="shared" si="77"/>
        <v>3747</v>
      </c>
      <c r="X3756" s="564">
        <v>42</v>
      </c>
    </row>
    <row r="3757" spans="23:24" x14ac:dyDescent="0.25">
      <c r="W3757" s="574">
        <f t="shared" si="77"/>
        <v>3748</v>
      </c>
      <c r="X3757" s="564">
        <v>42</v>
      </c>
    </row>
    <row r="3758" spans="23:24" x14ac:dyDescent="0.25">
      <c r="W3758" s="574">
        <f t="shared" si="77"/>
        <v>3749</v>
      </c>
      <c r="X3758" s="564">
        <v>42</v>
      </c>
    </row>
    <row r="3759" spans="23:24" x14ac:dyDescent="0.25">
      <c r="W3759" s="574">
        <f t="shared" si="77"/>
        <v>3750</v>
      </c>
      <c r="X3759" s="564">
        <v>43</v>
      </c>
    </row>
    <row r="3760" spans="23:24" x14ac:dyDescent="0.25">
      <c r="W3760" s="574">
        <f t="shared" si="77"/>
        <v>3751</v>
      </c>
      <c r="X3760" s="564">
        <v>43</v>
      </c>
    </row>
    <row r="3761" spans="23:24" x14ac:dyDescent="0.25">
      <c r="W3761" s="574">
        <f t="shared" si="77"/>
        <v>3752</v>
      </c>
      <c r="X3761" s="564">
        <v>43</v>
      </c>
    </row>
    <row r="3762" spans="23:24" x14ac:dyDescent="0.25">
      <c r="W3762" s="574">
        <f t="shared" si="77"/>
        <v>3753</v>
      </c>
      <c r="X3762" s="564">
        <v>43</v>
      </c>
    </row>
    <row r="3763" spans="23:24" x14ac:dyDescent="0.25">
      <c r="W3763" s="574">
        <f t="shared" si="77"/>
        <v>3754</v>
      </c>
      <c r="X3763" s="564">
        <v>43</v>
      </c>
    </row>
    <row r="3764" spans="23:24" x14ac:dyDescent="0.25">
      <c r="W3764" s="574">
        <f t="shared" si="77"/>
        <v>3755</v>
      </c>
      <c r="X3764" s="564">
        <v>43</v>
      </c>
    </row>
    <row r="3765" spans="23:24" x14ac:dyDescent="0.25">
      <c r="W3765" s="574">
        <f t="shared" si="77"/>
        <v>3756</v>
      </c>
      <c r="X3765" s="564">
        <v>43</v>
      </c>
    </row>
    <row r="3766" spans="23:24" x14ac:dyDescent="0.25">
      <c r="W3766" s="574">
        <f t="shared" si="77"/>
        <v>3757</v>
      </c>
      <c r="X3766" s="564">
        <v>43</v>
      </c>
    </row>
    <row r="3767" spans="23:24" x14ac:dyDescent="0.25">
      <c r="W3767" s="574">
        <f t="shared" si="77"/>
        <v>3758</v>
      </c>
      <c r="X3767" s="564">
        <v>43</v>
      </c>
    </row>
    <row r="3768" spans="23:24" x14ac:dyDescent="0.25">
      <c r="W3768" s="574">
        <f t="shared" si="77"/>
        <v>3759</v>
      </c>
      <c r="X3768" s="564">
        <v>43</v>
      </c>
    </row>
    <row r="3769" spans="23:24" x14ac:dyDescent="0.25">
      <c r="W3769" s="574">
        <f t="shared" si="77"/>
        <v>3760</v>
      </c>
      <c r="X3769" s="564">
        <v>43</v>
      </c>
    </row>
    <row r="3770" spans="23:24" x14ac:dyDescent="0.25">
      <c r="W3770" s="574">
        <f t="shared" si="77"/>
        <v>3761</v>
      </c>
      <c r="X3770" s="564">
        <v>43</v>
      </c>
    </row>
    <row r="3771" spans="23:24" x14ac:dyDescent="0.25">
      <c r="W3771" s="574">
        <f t="shared" si="77"/>
        <v>3762</v>
      </c>
      <c r="X3771" s="564">
        <v>43</v>
      </c>
    </row>
    <row r="3772" spans="23:24" x14ac:dyDescent="0.25">
      <c r="W3772" s="574">
        <f t="shared" si="77"/>
        <v>3763</v>
      </c>
      <c r="X3772" s="564">
        <v>43</v>
      </c>
    </row>
    <row r="3773" spans="23:24" x14ac:dyDescent="0.25">
      <c r="W3773" s="574">
        <f t="shared" si="77"/>
        <v>3764</v>
      </c>
      <c r="X3773" s="564">
        <v>43</v>
      </c>
    </row>
    <row r="3774" spans="23:24" x14ac:dyDescent="0.25">
      <c r="W3774" s="574">
        <f t="shared" si="77"/>
        <v>3765</v>
      </c>
      <c r="X3774" s="564">
        <v>43</v>
      </c>
    </row>
    <row r="3775" spans="23:24" x14ac:dyDescent="0.25">
      <c r="W3775" s="574">
        <f t="shared" si="77"/>
        <v>3766</v>
      </c>
      <c r="X3775" s="564">
        <v>43</v>
      </c>
    </row>
    <row r="3776" spans="23:24" x14ac:dyDescent="0.25">
      <c r="W3776" s="574">
        <f t="shared" si="77"/>
        <v>3767</v>
      </c>
      <c r="X3776" s="564">
        <v>43</v>
      </c>
    </row>
    <row r="3777" spans="23:24" x14ac:dyDescent="0.25">
      <c r="W3777" s="574">
        <f t="shared" si="77"/>
        <v>3768</v>
      </c>
      <c r="X3777" s="564">
        <v>43</v>
      </c>
    </row>
    <row r="3778" spans="23:24" x14ac:dyDescent="0.25">
      <c r="W3778" s="574">
        <f t="shared" si="77"/>
        <v>3769</v>
      </c>
      <c r="X3778" s="564">
        <v>43</v>
      </c>
    </row>
    <row r="3779" spans="23:24" x14ac:dyDescent="0.25">
      <c r="W3779" s="574">
        <f t="shared" si="77"/>
        <v>3770</v>
      </c>
      <c r="X3779" s="564">
        <v>43</v>
      </c>
    </row>
    <row r="3780" spans="23:24" x14ac:dyDescent="0.25">
      <c r="W3780" s="574">
        <f t="shared" si="77"/>
        <v>3771</v>
      </c>
      <c r="X3780" s="564">
        <v>43</v>
      </c>
    </row>
    <row r="3781" spans="23:24" x14ac:dyDescent="0.25">
      <c r="W3781" s="574">
        <f t="shared" si="77"/>
        <v>3772</v>
      </c>
      <c r="X3781" s="564">
        <v>43</v>
      </c>
    </row>
    <row r="3782" spans="23:24" x14ac:dyDescent="0.25">
      <c r="W3782" s="574">
        <f t="shared" si="77"/>
        <v>3773</v>
      </c>
      <c r="X3782" s="564">
        <v>43</v>
      </c>
    </row>
    <row r="3783" spans="23:24" x14ac:dyDescent="0.25">
      <c r="W3783" s="574">
        <f t="shared" si="77"/>
        <v>3774</v>
      </c>
      <c r="X3783" s="564">
        <v>43</v>
      </c>
    </row>
    <row r="3784" spans="23:24" x14ac:dyDescent="0.25">
      <c r="W3784" s="574">
        <f t="shared" si="77"/>
        <v>3775</v>
      </c>
      <c r="X3784" s="564">
        <v>43</v>
      </c>
    </row>
    <row r="3785" spans="23:24" x14ac:dyDescent="0.25">
      <c r="W3785" s="574">
        <f t="shared" si="77"/>
        <v>3776</v>
      </c>
      <c r="X3785" s="564">
        <v>43</v>
      </c>
    </row>
    <row r="3786" spans="23:24" x14ac:dyDescent="0.25">
      <c r="W3786" s="574">
        <f t="shared" si="77"/>
        <v>3777</v>
      </c>
      <c r="X3786" s="564">
        <v>43</v>
      </c>
    </row>
    <row r="3787" spans="23:24" x14ac:dyDescent="0.25">
      <c r="W3787" s="574">
        <f t="shared" si="77"/>
        <v>3778</v>
      </c>
      <c r="X3787" s="564">
        <v>43</v>
      </c>
    </row>
    <row r="3788" spans="23:24" x14ac:dyDescent="0.25">
      <c r="W3788" s="574">
        <f t="shared" si="77"/>
        <v>3779</v>
      </c>
      <c r="X3788" s="564">
        <v>43</v>
      </c>
    </row>
    <row r="3789" spans="23:24" x14ac:dyDescent="0.25">
      <c r="W3789" s="574">
        <f t="shared" si="77"/>
        <v>3780</v>
      </c>
      <c r="X3789" s="564">
        <v>43</v>
      </c>
    </row>
    <row r="3790" spans="23:24" x14ac:dyDescent="0.25">
      <c r="W3790" s="574">
        <f t="shared" si="77"/>
        <v>3781</v>
      </c>
      <c r="X3790" s="564">
        <v>43</v>
      </c>
    </row>
    <row r="3791" spans="23:24" x14ac:dyDescent="0.25">
      <c r="W3791" s="574">
        <f t="shared" si="77"/>
        <v>3782</v>
      </c>
      <c r="X3791" s="564">
        <v>43</v>
      </c>
    </row>
    <row r="3792" spans="23:24" x14ac:dyDescent="0.25">
      <c r="W3792" s="574">
        <f t="shared" si="77"/>
        <v>3783</v>
      </c>
      <c r="X3792" s="564">
        <v>43</v>
      </c>
    </row>
    <row r="3793" spans="23:24" x14ac:dyDescent="0.25">
      <c r="W3793" s="574">
        <f t="shared" si="77"/>
        <v>3784</v>
      </c>
      <c r="X3793" s="564">
        <v>43</v>
      </c>
    </row>
    <row r="3794" spans="23:24" x14ac:dyDescent="0.25">
      <c r="W3794" s="574">
        <f t="shared" si="77"/>
        <v>3785</v>
      </c>
      <c r="X3794" s="564">
        <v>43</v>
      </c>
    </row>
    <row r="3795" spans="23:24" x14ac:dyDescent="0.25">
      <c r="W3795" s="574">
        <f t="shared" si="77"/>
        <v>3786</v>
      </c>
      <c r="X3795" s="564">
        <v>43</v>
      </c>
    </row>
    <row r="3796" spans="23:24" x14ac:dyDescent="0.25">
      <c r="W3796" s="574">
        <f t="shared" si="77"/>
        <v>3787</v>
      </c>
      <c r="X3796" s="564">
        <v>43</v>
      </c>
    </row>
    <row r="3797" spans="23:24" x14ac:dyDescent="0.25">
      <c r="W3797" s="574">
        <f t="shared" si="77"/>
        <v>3788</v>
      </c>
      <c r="X3797" s="564">
        <v>43</v>
      </c>
    </row>
    <row r="3798" spans="23:24" x14ac:dyDescent="0.25">
      <c r="W3798" s="574">
        <f t="shared" si="77"/>
        <v>3789</v>
      </c>
      <c r="X3798" s="564">
        <v>43</v>
      </c>
    </row>
    <row r="3799" spans="23:24" x14ac:dyDescent="0.25">
      <c r="W3799" s="574">
        <f t="shared" si="77"/>
        <v>3790</v>
      </c>
      <c r="X3799" s="564">
        <v>43</v>
      </c>
    </row>
    <row r="3800" spans="23:24" x14ac:dyDescent="0.25">
      <c r="W3800" s="574">
        <f t="shared" si="77"/>
        <v>3791</v>
      </c>
      <c r="X3800" s="564">
        <v>43</v>
      </c>
    </row>
    <row r="3801" spans="23:24" x14ac:dyDescent="0.25">
      <c r="W3801" s="574">
        <f t="shared" si="77"/>
        <v>3792</v>
      </c>
      <c r="X3801" s="564">
        <v>43</v>
      </c>
    </row>
    <row r="3802" spans="23:24" x14ac:dyDescent="0.25">
      <c r="W3802" s="574">
        <f t="shared" ref="W3802:W3865" si="78">W3801+1</f>
        <v>3793</v>
      </c>
      <c r="X3802" s="564">
        <v>43</v>
      </c>
    </row>
    <row r="3803" spans="23:24" x14ac:dyDescent="0.25">
      <c r="W3803" s="574">
        <f t="shared" si="78"/>
        <v>3794</v>
      </c>
      <c r="X3803" s="564">
        <v>43</v>
      </c>
    </row>
    <row r="3804" spans="23:24" x14ac:dyDescent="0.25">
      <c r="W3804" s="574">
        <f t="shared" si="78"/>
        <v>3795</v>
      </c>
      <c r="X3804" s="564">
        <v>43</v>
      </c>
    </row>
    <row r="3805" spans="23:24" x14ac:dyDescent="0.25">
      <c r="W3805" s="574">
        <f t="shared" si="78"/>
        <v>3796</v>
      </c>
      <c r="X3805" s="564">
        <v>43</v>
      </c>
    </row>
    <row r="3806" spans="23:24" x14ac:dyDescent="0.25">
      <c r="W3806" s="574">
        <f t="shared" si="78"/>
        <v>3797</v>
      </c>
      <c r="X3806" s="564">
        <v>43</v>
      </c>
    </row>
    <row r="3807" spans="23:24" x14ac:dyDescent="0.25">
      <c r="W3807" s="574">
        <f t="shared" si="78"/>
        <v>3798</v>
      </c>
      <c r="X3807" s="564">
        <v>43</v>
      </c>
    </row>
    <row r="3808" spans="23:24" x14ac:dyDescent="0.25">
      <c r="W3808" s="574">
        <f t="shared" si="78"/>
        <v>3799</v>
      </c>
      <c r="X3808" s="564">
        <v>43</v>
      </c>
    </row>
    <row r="3809" spans="23:24" x14ac:dyDescent="0.25">
      <c r="W3809" s="574">
        <f t="shared" si="78"/>
        <v>3800</v>
      </c>
      <c r="X3809" s="564">
        <v>43</v>
      </c>
    </row>
    <row r="3810" spans="23:24" x14ac:dyDescent="0.25">
      <c r="W3810" s="574">
        <f t="shared" si="78"/>
        <v>3801</v>
      </c>
      <c r="X3810" s="564">
        <v>43</v>
      </c>
    </row>
    <row r="3811" spans="23:24" x14ac:dyDescent="0.25">
      <c r="W3811" s="574">
        <f t="shared" si="78"/>
        <v>3802</v>
      </c>
      <c r="X3811" s="564">
        <v>43</v>
      </c>
    </row>
    <row r="3812" spans="23:24" x14ac:dyDescent="0.25">
      <c r="W3812" s="574">
        <f t="shared" si="78"/>
        <v>3803</v>
      </c>
      <c r="X3812" s="564">
        <v>43</v>
      </c>
    </row>
    <row r="3813" spans="23:24" x14ac:dyDescent="0.25">
      <c r="W3813" s="574">
        <f t="shared" si="78"/>
        <v>3804</v>
      </c>
      <c r="X3813" s="564">
        <v>43</v>
      </c>
    </row>
    <row r="3814" spans="23:24" x14ac:dyDescent="0.25">
      <c r="W3814" s="574">
        <f t="shared" si="78"/>
        <v>3805</v>
      </c>
      <c r="X3814" s="564">
        <v>43</v>
      </c>
    </row>
    <row r="3815" spans="23:24" x14ac:dyDescent="0.25">
      <c r="W3815" s="574">
        <f t="shared" si="78"/>
        <v>3806</v>
      </c>
      <c r="X3815" s="564">
        <v>43</v>
      </c>
    </row>
    <row r="3816" spans="23:24" x14ac:dyDescent="0.25">
      <c r="W3816" s="574">
        <f t="shared" si="78"/>
        <v>3807</v>
      </c>
      <c r="X3816" s="564">
        <v>43</v>
      </c>
    </row>
    <row r="3817" spans="23:24" x14ac:dyDescent="0.25">
      <c r="W3817" s="574">
        <f t="shared" si="78"/>
        <v>3808</v>
      </c>
      <c r="X3817" s="564">
        <v>43</v>
      </c>
    </row>
    <row r="3818" spans="23:24" x14ac:dyDescent="0.25">
      <c r="W3818" s="574">
        <f t="shared" si="78"/>
        <v>3809</v>
      </c>
      <c r="X3818" s="564">
        <v>43</v>
      </c>
    </row>
    <row r="3819" spans="23:24" x14ac:dyDescent="0.25">
      <c r="W3819" s="574">
        <f t="shared" si="78"/>
        <v>3810</v>
      </c>
      <c r="X3819" s="564">
        <v>43</v>
      </c>
    </row>
    <row r="3820" spans="23:24" x14ac:dyDescent="0.25">
      <c r="W3820" s="574">
        <f t="shared" si="78"/>
        <v>3811</v>
      </c>
      <c r="X3820" s="564">
        <v>43</v>
      </c>
    </row>
    <row r="3821" spans="23:24" x14ac:dyDescent="0.25">
      <c r="W3821" s="574">
        <f t="shared" si="78"/>
        <v>3812</v>
      </c>
      <c r="X3821" s="564">
        <v>43</v>
      </c>
    </row>
    <row r="3822" spans="23:24" x14ac:dyDescent="0.25">
      <c r="W3822" s="574">
        <f t="shared" si="78"/>
        <v>3813</v>
      </c>
      <c r="X3822" s="564">
        <v>43</v>
      </c>
    </row>
    <row r="3823" spans="23:24" x14ac:dyDescent="0.25">
      <c r="W3823" s="574">
        <f t="shared" si="78"/>
        <v>3814</v>
      </c>
      <c r="X3823" s="564">
        <v>43</v>
      </c>
    </row>
    <row r="3824" spans="23:24" x14ac:dyDescent="0.25">
      <c r="W3824" s="574">
        <f t="shared" si="78"/>
        <v>3815</v>
      </c>
      <c r="X3824" s="564">
        <v>43</v>
      </c>
    </row>
    <row r="3825" spans="23:24" x14ac:dyDescent="0.25">
      <c r="W3825" s="574">
        <f t="shared" si="78"/>
        <v>3816</v>
      </c>
      <c r="X3825" s="564">
        <v>43</v>
      </c>
    </row>
    <row r="3826" spans="23:24" x14ac:dyDescent="0.25">
      <c r="W3826" s="574">
        <f t="shared" si="78"/>
        <v>3817</v>
      </c>
      <c r="X3826" s="564">
        <v>43</v>
      </c>
    </row>
    <row r="3827" spans="23:24" x14ac:dyDescent="0.25">
      <c r="W3827" s="574">
        <f t="shared" si="78"/>
        <v>3818</v>
      </c>
      <c r="X3827" s="564">
        <v>43</v>
      </c>
    </row>
    <row r="3828" spans="23:24" x14ac:dyDescent="0.25">
      <c r="W3828" s="574">
        <f t="shared" si="78"/>
        <v>3819</v>
      </c>
      <c r="X3828" s="564">
        <v>43</v>
      </c>
    </row>
    <row r="3829" spans="23:24" x14ac:dyDescent="0.25">
      <c r="W3829" s="574">
        <f t="shared" si="78"/>
        <v>3820</v>
      </c>
      <c r="X3829" s="564">
        <v>43</v>
      </c>
    </row>
    <row r="3830" spans="23:24" x14ac:dyDescent="0.25">
      <c r="W3830" s="574">
        <f t="shared" si="78"/>
        <v>3821</v>
      </c>
      <c r="X3830" s="564">
        <v>43</v>
      </c>
    </row>
    <row r="3831" spans="23:24" x14ac:dyDescent="0.25">
      <c r="W3831" s="574">
        <f t="shared" si="78"/>
        <v>3822</v>
      </c>
      <c r="X3831" s="564">
        <v>43</v>
      </c>
    </row>
    <row r="3832" spans="23:24" x14ac:dyDescent="0.25">
      <c r="W3832" s="574">
        <f t="shared" si="78"/>
        <v>3823</v>
      </c>
      <c r="X3832" s="564">
        <v>43</v>
      </c>
    </row>
    <row r="3833" spans="23:24" x14ac:dyDescent="0.25">
      <c r="W3833" s="574">
        <f t="shared" si="78"/>
        <v>3824</v>
      </c>
      <c r="X3833" s="564">
        <v>43</v>
      </c>
    </row>
    <row r="3834" spans="23:24" x14ac:dyDescent="0.25">
      <c r="W3834" s="574">
        <f t="shared" si="78"/>
        <v>3825</v>
      </c>
      <c r="X3834" s="564">
        <v>43</v>
      </c>
    </row>
    <row r="3835" spans="23:24" x14ac:dyDescent="0.25">
      <c r="W3835" s="574">
        <f t="shared" si="78"/>
        <v>3826</v>
      </c>
      <c r="X3835" s="564">
        <v>43</v>
      </c>
    </row>
    <row r="3836" spans="23:24" x14ac:dyDescent="0.25">
      <c r="W3836" s="574">
        <f t="shared" si="78"/>
        <v>3827</v>
      </c>
      <c r="X3836" s="564">
        <v>43</v>
      </c>
    </row>
    <row r="3837" spans="23:24" x14ac:dyDescent="0.25">
      <c r="W3837" s="574">
        <f t="shared" si="78"/>
        <v>3828</v>
      </c>
      <c r="X3837" s="564">
        <v>43</v>
      </c>
    </row>
    <row r="3838" spans="23:24" x14ac:dyDescent="0.25">
      <c r="W3838" s="574">
        <f t="shared" si="78"/>
        <v>3829</v>
      </c>
      <c r="X3838" s="564">
        <v>43</v>
      </c>
    </row>
    <row r="3839" spans="23:24" x14ac:dyDescent="0.25">
      <c r="W3839" s="574">
        <f t="shared" si="78"/>
        <v>3830</v>
      </c>
      <c r="X3839" s="564">
        <v>43</v>
      </c>
    </row>
    <row r="3840" spans="23:24" x14ac:dyDescent="0.25">
      <c r="W3840" s="574">
        <f t="shared" si="78"/>
        <v>3831</v>
      </c>
      <c r="X3840" s="564">
        <v>43</v>
      </c>
    </row>
    <row r="3841" spans="23:24" x14ac:dyDescent="0.25">
      <c r="W3841" s="574">
        <f t="shared" si="78"/>
        <v>3832</v>
      </c>
      <c r="X3841" s="564">
        <v>43</v>
      </c>
    </row>
    <row r="3842" spans="23:24" x14ac:dyDescent="0.25">
      <c r="W3842" s="574">
        <f t="shared" si="78"/>
        <v>3833</v>
      </c>
      <c r="X3842" s="564">
        <v>43</v>
      </c>
    </row>
    <row r="3843" spans="23:24" x14ac:dyDescent="0.25">
      <c r="W3843" s="574">
        <f t="shared" si="78"/>
        <v>3834</v>
      </c>
      <c r="X3843" s="564">
        <v>43</v>
      </c>
    </row>
    <row r="3844" spans="23:24" x14ac:dyDescent="0.25">
      <c r="W3844" s="574">
        <f t="shared" si="78"/>
        <v>3835</v>
      </c>
      <c r="X3844" s="564">
        <v>43</v>
      </c>
    </row>
    <row r="3845" spans="23:24" x14ac:dyDescent="0.25">
      <c r="W3845" s="574">
        <f t="shared" si="78"/>
        <v>3836</v>
      </c>
      <c r="X3845" s="564">
        <v>43</v>
      </c>
    </row>
    <row r="3846" spans="23:24" x14ac:dyDescent="0.25">
      <c r="W3846" s="574">
        <f t="shared" si="78"/>
        <v>3837</v>
      </c>
      <c r="X3846" s="564">
        <v>43</v>
      </c>
    </row>
    <row r="3847" spans="23:24" x14ac:dyDescent="0.25">
      <c r="W3847" s="574">
        <f t="shared" si="78"/>
        <v>3838</v>
      </c>
      <c r="X3847" s="564">
        <v>43</v>
      </c>
    </row>
    <row r="3848" spans="23:24" x14ac:dyDescent="0.25">
      <c r="W3848" s="574">
        <f t="shared" si="78"/>
        <v>3839</v>
      </c>
      <c r="X3848" s="564">
        <v>43</v>
      </c>
    </row>
    <row r="3849" spans="23:24" x14ac:dyDescent="0.25">
      <c r="W3849" s="574">
        <f t="shared" si="78"/>
        <v>3840</v>
      </c>
      <c r="X3849" s="564">
        <v>43</v>
      </c>
    </row>
    <row r="3850" spans="23:24" x14ac:dyDescent="0.25">
      <c r="W3850" s="574">
        <f t="shared" si="78"/>
        <v>3841</v>
      </c>
      <c r="X3850" s="564">
        <v>43</v>
      </c>
    </row>
    <row r="3851" spans="23:24" x14ac:dyDescent="0.25">
      <c r="W3851" s="574">
        <f t="shared" si="78"/>
        <v>3842</v>
      </c>
      <c r="X3851" s="564">
        <v>43</v>
      </c>
    </row>
    <row r="3852" spans="23:24" x14ac:dyDescent="0.25">
      <c r="W3852" s="574">
        <f t="shared" si="78"/>
        <v>3843</v>
      </c>
      <c r="X3852" s="564">
        <v>43</v>
      </c>
    </row>
    <row r="3853" spans="23:24" x14ac:dyDescent="0.25">
      <c r="W3853" s="574">
        <f t="shared" si="78"/>
        <v>3844</v>
      </c>
      <c r="X3853" s="564">
        <v>43</v>
      </c>
    </row>
    <row r="3854" spans="23:24" x14ac:dyDescent="0.25">
      <c r="W3854" s="574">
        <f t="shared" si="78"/>
        <v>3845</v>
      </c>
      <c r="X3854" s="564">
        <v>43</v>
      </c>
    </row>
    <row r="3855" spans="23:24" x14ac:dyDescent="0.25">
      <c r="W3855" s="574">
        <f t="shared" si="78"/>
        <v>3846</v>
      </c>
      <c r="X3855" s="564">
        <v>43</v>
      </c>
    </row>
    <row r="3856" spans="23:24" x14ac:dyDescent="0.25">
      <c r="W3856" s="574">
        <f t="shared" si="78"/>
        <v>3847</v>
      </c>
      <c r="X3856" s="564">
        <v>43</v>
      </c>
    </row>
    <row r="3857" spans="23:24" x14ac:dyDescent="0.25">
      <c r="W3857" s="574">
        <f t="shared" si="78"/>
        <v>3848</v>
      </c>
      <c r="X3857" s="564">
        <v>43</v>
      </c>
    </row>
    <row r="3858" spans="23:24" x14ac:dyDescent="0.25">
      <c r="W3858" s="574">
        <f t="shared" si="78"/>
        <v>3849</v>
      </c>
      <c r="X3858" s="564">
        <v>43</v>
      </c>
    </row>
    <row r="3859" spans="23:24" x14ac:dyDescent="0.25">
      <c r="W3859" s="574">
        <f t="shared" si="78"/>
        <v>3850</v>
      </c>
      <c r="X3859" s="564">
        <v>43</v>
      </c>
    </row>
    <row r="3860" spans="23:24" x14ac:dyDescent="0.25">
      <c r="W3860" s="574">
        <f t="shared" si="78"/>
        <v>3851</v>
      </c>
      <c r="X3860" s="564">
        <v>43</v>
      </c>
    </row>
    <row r="3861" spans="23:24" x14ac:dyDescent="0.25">
      <c r="W3861" s="574">
        <f t="shared" si="78"/>
        <v>3852</v>
      </c>
      <c r="X3861" s="564">
        <v>43</v>
      </c>
    </row>
    <row r="3862" spans="23:24" x14ac:dyDescent="0.25">
      <c r="W3862" s="574">
        <f t="shared" si="78"/>
        <v>3853</v>
      </c>
      <c r="X3862" s="564">
        <v>43</v>
      </c>
    </row>
    <row r="3863" spans="23:24" x14ac:dyDescent="0.25">
      <c r="W3863" s="574">
        <f t="shared" si="78"/>
        <v>3854</v>
      </c>
      <c r="X3863" s="564">
        <v>43</v>
      </c>
    </row>
    <row r="3864" spans="23:24" x14ac:dyDescent="0.25">
      <c r="W3864" s="574">
        <f t="shared" si="78"/>
        <v>3855</v>
      </c>
      <c r="X3864" s="564">
        <v>43</v>
      </c>
    </row>
    <row r="3865" spans="23:24" x14ac:dyDescent="0.25">
      <c r="W3865" s="574">
        <f t="shared" si="78"/>
        <v>3856</v>
      </c>
      <c r="X3865" s="564">
        <v>43</v>
      </c>
    </row>
    <row r="3866" spans="23:24" x14ac:dyDescent="0.25">
      <c r="W3866" s="574">
        <f t="shared" ref="W3866:W3929" si="79">W3865+1</f>
        <v>3857</v>
      </c>
      <c r="X3866" s="564">
        <v>43</v>
      </c>
    </row>
    <row r="3867" spans="23:24" x14ac:dyDescent="0.25">
      <c r="W3867" s="574">
        <f t="shared" si="79"/>
        <v>3858</v>
      </c>
      <c r="X3867" s="564">
        <v>43</v>
      </c>
    </row>
    <row r="3868" spans="23:24" x14ac:dyDescent="0.25">
      <c r="W3868" s="574">
        <f t="shared" si="79"/>
        <v>3859</v>
      </c>
      <c r="X3868" s="564">
        <v>43</v>
      </c>
    </row>
    <row r="3869" spans="23:24" x14ac:dyDescent="0.25">
      <c r="W3869" s="574">
        <f t="shared" si="79"/>
        <v>3860</v>
      </c>
      <c r="X3869" s="564">
        <v>43</v>
      </c>
    </row>
    <row r="3870" spans="23:24" x14ac:dyDescent="0.25">
      <c r="W3870" s="574">
        <f t="shared" si="79"/>
        <v>3861</v>
      </c>
      <c r="X3870" s="564">
        <v>43</v>
      </c>
    </row>
    <row r="3871" spans="23:24" x14ac:dyDescent="0.25">
      <c r="W3871" s="574">
        <f t="shared" si="79"/>
        <v>3862</v>
      </c>
      <c r="X3871" s="564">
        <v>43</v>
      </c>
    </row>
    <row r="3872" spans="23:24" x14ac:dyDescent="0.25">
      <c r="W3872" s="574">
        <f t="shared" si="79"/>
        <v>3863</v>
      </c>
      <c r="X3872" s="564">
        <v>43</v>
      </c>
    </row>
    <row r="3873" spans="23:24" x14ac:dyDescent="0.25">
      <c r="W3873" s="574">
        <f t="shared" si="79"/>
        <v>3864</v>
      </c>
      <c r="X3873" s="564">
        <v>43</v>
      </c>
    </row>
    <row r="3874" spans="23:24" x14ac:dyDescent="0.25">
      <c r="W3874" s="574">
        <f t="shared" si="79"/>
        <v>3865</v>
      </c>
      <c r="X3874" s="564">
        <v>43</v>
      </c>
    </row>
    <row r="3875" spans="23:24" x14ac:dyDescent="0.25">
      <c r="W3875" s="574">
        <f t="shared" si="79"/>
        <v>3866</v>
      </c>
      <c r="X3875" s="564">
        <v>43</v>
      </c>
    </row>
    <row r="3876" spans="23:24" x14ac:dyDescent="0.25">
      <c r="W3876" s="574">
        <f t="shared" si="79"/>
        <v>3867</v>
      </c>
      <c r="X3876" s="564">
        <v>43</v>
      </c>
    </row>
    <row r="3877" spans="23:24" x14ac:dyDescent="0.25">
      <c r="W3877" s="574">
        <f t="shared" si="79"/>
        <v>3868</v>
      </c>
      <c r="X3877" s="564">
        <v>43</v>
      </c>
    </row>
    <row r="3878" spans="23:24" x14ac:dyDescent="0.25">
      <c r="W3878" s="574">
        <f t="shared" si="79"/>
        <v>3869</v>
      </c>
      <c r="X3878" s="564">
        <v>43</v>
      </c>
    </row>
    <row r="3879" spans="23:24" x14ac:dyDescent="0.25">
      <c r="W3879" s="574">
        <f t="shared" si="79"/>
        <v>3870</v>
      </c>
      <c r="X3879" s="564">
        <v>43</v>
      </c>
    </row>
    <row r="3880" spans="23:24" x14ac:dyDescent="0.25">
      <c r="W3880" s="574">
        <f t="shared" si="79"/>
        <v>3871</v>
      </c>
      <c r="X3880" s="564">
        <v>43</v>
      </c>
    </row>
    <row r="3881" spans="23:24" x14ac:dyDescent="0.25">
      <c r="W3881" s="574">
        <f t="shared" si="79"/>
        <v>3872</v>
      </c>
      <c r="X3881" s="564">
        <v>43</v>
      </c>
    </row>
    <row r="3882" spans="23:24" x14ac:dyDescent="0.25">
      <c r="W3882" s="574">
        <f t="shared" si="79"/>
        <v>3873</v>
      </c>
      <c r="X3882" s="564">
        <v>43</v>
      </c>
    </row>
    <row r="3883" spans="23:24" x14ac:dyDescent="0.25">
      <c r="W3883" s="574">
        <f t="shared" si="79"/>
        <v>3874</v>
      </c>
      <c r="X3883" s="564">
        <v>43</v>
      </c>
    </row>
    <row r="3884" spans="23:24" x14ac:dyDescent="0.25">
      <c r="W3884" s="574">
        <f t="shared" si="79"/>
        <v>3875</v>
      </c>
      <c r="X3884" s="564">
        <v>43</v>
      </c>
    </row>
    <row r="3885" spans="23:24" x14ac:dyDescent="0.25">
      <c r="W3885" s="574">
        <f t="shared" si="79"/>
        <v>3876</v>
      </c>
      <c r="X3885" s="564">
        <v>43</v>
      </c>
    </row>
    <row r="3886" spans="23:24" x14ac:dyDescent="0.25">
      <c r="W3886" s="574">
        <f t="shared" si="79"/>
        <v>3877</v>
      </c>
      <c r="X3886" s="564">
        <v>43</v>
      </c>
    </row>
    <row r="3887" spans="23:24" x14ac:dyDescent="0.25">
      <c r="W3887" s="574">
        <f t="shared" si="79"/>
        <v>3878</v>
      </c>
      <c r="X3887" s="564">
        <v>43</v>
      </c>
    </row>
    <row r="3888" spans="23:24" x14ac:dyDescent="0.25">
      <c r="W3888" s="574">
        <f t="shared" si="79"/>
        <v>3879</v>
      </c>
      <c r="X3888" s="564">
        <v>43</v>
      </c>
    </row>
    <row r="3889" spans="23:24" x14ac:dyDescent="0.25">
      <c r="W3889" s="574">
        <f t="shared" si="79"/>
        <v>3880</v>
      </c>
      <c r="X3889" s="564">
        <v>43</v>
      </c>
    </row>
    <row r="3890" spans="23:24" x14ac:dyDescent="0.25">
      <c r="W3890" s="574">
        <f t="shared" si="79"/>
        <v>3881</v>
      </c>
      <c r="X3890" s="564">
        <v>43</v>
      </c>
    </row>
    <row r="3891" spans="23:24" x14ac:dyDescent="0.25">
      <c r="W3891" s="574">
        <f t="shared" si="79"/>
        <v>3882</v>
      </c>
      <c r="X3891" s="564">
        <v>43</v>
      </c>
    </row>
    <row r="3892" spans="23:24" x14ac:dyDescent="0.25">
      <c r="W3892" s="574">
        <f t="shared" si="79"/>
        <v>3883</v>
      </c>
      <c r="X3892" s="564">
        <v>43</v>
      </c>
    </row>
    <row r="3893" spans="23:24" x14ac:dyDescent="0.25">
      <c r="W3893" s="574">
        <f t="shared" si="79"/>
        <v>3884</v>
      </c>
      <c r="X3893" s="564">
        <v>43</v>
      </c>
    </row>
    <row r="3894" spans="23:24" x14ac:dyDescent="0.25">
      <c r="W3894" s="574">
        <f t="shared" si="79"/>
        <v>3885</v>
      </c>
      <c r="X3894" s="564">
        <v>43</v>
      </c>
    </row>
    <row r="3895" spans="23:24" x14ac:dyDescent="0.25">
      <c r="W3895" s="574">
        <f t="shared" si="79"/>
        <v>3886</v>
      </c>
      <c r="X3895" s="564">
        <v>43</v>
      </c>
    </row>
    <row r="3896" spans="23:24" x14ac:dyDescent="0.25">
      <c r="W3896" s="574">
        <f t="shared" si="79"/>
        <v>3887</v>
      </c>
      <c r="X3896" s="564">
        <v>43</v>
      </c>
    </row>
    <row r="3897" spans="23:24" x14ac:dyDescent="0.25">
      <c r="W3897" s="574">
        <f t="shared" si="79"/>
        <v>3888</v>
      </c>
      <c r="X3897" s="564">
        <v>43</v>
      </c>
    </row>
    <row r="3898" spans="23:24" x14ac:dyDescent="0.25">
      <c r="W3898" s="574">
        <f t="shared" si="79"/>
        <v>3889</v>
      </c>
      <c r="X3898" s="564">
        <v>43</v>
      </c>
    </row>
    <row r="3899" spans="23:24" x14ac:dyDescent="0.25">
      <c r="W3899" s="574">
        <f t="shared" si="79"/>
        <v>3890</v>
      </c>
      <c r="X3899" s="564">
        <v>43</v>
      </c>
    </row>
    <row r="3900" spans="23:24" x14ac:dyDescent="0.25">
      <c r="W3900" s="574">
        <f t="shared" si="79"/>
        <v>3891</v>
      </c>
      <c r="X3900" s="564">
        <v>43</v>
      </c>
    </row>
    <row r="3901" spans="23:24" x14ac:dyDescent="0.25">
      <c r="W3901" s="574">
        <f t="shared" si="79"/>
        <v>3892</v>
      </c>
      <c r="X3901" s="564">
        <v>43</v>
      </c>
    </row>
    <row r="3902" spans="23:24" x14ac:dyDescent="0.25">
      <c r="W3902" s="574">
        <f t="shared" si="79"/>
        <v>3893</v>
      </c>
      <c r="X3902" s="564">
        <v>43</v>
      </c>
    </row>
    <row r="3903" spans="23:24" x14ac:dyDescent="0.25">
      <c r="W3903" s="574">
        <f t="shared" si="79"/>
        <v>3894</v>
      </c>
      <c r="X3903" s="564">
        <v>43</v>
      </c>
    </row>
    <row r="3904" spans="23:24" x14ac:dyDescent="0.25">
      <c r="W3904" s="574">
        <f t="shared" si="79"/>
        <v>3895</v>
      </c>
      <c r="X3904" s="564">
        <v>43</v>
      </c>
    </row>
    <row r="3905" spans="23:24" x14ac:dyDescent="0.25">
      <c r="W3905" s="574">
        <f t="shared" si="79"/>
        <v>3896</v>
      </c>
      <c r="X3905" s="564">
        <v>43</v>
      </c>
    </row>
    <row r="3906" spans="23:24" x14ac:dyDescent="0.25">
      <c r="W3906" s="574">
        <f t="shared" si="79"/>
        <v>3897</v>
      </c>
      <c r="X3906" s="564">
        <v>43</v>
      </c>
    </row>
    <row r="3907" spans="23:24" x14ac:dyDescent="0.25">
      <c r="W3907" s="574">
        <f t="shared" si="79"/>
        <v>3898</v>
      </c>
      <c r="X3907" s="564">
        <v>43</v>
      </c>
    </row>
    <row r="3908" spans="23:24" x14ac:dyDescent="0.25">
      <c r="W3908" s="574">
        <f t="shared" si="79"/>
        <v>3899</v>
      </c>
      <c r="X3908" s="564">
        <v>43</v>
      </c>
    </row>
    <row r="3909" spans="23:24" x14ac:dyDescent="0.25">
      <c r="W3909" s="574">
        <f t="shared" si="79"/>
        <v>3900</v>
      </c>
      <c r="X3909" s="564">
        <v>43</v>
      </c>
    </row>
    <row r="3910" spans="23:24" x14ac:dyDescent="0.25">
      <c r="W3910" s="574">
        <f t="shared" si="79"/>
        <v>3901</v>
      </c>
      <c r="X3910" s="564">
        <v>43</v>
      </c>
    </row>
    <row r="3911" spans="23:24" x14ac:dyDescent="0.25">
      <c r="W3911" s="574">
        <f t="shared" si="79"/>
        <v>3902</v>
      </c>
      <c r="X3911" s="564">
        <v>43</v>
      </c>
    </row>
    <row r="3912" spans="23:24" x14ac:dyDescent="0.25">
      <c r="W3912" s="574">
        <f t="shared" si="79"/>
        <v>3903</v>
      </c>
      <c r="X3912" s="564">
        <v>43</v>
      </c>
    </row>
    <row r="3913" spans="23:24" x14ac:dyDescent="0.25">
      <c r="W3913" s="574">
        <f t="shared" si="79"/>
        <v>3904</v>
      </c>
      <c r="X3913" s="564">
        <v>43</v>
      </c>
    </row>
    <row r="3914" spans="23:24" x14ac:dyDescent="0.25">
      <c r="W3914" s="574">
        <f t="shared" si="79"/>
        <v>3905</v>
      </c>
      <c r="X3914" s="564">
        <v>43</v>
      </c>
    </row>
    <row r="3915" spans="23:24" x14ac:dyDescent="0.25">
      <c r="W3915" s="574">
        <f t="shared" si="79"/>
        <v>3906</v>
      </c>
      <c r="X3915" s="564">
        <v>43</v>
      </c>
    </row>
    <row r="3916" spans="23:24" x14ac:dyDescent="0.25">
      <c r="W3916" s="574">
        <f t="shared" si="79"/>
        <v>3907</v>
      </c>
      <c r="X3916" s="564">
        <v>43</v>
      </c>
    </row>
    <row r="3917" spans="23:24" x14ac:dyDescent="0.25">
      <c r="W3917" s="574">
        <f t="shared" si="79"/>
        <v>3908</v>
      </c>
      <c r="X3917" s="564">
        <v>43</v>
      </c>
    </row>
    <row r="3918" spans="23:24" x14ac:dyDescent="0.25">
      <c r="W3918" s="574">
        <f t="shared" si="79"/>
        <v>3909</v>
      </c>
      <c r="X3918" s="564">
        <v>43</v>
      </c>
    </row>
    <row r="3919" spans="23:24" x14ac:dyDescent="0.25">
      <c r="W3919" s="574">
        <f t="shared" si="79"/>
        <v>3910</v>
      </c>
      <c r="X3919" s="564">
        <v>43</v>
      </c>
    </row>
    <row r="3920" spans="23:24" x14ac:dyDescent="0.25">
      <c r="W3920" s="574">
        <f t="shared" si="79"/>
        <v>3911</v>
      </c>
      <c r="X3920" s="564">
        <v>43</v>
      </c>
    </row>
    <row r="3921" spans="23:24" x14ac:dyDescent="0.25">
      <c r="W3921" s="574">
        <f t="shared" si="79"/>
        <v>3912</v>
      </c>
      <c r="X3921" s="564">
        <v>43</v>
      </c>
    </row>
    <row r="3922" spans="23:24" x14ac:dyDescent="0.25">
      <c r="W3922" s="574">
        <f t="shared" si="79"/>
        <v>3913</v>
      </c>
      <c r="X3922" s="564">
        <v>43</v>
      </c>
    </row>
    <row r="3923" spans="23:24" x14ac:dyDescent="0.25">
      <c r="W3923" s="574">
        <f t="shared" si="79"/>
        <v>3914</v>
      </c>
      <c r="X3923" s="564">
        <v>43</v>
      </c>
    </row>
    <row r="3924" spans="23:24" x14ac:dyDescent="0.25">
      <c r="W3924" s="574">
        <f t="shared" si="79"/>
        <v>3915</v>
      </c>
      <c r="X3924" s="564">
        <v>43</v>
      </c>
    </row>
    <row r="3925" spans="23:24" x14ac:dyDescent="0.25">
      <c r="W3925" s="574">
        <f t="shared" si="79"/>
        <v>3916</v>
      </c>
      <c r="X3925" s="564">
        <v>43</v>
      </c>
    </row>
    <row r="3926" spans="23:24" x14ac:dyDescent="0.25">
      <c r="W3926" s="574">
        <f t="shared" si="79"/>
        <v>3917</v>
      </c>
      <c r="X3926" s="564">
        <v>43</v>
      </c>
    </row>
    <row r="3927" spans="23:24" x14ac:dyDescent="0.25">
      <c r="W3927" s="574">
        <f t="shared" si="79"/>
        <v>3918</v>
      </c>
      <c r="X3927" s="564">
        <v>43</v>
      </c>
    </row>
    <row r="3928" spans="23:24" x14ac:dyDescent="0.25">
      <c r="W3928" s="574">
        <f t="shared" si="79"/>
        <v>3919</v>
      </c>
      <c r="X3928" s="564">
        <v>43</v>
      </c>
    </row>
    <row r="3929" spans="23:24" x14ac:dyDescent="0.25">
      <c r="W3929" s="574">
        <f t="shared" si="79"/>
        <v>3920</v>
      </c>
      <c r="X3929" s="564">
        <v>43</v>
      </c>
    </row>
    <row r="3930" spans="23:24" x14ac:dyDescent="0.25">
      <c r="W3930" s="574">
        <f t="shared" ref="W3930:W3993" si="80">W3929+1</f>
        <v>3921</v>
      </c>
      <c r="X3930" s="564">
        <v>43</v>
      </c>
    </row>
    <row r="3931" spans="23:24" x14ac:dyDescent="0.25">
      <c r="W3931" s="574">
        <f t="shared" si="80"/>
        <v>3922</v>
      </c>
      <c r="X3931" s="564">
        <v>43</v>
      </c>
    </row>
    <row r="3932" spans="23:24" x14ac:dyDescent="0.25">
      <c r="W3932" s="574">
        <f t="shared" si="80"/>
        <v>3923</v>
      </c>
      <c r="X3932" s="564">
        <v>43</v>
      </c>
    </row>
    <row r="3933" spans="23:24" x14ac:dyDescent="0.25">
      <c r="W3933" s="574">
        <f t="shared" si="80"/>
        <v>3924</v>
      </c>
      <c r="X3933" s="564">
        <v>43</v>
      </c>
    </row>
    <row r="3934" spans="23:24" x14ac:dyDescent="0.25">
      <c r="W3934" s="574">
        <f t="shared" si="80"/>
        <v>3925</v>
      </c>
      <c r="X3934" s="564">
        <v>43</v>
      </c>
    </row>
    <row r="3935" spans="23:24" x14ac:dyDescent="0.25">
      <c r="W3935" s="574">
        <f t="shared" si="80"/>
        <v>3926</v>
      </c>
      <c r="X3935" s="564">
        <v>43</v>
      </c>
    </row>
    <row r="3936" spans="23:24" x14ac:dyDescent="0.25">
      <c r="W3936" s="574">
        <f t="shared" si="80"/>
        <v>3927</v>
      </c>
      <c r="X3936" s="564">
        <v>43</v>
      </c>
    </row>
    <row r="3937" spans="23:24" x14ac:dyDescent="0.25">
      <c r="W3937" s="574">
        <f t="shared" si="80"/>
        <v>3928</v>
      </c>
      <c r="X3937" s="564">
        <v>43</v>
      </c>
    </row>
    <row r="3938" spans="23:24" x14ac:dyDescent="0.25">
      <c r="W3938" s="574">
        <f t="shared" si="80"/>
        <v>3929</v>
      </c>
      <c r="X3938" s="564">
        <v>43</v>
      </c>
    </row>
    <row r="3939" spans="23:24" x14ac:dyDescent="0.25">
      <c r="W3939" s="574">
        <f t="shared" si="80"/>
        <v>3930</v>
      </c>
      <c r="X3939" s="564">
        <v>43</v>
      </c>
    </row>
    <row r="3940" spans="23:24" x14ac:dyDescent="0.25">
      <c r="W3940" s="574">
        <f t="shared" si="80"/>
        <v>3931</v>
      </c>
      <c r="X3940" s="564">
        <v>43</v>
      </c>
    </row>
    <row r="3941" spans="23:24" x14ac:dyDescent="0.25">
      <c r="W3941" s="574">
        <f t="shared" si="80"/>
        <v>3932</v>
      </c>
      <c r="X3941" s="564">
        <v>43</v>
      </c>
    </row>
    <row r="3942" spans="23:24" x14ac:dyDescent="0.25">
      <c r="W3942" s="574">
        <f t="shared" si="80"/>
        <v>3933</v>
      </c>
      <c r="X3942" s="564">
        <v>43</v>
      </c>
    </row>
    <row r="3943" spans="23:24" x14ac:dyDescent="0.25">
      <c r="W3943" s="574">
        <f t="shared" si="80"/>
        <v>3934</v>
      </c>
      <c r="X3943" s="564">
        <v>43</v>
      </c>
    </row>
    <row r="3944" spans="23:24" x14ac:dyDescent="0.25">
      <c r="W3944" s="574">
        <f t="shared" si="80"/>
        <v>3935</v>
      </c>
      <c r="X3944" s="564">
        <v>43</v>
      </c>
    </row>
    <row r="3945" spans="23:24" x14ac:dyDescent="0.25">
      <c r="W3945" s="574">
        <f t="shared" si="80"/>
        <v>3936</v>
      </c>
      <c r="X3945" s="564">
        <v>43</v>
      </c>
    </row>
    <row r="3946" spans="23:24" x14ac:dyDescent="0.25">
      <c r="W3946" s="574">
        <f t="shared" si="80"/>
        <v>3937</v>
      </c>
      <c r="X3946" s="564">
        <v>43</v>
      </c>
    </row>
    <row r="3947" spans="23:24" x14ac:dyDescent="0.25">
      <c r="W3947" s="574">
        <f t="shared" si="80"/>
        <v>3938</v>
      </c>
      <c r="X3947" s="564">
        <v>43</v>
      </c>
    </row>
    <row r="3948" spans="23:24" x14ac:dyDescent="0.25">
      <c r="W3948" s="574">
        <f t="shared" si="80"/>
        <v>3939</v>
      </c>
      <c r="X3948" s="564">
        <v>43</v>
      </c>
    </row>
    <row r="3949" spans="23:24" x14ac:dyDescent="0.25">
      <c r="W3949" s="574">
        <f t="shared" si="80"/>
        <v>3940</v>
      </c>
      <c r="X3949" s="564">
        <v>43</v>
      </c>
    </row>
    <row r="3950" spans="23:24" x14ac:dyDescent="0.25">
      <c r="W3950" s="574">
        <f t="shared" si="80"/>
        <v>3941</v>
      </c>
      <c r="X3950" s="564">
        <v>43</v>
      </c>
    </row>
    <row r="3951" spans="23:24" x14ac:dyDescent="0.25">
      <c r="W3951" s="574">
        <f t="shared" si="80"/>
        <v>3942</v>
      </c>
      <c r="X3951" s="564">
        <v>43</v>
      </c>
    </row>
    <row r="3952" spans="23:24" x14ac:dyDescent="0.25">
      <c r="W3952" s="574">
        <f t="shared" si="80"/>
        <v>3943</v>
      </c>
      <c r="X3952" s="564">
        <v>43</v>
      </c>
    </row>
    <row r="3953" spans="23:24" x14ac:dyDescent="0.25">
      <c r="W3953" s="574">
        <f t="shared" si="80"/>
        <v>3944</v>
      </c>
      <c r="X3953" s="564">
        <v>43</v>
      </c>
    </row>
    <row r="3954" spans="23:24" x14ac:dyDescent="0.25">
      <c r="W3954" s="574">
        <f t="shared" si="80"/>
        <v>3945</v>
      </c>
      <c r="X3954" s="564">
        <v>43</v>
      </c>
    </row>
    <row r="3955" spans="23:24" x14ac:dyDescent="0.25">
      <c r="W3955" s="574">
        <f t="shared" si="80"/>
        <v>3946</v>
      </c>
      <c r="X3955" s="564">
        <v>43</v>
      </c>
    </row>
    <row r="3956" spans="23:24" x14ac:dyDescent="0.25">
      <c r="W3956" s="574">
        <f t="shared" si="80"/>
        <v>3947</v>
      </c>
      <c r="X3956" s="564">
        <v>43</v>
      </c>
    </row>
    <row r="3957" spans="23:24" x14ac:dyDescent="0.25">
      <c r="W3957" s="574">
        <f t="shared" si="80"/>
        <v>3948</v>
      </c>
      <c r="X3957" s="564">
        <v>43</v>
      </c>
    </row>
    <row r="3958" spans="23:24" x14ac:dyDescent="0.25">
      <c r="W3958" s="574">
        <f t="shared" si="80"/>
        <v>3949</v>
      </c>
      <c r="X3958" s="564">
        <v>43</v>
      </c>
    </row>
    <row r="3959" spans="23:24" x14ac:dyDescent="0.25">
      <c r="W3959" s="574">
        <f t="shared" si="80"/>
        <v>3950</v>
      </c>
      <c r="X3959" s="564">
        <v>43</v>
      </c>
    </row>
    <row r="3960" spans="23:24" x14ac:dyDescent="0.25">
      <c r="W3960" s="574">
        <f t="shared" si="80"/>
        <v>3951</v>
      </c>
      <c r="X3960" s="564">
        <v>43</v>
      </c>
    </row>
    <row r="3961" spans="23:24" x14ac:dyDescent="0.25">
      <c r="W3961" s="574">
        <f t="shared" si="80"/>
        <v>3952</v>
      </c>
      <c r="X3961" s="564">
        <v>43</v>
      </c>
    </row>
    <row r="3962" spans="23:24" x14ac:dyDescent="0.25">
      <c r="W3962" s="574">
        <f t="shared" si="80"/>
        <v>3953</v>
      </c>
      <c r="X3962" s="564">
        <v>43</v>
      </c>
    </row>
    <row r="3963" spans="23:24" x14ac:dyDescent="0.25">
      <c r="W3963" s="574">
        <f t="shared" si="80"/>
        <v>3954</v>
      </c>
      <c r="X3963" s="564">
        <v>43</v>
      </c>
    </row>
    <row r="3964" spans="23:24" x14ac:dyDescent="0.25">
      <c r="W3964" s="574">
        <f t="shared" si="80"/>
        <v>3955</v>
      </c>
      <c r="X3964" s="564">
        <v>43</v>
      </c>
    </row>
    <row r="3965" spans="23:24" x14ac:dyDescent="0.25">
      <c r="W3965" s="574">
        <f t="shared" si="80"/>
        <v>3956</v>
      </c>
      <c r="X3965" s="564">
        <v>43</v>
      </c>
    </row>
    <row r="3966" spans="23:24" x14ac:dyDescent="0.25">
      <c r="W3966" s="574">
        <f t="shared" si="80"/>
        <v>3957</v>
      </c>
      <c r="X3966" s="564">
        <v>43</v>
      </c>
    </row>
    <row r="3967" spans="23:24" x14ac:dyDescent="0.25">
      <c r="W3967" s="574">
        <f t="shared" si="80"/>
        <v>3958</v>
      </c>
      <c r="X3967" s="564">
        <v>43</v>
      </c>
    </row>
    <row r="3968" spans="23:24" x14ac:dyDescent="0.25">
      <c r="W3968" s="574">
        <f t="shared" si="80"/>
        <v>3959</v>
      </c>
      <c r="X3968" s="564">
        <v>43</v>
      </c>
    </row>
    <row r="3969" spans="23:24" x14ac:dyDescent="0.25">
      <c r="W3969" s="574">
        <f t="shared" si="80"/>
        <v>3960</v>
      </c>
      <c r="X3969" s="564">
        <v>43</v>
      </c>
    </row>
    <row r="3970" spans="23:24" x14ac:dyDescent="0.25">
      <c r="W3970" s="574">
        <f t="shared" si="80"/>
        <v>3961</v>
      </c>
      <c r="X3970" s="564">
        <v>43</v>
      </c>
    </row>
    <row r="3971" spans="23:24" x14ac:dyDescent="0.25">
      <c r="W3971" s="574">
        <f t="shared" si="80"/>
        <v>3962</v>
      </c>
      <c r="X3971" s="564">
        <v>43</v>
      </c>
    </row>
    <row r="3972" spans="23:24" x14ac:dyDescent="0.25">
      <c r="W3972" s="574">
        <f t="shared" si="80"/>
        <v>3963</v>
      </c>
      <c r="X3972" s="564">
        <v>43</v>
      </c>
    </row>
    <row r="3973" spans="23:24" x14ac:dyDescent="0.25">
      <c r="W3973" s="574">
        <f t="shared" si="80"/>
        <v>3964</v>
      </c>
      <c r="X3973" s="564">
        <v>43</v>
      </c>
    </row>
    <row r="3974" spans="23:24" x14ac:dyDescent="0.25">
      <c r="W3974" s="574">
        <f t="shared" si="80"/>
        <v>3965</v>
      </c>
      <c r="X3974" s="564">
        <v>43</v>
      </c>
    </row>
    <row r="3975" spans="23:24" x14ac:dyDescent="0.25">
      <c r="W3975" s="574">
        <f t="shared" si="80"/>
        <v>3966</v>
      </c>
      <c r="X3975" s="564">
        <v>43</v>
      </c>
    </row>
    <row r="3976" spans="23:24" x14ac:dyDescent="0.25">
      <c r="W3976" s="574">
        <f t="shared" si="80"/>
        <v>3967</v>
      </c>
      <c r="X3976" s="564">
        <v>43</v>
      </c>
    </row>
    <row r="3977" spans="23:24" x14ac:dyDescent="0.25">
      <c r="W3977" s="574">
        <f t="shared" si="80"/>
        <v>3968</v>
      </c>
      <c r="X3977" s="564">
        <v>43</v>
      </c>
    </row>
    <row r="3978" spans="23:24" x14ac:dyDescent="0.25">
      <c r="W3978" s="574">
        <f t="shared" si="80"/>
        <v>3969</v>
      </c>
      <c r="X3978" s="564">
        <v>43</v>
      </c>
    </row>
    <row r="3979" spans="23:24" x14ac:dyDescent="0.25">
      <c r="W3979" s="574">
        <f t="shared" si="80"/>
        <v>3970</v>
      </c>
      <c r="X3979" s="564">
        <v>43</v>
      </c>
    </row>
    <row r="3980" spans="23:24" x14ac:dyDescent="0.25">
      <c r="W3980" s="574">
        <f t="shared" si="80"/>
        <v>3971</v>
      </c>
      <c r="X3980" s="564">
        <v>43</v>
      </c>
    </row>
    <row r="3981" spans="23:24" x14ac:dyDescent="0.25">
      <c r="W3981" s="574">
        <f t="shared" si="80"/>
        <v>3972</v>
      </c>
      <c r="X3981" s="564">
        <v>43</v>
      </c>
    </row>
    <row r="3982" spans="23:24" x14ac:dyDescent="0.25">
      <c r="W3982" s="574">
        <f t="shared" si="80"/>
        <v>3973</v>
      </c>
      <c r="X3982" s="564">
        <v>43</v>
      </c>
    </row>
    <row r="3983" spans="23:24" x14ac:dyDescent="0.25">
      <c r="W3983" s="574">
        <f t="shared" si="80"/>
        <v>3974</v>
      </c>
      <c r="X3983" s="564">
        <v>43</v>
      </c>
    </row>
    <row r="3984" spans="23:24" x14ac:dyDescent="0.25">
      <c r="W3984" s="574">
        <f t="shared" si="80"/>
        <v>3975</v>
      </c>
      <c r="X3984" s="564">
        <v>43</v>
      </c>
    </row>
    <row r="3985" spans="23:24" x14ac:dyDescent="0.25">
      <c r="W3985" s="574">
        <f t="shared" si="80"/>
        <v>3976</v>
      </c>
      <c r="X3985" s="564">
        <v>43</v>
      </c>
    </row>
    <row r="3986" spans="23:24" x14ac:dyDescent="0.25">
      <c r="W3986" s="574">
        <f t="shared" si="80"/>
        <v>3977</v>
      </c>
      <c r="X3986" s="564">
        <v>43</v>
      </c>
    </row>
    <row r="3987" spans="23:24" x14ac:dyDescent="0.25">
      <c r="W3987" s="574">
        <f t="shared" si="80"/>
        <v>3978</v>
      </c>
      <c r="X3987" s="564">
        <v>43</v>
      </c>
    </row>
    <row r="3988" spans="23:24" x14ac:dyDescent="0.25">
      <c r="W3988" s="574">
        <f t="shared" si="80"/>
        <v>3979</v>
      </c>
      <c r="X3988" s="564">
        <v>43</v>
      </c>
    </row>
    <row r="3989" spans="23:24" x14ac:dyDescent="0.25">
      <c r="W3989" s="574">
        <f t="shared" si="80"/>
        <v>3980</v>
      </c>
      <c r="X3989" s="564">
        <v>43</v>
      </c>
    </row>
    <row r="3990" spans="23:24" x14ac:dyDescent="0.25">
      <c r="W3990" s="574">
        <f t="shared" si="80"/>
        <v>3981</v>
      </c>
      <c r="X3990" s="564">
        <v>43</v>
      </c>
    </row>
    <row r="3991" spans="23:24" x14ac:dyDescent="0.25">
      <c r="W3991" s="574">
        <f t="shared" si="80"/>
        <v>3982</v>
      </c>
      <c r="X3991" s="564">
        <v>43</v>
      </c>
    </row>
    <row r="3992" spans="23:24" x14ac:dyDescent="0.25">
      <c r="W3992" s="574">
        <f t="shared" si="80"/>
        <v>3983</v>
      </c>
      <c r="X3992" s="564">
        <v>43</v>
      </c>
    </row>
    <row r="3993" spans="23:24" x14ac:dyDescent="0.25">
      <c r="W3993" s="574">
        <f t="shared" si="80"/>
        <v>3984</v>
      </c>
      <c r="X3993" s="564">
        <v>43</v>
      </c>
    </row>
    <row r="3994" spans="23:24" x14ac:dyDescent="0.25">
      <c r="W3994" s="574">
        <f t="shared" ref="W3994:W4057" si="81">W3993+1</f>
        <v>3985</v>
      </c>
      <c r="X3994" s="564">
        <v>43</v>
      </c>
    </row>
    <row r="3995" spans="23:24" x14ac:dyDescent="0.25">
      <c r="W3995" s="574">
        <f t="shared" si="81"/>
        <v>3986</v>
      </c>
      <c r="X3995" s="564">
        <v>43</v>
      </c>
    </row>
    <row r="3996" spans="23:24" x14ac:dyDescent="0.25">
      <c r="W3996" s="574">
        <f t="shared" si="81"/>
        <v>3987</v>
      </c>
      <c r="X3996" s="564">
        <v>43</v>
      </c>
    </row>
    <row r="3997" spans="23:24" x14ac:dyDescent="0.25">
      <c r="W3997" s="574">
        <f t="shared" si="81"/>
        <v>3988</v>
      </c>
      <c r="X3997" s="564">
        <v>43</v>
      </c>
    </row>
    <row r="3998" spans="23:24" x14ac:dyDescent="0.25">
      <c r="W3998" s="574">
        <f t="shared" si="81"/>
        <v>3989</v>
      </c>
      <c r="X3998" s="564">
        <v>43</v>
      </c>
    </row>
    <row r="3999" spans="23:24" x14ac:dyDescent="0.25">
      <c r="W3999" s="574">
        <f t="shared" si="81"/>
        <v>3990</v>
      </c>
      <c r="X3999" s="564">
        <v>43</v>
      </c>
    </row>
    <row r="4000" spans="23:24" x14ac:dyDescent="0.25">
      <c r="W4000" s="574">
        <f t="shared" si="81"/>
        <v>3991</v>
      </c>
      <c r="X4000" s="564">
        <v>43</v>
      </c>
    </row>
    <row r="4001" spans="23:24" x14ac:dyDescent="0.25">
      <c r="W4001" s="574">
        <f t="shared" si="81"/>
        <v>3992</v>
      </c>
      <c r="X4001" s="564">
        <v>43</v>
      </c>
    </row>
    <row r="4002" spans="23:24" x14ac:dyDescent="0.25">
      <c r="W4002" s="574">
        <f t="shared" si="81"/>
        <v>3993</v>
      </c>
      <c r="X4002" s="564">
        <v>43</v>
      </c>
    </row>
    <row r="4003" spans="23:24" x14ac:dyDescent="0.25">
      <c r="W4003" s="574">
        <f t="shared" si="81"/>
        <v>3994</v>
      </c>
      <c r="X4003" s="564">
        <v>43</v>
      </c>
    </row>
    <row r="4004" spans="23:24" x14ac:dyDescent="0.25">
      <c r="W4004" s="574">
        <f t="shared" si="81"/>
        <v>3995</v>
      </c>
      <c r="X4004" s="564">
        <v>43</v>
      </c>
    </row>
    <row r="4005" spans="23:24" x14ac:dyDescent="0.25">
      <c r="W4005" s="574">
        <f t="shared" si="81"/>
        <v>3996</v>
      </c>
      <c r="X4005" s="564">
        <v>43</v>
      </c>
    </row>
    <row r="4006" spans="23:24" x14ac:dyDescent="0.25">
      <c r="W4006" s="574">
        <f t="shared" si="81"/>
        <v>3997</v>
      </c>
      <c r="X4006" s="564">
        <v>43</v>
      </c>
    </row>
    <row r="4007" spans="23:24" x14ac:dyDescent="0.25">
      <c r="W4007" s="574">
        <f t="shared" si="81"/>
        <v>3998</v>
      </c>
      <c r="X4007" s="564">
        <v>43</v>
      </c>
    </row>
    <row r="4008" spans="23:24" x14ac:dyDescent="0.25">
      <c r="W4008" s="574">
        <f t="shared" si="81"/>
        <v>3999</v>
      </c>
      <c r="X4008" s="564">
        <v>43</v>
      </c>
    </row>
    <row r="4009" spans="23:24" x14ac:dyDescent="0.25">
      <c r="W4009" s="574">
        <f t="shared" si="81"/>
        <v>4000</v>
      </c>
      <c r="X4009" s="564">
        <v>44</v>
      </c>
    </row>
    <row r="4010" spans="23:24" x14ac:dyDescent="0.25">
      <c r="W4010" s="574">
        <f t="shared" si="81"/>
        <v>4001</v>
      </c>
      <c r="X4010" s="564">
        <v>44</v>
      </c>
    </row>
    <row r="4011" spans="23:24" x14ac:dyDescent="0.25">
      <c r="W4011" s="574">
        <f t="shared" si="81"/>
        <v>4002</v>
      </c>
      <c r="X4011" s="564">
        <v>44</v>
      </c>
    </row>
    <row r="4012" spans="23:24" x14ac:dyDescent="0.25">
      <c r="W4012" s="574">
        <f t="shared" si="81"/>
        <v>4003</v>
      </c>
      <c r="X4012" s="564">
        <v>44</v>
      </c>
    </row>
    <row r="4013" spans="23:24" x14ac:dyDescent="0.25">
      <c r="W4013" s="574">
        <f t="shared" si="81"/>
        <v>4004</v>
      </c>
      <c r="X4013" s="564">
        <v>44</v>
      </c>
    </row>
    <row r="4014" spans="23:24" x14ac:dyDescent="0.25">
      <c r="W4014" s="574">
        <f t="shared" si="81"/>
        <v>4005</v>
      </c>
      <c r="X4014" s="564">
        <v>44</v>
      </c>
    </row>
    <row r="4015" spans="23:24" x14ac:dyDescent="0.25">
      <c r="W4015" s="574">
        <f t="shared" si="81"/>
        <v>4006</v>
      </c>
      <c r="X4015" s="564">
        <v>44</v>
      </c>
    </row>
    <row r="4016" spans="23:24" x14ac:dyDescent="0.25">
      <c r="W4016" s="574">
        <f t="shared" si="81"/>
        <v>4007</v>
      </c>
      <c r="X4016" s="564">
        <v>44</v>
      </c>
    </row>
    <row r="4017" spans="23:24" x14ac:dyDescent="0.25">
      <c r="W4017" s="574">
        <f t="shared" si="81"/>
        <v>4008</v>
      </c>
      <c r="X4017" s="564">
        <v>44</v>
      </c>
    </row>
    <row r="4018" spans="23:24" x14ac:dyDescent="0.25">
      <c r="W4018" s="574">
        <f t="shared" si="81"/>
        <v>4009</v>
      </c>
      <c r="X4018" s="564">
        <v>44</v>
      </c>
    </row>
    <row r="4019" spans="23:24" x14ac:dyDescent="0.25">
      <c r="W4019" s="574">
        <f t="shared" si="81"/>
        <v>4010</v>
      </c>
      <c r="X4019" s="564">
        <v>44</v>
      </c>
    </row>
    <row r="4020" spans="23:24" x14ac:dyDescent="0.25">
      <c r="W4020" s="574">
        <f t="shared" si="81"/>
        <v>4011</v>
      </c>
      <c r="X4020" s="564">
        <v>44</v>
      </c>
    </row>
    <row r="4021" spans="23:24" x14ac:dyDescent="0.25">
      <c r="W4021" s="574">
        <f t="shared" si="81"/>
        <v>4012</v>
      </c>
      <c r="X4021" s="564">
        <v>44</v>
      </c>
    </row>
    <row r="4022" spans="23:24" x14ac:dyDescent="0.25">
      <c r="W4022" s="574">
        <f t="shared" si="81"/>
        <v>4013</v>
      </c>
      <c r="X4022" s="564">
        <v>44</v>
      </c>
    </row>
    <row r="4023" spans="23:24" x14ac:dyDescent="0.25">
      <c r="W4023" s="574">
        <f t="shared" si="81"/>
        <v>4014</v>
      </c>
      <c r="X4023" s="564">
        <v>44</v>
      </c>
    </row>
    <row r="4024" spans="23:24" x14ac:dyDescent="0.25">
      <c r="W4024" s="574">
        <f t="shared" si="81"/>
        <v>4015</v>
      </c>
      <c r="X4024" s="564">
        <v>44</v>
      </c>
    </row>
    <row r="4025" spans="23:24" x14ac:dyDescent="0.25">
      <c r="W4025" s="574">
        <f t="shared" si="81"/>
        <v>4016</v>
      </c>
      <c r="X4025" s="564">
        <v>44</v>
      </c>
    </row>
    <row r="4026" spans="23:24" x14ac:dyDescent="0.25">
      <c r="W4026" s="574">
        <f t="shared" si="81"/>
        <v>4017</v>
      </c>
      <c r="X4026" s="564">
        <v>44</v>
      </c>
    </row>
    <row r="4027" spans="23:24" x14ac:dyDescent="0.25">
      <c r="W4027" s="574">
        <f t="shared" si="81"/>
        <v>4018</v>
      </c>
      <c r="X4027" s="564">
        <v>44</v>
      </c>
    </row>
    <row r="4028" spans="23:24" x14ac:dyDescent="0.25">
      <c r="W4028" s="574">
        <f t="shared" si="81"/>
        <v>4019</v>
      </c>
      <c r="X4028" s="564">
        <v>44</v>
      </c>
    </row>
    <row r="4029" spans="23:24" x14ac:dyDescent="0.25">
      <c r="W4029" s="574">
        <f t="shared" si="81"/>
        <v>4020</v>
      </c>
      <c r="X4029" s="564">
        <v>44</v>
      </c>
    </row>
    <row r="4030" spans="23:24" x14ac:dyDescent="0.25">
      <c r="W4030" s="574">
        <f t="shared" si="81"/>
        <v>4021</v>
      </c>
      <c r="X4030" s="564">
        <v>44</v>
      </c>
    </row>
    <row r="4031" spans="23:24" x14ac:dyDescent="0.25">
      <c r="W4031" s="574">
        <f t="shared" si="81"/>
        <v>4022</v>
      </c>
      <c r="X4031" s="564">
        <v>44</v>
      </c>
    </row>
    <row r="4032" spans="23:24" x14ac:dyDescent="0.25">
      <c r="W4032" s="574">
        <f t="shared" si="81"/>
        <v>4023</v>
      </c>
      <c r="X4032" s="564">
        <v>44</v>
      </c>
    </row>
    <row r="4033" spans="23:24" x14ac:dyDescent="0.25">
      <c r="W4033" s="574">
        <f t="shared" si="81"/>
        <v>4024</v>
      </c>
      <c r="X4033" s="564">
        <v>44</v>
      </c>
    </row>
    <row r="4034" spans="23:24" x14ac:dyDescent="0.25">
      <c r="W4034" s="574">
        <f t="shared" si="81"/>
        <v>4025</v>
      </c>
      <c r="X4034" s="564">
        <v>44</v>
      </c>
    </row>
    <row r="4035" spans="23:24" x14ac:dyDescent="0.25">
      <c r="W4035" s="574">
        <f t="shared" si="81"/>
        <v>4026</v>
      </c>
      <c r="X4035" s="564">
        <v>44</v>
      </c>
    </row>
    <row r="4036" spans="23:24" x14ac:dyDescent="0.25">
      <c r="W4036" s="574">
        <f t="shared" si="81"/>
        <v>4027</v>
      </c>
      <c r="X4036" s="564">
        <v>44</v>
      </c>
    </row>
    <row r="4037" spans="23:24" x14ac:dyDescent="0.25">
      <c r="W4037" s="574">
        <f t="shared" si="81"/>
        <v>4028</v>
      </c>
      <c r="X4037" s="564">
        <v>44</v>
      </c>
    </row>
    <row r="4038" spans="23:24" x14ac:dyDescent="0.25">
      <c r="W4038" s="574">
        <f t="shared" si="81"/>
        <v>4029</v>
      </c>
      <c r="X4038" s="564">
        <v>44</v>
      </c>
    </row>
    <row r="4039" spans="23:24" x14ac:dyDescent="0.25">
      <c r="W4039" s="574">
        <f t="shared" si="81"/>
        <v>4030</v>
      </c>
      <c r="X4039" s="564">
        <v>44</v>
      </c>
    </row>
    <row r="4040" spans="23:24" x14ac:dyDescent="0.25">
      <c r="W4040" s="574">
        <f t="shared" si="81"/>
        <v>4031</v>
      </c>
      <c r="X4040" s="564">
        <v>44</v>
      </c>
    </row>
    <row r="4041" spans="23:24" x14ac:dyDescent="0.25">
      <c r="W4041" s="574">
        <f t="shared" si="81"/>
        <v>4032</v>
      </c>
      <c r="X4041" s="564">
        <v>44</v>
      </c>
    </row>
    <row r="4042" spans="23:24" x14ac:dyDescent="0.25">
      <c r="W4042" s="574">
        <f t="shared" si="81"/>
        <v>4033</v>
      </c>
      <c r="X4042" s="564">
        <v>44</v>
      </c>
    </row>
    <row r="4043" spans="23:24" x14ac:dyDescent="0.25">
      <c r="W4043" s="574">
        <f t="shared" si="81"/>
        <v>4034</v>
      </c>
      <c r="X4043" s="564">
        <v>44</v>
      </c>
    </row>
    <row r="4044" spans="23:24" x14ac:dyDescent="0.25">
      <c r="W4044" s="574">
        <f t="shared" si="81"/>
        <v>4035</v>
      </c>
      <c r="X4044" s="564">
        <v>44</v>
      </c>
    </row>
    <row r="4045" spans="23:24" x14ac:dyDescent="0.25">
      <c r="W4045" s="574">
        <f t="shared" si="81"/>
        <v>4036</v>
      </c>
      <c r="X4045" s="564">
        <v>44</v>
      </c>
    </row>
    <row r="4046" spans="23:24" x14ac:dyDescent="0.25">
      <c r="W4046" s="574">
        <f t="shared" si="81"/>
        <v>4037</v>
      </c>
      <c r="X4046" s="564">
        <v>44</v>
      </c>
    </row>
    <row r="4047" spans="23:24" x14ac:dyDescent="0.25">
      <c r="W4047" s="574">
        <f t="shared" si="81"/>
        <v>4038</v>
      </c>
      <c r="X4047" s="564">
        <v>44</v>
      </c>
    </row>
    <row r="4048" spans="23:24" x14ac:dyDescent="0.25">
      <c r="W4048" s="574">
        <f t="shared" si="81"/>
        <v>4039</v>
      </c>
      <c r="X4048" s="564">
        <v>44</v>
      </c>
    </row>
    <row r="4049" spans="23:24" x14ac:dyDescent="0.25">
      <c r="W4049" s="574">
        <f t="shared" si="81"/>
        <v>4040</v>
      </c>
      <c r="X4049" s="564">
        <v>44</v>
      </c>
    </row>
    <row r="4050" spans="23:24" x14ac:dyDescent="0.25">
      <c r="W4050" s="574">
        <f t="shared" si="81"/>
        <v>4041</v>
      </c>
      <c r="X4050" s="564">
        <v>44</v>
      </c>
    </row>
    <row r="4051" spans="23:24" x14ac:dyDescent="0.25">
      <c r="W4051" s="574">
        <f t="shared" si="81"/>
        <v>4042</v>
      </c>
      <c r="X4051" s="564">
        <v>44</v>
      </c>
    </row>
    <row r="4052" spans="23:24" x14ac:dyDescent="0.25">
      <c r="W4052" s="574">
        <f t="shared" si="81"/>
        <v>4043</v>
      </c>
      <c r="X4052" s="564">
        <v>44</v>
      </c>
    </row>
    <row r="4053" spans="23:24" x14ac:dyDescent="0.25">
      <c r="W4053" s="574">
        <f t="shared" si="81"/>
        <v>4044</v>
      </c>
      <c r="X4053" s="564">
        <v>44</v>
      </c>
    </row>
    <row r="4054" spans="23:24" x14ac:dyDescent="0.25">
      <c r="W4054" s="574">
        <f t="shared" si="81"/>
        <v>4045</v>
      </c>
      <c r="X4054" s="564">
        <v>44</v>
      </c>
    </row>
    <row r="4055" spans="23:24" x14ac:dyDescent="0.25">
      <c r="W4055" s="574">
        <f t="shared" si="81"/>
        <v>4046</v>
      </c>
      <c r="X4055" s="564">
        <v>44</v>
      </c>
    </row>
    <row r="4056" spans="23:24" x14ac:dyDescent="0.25">
      <c r="W4056" s="574">
        <f t="shared" si="81"/>
        <v>4047</v>
      </c>
      <c r="X4056" s="564">
        <v>44</v>
      </c>
    </row>
    <row r="4057" spans="23:24" x14ac:dyDescent="0.25">
      <c r="W4057" s="574">
        <f t="shared" si="81"/>
        <v>4048</v>
      </c>
      <c r="X4057" s="564">
        <v>44</v>
      </c>
    </row>
    <row r="4058" spans="23:24" x14ac:dyDescent="0.25">
      <c r="W4058" s="574">
        <f t="shared" ref="W4058:W4121" si="82">W4057+1</f>
        <v>4049</v>
      </c>
      <c r="X4058" s="564">
        <v>44</v>
      </c>
    </row>
    <row r="4059" spans="23:24" x14ac:dyDescent="0.25">
      <c r="W4059" s="574">
        <f t="shared" si="82"/>
        <v>4050</v>
      </c>
      <c r="X4059" s="564">
        <v>44</v>
      </c>
    </row>
    <row r="4060" spans="23:24" x14ac:dyDescent="0.25">
      <c r="W4060" s="574">
        <f t="shared" si="82"/>
        <v>4051</v>
      </c>
      <c r="X4060" s="564">
        <v>44</v>
      </c>
    </row>
    <row r="4061" spans="23:24" x14ac:dyDescent="0.25">
      <c r="W4061" s="574">
        <f t="shared" si="82"/>
        <v>4052</v>
      </c>
      <c r="X4061" s="564">
        <v>44</v>
      </c>
    </row>
    <row r="4062" spans="23:24" x14ac:dyDescent="0.25">
      <c r="W4062" s="574">
        <f t="shared" si="82"/>
        <v>4053</v>
      </c>
      <c r="X4062" s="564">
        <v>44</v>
      </c>
    </row>
    <row r="4063" spans="23:24" x14ac:dyDescent="0.25">
      <c r="W4063" s="574">
        <f t="shared" si="82"/>
        <v>4054</v>
      </c>
      <c r="X4063" s="564">
        <v>44</v>
      </c>
    </row>
    <row r="4064" spans="23:24" x14ac:dyDescent="0.25">
      <c r="W4064" s="574">
        <f t="shared" si="82"/>
        <v>4055</v>
      </c>
      <c r="X4064" s="564">
        <v>44</v>
      </c>
    </row>
    <row r="4065" spans="23:24" x14ac:dyDescent="0.25">
      <c r="W4065" s="574">
        <f t="shared" si="82"/>
        <v>4056</v>
      </c>
      <c r="X4065" s="564">
        <v>44</v>
      </c>
    </row>
    <row r="4066" spans="23:24" x14ac:dyDescent="0.25">
      <c r="W4066" s="574">
        <f t="shared" si="82"/>
        <v>4057</v>
      </c>
      <c r="X4066" s="564">
        <v>44</v>
      </c>
    </row>
    <row r="4067" spans="23:24" x14ac:dyDescent="0.25">
      <c r="W4067" s="574">
        <f t="shared" si="82"/>
        <v>4058</v>
      </c>
      <c r="X4067" s="564">
        <v>44</v>
      </c>
    </row>
    <row r="4068" spans="23:24" x14ac:dyDescent="0.25">
      <c r="W4068" s="574">
        <f t="shared" si="82"/>
        <v>4059</v>
      </c>
      <c r="X4068" s="564">
        <v>44</v>
      </c>
    </row>
    <row r="4069" spans="23:24" x14ac:dyDescent="0.25">
      <c r="W4069" s="574">
        <f t="shared" si="82"/>
        <v>4060</v>
      </c>
      <c r="X4069" s="564">
        <v>44</v>
      </c>
    </row>
    <row r="4070" spans="23:24" x14ac:dyDescent="0.25">
      <c r="W4070" s="574">
        <f t="shared" si="82"/>
        <v>4061</v>
      </c>
      <c r="X4070" s="564">
        <v>44</v>
      </c>
    </row>
    <row r="4071" spans="23:24" x14ac:dyDescent="0.25">
      <c r="W4071" s="574">
        <f t="shared" si="82"/>
        <v>4062</v>
      </c>
      <c r="X4071" s="564">
        <v>44</v>
      </c>
    </row>
    <row r="4072" spans="23:24" x14ac:dyDescent="0.25">
      <c r="W4072" s="574">
        <f t="shared" si="82"/>
        <v>4063</v>
      </c>
      <c r="X4072" s="564">
        <v>44</v>
      </c>
    </row>
    <row r="4073" spans="23:24" x14ac:dyDescent="0.25">
      <c r="W4073" s="574">
        <f t="shared" si="82"/>
        <v>4064</v>
      </c>
      <c r="X4073" s="564">
        <v>44</v>
      </c>
    </row>
    <row r="4074" spans="23:24" x14ac:dyDescent="0.25">
      <c r="W4074" s="574">
        <f t="shared" si="82"/>
        <v>4065</v>
      </c>
      <c r="X4074" s="564">
        <v>44</v>
      </c>
    </row>
    <row r="4075" spans="23:24" x14ac:dyDescent="0.25">
      <c r="W4075" s="574">
        <f t="shared" si="82"/>
        <v>4066</v>
      </c>
      <c r="X4075" s="564">
        <v>44</v>
      </c>
    </row>
    <row r="4076" spans="23:24" x14ac:dyDescent="0.25">
      <c r="W4076" s="574">
        <f t="shared" si="82"/>
        <v>4067</v>
      </c>
      <c r="X4076" s="564">
        <v>44</v>
      </c>
    </row>
    <row r="4077" spans="23:24" x14ac:dyDescent="0.25">
      <c r="W4077" s="574">
        <f t="shared" si="82"/>
        <v>4068</v>
      </c>
      <c r="X4077" s="564">
        <v>44</v>
      </c>
    </row>
    <row r="4078" spans="23:24" x14ac:dyDescent="0.25">
      <c r="W4078" s="574">
        <f t="shared" si="82"/>
        <v>4069</v>
      </c>
      <c r="X4078" s="564">
        <v>44</v>
      </c>
    </row>
    <row r="4079" spans="23:24" x14ac:dyDescent="0.25">
      <c r="W4079" s="574">
        <f t="shared" si="82"/>
        <v>4070</v>
      </c>
      <c r="X4079" s="564">
        <v>44</v>
      </c>
    </row>
    <row r="4080" spans="23:24" x14ac:dyDescent="0.25">
      <c r="W4080" s="574">
        <f t="shared" si="82"/>
        <v>4071</v>
      </c>
      <c r="X4080" s="564">
        <v>44</v>
      </c>
    </row>
    <row r="4081" spans="23:24" x14ac:dyDescent="0.25">
      <c r="W4081" s="574">
        <f t="shared" si="82"/>
        <v>4072</v>
      </c>
      <c r="X4081" s="564">
        <v>44</v>
      </c>
    </row>
    <row r="4082" spans="23:24" x14ac:dyDescent="0.25">
      <c r="W4082" s="574">
        <f t="shared" si="82"/>
        <v>4073</v>
      </c>
      <c r="X4082" s="564">
        <v>44</v>
      </c>
    </row>
    <row r="4083" spans="23:24" x14ac:dyDescent="0.25">
      <c r="W4083" s="574">
        <f t="shared" si="82"/>
        <v>4074</v>
      </c>
      <c r="X4083" s="564">
        <v>44</v>
      </c>
    </row>
    <row r="4084" spans="23:24" x14ac:dyDescent="0.25">
      <c r="W4084" s="574">
        <f t="shared" si="82"/>
        <v>4075</v>
      </c>
      <c r="X4084" s="564">
        <v>44</v>
      </c>
    </row>
    <row r="4085" spans="23:24" x14ac:dyDescent="0.25">
      <c r="W4085" s="574">
        <f t="shared" si="82"/>
        <v>4076</v>
      </c>
      <c r="X4085" s="564">
        <v>44</v>
      </c>
    </row>
    <row r="4086" spans="23:24" x14ac:dyDescent="0.25">
      <c r="W4086" s="574">
        <f t="shared" si="82"/>
        <v>4077</v>
      </c>
      <c r="X4086" s="564">
        <v>44</v>
      </c>
    </row>
    <row r="4087" spans="23:24" x14ac:dyDescent="0.25">
      <c r="W4087" s="574">
        <f t="shared" si="82"/>
        <v>4078</v>
      </c>
      <c r="X4087" s="564">
        <v>44</v>
      </c>
    </row>
    <row r="4088" spans="23:24" x14ac:dyDescent="0.25">
      <c r="W4088" s="574">
        <f t="shared" si="82"/>
        <v>4079</v>
      </c>
      <c r="X4088" s="564">
        <v>44</v>
      </c>
    </row>
    <row r="4089" spans="23:24" x14ac:dyDescent="0.25">
      <c r="W4089" s="574">
        <f t="shared" si="82"/>
        <v>4080</v>
      </c>
      <c r="X4089" s="564">
        <v>44</v>
      </c>
    </row>
    <row r="4090" spans="23:24" x14ac:dyDescent="0.25">
      <c r="W4090" s="574">
        <f t="shared" si="82"/>
        <v>4081</v>
      </c>
      <c r="X4090" s="564">
        <v>44</v>
      </c>
    </row>
    <row r="4091" spans="23:24" x14ac:dyDescent="0.25">
      <c r="W4091" s="574">
        <f t="shared" si="82"/>
        <v>4082</v>
      </c>
      <c r="X4091" s="564">
        <v>44</v>
      </c>
    </row>
    <row r="4092" spans="23:24" x14ac:dyDescent="0.25">
      <c r="W4092" s="574">
        <f t="shared" si="82"/>
        <v>4083</v>
      </c>
      <c r="X4092" s="564">
        <v>44</v>
      </c>
    </row>
    <row r="4093" spans="23:24" x14ac:dyDescent="0.25">
      <c r="W4093" s="574">
        <f t="shared" si="82"/>
        <v>4084</v>
      </c>
      <c r="X4093" s="564">
        <v>44</v>
      </c>
    </row>
    <row r="4094" spans="23:24" x14ac:dyDescent="0.25">
      <c r="W4094" s="574">
        <f t="shared" si="82"/>
        <v>4085</v>
      </c>
      <c r="X4094" s="564">
        <v>44</v>
      </c>
    </row>
    <row r="4095" spans="23:24" x14ac:dyDescent="0.25">
      <c r="W4095" s="574">
        <f t="shared" si="82"/>
        <v>4086</v>
      </c>
      <c r="X4095" s="564">
        <v>44</v>
      </c>
    </row>
    <row r="4096" spans="23:24" x14ac:dyDescent="0.25">
      <c r="W4096" s="574">
        <f t="shared" si="82"/>
        <v>4087</v>
      </c>
      <c r="X4096" s="564">
        <v>44</v>
      </c>
    </row>
    <row r="4097" spans="23:24" x14ac:dyDescent="0.25">
      <c r="W4097" s="574">
        <f t="shared" si="82"/>
        <v>4088</v>
      </c>
      <c r="X4097" s="564">
        <v>44</v>
      </c>
    </row>
    <row r="4098" spans="23:24" x14ac:dyDescent="0.25">
      <c r="W4098" s="574">
        <f t="shared" si="82"/>
        <v>4089</v>
      </c>
      <c r="X4098" s="564">
        <v>44</v>
      </c>
    </row>
    <row r="4099" spans="23:24" x14ac:dyDescent="0.25">
      <c r="W4099" s="574">
        <f t="shared" si="82"/>
        <v>4090</v>
      </c>
      <c r="X4099" s="564">
        <v>44</v>
      </c>
    </row>
    <row r="4100" spans="23:24" x14ac:dyDescent="0.25">
      <c r="W4100" s="574">
        <f t="shared" si="82"/>
        <v>4091</v>
      </c>
      <c r="X4100" s="564">
        <v>44</v>
      </c>
    </row>
    <row r="4101" spans="23:24" x14ac:dyDescent="0.25">
      <c r="W4101" s="574">
        <f t="shared" si="82"/>
        <v>4092</v>
      </c>
      <c r="X4101" s="564">
        <v>44</v>
      </c>
    </row>
    <row r="4102" spans="23:24" x14ac:dyDescent="0.25">
      <c r="W4102" s="574">
        <f t="shared" si="82"/>
        <v>4093</v>
      </c>
      <c r="X4102" s="564">
        <v>44</v>
      </c>
    </row>
    <row r="4103" spans="23:24" x14ac:dyDescent="0.25">
      <c r="W4103" s="574">
        <f t="shared" si="82"/>
        <v>4094</v>
      </c>
      <c r="X4103" s="564">
        <v>44</v>
      </c>
    </row>
    <row r="4104" spans="23:24" x14ac:dyDescent="0.25">
      <c r="W4104" s="574">
        <f t="shared" si="82"/>
        <v>4095</v>
      </c>
      <c r="X4104" s="564">
        <v>44</v>
      </c>
    </row>
    <row r="4105" spans="23:24" x14ac:dyDescent="0.25">
      <c r="W4105" s="574">
        <f t="shared" si="82"/>
        <v>4096</v>
      </c>
      <c r="X4105" s="564">
        <v>44</v>
      </c>
    </row>
    <row r="4106" spans="23:24" x14ac:dyDescent="0.25">
      <c r="W4106" s="574">
        <f t="shared" si="82"/>
        <v>4097</v>
      </c>
      <c r="X4106" s="564">
        <v>44</v>
      </c>
    </row>
    <row r="4107" spans="23:24" x14ac:dyDescent="0.25">
      <c r="W4107" s="574">
        <f t="shared" si="82"/>
        <v>4098</v>
      </c>
      <c r="X4107" s="564">
        <v>44</v>
      </c>
    </row>
    <row r="4108" spans="23:24" x14ac:dyDescent="0.25">
      <c r="W4108" s="574">
        <f t="shared" si="82"/>
        <v>4099</v>
      </c>
      <c r="X4108" s="564">
        <v>44</v>
      </c>
    </row>
    <row r="4109" spans="23:24" x14ac:dyDescent="0.25">
      <c r="W4109" s="574">
        <f t="shared" si="82"/>
        <v>4100</v>
      </c>
      <c r="X4109" s="564">
        <v>44</v>
      </c>
    </row>
    <row r="4110" spans="23:24" x14ac:dyDescent="0.25">
      <c r="W4110" s="574">
        <f t="shared" si="82"/>
        <v>4101</v>
      </c>
      <c r="X4110" s="564">
        <v>44</v>
      </c>
    </row>
    <row r="4111" spans="23:24" x14ac:dyDescent="0.25">
      <c r="W4111" s="574">
        <f t="shared" si="82"/>
        <v>4102</v>
      </c>
      <c r="X4111" s="564">
        <v>44</v>
      </c>
    </row>
    <row r="4112" spans="23:24" x14ac:dyDescent="0.25">
      <c r="W4112" s="574">
        <f t="shared" si="82"/>
        <v>4103</v>
      </c>
      <c r="X4112" s="564">
        <v>44</v>
      </c>
    </row>
    <row r="4113" spans="23:24" x14ac:dyDescent="0.25">
      <c r="W4113" s="574">
        <f t="shared" si="82"/>
        <v>4104</v>
      </c>
      <c r="X4113" s="564">
        <v>44</v>
      </c>
    </row>
    <row r="4114" spans="23:24" x14ac:dyDescent="0.25">
      <c r="W4114" s="574">
        <f t="shared" si="82"/>
        <v>4105</v>
      </c>
      <c r="X4114" s="564">
        <v>44</v>
      </c>
    </row>
    <row r="4115" spans="23:24" x14ac:dyDescent="0.25">
      <c r="W4115" s="574">
        <f t="shared" si="82"/>
        <v>4106</v>
      </c>
      <c r="X4115" s="564">
        <v>44</v>
      </c>
    </row>
    <row r="4116" spans="23:24" x14ac:dyDescent="0.25">
      <c r="W4116" s="574">
        <f t="shared" si="82"/>
        <v>4107</v>
      </c>
      <c r="X4116" s="564">
        <v>44</v>
      </c>
    </row>
    <row r="4117" spans="23:24" x14ac:dyDescent="0.25">
      <c r="W4117" s="574">
        <f t="shared" si="82"/>
        <v>4108</v>
      </c>
      <c r="X4117" s="564">
        <v>44</v>
      </c>
    </row>
    <row r="4118" spans="23:24" x14ac:dyDescent="0.25">
      <c r="W4118" s="574">
        <f t="shared" si="82"/>
        <v>4109</v>
      </c>
      <c r="X4118" s="564">
        <v>44</v>
      </c>
    </row>
    <row r="4119" spans="23:24" x14ac:dyDescent="0.25">
      <c r="W4119" s="574">
        <f t="shared" si="82"/>
        <v>4110</v>
      </c>
      <c r="X4119" s="564">
        <v>44</v>
      </c>
    </row>
    <row r="4120" spans="23:24" x14ac:dyDescent="0.25">
      <c r="W4120" s="574">
        <f t="shared" si="82"/>
        <v>4111</v>
      </c>
      <c r="X4120" s="564">
        <v>44</v>
      </c>
    </row>
    <row r="4121" spans="23:24" x14ac:dyDescent="0.25">
      <c r="W4121" s="574">
        <f t="shared" si="82"/>
        <v>4112</v>
      </c>
      <c r="X4121" s="564">
        <v>44</v>
      </c>
    </row>
    <row r="4122" spans="23:24" x14ac:dyDescent="0.25">
      <c r="W4122" s="574">
        <f t="shared" ref="W4122:W4185" si="83">W4121+1</f>
        <v>4113</v>
      </c>
      <c r="X4122" s="564">
        <v>44</v>
      </c>
    </row>
    <row r="4123" spans="23:24" x14ac:dyDescent="0.25">
      <c r="W4123" s="574">
        <f t="shared" si="83"/>
        <v>4114</v>
      </c>
      <c r="X4123" s="564">
        <v>44</v>
      </c>
    </row>
    <row r="4124" spans="23:24" x14ac:dyDescent="0.25">
      <c r="W4124" s="574">
        <f t="shared" si="83"/>
        <v>4115</v>
      </c>
      <c r="X4124" s="564">
        <v>44</v>
      </c>
    </row>
    <row r="4125" spans="23:24" x14ac:dyDescent="0.25">
      <c r="W4125" s="574">
        <f t="shared" si="83"/>
        <v>4116</v>
      </c>
      <c r="X4125" s="564">
        <v>44</v>
      </c>
    </row>
    <row r="4126" spans="23:24" x14ac:dyDescent="0.25">
      <c r="W4126" s="574">
        <f t="shared" si="83"/>
        <v>4117</v>
      </c>
      <c r="X4126" s="564">
        <v>44</v>
      </c>
    </row>
    <row r="4127" spans="23:24" x14ac:dyDescent="0.25">
      <c r="W4127" s="574">
        <f t="shared" si="83"/>
        <v>4118</v>
      </c>
      <c r="X4127" s="564">
        <v>44</v>
      </c>
    </row>
    <row r="4128" spans="23:24" x14ac:dyDescent="0.25">
      <c r="W4128" s="574">
        <f t="shared" si="83"/>
        <v>4119</v>
      </c>
      <c r="X4128" s="564">
        <v>44</v>
      </c>
    </row>
    <row r="4129" spans="23:24" x14ac:dyDescent="0.25">
      <c r="W4129" s="574">
        <f t="shared" si="83"/>
        <v>4120</v>
      </c>
      <c r="X4129" s="564">
        <v>44</v>
      </c>
    </row>
    <row r="4130" spans="23:24" x14ac:dyDescent="0.25">
      <c r="W4130" s="574">
        <f t="shared" si="83"/>
        <v>4121</v>
      </c>
      <c r="X4130" s="564">
        <v>44</v>
      </c>
    </row>
    <row r="4131" spans="23:24" x14ac:dyDescent="0.25">
      <c r="W4131" s="574">
        <f t="shared" si="83"/>
        <v>4122</v>
      </c>
      <c r="X4131" s="564">
        <v>44</v>
      </c>
    </row>
    <row r="4132" spans="23:24" x14ac:dyDescent="0.25">
      <c r="W4132" s="574">
        <f t="shared" si="83"/>
        <v>4123</v>
      </c>
      <c r="X4132" s="564">
        <v>44</v>
      </c>
    </row>
    <row r="4133" spans="23:24" x14ac:dyDescent="0.25">
      <c r="W4133" s="574">
        <f t="shared" si="83"/>
        <v>4124</v>
      </c>
      <c r="X4133" s="564">
        <v>44</v>
      </c>
    </row>
    <row r="4134" spans="23:24" x14ac:dyDescent="0.25">
      <c r="W4134" s="574">
        <f t="shared" si="83"/>
        <v>4125</v>
      </c>
      <c r="X4134" s="564">
        <v>44</v>
      </c>
    </row>
    <row r="4135" spans="23:24" x14ac:dyDescent="0.25">
      <c r="W4135" s="574">
        <f t="shared" si="83"/>
        <v>4126</v>
      </c>
      <c r="X4135" s="564">
        <v>44</v>
      </c>
    </row>
    <row r="4136" spans="23:24" x14ac:dyDescent="0.25">
      <c r="W4136" s="574">
        <f t="shared" si="83"/>
        <v>4127</v>
      </c>
      <c r="X4136" s="564">
        <v>44</v>
      </c>
    </row>
    <row r="4137" spans="23:24" x14ac:dyDescent="0.25">
      <c r="W4137" s="574">
        <f t="shared" si="83"/>
        <v>4128</v>
      </c>
      <c r="X4137" s="564">
        <v>44</v>
      </c>
    </row>
    <row r="4138" spans="23:24" x14ac:dyDescent="0.25">
      <c r="W4138" s="574">
        <f t="shared" si="83"/>
        <v>4129</v>
      </c>
      <c r="X4138" s="564">
        <v>44</v>
      </c>
    </row>
    <row r="4139" spans="23:24" x14ac:dyDescent="0.25">
      <c r="W4139" s="574">
        <f t="shared" si="83"/>
        <v>4130</v>
      </c>
      <c r="X4139" s="564">
        <v>44</v>
      </c>
    </row>
    <row r="4140" spans="23:24" x14ac:dyDescent="0.25">
      <c r="W4140" s="574">
        <f t="shared" si="83"/>
        <v>4131</v>
      </c>
      <c r="X4140" s="564">
        <v>44</v>
      </c>
    </row>
    <row r="4141" spans="23:24" x14ac:dyDescent="0.25">
      <c r="W4141" s="574">
        <f t="shared" si="83"/>
        <v>4132</v>
      </c>
      <c r="X4141" s="564">
        <v>44</v>
      </c>
    </row>
    <row r="4142" spans="23:24" x14ac:dyDescent="0.25">
      <c r="W4142" s="574">
        <f t="shared" si="83"/>
        <v>4133</v>
      </c>
      <c r="X4142" s="564">
        <v>44</v>
      </c>
    </row>
    <row r="4143" spans="23:24" x14ac:dyDescent="0.25">
      <c r="W4143" s="574">
        <f t="shared" si="83"/>
        <v>4134</v>
      </c>
      <c r="X4143" s="564">
        <v>44</v>
      </c>
    </row>
    <row r="4144" spans="23:24" x14ac:dyDescent="0.25">
      <c r="W4144" s="574">
        <f t="shared" si="83"/>
        <v>4135</v>
      </c>
      <c r="X4144" s="564">
        <v>44</v>
      </c>
    </row>
    <row r="4145" spans="23:24" x14ac:dyDescent="0.25">
      <c r="W4145" s="574">
        <f t="shared" si="83"/>
        <v>4136</v>
      </c>
      <c r="X4145" s="564">
        <v>44</v>
      </c>
    </row>
    <row r="4146" spans="23:24" x14ac:dyDescent="0.25">
      <c r="W4146" s="574">
        <f t="shared" si="83"/>
        <v>4137</v>
      </c>
      <c r="X4146" s="564">
        <v>44</v>
      </c>
    </row>
    <row r="4147" spans="23:24" x14ac:dyDescent="0.25">
      <c r="W4147" s="574">
        <f t="shared" si="83"/>
        <v>4138</v>
      </c>
      <c r="X4147" s="564">
        <v>44</v>
      </c>
    </row>
    <row r="4148" spans="23:24" x14ac:dyDescent="0.25">
      <c r="W4148" s="574">
        <f t="shared" si="83"/>
        <v>4139</v>
      </c>
      <c r="X4148" s="564">
        <v>44</v>
      </c>
    </row>
    <row r="4149" spans="23:24" x14ac:dyDescent="0.25">
      <c r="W4149" s="574">
        <f t="shared" si="83"/>
        <v>4140</v>
      </c>
      <c r="X4149" s="564">
        <v>44</v>
      </c>
    </row>
    <row r="4150" spans="23:24" x14ac:dyDescent="0.25">
      <c r="W4150" s="574">
        <f t="shared" si="83"/>
        <v>4141</v>
      </c>
      <c r="X4150" s="564">
        <v>44</v>
      </c>
    </row>
    <row r="4151" spans="23:24" x14ac:dyDescent="0.25">
      <c r="W4151" s="574">
        <f t="shared" si="83"/>
        <v>4142</v>
      </c>
      <c r="X4151" s="564">
        <v>44</v>
      </c>
    </row>
    <row r="4152" spans="23:24" x14ac:dyDescent="0.25">
      <c r="W4152" s="574">
        <f t="shared" si="83"/>
        <v>4143</v>
      </c>
      <c r="X4152" s="564">
        <v>44</v>
      </c>
    </row>
    <row r="4153" spans="23:24" x14ac:dyDescent="0.25">
      <c r="W4153" s="574">
        <f t="shared" si="83"/>
        <v>4144</v>
      </c>
      <c r="X4153" s="564">
        <v>44</v>
      </c>
    </row>
    <row r="4154" spans="23:24" x14ac:dyDescent="0.25">
      <c r="W4154" s="574">
        <f t="shared" si="83"/>
        <v>4145</v>
      </c>
      <c r="X4154" s="564">
        <v>44</v>
      </c>
    </row>
    <row r="4155" spans="23:24" x14ac:dyDescent="0.25">
      <c r="W4155" s="574">
        <f t="shared" si="83"/>
        <v>4146</v>
      </c>
      <c r="X4155" s="564">
        <v>44</v>
      </c>
    </row>
    <row r="4156" spans="23:24" x14ac:dyDescent="0.25">
      <c r="W4156" s="574">
        <f t="shared" si="83"/>
        <v>4147</v>
      </c>
      <c r="X4156" s="564">
        <v>44</v>
      </c>
    </row>
    <row r="4157" spans="23:24" x14ac:dyDescent="0.25">
      <c r="W4157" s="574">
        <f t="shared" si="83"/>
        <v>4148</v>
      </c>
      <c r="X4157" s="564">
        <v>44</v>
      </c>
    </row>
    <row r="4158" spans="23:24" x14ac:dyDescent="0.25">
      <c r="W4158" s="574">
        <f t="shared" si="83"/>
        <v>4149</v>
      </c>
      <c r="X4158" s="564">
        <v>44</v>
      </c>
    </row>
    <row r="4159" spans="23:24" x14ac:dyDescent="0.25">
      <c r="W4159" s="574">
        <f t="shared" si="83"/>
        <v>4150</v>
      </c>
      <c r="X4159" s="564">
        <v>44</v>
      </c>
    </row>
    <row r="4160" spans="23:24" x14ac:dyDescent="0.25">
      <c r="W4160" s="574">
        <f t="shared" si="83"/>
        <v>4151</v>
      </c>
      <c r="X4160" s="564">
        <v>44</v>
      </c>
    </row>
    <row r="4161" spans="23:24" x14ac:dyDescent="0.25">
      <c r="W4161" s="574">
        <f t="shared" si="83"/>
        <v>4152</v>
      </c>
      <c r="X4161" s="564">
        <v>44</v>
      </c>
    </row>
    <row r="4162" spans="23:24" x14ac:dyDescent="0.25">
      <c r="W4162" s="574">
        <f t="shared" si="83"/>
        <v>4153</v>
      </c>
      <c r="X4162" s="564">
        <v>44</v>
      </c>
    </row>
    <row r="4163" spans="23:24" x14ac:dyDescent="0.25">
      <c r="W4163" s="574">
        <f t="shared" si="83"/>
        <v>4154</v>
      </c>
      <c r="X4163" s="564">
        <v>44</v>
      </c>
    </row>
    <row r="4164" spans="23:24" x14ac:dyDescent="0.25">
      <c r="W4164" s="574">
        <f t="shared" si="83"/>
        <v>4155</v>
      </c>
      <c r="X4164" s="564">
        <v>44</v>
      </c>
    </row>
    <row r="4165" spans="23:24" x14ac:dyDescent="0.25">
      <c r="W4165" s="574">
        <f t="shared" si="83"/>
        <v>4156</v>
      </c>
      <c r="X4165" s="564">
        <v>44</v>
      </c>
    </row>
    <row r="4166" spans="23:24" x14ac:dyDescent="0.25">
      <c r="W4166" s="574">
        <f t="shared" si="83"/>
        <v>4157</v>
      </c>
      <c r="X4166" s="564">
        <v>44</v>
      </c>
    </row>
    <row r="4167" spans="23:24" x14ac:dyDescent="0.25">
      <c r="W4167" s="574">
        <f t="shared" si="83"/>
        <v>4158</v>
      </c>
      <c r="X4167" s="564">
        <v>44</v>
      </c>
    </row>
    <row r="4168" spans="23:24" x14ac:dyDescent="0.25">
      <c r="W4168" s="574">
        <f t="shared" si="83"/>
        <v>4159</v>
      </c>
      <c r="X4168" s="564">
        <v>44</v>
      </c>
    </row>
    <row r="4169" spans="23:24" x14ac:dyDescent="0.25">
      <c r="W4169" s="574">
        <f t="shared" si="83"/>
        <v>4160</v>
      </c>
      <c r="X4169" s="564">
        <v>44</v>
      </c>
    </row>
    <row r="4170" spans="23:24" x14ac:dyDescent="0.25">
      <c r="W4170" s="574">
        <f t="shared" si="83"/>
        <v>4161</v>
      </c>
      <c r="X4170" s="564">
        <v>44</v>
      </c>
    </row>
    <row r="4171" spans="23:24" x14ac:dyDescent="0.25">
      <c r="W4171" s="574">
        <f t="shared" si="83"/>
        <v>4162</v>
      </c>
      <c r="X4171" s="564">
        <v>44</v>
      </c>
    </row>
    <row r="4172" spans="23:24" x14ac:dyDescent="0.25">
      <c r="W4172" s="574">
        <f t="shared" si="83"/>
        <v>4163</v>
      </c>
      <c r="X4172" s="564">
        <v>44</v>
      </c>
    </row>
    <row r="4173" spans="23:24" x14ac:dyDescent="0.25">
      <c r="W4173" s="574">
        <f t="shared" si="83"/>
        <v>4164</v>
      </c>
      <c r="X4173" s="564">
        <v>44</v>
      </c>
    </row>
    <row r="4174" spans="23:24" x14ac:dyDescent="0.25">
      <c r="W4174" s="574">
        <f t="shared" si="83"/>
        <v>4165</v>
      </c>
      <c r="X4174" s="564">
        <v>44</v>
      </c>
    </row>
    <row r="4175" spans="23:24" x14ac:dyDescent="0.25">
      <c r="W4175" s="574">
        <f t="shared" si="83"/>
        <v>4166</v>
      </c>
      <c r="X4175" s="564">
        <v>44</v>
      </c>
    </row>
    <row r="4176" spans="23:24" x14ac:dyDescent="0.25">
      <c r="W4176" s="574">
        <f t="shared" si="83"/>
        <v>4167</v>
      </c>
      <c r="X4176" s="564">
        <v>44</v>
      </c>
    </row>
    <row r="4177" spans="23:24" x14ac:dyDescent="0.25">
      <c r="W4177" s="574">
        <f t="shared" si="83"/>
        <v>4168</v>
      </c>
      <c r="X4177" s="564">
        <v>44</v>
      </c>
    </row>
    <row r="4178" spans="23:24" x14ac:dyDescent="0.25">
      <c r="W4178" s="574">
        <f t="shared" si="83"/>
        <v>4169</v>
      </c>
      <c r="X4178" s="564">
        <v>44</v>
      </c>
    </row>
    <row r="4179" spans="23:24" x14ac:dyDescent="0.25">
      <c r="W4179" s="574">
        <f t="shared" si="83"/>
        <v>4170</v>
      </c>
      <c r="X4179" s="564">
        <v>44</v>
      </c>
    </row>
    <row r="4180" spans="23:24" x14ac:dyDescent="0.25">
      <c r="W4180" s="574">
        <f t="shared" si="83"/>
        <v>4171</v>
      </c>
      <c r="X4180" s="564">
        <v>44</v>
      </c>
    </row>
    <row r="4181" spans="23:24" x14ac:dyDescent="0.25">
      <c r="W4181" s="574">
        <f t="shared" si="83"/>
        <v>4172</v>
      </c>
      <c r="X4181" s="564">
        <v>44</v>
      </c>
    </row>
    <row r="4182" spans="23:24" x14ac:dyDescent="0.25">
      <c r="W4182" s="574">
        <f t="shared" si="83"/>
        <v>4173</v>
      </c>
      <c r="X4182" s="564">
        <v>44</v>
      </c>
    </row>
    <row r="4183" spans="23:24" x14ac:dyDescent="0.25">
      <c r="W4183" s="574">
        <f t="shared" si="83"/>
        <v>4174</v>
      </c>
      <c r="X4183" s="564">
        <v>44</v>
      </c>
    </row>
    <row r="4184" spans="23:24" x14ac:dyDescent="0.25">
      <c r="W4184" s="574">
        <f t="shared" si="83"/>
        <v>4175</v>
      </c>
      <c r="X4184" s="564">
        <v>44</v>
      </c>
    </row>
    <row r="4185" spans="23:24" x14ac:dyDescent="0.25">
      <c r="W4185" s="574">
        <f t="shared" si="83"/>
        <v>4176</v>
      </c>
      <c r="X4185" s="564">
        <v>44</v>
      </c>
    </row>
    <row r="4186" spans="23:24" x14ac:dyDescent="0.25">
      <c r="W4186" s="574">
        <f t="shared" ref="W4186:W4249" si="84">W4185+1</f>
        <v>4177</v>
      </c>
      <c r="X4186" s="564">
        <v>44</v>
      </c>
    </row>
    <row r="4187" spans="23:24" x14ac:dyDescent="0.25">
      <c r="W4187" s="574">
        <f t="shared" si="84"/>
        <v>4178</v>
      </c>
      <c r="X4187" s="564">
        <v>44</v>
      </c>
    </row>
    <row r="4188" spans="23:24" x14ac:dyDescent="0.25">
      <c r="W4188" s="574">
        <f t="shared" si="84"/>
        <v>4179</v>
      </c>
      <c r="X4188" s="564">
        <v>44</v>
      </c>
    </row>
    <row r="4189" spans="23:24" x14ac:dyDescent="0.25">
      <c r="W4189" s="574">
        <f t="shared" si="84"/>
        <v>4180</v>
      </c>
      <c r="X4189" s="564">
        <v>44</v>
      </c>
    </row>
    <row r="4190" spans="23:24" x14ac:dyDescent="0.25">
      <c r="W4190" s="574">
        <f t="shared" si="84"/>
        <v>4181</v>
      </c>
      <c r="X4190" s="564">
        <v>44</v>
      </c>
    </row>
    <row r="4191" spans="23:24" x14ac:dyDescent="0.25">
      <c r="W4191" s="574">
        <f t="shared" si="84"/>
        <v>4182</v>
      </c>
      <c r="X4191" s="564">
        <v>44</v>
      </c>
    </row>
    <row r="4192" spans="23:24" x14ac:dyDescent="0.25">
      <c r="W4192" s="574">
        <f t="shared" si="84"/>
        <v>4183</v>
      </c>
      <c r="X4192" s="564">
        <v>44</v>
      </c>
    </row>
    <row r="4193" spans="23:24" x14ac:dyDescent="0.25">
      <c r="W4193" s="574">
        <f t="shared" si="84"/>
        <v>4184</v>
      </c>
      <c r="X4193" s="564">
        <v>44</v>
      </c>
    </row>
    <row r="4194" spans="23:24" x14ac:dyDescent="0.25">
      <c r="W4194" s="574">
        <f t="shared" si="84"/>
        <v>4185</v>
      </c>
      <c r="X4194" s="564">
        <v>44</v>
      </c>
    </row>
    <row r="4195" spans="23:24" x14ac:dyDescent="0.25">
      <c r="W4195" s="574">
        <f t="shared" si="84"/>
        <v>4186</v>
      </c>
      <c r="X4195" s="564">
        <v>44</v>
      </c>
    </row>
    <row r="4196" spans="23:24" x14ac:dyDescent="0.25">
      <c r="W4196" s="574">
        <f t="shared" si="84"/>
        <v>4187</v>
      </c>
      <c r="X4196" s="564">
        <v>44</v>
      </c>
    </row>
    <row r="4197" spans="23:24" x14ac:dyDescent="0.25">
      <c r="W4197" s="574">
        <f t="shared" si="84"/>
        <v>4188</v>
      </c>
      <c r="X4197" s="564">
        <v>44</v>
      </c>
    </row>
    <row r="4198" spans="23:24" x14ac:dyDescent="0.25">
      <c r="W4198" s="574">
        <f t="shared" si="84"/>
        <v>4189</v>
      </c>
      <c r="X4198" s="564">
        <v>44</v>
      </c>
    </row>
    <row r="4199" spans="23:24" x14ac:dyDescent="0.25">
      <c r="W4199" s="574">
        <f t="shared" si="84"/>
        <v>4190</v>
      </c>
      <c r="X4199" s="564">
        <v>44</v>
      </c>
    </row>
    <row r="4200" spans="23:24" x14ac:dyDescent="0.25">
      <c r="W4200" s="574">
        <f t="shared" si="84"/>
        <v>4191</v>
      </c>
      <c r="X4200" s="564">
        <v>44</v>
      </c>
    </row>
    <row r="4201" spans="23:24" x14ac:dyDescent="0.25">
      <c r="W4201" s="574">
        <f t="shared" si="84"/>
        <v>4192</v>
      </c>
      <c r="X4201" s="564">
        <v>44</v>
      </c>
    </row>
    <row r="4202" spans="23:24" x14ac:dyDescent="0.25">
      <c r="W4202" s="574">
        <f t="shared" si="84"/>
        <v>4193</v>
      </c>
      <c r="X4202" s="564">
        <v>44</v>
      </c>
    </row>
    <row r="4203" spans="23:24" x14ac:dyDescent="0.25">
      <c r="W4203" s="574">
        <f t="shared" si="84"/>
        <v>4194</v>
      </c>
      <c r="X4203" s="564">
        <v>44</v>
      </c>
    </row>
    <row r="4204" spans="23:24" x14ac:dyDescent="0.25">
      <c r="W4204" s="574">
        <f t="shared" si="84"/>
        <v>4195</v>
      </c>
      <c r="X4204" s="564">
        <v>44</v>
      </c>
    </row>
    <row r="4205" spans="23:24" x14ac:dyDescent="0.25">
      <c r="W4205" s="574">
        <f t="shared" si="84"/>
        <v>4196</v>
      </c>
      <c r="X4205" s="564">
        <v>44</v>
      </c>
    </row>
    <row r="4206" spans="23:24" x14ac:dyDescent="0.25">
      <c r="W4206" s="574">
        <f t="shared" si="84"/>
        <v>4197</v>
      </c>
      <c r="X4206" s="564">
        <v>44</v>
      </c>
    </row>
    <row r="4207" spans="23:24" x14ac:dyDescent="0.25">
      <c r="W4207" s="574">
        <f t="shared" si="84"/>
        <v>4198</v>
      </c>
      <c r="X4207" s="564">
        <v>44</v>
      </c>
    </row>
    <row r="4208" spans="23:24" x14ac:dyDescent="0.25">
      <c r="W4208" s="574">
        <f t="shared" si="84"/>
        <v>4199</v>
      </c>
      <c r="X4208" s="564">
        <v>44</v>
      </c>
    </row>
    <row r="4209" spans="23:24" x14ac:dyDescent="0.25">
      <c r="W4209" s="574">
        <f t="shared" si="84"/>
        <v>4200</v>
      </c>
      <c r="X4209" s="564">
        <v>44</v>
      </c>
    </row>
    <row r="4210" spans="23:24" x14ac:dyDescent="0.25">
      <c r="W4210" s="574">
        <f t="shared" si="84"/>
        <v>4201</v>
      </c>
      <c r="X4210" s="564">
        <v>44</v>
      </c>
    </row>
    <row r="4211" spans="23:24" x14ac:dyDescent="0.25">
      <c r="W4211" s="574">
        <f t="shared" si="84"/>
        <v>4202</v>
      </c>
      <c r="X4211" s="564">
        <v>44</v>
      </c>
    </row>
    <row r="4212" spans="23:24" x14ac:dyDescent="0.25">
      <c r="W4212" s="574">
        <f t="shared" si="84"/>
        <v>4203</v>
      </c>
      <c r="X4212" s="564">
        <v>44</v>
      </c>
    </row>
    <row r="4213" spans="23:24" x14ac:dyDescent="0.25">
      <c r="W4213" s="574">
        <f t="shared" si="84"/>
        <v>4204</v>
      </c>
      <c r="X4213" s="564">
        <v>44</v>
      </c>
    </row>
    <row r="4214" spans="23:24" x14ac:dyDescent="0.25">
      <c r="W4214" s="574">
        <f t="shared" si="84"/>
        <v>4205</v>
      </c>
      <c r="X4214" s="564">
        <v>44</v>
      </c>
    </row>
    <row r="4215" spans="23:24" x14ac:dyDescent="0.25">
      <c r="W4215" s="574">
        <f t="shared" si="84"/>
        <v>4206</v>
      </c>
      <c r="X4215" s="564">
        <v>44</v>
      </c>
    </row>
    <row r="4216" spans="23:24" x14ac:dyDescent="0.25">
      <c r="W4216" s="574">
        <f t="shared" si="84"/>
        <v>4207</v>
      </c>
      <c r="X4216" s="564">
        <v>44</v>
      </c>
    </row>
    <row r="4217" spans="23:24" x14ac:dyDescent="0.25">
      <c r="W4217" s="574">
        <f t="shared" si="84"/>
        <v>4208</v>
      </c>
      <c r="X4217" s="564">
        <v>44</v>
      </c>
    </row>
    <row r="4218" spans="23:24" x14ac:dyDescent="0.25">
      <c r="W4218" s="574">
        <f t="shared" si="84"/>
        <v>4209</v>
      </c>
      <c r="X4218" s="564">
        <v>44</v>
      </c>
    </row>
    <row r="4219" spans="23:24" x14ac:dyDescent="0.25">
      <c r="W4219" s="574">
        <f t="shared" si="84"/>
        <v>4210</v>
      </c>
      <c r="X4219" s="564">
        <v>44</v>
      </c>
    </row>
    <row r="4220" spans="23:24" x14ac:dyDescent="0.25">
      <c r="W4220" s="574">
        <f t="shared" si="84"/>
        <v>4211</v>
      </c>
      <c r="X4220" s="564">
        <v>44</v>
      </c>
    </row>
    <row r="4221" spans="23:24" x14ac:dyDescent="0.25">
      <c r="W4221" s="574">
        <f t="shared" si="84"/>
        <v>4212</v>
      </c>
      <c r="X4221" s="564">
        <v>44</v>
      </c>
    </row>
    <row r="4222" spans="23:24" x14ac:dyDescent="0.25">
      <c r="W4222" s="574">
        <f t="shared" si="84"/>
        <v>4213</v>
      </c>
      <c r="X4222" s="564">
        <v>44</v>
      </c>
    </row>
    <row r="4223" spans="23:24" x14ac:dyDescent="0.25">
      <c r="W4223" s="574">
        <f t="shared" si="84"/>
        <v>4214</v>
      </c>
      <c r="X4223" s="564">
        <v>44</v>
      </c>
    </row>
    <row r="4224" spans="23:24" x14ac:dyDescent="0.25">
      <c r="W4224" s="574">
        <f t="shared" si="84"/>
        <v>4215</v>
      </c>
      <c r="X4224" s="564">
        <v>44</v>
      </c>
    </row>
    <row r="4225" spans="23:24" x14ac:dyDescent="0.25">
      <c r="W4225" s="574">
        <f t="shared" si="84"/>
        <v>4216</v>
      </c>
      <c r="X4225" s="564">
        <v>44</v>
      </c>
    </row>
    <row r="4226" spans="23:24" x14ac:dyDescent="0.25">
      <c r="W4226" s="574">
        <f t="shared" si="84"/>
        <v>4217</v>
      </c>
      <c r="X4226" s="564">
        <v>44</v>
      </c>
    </row>
    <row r="4227" spans="23:24" x14ac:dyDescent="0.25">
      <c r="W4227" s="574">
        <f t="shared" si="84"/>
        <v>4218</v>
      </c>
      <c r="X4227" s="564">
        <v>44</v>
      </c>
    </row>
    <row r="4228" spans="23:24" x14ac:dyDescent="0.25">
      <c r="W4228" s="574">
        <f t="shared" si="84"/>
        <v>4219</v>
      </c>
      <c r="X4228" s="564">
        <v>44</v>
      </c>
    </row>
    <row r="4229" spans="23:24" x14ac:dyDescent="0.25">
      <c r="W4229" s="574">
        <f t="shared" si="84"/>
        <v>4220</v>
      </c>
      <c r="X4229" s="564">
        <v>44</v>
      </c>
    </row>
    <row r="4230" spans="23:24" x14ac:dyDescent="0.25">
      <c r="W4230" s="574">
        <f t="shared" si="84"/>
        <v>4221</v>
      </c>
      <c r="X4230" s="564">
        <v>44</v>
      </c>
    </row>
    <row r="4231" spans="23:24" x14ac:dyDescent="0.25">
      <c r="W4231" s="574">
        <f t="shared" si="84"/>
        <v>4222</v>
      </c>
      <c r="X4231" s="564">
        <v>44</v>
      </c>
    </row>
    <row r="4232" spans="23:24" x14ac:dyDescent="0.25">
      <c r="W4232" s="574">
        <f t="shared" si="84"/>
        <v>4223</v>
      </c>
      <c r="X4232" s="564">
        <v>44</v>
      </c>
    </row>
    <row r="4233" spans="23:24" x14ac:dyDescent="0.25">
      <c r="W4233" s="574">
        <f t="shared" si="84"/>
        <v>4224</v>
      </c>
      <c r="X4233" s="564">
        <v>44</v>
      </c>
    </row>
    <row r="4234" spans="23:24" x14ac:dyDescent="0.25">
      <c r="W4234" s="574">
        <f t="shared" si="84"/>
        <v>4225</v>
      </c>
      <c r="X4234" s="564">
        <v>44</v>
      </c>
    </row>
    <row r="4235" spans="23:24" x14ac:dyDescent="0.25">
      <c r="W4235" s="574">
        <f t="shared" si="84"/>
        <v>4226</v>
      </c>
      <c r="X4235" s="564">
        <v>44</v>
      </c>
    </row>
    <row r="4236" spans="23:24" x14ac:dyDescent="0.25">
      <c r="W4236" s="574">
        <f t="shared" si="84"/>
        <v>4227</v>
      </c>
      <c r="X4236" s="564">
        <v>44</v>
      </c>
    </row>
    <row r="4237" spans="23:24" x14ac:dyDescent="0.25">
      <c r="W4237" s="574">
        <f t="shared" si="84"/>
        <v>4228</v>
      </c>
      <c r="X4237" s="564">
        <v>44</v>
      </c>
    </row>
    <row r="4238" spans="23:24" x14ac:dyDescent="0.25">
      <c r="W4238" s="574">
        <f t="shared" si="84"/>
        <v>4229</v>
      </c>
      <c r="X4238" s="564">
        <v>44</v>
      </c>
    </row>
    <row r="4239" spans="23:24" x14ac:dyDescent="0.25">
      <c r="W4239" s="574">
        <f t="shared" si="84"/>
        <v>4230</v>
      </c>
      <c r="X4239" s="564">
        <v>44</v>
      </c>
    </row>
    <row r="4240" spans="23:24" x14ac:dyDescent="0.25">
      <c r="W4240" s="574">
        <f t="shared" si="84"/>
        <v>4231</v>
      </c>
      <c r="X4240" s="564">
        <v>44</v>
      </c>
    </row>
    <row r="4241" spans="23:24" x14ac:dyDescent="0.25">
      <c r="W4241" s="574">
        <f t="shared" si="84"/>
        <v>4232</v>
      </c>
      <c r="X4241" s="564">
        <v>44</v>
      </c>
    </row>
    <row r="4242" spans="23:24" x14ac:dyDescent="0.25">
      <c r="W4242" s="574">
        <f t="shared" si="84"/>
        <v>4233</v>
      </c>
      <c r="X4242" s="564">
        <v>44</v>
      </c>
    </row>
    <row r="4243" spans="23:24" x14ac:dyDescent="0.25">
      <c r="W4243" s="574">
        <f t="shared" si="84"/>
        <v>4234</v>
      </c>
      <c r="X4243" s="564">
        <v>44</v>
      </c>
    </row>
    <row r="4244" spans="23:24" x14ac:dyDescent="0.25">
      <c r="W4244" s="574">
        <f t="shared" si="84"/>
        <v>4235</v>
      </c>
      <c r="X4244" s="564">
        <v>44</v>
      </c>
    </row>
    <row r="4245" spans="23:24" x14ac:dyDescent="0.25">
      <c r="W4245" s="574">
        <f t="shared" si="84"/>
        <v>4236</v>
      </c>
      <c r="X4245" s="564">
        <v>44</v>
      </c>
    </row>
    <row r="4246" spans="23:24" x14ac:dyDescent="0.25">
      <c r="W4246" s="574">
        <f t="shared" si="84"/>
        <v>4237</v>
      </c>
      <c r="X4246" s="564">
        <v>44</v>
      </c>
    </row>
    <row r="4247" spans="23:24" x14ac:dyDescent="0.25">
      <c r="W4247" s="574">
        <f t="shared" si="84"/>
        <v>4238</v>
      </c>
      <c r="X4247" s="564">
        <v>44</v>
      </c>
    </row>
    <row r="4248" spans="23:24" x14ac:dyDescent="0.25">
      <c r="W4248" s="574">
        <f t="shared" si="84"/>
        <v>4239</v>
      </c>
      <c r="X4248" s="564">
        <v>44</v>
      </c>
    </row>
    <row r="4249" spans="23:24" x14ac:dyDescent="0.25">
      <c r="W4249" s="574">
        <f t="shared" si="84"/>
        <v>4240</v>
      </c>
      <c r="X4249" s="564">
        <v>44</v>
      </c>
    </row>
    <row r="4250" spans="23:24" x14ac:dyDescent="0.25">
      <c r="W4250" s="574">
        <f t="shared" ref="W4250:W4313" si="85">W4249+1</f>
        <v>4241</v>
      </c>
      <c r="X4250" s="564">
        <v>44</v>
      </c>
    </row>
    <row r="4251" spans="23:24" x14ac:dyDescent="0.25">
      <c r="W4251" s="574">
        <f t="shared" si="85"/>
        <v>4242</v>
      </c>
      <c r="X4251" s="564">
        <v>44</v>
      </c>
    </row>
    <row r="4252" spans="23:24" x14ac:dyDescent="0.25">
      <c r="W4252" s="574">
        <f t="shared" si="85"/>
        <v>4243</v>
      </c>
      <c r="X4252" s="564">
        <v>44</v>
      </c>
    </row>
    <row r="4253" spans="23:24" x14ac:dyDescent="0.25">
      <c r="W4253" s="574">
        <f t="shared" si="85"/>
        <v>4244</v>
      </c>
      <c r="X4253" s="564">
        <v>44</v>
      </c>
    </row>
    <row r="4254" spans="23:24" x14ac:dyDescent="0.25">
      <c r="W4254" s="574">
        <f t="shared" si="85"/>
        <v>4245</v>
      </c>
      <c r="X4254" s="564">
        <v>44</v>
      </c>
    </row>
    <row r="4255" spans="23:24" x14ac:dyDescent="0.25">
      <c r="W4255" s="574">
        <f t="shared" si="85"/>
        <v>4246</v>
      </c>
      <c r="X4255" s="564">
        <v>44</v>
      </c>
    </row>
    <row r="4256" spans="23:24" x14ac:dyDescent="0.25">
      <c r="W4256" s="574">
        <f t="shared" si="85"/>
        <v>4247</v>
      </c>
      <c r="X4256" s="564">
        <v>44</v>
      </c>
    </row>
    <row r="4257" spans="23:24" x14ac:dyDescent="0.25">
      <c r="W4257" s="574">
        <f t="shared" si="85"/>
        <v>4248</v>
      </c>
      <c r="X4257" s="564">
        <v>44</v>
      </c>
    </row>
    <row r="4258" spans="23:24" x14ac:dyDescent="0.25">
      <c r="W4258" s="574">
        <f t="shared" si="85"/>
        <v>4249</v>
      </c>
      <c r="X4258" s="564">
        <v>44</v>
      </c>
    </row>
    <row r="4259" spans="23:24" x14ac:dyDescent="0.25">
      <c r="W4259" s="574">
        <f t="shared" si="85"/>
        <v>4250</v>
      </c>
      <c r="X4259" s="564">
        <v>45</v>
      </c>
    </row>
    <row r="4260" spans="23:24" x14ac:dyDescent="0.25">
      <c r="W4260" s="574">
        <f t="shared" si="85"/>
        <v>4251</v>
      </c>
      <c r="X4260" s="564">
        <v>45</v>
      </c>
    </row>
    <row r="4261" spans="23:24" x14ac:dyDescent="0.25">
      <c r="W4261" s="574">
        <f t="shared" si="85"/>
        <v>4252</v>
      </c>
      <c r="X4261" s="564">
        <v>45</v>
      </c>
    </row>
    <row r="4262" spans="23:24" x14ac:dyDescent="0.25">
      <c r="W4262" s="574">
        <f t="shared" si="85"/>
        <v>4253</v>
      </c>
      <c r="X4262" s="564">
        <v>45</v>
      </c>
    </row>
    <row r="4263" spans="23:24" x14ac:dyDescent="0.25">
      <c r="W4263" s="574">
        <f t="shared" si="85"/>
        <v>4254</v>
      </c>
      <c r="X4263" s="564">
        <v>45</v>
      </c>
    </row>
    <row r="4264" spans="23:24" x14ac:dyDescent="0.25">
      <c r="W4264" s="574">
        <f t="shared" si="85"/>
        <v>4255</v>
      </c>
      <c r="X4264" s="564">
        <v>45</v>
      </c>
    </row>
    <row r="4265" spans="23:24" x14ac:dyDescent="0.25">
      <c r="W4265" s="574">
        <f t="shared" si="85"/>
        <v>4256</v>
      </c>
      <c r="X4265" s="564">
        <v>45</v>
      </c>
    </row>
    <row r="4266" spans="23:24" x14ac:dyDescent="0.25">
      <c r="W4266" s="574">
        <f t="shared" si="85"/>
        <v>4257</v>
      </c>
      <c r="X4266" s="564">
        <v>45</v>
      </c>
    </row>
    <row r="4267" spans="23:24" x14ac:dyDescent="0.25">
      <c r="W4267" s="574">
        <f t="shared" si="85"/>
        <v>4258</v>
      </c>
      <c r="X4267" s="564">
        <v>45</v>
      </c>
    </row>
    <row r="4268" spans="23:24" x14ac:dyDescent="0.25">
      <c r="W4268" s="574">
        <f t="shared" si="85"/>
        <v>4259</v>
      </c>
      <c r="X4268" s="564">
        <v>45</v>
      </c>
    </row>
    <row r="4269" spans="23:24" x14ac:dyDescent="0.25">
      <c r="W4269" s="574">
        <f t="shared" si="85"/>
        <v>4260</v>
      </c>
      <c r="X4269" s="564">
        <v>45</v>
      </c>
    </row>
    <row r="4270" spans="23:24" x14ac:dyDescent="0.25">
      <c r="W4270" s="574">
        <f t="shared" si="85"/>
        <v>4261</v>
      </c>
      <c r="X4270" s="564">
        <v>45</v>
      </c>
    </row>
    <row r="4271" spans="23:24" x14ac:dyDescent="0.25">
      <c r="W4271" s="574">
        <f t="shared" si="85"/>
        <v>4262</v>
      </c>
      <c r="X4271" s="564">
        <v>45</v>
      </c>
    </row>
    <row r="4272" spans="23:24" x14ac:dyDescent="0.25">
      <c r="W4272" s="574">
        <f t="shared" si="85"/>
        <v>4263</v>
      </c>
      <c r="X4272" s="564">
        <v>45</v>
      </c>
    </row>
    <row r="4273" spans="23:24" x14ac:dyDescent="0.25">
      <c r="W4273" s="574">
        <f t="shared" si="85"/>
        <v>4264</v>
      </c>
      <c r="X4273" s="564">
        <v>45</v>
      </c>
    </row>
    <row r="4274" spans="23:24" x14ac:dyDescent="0.25">
      <c r="W4274" s="574">
        <f t="shared" si="85"/>
        <v>4265</v>
      </c>
      <c r="X4274" s="564">
        <v>45</v>
      </c>
    </row>
    <row r="4275" spans="23:24" x14ac:dyDescent="0.25">
      <c r="W4275" s="574">
        <f t="shared" si="85"/>
        <v>4266</v>
      </c>
      <c r="X4275" s="564">
        <v>45</v>
      </c>
    </row>
    <row r="4276" spans="23:24" x14ac:dyDescent="0.25">
      <c r="W4276" s="574">
        <f t="shared" si="85"/>
        <v>4267</v>
      </c>
      <c r="X4276" s="564">
        <v>45</v>
      </c>
    </row>
    <row r="4277" spans="23:24" x14ac:dyDescent="0.25">
      <c r="W4277" s="574">
        <f t="shared" si="85"/>
        <v>4268</v>
      </c>
      <c r="X4277" s="564">
        <v>45</v>
      </c>
    </row>
    <row r="4278" spans="23:24" x14ac:dyDescent="0.25">
      <c r="W4278" s="574">
        <f t="shared" si="85"/>
        <v>4269</v>
      </c>
      <c r="X4278" s="564">
        <v>45</v>
      </c>
    </row>
    <row r="4279" spans="23:24" x14ac:dyDescent="0.25">
      <c r="W4279" s="574">
        <f t="shared" si="85"/>
        <v>4270</v>
      </c>
      <c r="X4279" s="564">
        <v>45</v>
      </c>
    </row>
    <row r="4280" spans="23:24" x14ac:dyDescent="0.25">
      <c r="W4280" s="574">
        <f t="shared" si="85"/>
        <v>4271</v>
      </c>
      <c r="X4280" s="564">
        <v>45</v>
      </c>
    </row>
    <row r="4281" spans="23:24" x14ac:dyDescent="0.25">
      <c r="W4281" s="574">
        <f t="shared" si="85"/>
        <v>4272</v>
      </c>
      <c r="X4281" s="564">
        <v>45</v>
      </c>
    </row>
    <row r="4282" spans="23:24" x14ac:dyDescent="0.25">
      <c r="W4282" s="574">
        <f t="shared" si="85"/>
        <v>4273</v>
      </c>
      <c r="X4282" s="564">
        <v>45</v>
      </c>
    </row>
    <row r="4283" spans="23:24" x14ac:dyDescent="0.25">
      <c r="W4283" s="574">
        <f t="shared" si="85"/>
        <v>4274</v>
      </c>
      <c r="X4283" s="564">
        <v>45</v>
      </c>
    </row>
    <row r="4284" spans="23:24" x14ac:dyDescent="0.25">
      <c r="W4284" s="574">
        <f t="shared" si="85"/>
        <v>4275</v>
      </c>
      <c r="X4284" s="564">
        <v>45</v>
      </c>
    </row>
    <row r="4285" spans="23:24" x14ac:dyDescent="0.25">
      <c r="W4285" s="574">
        <f t="shared" si="85"/>
        <v>4276</v>
      </c>
      <c r="X4285" s="564">
        <v>45</v>
      </c>
    </row>
    <row r="4286" spans="23:24" x14ac:dyDescent="0.25">
      <c r="W4286" s="574">
        <f t="shared" si="85"/>
        <v>4277</v>
      </c>
      <c r="X4286" s="564">
        <v>45</v>
      </c>
    </row>
    <row r="4287" spans="23:24" x14ac:dyDescent="0.25">
      <c r="W4287" s="574">
        <f t="shared" si="85"/>
        <v>4278</v>
      </c>
      <c r="X4287" s="564">
        <v>45</v>
      </c>
    </row>
    <row r="4288" spans="23:24" x14ac:dyDescent="0.25">
      <c r="W4288" s="574">
        <f t="shared" si="85"/>
        <v>4279</v>
      </c>
      <c r="X4288" s="564">
        <v>45</v>
      </c>
    </row>
    <row r="4289" spans="23:24" x14ac:dyDescent="0.25">
      <c r="W4289" s="574">
        <f t="shared" si="85"/>
        <v>4280</v>
      </c>
      <c r="X4289" s="564">
        <v>45</v>
      </c>
    </row>
    <row r="4290" spans="23:24" x14ac:dyDescent="0.25">
      <c r="W4290" s="574">
        <f t="shared" si="85"/>
        <v>4281</v>
      </c>
      <c r="X4290" s="564">
        <v>45</v>
      </c>
    </row>
    <row r="4291" spans="23:24" x14ac:dyDescent="0.25">
      <c r="W4291" s="574">
        <f t="shared" si="85"/>
        <v>4282</v>
      </c>
      <c r="X4291" s="564">
        <v>45</v>
      </c>
    </row>
    <row r="4292" spans="23:24" x14ac:dyDescent="0.25">
      <c r="W4292" s="574">
        <f t="shared" si="85"/>
        <v>4283</v>
      </c>
      <c r="X4292" s="564">
        <v>45</v>
      </c>
    </row>
    <row r="4293" spans="23:24" x14ac:dyDescent="0.25">
      <c r="W4293" s="574">
        <f t="shared" si="85"/>
        <v>4284</v>
      </c>
      <c r="X4293" s="564">
        <v>45</v>
      </c>
    </row>
    <row r="4294" spans="23:24" x14ac:dyDescent="0.25">
      <c r="W4294" s="574">
        <f t="shared" si="85"/>
        <v>4285</v>
      </c>
      <c r="X4294" s="564">
        <v>45</v>
      </c>
    </row>
    <row r="4295" spans="23:24" x14ac:dyDescent="0.25">
      <c r="W4295" s="574">
        <f t="shared" si="85"/>
        <v>4286</v>
      </c>
      <c r="X4295" s="564">
        <v>45</v>
      </c>
    </row>
    <row r="4296" spans="23:24" x14ac:dyDescent="0.25">
      <c r="W4296" s="574">
        <f t="shared" si="85"/>
        <v>4287</v>
      </c>
      <c r="X4296" s="564">
        <v>45</v>
      </c>
    </row>
    <row r="4297" spans="23:24" x14ac:dyDescent="0.25">
      <c r="W4297" s="574">
        <f t="shared" si="85"/>
        <v>4288</v>
      </c>
      <c r="X4297" s="564">
        <v>45</v>
      </c>
    </row>
    <row r="4298" spans="23:24" x14ac:dyDescent="0.25">
      <c r="W4298" s="574">
        <f t="shared" si="85"/>
        <v>4289</v>
      </c>
      <c r="X4298" s="564">
        <v>45</v>
      </c>
    </row>
    <row r="4299" spans="23:24" x14ac:dyDescent="0.25">
      <c r="W4299" s="574">
        <f t="shared" si="85"/>
        <v>4290</v>
      </c>
      <c r="X4299" s="564">
        <v>45</v>
      </c>
    </row>
    <row r="4300" spans="23:24" x14ac:dyDescent="0.25">
      <c r="W4300" s="574">
        <f t="shared" si="85"/>
        <v>4291</v>
      </c>
      <c r="X4300" s="564">
        <v>45</v>
      </c>
    </row>
    <row r="4301" spans="23:24" x14ac:dyDescent="0.25">
      <c r="W4301" s="574">
        <f t="shared" si="85"/>
        <v>4292</v>
      </c>
      <c r="X4301" s="564">
        <v>45</v>
      </c>
    </row>
    <row r="4302" spans="23:24" x14ac:dyDescent="0.25">
      <c r="W4302" s="574">
        <f t="shared" si="85"/>
        <v>4293</v>
      </c>
      <c r="X4302" s="564">
        <v>45</v>
      </c>
    </row>
    <row r="4303" spans="23:24" x14ac:dyDescent="0.25">
      <c r="W4303" s="574">
        <f t="shared" si="85"/>
        <v>4294</v>
      </c>
      <c r="X4303" s="564">
        <v>45</v>
      </c>
    </row>
    <row r="4304" spans="23:24" x14ac:dyDescent="0.25">
      <c r="W4304" s="574">
        <f t="shared" si="85"/>
        <v>4295</v>
      </c>
      <c r="X4304" s="564">
        <v>45</v>
      </c>
    </row>
    <row r="4305" spans="23:24" x14ac:dyDescent="0.25">
      <c r="W4305" s="574">
        <f t="shared" si="85"/>
        <v>4296</v>
      </c>
      <c r="X4305" s="564">
        <v>45</v>
      </c>
    </row>
    <row r="4306" spans="23:24" x14ac:dyDescent="0.25">
      <c r="W4306" s="574">
        <f t="shared" si="85"/>
        <v>4297</v>
      </c>
      <c r="X4306" s="564">
        <v>45</v>
      </c>
    </row>
    <row r="4307" spans="23:24" x14ac:dyDescent="0.25">
      <c r="W4307" s="574">
        <f t="shared" si="85"/>
        <v>4298</v>
      </c>
      <c r="X4307" s="564">
        <v>45</v>
      </c>
    </row>
    <row r="4308" spans="23:24" x14ac:dyDescent="0.25">
      <c r="W4308" s="574">
        <f t="shared" si="85"/>
        <v>4299</v>
      </c>
      <c r="X4308" s="564">
        <v>45</v>
      </c>
    </row>
    <row r="4309" spans="23:24" x14ac:dyDescent="0.25">
      <c r="W4309" s="574">
        <f t="shared" si="85"/>
        <v>4300</v>
      </c>
      <c r="X4309" s="564">
        <v>45</v>
      </c>
    </row>
    <row r="4310" spans="23:24" x14ac:dyDescent="0.25">
      <c r="W4310" s="574">
        <f t="shared" si="85"/>
        <v>4301</v>
      </c>
      <c r="X4310" s="564">
        <v>45</v>
      </c>
    </row>
    <row r="4311" spans="23:24" x14ac:dyDescent="0.25">
      <c r="W4311" s="574">
        <f t="shared" si="85"/>
        <v>4302</v>
      </c>
      <c r="X4311" s="564">
        <v>45</v>
      </c>
    </row>
    <row r="4312" spans="23:24" x14ac:dyDescent="0.25">
      <c r="W4312" s="574">
        <f t="shared" si="85"/>
        <v>4303</v>
      </c>
      <c r="X4312" s="564">
        <v>45</v>
      </c>
    </row>
    <row r="4313" spans="23:24" x14ac:dyDescent="0.25">
      <c r="W4313" s="574">
        <f t="shared" si="85"/>
        <v>4304</v>
      </c>
      <c r="X4313" s="564">
        <v>45</v>
      </c>
    </row>
    <row r="4314" spans="23:24" x14ac:dyDescent="0.25">
      <c r="W4314" s="574">
        <f t="shared" ref="W4314:W4377" si="86">W4313+1</f>
        <v>4305</v>
      </c>
      <c r="X4314" s="564">
        <v>45</v>
      </c>
    </row>
    <row r="4315" spans="23:24" x14ac:dyDescent="0.25">
      <c r="W4315" s="574">
        <f t="shared" si="86"/>
        <v>4306</v>
      </c>
      <c r="X4315" s="564">
        <v>45</v>
      </c>
    </row>
    <row r="4316" spans="23:24" x14ac:dyDescent="0.25">
      <c r="W4316" s="574">
        <f t="shared" si="86"/>
        <v>4307</v>
      </c>
      <c r="X4316" s="564">
        <v>45</v>
      </c>
    </row>
    <row r="4317" spans="23:24" x14ac:dyDescent="0.25">
      <c r="W4317" s="574">
        <f t="shared" si="86"/>
        <v>4308</v>
      </c>
      <c r="X4317" s="564">
        <v>45</v>
      </c>
    </row>
    <row r="4318" spans="23:24" x14ac:dyDescent="0.25">
      <c r="W4318" s="574">
        <f t="shared" si="86"/>
        <v>4309</v>
      </c>
      <c r="X4318" s="564">
        <v>45</v>
      </c>
    </row>
    <row r="4319" spans="23:24" x14ac:dyDescent="0.25">
      <c r="W4319" s="574">
        <f t="shared" si="86"/>
        <v>4310</v>
      </c>
      <c r="X4319" s="564">
        <v>45</v>
      </c>
    </row>
    <row r="4320" spans="23:24" x14ac:dyDescent="0.25">
      <c r="W4320" s="574">
        <f t="shared" si="86"/>
        <v>4311</v>
      </c>
      <c r="X4320" s="564">
        <v>45</v>
      </c>
    </row>
    <row r="4321" spans="23:24" x14ac:dyDescent="0.25">
      <c r="W4321" s="574">
        <f t="shared" si="86"/>
        <v>4312</v>
      </c>
      <c r="X4321" s="564">
        <v>45</v>
      </c>
    </row>
    <row r="4322" spans="23:24" x14ac:dyDescent="0.25">
      <c r="W4322" s="574">
        <f t="shared" si="86"/>
        <v>4313</v>
      </c>
      <c r="X4322" s="564">
        <v>45</v>
      </c>
    </row>
    <row r="4323" spans="23:24" x14ac:dyDescent="0.25">
      <c r="W4323" s="574">
        <f t="shared" si="86"/>
        <v>4314</v>
      </c>
      <c r="X4323" s="564">
        <v>45</v>
      </c>
    </row>
    <row r="4324" spans="23:24" x14ac:dyDescent="0.25">
      <c r="W4324" s="574">
        <f t="shared" si="86"/>
        <v>4315</v>
      </c>
      <c r="X4324" s="564">
        <v>45</v>
      </c>
    </row>
    <row r="4325" spans="23:24" x14ac:dyDescent="0.25">
      <c r="W4325" s="574">
        <f t="shared" si="86"/>
        <v>4316</v>
      </c>
      <c r="X4325" s="564">
        <v>45</v>
      </c>
    </row>
    <row r="4326" spans="23:24" x14ac:dyDescent="0.25">
      <c r="W4326" s="574">
        <f t="shared" si="86"/>
        <v>4317</v>
      </c>
      <c r="X4326" s="564">
        <v>45</v>
      </c>
    </row>
    <row r="4327" spans="23:24" x14ac:dyDescent="0.25">
      <c r="W4327" s="574">
        <f t="shared" si="86"/>
        <v>4318</v>
      </c>
      <c r="X4327" s="564">
        <v>45</v>
      </c>
    </row>
    <row r="4328" spans="23:24" x14ac:dyDescent="0.25">
      <c r="W4328" s="574">
        <f t="shared" si="86"/>
        <v>4319</v>
      </c>
      <c r="X4328" s="564">
        <v>45</v>
      </c>
    </row>
    <row r="4329" spans="23:24" x14ac:dyDescent="0.25">
      <c r="W4329" s="574">
        <f t="shared" si="86"/>
        <v>4320</v>
      </c>
      <c r="X4329" s="564">
        <v>45</v>
      </c>
    </row>
    <row r="4330" spans="23:24" x14ac:dyDescent="0.25">
      <c r="W4330" s="574">
        <f t="shared" si="86"/>
        <v>4321</v>
      </c>
      <c r="X4330" s="564">
        <v>45</v>
      </c>
    </row>
    <row r="4331" spans="23:24" x14ac:dyDescent="0.25">
      <c r="W4331" s="574">
        <f t="shared" si="86"/>
        <v>4322</v>
      </c>
      <c r="X4331" s="564">
        <v>45</v>
      </c>
    </row>
    <row r="4332" spans="23:24" x14ac:dyDescent="0.25">
      <c r="W4332" s="574">
        <f t="shared" si="86"/>
        <v>4323</v>
      </c>
      <c r="X4332" s="564">
        <v>45</v>
      </c>
    </row>
    <row r="4333" spans="23:24" x14ac:dyDescent="0.25">
      <c r="W4333" s="574">
        <f t="shared" si="86"/>
        <v>4324</v>
      </c>
      <c r="X4333" s="564">
        <v>45</v>
      </c>
    </row>
    <row r="4334" spans="23:24" x14ac:dyDescent="0.25">
      <c r="W4334" s="574">
        <f t="shared" si="86"/>
        <v>4325</v>
      </c>
      <c r="X4334" s="564">
        <v>45</v>
      </c>
    </row>
    <row r="4335" spans="23:24" x14ac:dyDescent="0.25">
      <c r="W4335" s="574">
        <f t="shared" si="86"/>
        <v>4326</v>
      </c>
      <c r="X4335" s="564">
        <v>45</v>
      </c>
    </row>
    <row r="4336" spans="23:24" x14ac:dyDescent="0.25">
      <c r="W4336" s="574">
        <f t="shared" si="86"/>
        <v>4327</v>
      </c>
      <c r="X4336" s="564">
        <v>45</v>
      </c>
    </row>
    <row r="4337" spans="23:24" x14ac:dyDescent="0.25">
      <c r="W4337" s="574">
        <f t="shared" si="86"/>
        <v>4328</v>
      </c>
      <c r="X4337" s="564">
        <v>45</v>
      </c>
    </row>
    <row r="4338" spans="23:24" x14ac:dyDescent="0.25">
      <c r="W4338" s="574">
        <f t="shared" si="86"/>
        <v>4329</v>
      </c>
      <c r="X4338" s="564">
        <v>45</v>
      </c>
    </row>
    <row r="4339" spans="23:24" x14ac:dyDescent="0.25">
      <c r="W4339" s="574">
        <f t="shared" si="86"/>
        <v>4330</v>
      </c>
      <c r="X4339" s="564">
        <v>45</v>
      </c>
    </row>
    <row r="4340" spans="23:24" x14ac:dyDescent="0.25">
      <c r="W4340" s="574">
        <f t="shared" si="86"/>
        <v>4331</v>
      </c>
      <c r="X4340" s="564">
        <v>45</v>
      </c>
    </row>
    <row r="4341" spans="23:24" x14ac:dyDescent="0.25">
      <c r="W4341" s="574">
        <f t="shared" si="86"/>
        <v>4332</v>
      </c>
      <c r="X4341" s="564">
        <v>45</v>
      </c>
    </row>
    <row r="4342" spans="23:24" x14ac:dyDescent="0.25">
      <c r="W4342" s="574">
        <f t="shared" si="86"/>
        <v>4333</v>
      </c>
      <c r="X4342" s="564">
        <v>45</v>
      </c>
    </row>
    <row r="4343" spans="23:24" x14ac:dyDescent="0.25">
      <c r="W4343" s="574">
        <f t="shared" si="86"/>
        <v>4334</v>
      </c>
      <c r="X4343" s="564">
        <v>45</v>
      </c>
    </row>
    <row r="4344" spans="23:24" x14ac:dyDescent="0.25">
      <c r="W4344" s="574">
        <f t="shared" si="86"/>
        <v>4335</v>
      </c>
      <c r="X4344" s="564">
        <v>45</v>
      </c>
    </row>
    <row r="4345" spans="23:24" x14ac:dyDescent="0.25">
      <c r="W4345" s="574">
        <f t="shared" si="86"/>
        <v>4336</v>
      </c>
      <c r="X4345" s="564">
        <v>45</v>
      </c>
    </row>
    <row r="4346" spans="23:24" x14ac:dyDescent="0.25">
      <c r="W4346" s="574">
        <f t="shared" si="86"/>
        <v>4337</v>
      </c>
      <c r="X4346" s="564">
        <v>45</v>
      </c>
    </row>
    <row r="4347" spans="23:24" x14ac:dyDescent="0.25">
      <c r="W4347" s="574">
        <f t="shared" si="86"/>
        <v>4338</v>
      </c>
      <c r="X4347" s="564">
        <v>45</v>
      </c>
    </row>
    <row r="4348" spans="23:24" x14ac:dyDescent="0.25">
      <c r="W4348" s="574">
        <f t="shared" si="86"/>
        <v>4339</v>
      </c>
      <c r="X4348" s="564">
        <v>45</v>
      </c>
    </row>
    <row r="4349" spans="23:24" x14ac:dyDescent="0.25">
      <c r="W4349" s="574">
        <f t="shared" si="86"/>
        <v>4340</v>
      </c>
      <c r="X4349" s="564">
        <v>45</v>
      </c>
    </row>
    <row r="4350" spans="23:24" x14ac:dyDescent="0.25">
      <c r="W4350" s="574">
        <f t="shared" si="86"/>
        <v>4341</v>
      </c>
      <c r="X4350" s="564">
        <v>45</v>
      </c>
    </row>
    <row r="4351" spans="23:24" x14ac:dyDescent="0.25">
      <c r="W4351" s="574">
        <f t="shared" si="86"/>
        <v>4342</v>
      </c>
      <c r="X4351" s="564">
        <v>45</v>
      </c>
    </row>
    <row r="4352" spans="23:24" x14ac:dyDescent="0.25">
      <c r="W4352" s="574">
        <f t="shared" si="86"/>
        <v>4343</v>
      </c>
      <c r="X4352" s="564">
        <v>45</v>
      </c>
    </row>
    <row r="4353" spans="23:24" x14ac:dyDescent="0.25">
      <c r="W4353" s="574">
        <f t="shared" si="86"/>
        <v>4344</v>
      </c>
      <c r="X4353" s="564">
        <v>45</v>
      </c>
    </row>
    <row r="4354" spans="23:24" x14ac:dyDescent="0.25">
      <c r="W4354" s="574">
        <f t="shared" si="86"/>
        <v>4345</v>
      </c>
      <c r="X4354" s="564">
        <v>45</v>
      </c>
    </row>
    <row r="4355" spans="23:24" x14ac:dyDescent="0.25">
      <c r="W4355" s="574">
        <f t="shared" si="86"/>
        <v>4346</v>
      </c>
      <c r="X4355" s="564">
        <v>45</v>
      </c>
    </row>
    <row r="4356" spans="23:24" x14ac:dyDescent="0.25">
      <c r="W4356" s="574">
        <f t="shared" si="86"/>
        <v>4347</v>
      </c>
      <c r="X4356" s="564">
        <v>45</v>
      </c>
    </row>
    <row r="4357" spans="23:24" x14ac:dyDescent="0.25">
      <c r="W4357" s="574">
        <f t="shared" si="86"/>
        <v>4348</v>
      </c>
      <c r="X4357" s="564">
        <v>45</v>
      </c>
    </row>
    <row r="4358" spans="23:24" x14ac:dyDescent="0.25">
      <c r="W4358" s="574">
        <f t="shared" si="86"/>
        <v>4349</v>
      </c>
      <c r="X4358" s="564">
        <v>45</v>
      </c>
    </row>
    <row r="4359" spans="23:24" x14ac:dyDescent="0.25">
      <c r="W4359" s="574">
        <f t="shared" si="86"/>
        <v>4350</v>
      </c>
      <c r="X4359" s="564">
        <v>45</v>
      </c>
    </row>
    <row r="4360" spans="23:24" x14ac:dyDescent="0.25">
      <c r="W4360" s="574">
        <f t="shared" si="86"/>
        <v>4351</v>
      </c>
      <c r="X4360" s="564">
        <v>45</v>
      </c>
    </row>
    <row r="4361" spans="23:24" x14ac:dyDescent="0.25">
      <c r="W4361" s="574">
        <f t="shared" si="86"/>
        <v>4352</v>
      </c>
      <c r="X4361" s="564">
        <v>45</v>
      </c>
    </row>
    <row r="4362" spans="23:24" x14ac:dyDescent="0.25">
      <c r="W4362" s="574">
        <f t="shared" si="86"/>
        <v>4353</v>
      </c>
      <c r="X4362" s="564">
        <v>45</v>
      </c>
    </row>
    <row r="4363" spans="23:24" x14ac:dyDescent="0.25">
      <c r="W4363" s="574">
        <f t="shared" si="86"/>
        <v>4354</v>
      </c>
      <c r="X4363" s="564">
        <v>45</v>
      </c>
    </row>
    <row r="4364" spans="23:24" x14ac:dyDescent="0.25">
      <c r="W4364" s="574">
        <f t="shared" si="86"/>
        <v>4355</v>
      </c>
      <c r="X4364" s="564">
        <v>45</v>
      </c>
    </row>
    <row r="4365" spans="23:24" x14ac:dyDescent="0.25">
      <c r="W4365" s="574">
        <f t="shared" si="86"/>
        <v>4356</v>
      </c>
      <c r="X4365" s="564">
        <v>45</v>
      </c>
    </row>
    <row r="4366" spans="23:24" x14ac:dyDescent="0.25">
      <c r="W4366" s="574">
        <f t="shared" si="86"/>
        <v>4357</v>
      </c>
      <c r="X4366" s="564">
        <v>45</v>
      </c>
    </row>
    <row r="4367" spans="23:24" x14ac:dyDescent="0.25">
      <c r="W4367" s="574">
        <f t="shared" si="86"/>
        <v>4358</v>
      </c>
      <c r="X4367" s="564">
        <v>45</v>
      </c>
    </row>
    <row r="4368" spans="23:24" x14ac:dyDescent="0.25">
      <c r="W4368" s="574">
        <f t="shared" si="86"/>
        <v>4359</v>
      </c>
      <c r="X4368" s="564">
        <v>45</v>
      </c>
    </row>
    <row r="4369" spans="23:24" x14ac:dyDescent="0.25">
      <c r="W4369" s="574">
        <f t="shared" si="86"/>
        <v>4360</v>
      </c>
      <c r="X4369" s="564">
        <v>45</v>
      </c>
    </row>
    <row r="4370" spans="23:24" x14ac:dyDescent="0.25">
      <c r="W4370" s="574">
        <f t="shared" si="86"/>
        <v>4361</v>
      </c>
      <c r="X4370" s="564">
        <v>45</v>
      </c>
    </row>
    <row r="4371" spans="23:24" x14ac:dyDescent="0.25">
      <c r="W4371" s="574">
        <f t="shared" si="86"/>
        <v>4362</v>
      </c>
      <c r="X4371" s="564">
        <v>45</v>
      </c>
    </row>
    <row r="4372" spans="23:24" x14ac:dyDescent="0.25">
      <c r="W4372" s="574">
        <f t="shared" si="86"/>
        <v>4363</v>
      </c>
      <c r="X4372" s="564">
        <v>45</v>
      </c>
    </row>
    <row r="4373" spans="23:24" x14ac:dyDescent="0.25">
      <c r="W4373" s="574">
        <f t="shared" si="86"/>
        <v>4364</v>
      </c>
      <c r="X4373" s="564">
        <v>45</v>
      </c>
    </row>
    <row r="4374" spans="23:24" x14ac:dyDescent="0.25">
      <c r="W4374" s="574">
        <f t="shared" si="86"/>
        <v>4365</v>
      </c>
      <c r="X4374" s="564">
        <v>45</v>
      </c>
    </row>
    <row r="4375" spans="23:24" x14ac:dyDescent="0.25">
      <c r="W4375" s="574">
        <f t="shared" si="86"/>
        <v>4366</v>
      </c>
      <c r="X4375" s="564">
        <v>45</v>
      </c>
    </row>
    <row r="4376" spans="23:24" x14ac:dyDescent="0.25">
      <c r="W4376" s="574">
        <f t="shared" si="86"/>
        <v>4367</v>
      </c>
      <c r="X4376" s="564">
        <v>45</v>
      </c>
    </row>
    <row r="4377" spans="23:24" x14ac:dyDescent="0.25">
      <c r="W4377" s="574">
        <f t="shared" si="86"/>
        <v>4368</v>
      </c>
      <c r="X4377" s="564">
        <v>45</v>
      </c>
    </row>
    <row r="4378" spans="23:24" x14ac:dyDescent="0.25">
      <c r="W4378" s="574">
        <f t="shared" ref="W4378:W4441" si="87">W4377+1</f>
        <v>4369</v>
      </c>
      <c r="X4378" s="564">
        <v>45</v>
      </c>
    </row>
    <row r="4379" spans="23:24" x14ac:dyDescent="0.25">
      <c r="W4379" s="574">
        <f t="shared" si="87"/>
        <v>4370</v>
      </c>
      <c r="X4379" s="564">
        <v>45</v>
      </c>
    </row>
    <row r="4380" spans="23:24" x14ac:dyDescent="0.25">
      <c r="W4380" s="574">
        <f t="shared" si="87"/>
        <v>4371</v>
      </c>
      <c r="X4380" s="564">
        <v>45</v>
      </c>
    </row>
    <row r="4381" spans="23:24" x14ac:dyDescent="0.25">
      <c r="W4381" s="574">
        <f t="shared" si="87"/>
        <v>4372</v>
      </c>
      <c r="X4381" s="564">
        <v>45</v>
      </c>
    </row>
    <row r="4382" spans="23:24" x14ac:dyDescent="0.25">
      <c r="W4382" s="574">
        <f t="shared" si="87"/>
        <v>4373</v>
      </c>
      <c r="X4382" s="564">
        <v>45</v>
      </c>
    </row>
    <row r="4383" spans="23:24" x14ac:dyDescent="0.25">
      <c r="W4383" s="574">
        <f t="shared" si="87"/>
        <v>4374</v>
      </c>
      <c r="X4383" s="564">
        <v>45</v>
      </c>
    </row>
    <row r="4384" spans="23:24" x14ac:dyDescent="0.25">
      <c r="W4384" s="574">
        <f t="shared" si="87"/>
        <v>4375</v>
      </c>
      <c r="X4384" s="564">
        <v>45</v>
      </c>
    </row>
    <row r="4385" spans="23:24" x14ac:dyDescent="0.25">
      <c r="W4385" s="574">
        <f t="shared" si="87"/>
        <v>4376</v>
      </c>
      <c r="X4385" s="564">
        <v>45</v>
      </c>
    </row>
    <row r="4386" spans="23:24" x14ac:dyDescent="0.25">
      <c r="W4386" s="574">
        <f t="shared" si="87"/>
        <v>4377</v>
      </c>
      <c r="X4386" s="564">
        <v>45</v>
      </c>
    </row>
    <row r="4387" spans="23:24" x14ac:dyDescent="0.25">
      <c r="W4387" s="574">
        <f t="shared" si="87"/>
        <v>4378</v>
      </c>
      <c r="X4387" s="564">
        <v>45</v>
      </c>
    </row>
    <row r="4388" spans="23:24" x14ac:dyDescent="0.25">
      <c r="W4388" s="574">
        <f t="shared" si="87"/>
        <v>4379</v>
      </c>
      <c r="X4388" s="564">
        <v>45</v>
      </c>
    </row>
    <row r="4389" spans="23:24" x14ac:dyDescent="0.25">
      <c r="W4389" s="574">
        <f t="shared" si="87"/>
        <v>4380</v>
      </c>
      <c r="X4389" s="564">
        <v>45</v>
      </c>
    </row>
    <row r="4390" spans="23:24" x14ac:dyDescent="0.25">
      <c r="W4390" s="574">
        <f t="shared" si="87"/>
        <v>4381</v>
      </c>
      <c r="X4390" s="564">
        <v>45</v>
      </c>
    </row>
    <row r="4391" spans="23:24" x14ac:dyDescent="0.25">
      <c r="W4391" s="574">
        <f t="shared" si="87"/>
        <v>4382</v>
      </c>
      <c r="X4391" s="564">
        <v>45</v>
      </c>
    </row>
    <row r="4392" spans="23:24" x14ac:dyDescent="0.25">
      <c r="W4392" s="574">
        <f t="shared" si="87"/>
        <v>4383</v>
      </c>
      <c r="X4392" s="564">
        <v>45</v>
      </c>
    </row>
    <row r="4393" spans="23:24" x14ac:dyDescent="0.25">
      <c r="W4393" s="574">
        <f t="shared" si="87"/>
        <v>4384</v>
      </c>
      <c r="X4393" s="564">
        <v>45</v>
      </c>
    </row>
    <row r="4394" spans="23:24" x14ac:dyDescent="0.25">
      <c r="W4394" s="574">
        <f t="shared" si="87"/>
        <v>4385</v>
      </c>
      <c r="X4394" s="564">
        <v>45</v>
      </c>
    </row>
    <row r="4395" spans="23:24" x14ac:dyDescent="0.25">
      <c r="W4395" s="574">
        <f t="shared" si="87"/>
        <v>4386</v>
      </c>
      <c r="X4395" s="564">
        <v>45</v>
      </c>
    </row>
    <row r="4396" spans="23:24" x14ac:dyDescent="0.25">
      <c r="W4396" s="574">
        <f t="shared" si="87"/>
        <v>4387</v>
      </c>
      <c r="X4396" s="564">
        <v>45</v>
      </c>
    </row>
    <row r="4397" spans="23:24" x14ac:dyDescent="0.25">
      <c r="W4397" s="574">
        <f t="shared" si="87"/>
        <v>4388</v>
      </c>
      <c r="X4397" s="564">
        <v>45</v>
      </c>
    </row>
    <row r="4398" spans="23:24" x14ac:dyDescent="0.25">
      <c r="W4398" s="574">
        <f t="shared" si="87"/>
        <v>4389</v>
      </c>
      <c r="X4398" s="564">
        <v>45</v>
      </c>
    </row>
    <row r="4399" spans="23:24" x14ac:dyDescent="0.25">
      <c r="W4399" s="574">
        <f t="shared" si="87"/>
        <v>4390</v>
      </c>
      <c r="X4399" s="564">
        <v>45</v>
      </c>
    </row>
    <row r="4400" spans="23:24" x14ac:dyDescent="0.25">
      <c r="W4400" s="574">
        <f t="shared" si="87"/>
        <v>4391</v>
      </c>
      <c r="X4400" s="564">
        <v>45</v>
      </c>
    </row>
    <row r="4401" spans="23:24" x14ac:dyDescent="0.25">
      <c r="W4401" s="574">
        <f t="shared" si="87"/>
        <v>4392</v>
      </c>
      <c r="X4401" s="564">
        <v>45</v>
      </c>
    </row>
    <row r="4402" spans="23:24" x14ac:dyDescent="0.25">
      <c r="W4402" s="574">
        <f t="shared" si="87"/>
        <v>4393</v>
      </c>
      <c r="X4402" s="564">
        <v>45</v>
      </c>
    </row>
    <row r="4403" spans="23:24" x14ac:dyDescent="0.25">
      <c r="W4403" s="574">
        <f t="shared" si="87"/>
        <v>4394</v>
      </c>
      <c r="X4403" s="564">
        <v>45</v>
      </c>
    </row>
    <row r="4404" spans="23:24" x14ac:dyDescent="0.25">
      <c r="W4404" s="574">
        <f t="shared" si="87"/>
        <v>4395</v>
      </c>
      <c r="X4404" s="564">
        <v>45</v>
      </c>
    </row>
    <row r="4405" spans="23:24" x14ac:dyDescent="0.25">
      <c r="W4405" s="574">
        <f t="shared" si="87"/>
        <v>4396</v>
      </c>
      <c r="X4405" s="564">
        <v>45</v>
      </c>
    </row>
    <row r="4406" spans="23:24" x14ac:dyDescent="0.25">
      <c r="W4406" s="574">
        <f t="shared" si="87"/>
        <v>4397</v>
      </c>
      <c r="X4406" s="564">
        <v>45</v>
      </c>
    </row>
    <row r="4407" spans="23:24" x14ac:dyDescent="0.25">
      <c r="W4407" s="574">
        <f t="shared" si="87"/>
        <v>4398</v>
      </c>
      <c r="X4407" s="564">
        <v>45</v>
      </c>
    </row>
    <row r="4408" spans="23:24" x14ac:dyDescent="0.25">
      <c r="W4408" s="574">
        <f t="shared" si="87"/>
        <v>4399</v>
      </c>
      <c r="X4408" s="564">
        <v>45</v>
      </c>
    </row>
    <row r="4409" spans="23:24" x14ac:dyDescent="0.25">
      <c r="W4409" s="574">
        <f t="shared" si="87"/>
        <v>4400</v>
      </c>
      <c r="X4409" s="564">
        <v>45</v>
      </c>
    </row>
    <row r="4410" spans="23:24" x14ac:dyDescent="0.25">
      <c r="W4410" s="574">
        <f t="shared" si="87"/>
        <v>4401</v>
      </c>
      <c r="X4410" s="564">
        <v>45</v>
      </c>
    </row>
    <row r="4411" spans="23:24" x14ac:dyDescent="0.25">
      <c r="W4411" s="574">
        <f t="shared" si="87"/>
        <v>4402</v>
      </c>
      <c r="X4411" s="564">
        <v>45</v>
      </c>
    </row>
    <row r="4412" spans="23:24" x14ac:dyDescent="0.25">
      <c r="W4412" s="574">
        <f t="shared" si="87"/>
        <v>4403</v>
      </c>
      <c r="X4412" s="564">
        <v>45</v>
      </c>
    </row>
    <row r="4413" spans="23:24" x14ac:dyDescent="0.25">
      <c r="W4413" s="574">
        <f t="shared" si="87"/>
        <v>4404</v>
      </c>
      <c r="X4413" s="564">
        <v>45</v>
      </c>
    </row>
    <row r="4414" spans="23:24" x14ac:dyDescent="0.25">
      <c r="W4414" s="574">
        <f t="shared" si="87"/>
        <v>4405</v>
      </c>
      <c r="X4414" s="564">
        <v>45</v>
      </c>
    </row>
    <row r="4415" spans="23:24" x14ac:dyDescent="0.25">
      <c r="W4415" s="574">
        <f t="shared" si="87"/>
        <v>4406</v>
      </c>
      <c r="X4415" s="564">
        <v>45</v>
      </c>
    </row>
    <row r="4416" spans="23:24" x14ac:dyDescent="0.25">
      <c r="W4416" s="574">
        <f t="shared" si="87"/>
        <v>4407</v>
      </c>
      <c r="X4416" s="564">
        <v>45</v>
      </c>
    </row>
    <row r="4417" spans="23:24" x14ac:dyDescent="0.25">
      <c r="W4417" s="574">
        <f t="shared" si="87"/>
        <v>4408</v>
      </c>
      <c r="X4417" s="564">
        <v>45</v>
      </c>
    </row>
    <row r="4418" spans="23:24" x14ac:dyDescent="0.25">
      <c r="W4418" s="574">
        <f t="shared" si="87"/>
        <v>4409</v>
      </c>
      <c r="X4418" s="564">
        <v>45</v>
      </c>
    </row>
    <row r="4419" spans="23:24" x14ac:dyDescent="0.25">
      <c r="W4419" s="574">
        <f t="shared" si="87"/>
        <v>4410</v>
      </c>
      <c r="X4419" s="564">
        <v>45</v>
      </c>
    </row>
    <row r="4420" spans="23:24" x14ac:dyDescent="0.25">
      <c r="W4420" s="574">
        <f t="shared" si="87"/>
        <v>4411</v>
      </c>
      <c r="X4420" s="564">
        <v>45</v>
      </c>
    </row>
    <row r="4421" spans="23:24" x14ac:dyDescent="0.25">
      <c r="W4421" s="574">
        <f t="shared" si="87"/>
        <v>4412</v>
      </c>
      <c r="X4421" s="564">
        <v>45</v>
      </c>
    </row>
    <row r="4422" spans="23:24" x14ac:dyDescent="0.25">
      <c r="W4422" s="574">
        <f t="shared" si="87"/>
        <v>4413</v>
      </c>
      <c r="X4422" s="564">
        <v>45</v>
      </c>
    </row>
    <row r="4423" spans="23:24" x14ac:dyDescent="0.25">
      <c r="W4423" s="574">
        <f t="shared" si="87"/>
        <v>4414</v>
      </c>
      <c r="X4423" s="564">
        <v>45</v>
      </c>
    </row>
    <row r="4424" spans="23:24" x14ac:dyDescent="0.25">
      <c r="W4424" s="574">
        <f t="shared" si="87"/>
        <v>4415</v>
      </c>
      <c r="X4424" s="564">
        <v>45</v>
      </c>
    </row>
    <row r="4425" spans="23:24" x14ac:dyDescent="0.25">
      <c r="W4425" s="574">
        <f t="shared" si="87"/>
        <v>4416</v>
      </c>
      <c r="X4425" s="564">
        <v>45</v>
      </c>
    </row>
    <row r="4426" spans="23:24" x14ac:dyDescent="0.25">
      <c r="W4426" s="574">
        <f t="shared" si="87"/>
        <v>4417</v>
      </c>
      <c r="X4426" s="564">
        <v>45</v>
      </c>
    </row>
    <row r="4427" spans="23:24" x14ac:dyDescent="0.25">
      <c r="W4427" s="574">
        <f t="shared" si="87"/>
        <v>4418</v>
      </c>
      <c r="X4427" s="564">
        <v>45</v>
      </c>
    </row>
    <row r="4428" spans="23:24" x14ac:dyDescent="0.25">
      <c r="W4428" s="574">
        <f t="shared" si="87"/>
        <v>4419</v>
      </c>
      <c r="X4428" s="564">
        <v>45</v>
      </c>
    </row>
    <row r="4429" spans="23:24" x14ac:dyDescent="0.25">
      <c r="W4429" s="574">
        <f t="shared" si="87"/>
        <v>4420</v>
      </c>
      <c r="X4429" s="564">
        <v>45</v>
      </c>
    </row>
    <row r="4430" spans="23:24" x14ac:dyDescent="0.25">
      <c r="W4430" s="574">
        <f t="shared" si="87"/>
        <v>4421</v>
      </c>
      <c r="X4430" s="564">
        <v>45</v>
      </c>
    </row>
    <row r="4431" spans="23:24" x14ac:dyDescent="0.25">
      <c r="W4431" s="574">
        <f t="shared" si="87"/>
        <v>4422</v>
      </c>
      <c r="X4431" s="564">
        <v>45</v>
      </c>
    </row>
    <row r="4432" spans="23:24" x14ac:dyDescent="0.25">
      <c r="W4432" s="574">
        <f t="shared" si="87"/>
        <v>4423</v>
      </c>
      <c r="X4432" s="564">
        <v>45</v>
      </c>
    </row>
    <row r="4433" spans="23:24" x14ac:dyDescent="0.25">
      <c r="W4433" s="574">
        <f t="shared" si="87"/>
        <v>4424</v>
      </c>
      <c r="X4433" s="564">
        <v>45</v>
      </c>
    </row>
    <row r="4434" spans="23:24" x14ac:dyDescent="0.25">
      <c r="W4434" s="574">
        <f t="shared" si="87"/>
        <v>4425</v>
      </c>
      <c r="X4434" s="564">
        <v>45</v>
      </c>
    </row>
    <row r="4435" spans="23:24" x14ac:dyDescent="0.25">
      <c r="W4435" s="574">
        <f t="shared" si="87"/>
        <v>4426</v>
      </c>
      <c r="X4435" s="564">
        <v>45</v>
      </c>
    </row>
    <row r="4436" spans="23:24" x14ac:dyDescent="0.25">
      <c r="W4436" s="574">
        <f t="shared" si="87"/>
        <v>4427</v>
      </c>
      <c r="X4436" s="564">
        <v>45</v>
      </c>
    </row>
    <row r="4437" spans="23:24" x14ac:dyDescent="0.25">
      <c r="W4437" s="574">
        <f t="shared" si="87"/>
        <v>4428</v>
      </c>
      <c r="X4437" s="564">
        <v>45</v>
      </c>
    </row>
    <row r="4438" spans="23:24" x14ac:dyDescent="0.25">
      <c r="W4438" s="574">
        <f t="shared" si="87"/>
        <v>4429</v>
      </c>
      <c r="X4438" s="564">
        <v>45</v>
      </c>
    </row>
    <row r="4439" spans="23:24" x14ac:dyDescent="0.25">
      <c r="W4439" s="574">
        <f t="shared" si="87"/>
        <v>4430</v>
      </c>
      <c r="X4439" s="564">
        <v>45</v>
      </c>
    </row>
    <row r="4440" spans="23:24" x14ac:dyDescent="0.25">
      <c r="W4440" s="574">
        <f t="shared" si="87"/>
        <v>4431</v>
      </c>
      <c r="X4440" s="564">
        <v>45</v>
      </c>
    </row>
    <row r="4441" spans="23:24" x14ac:dyDescent="0.25">
      <c r="W4441" s="574">
        <f t="shared" si="87"/>
        <v>4432</v>
      </c>
      <c r="X4441" s="564">
        <v>45</v>
      </c>
    </row>
    <row r="4442" spans="23:24" x14ac:dyDescent="0.25">
      <c r="W4442" s="574">
        <f t="shared" ref="W4442:W4505" si="88">W4441+1</f>
        <v>4433</v>
      </c>
      <c r="X4442" s="564">
        <v>45</v>
      </c>
    </row>
    <row r="4443" spans="23:24" x14ac:dyDescent="0.25">
      <c r="W4443" s="574">
        <f t="shared" si="88"/>
        <v>4434</v>
      </c>
      <c r="X4443" s="564">
        <v>45</v>
      </c>
    </row>
    <row r="4444" spans="23:24" x14ac:dyDescent="0.25">
      <c r="W4444" s="574">
        <f t="shared" si="88"/>
        <v>4435</v>
      </c>
      <c r="X4444" s="564">
        <v>45</v>
      </c>
    </row>
    <row r="4445" spans="23:24" x14ac:dyDescent="0.25">
      <c r="W4445" s="574">
        <f t="shared" si="88"/>
        <v>4436</v>
      </c>
      <c r="X4445" s="564">
        <v>45</v>
      </c>
    </row>
    <row r="4446" spans="23:24" x14ac:dyDescent="0.25">
      <c r="W4446" s="574">
        <f t="shared" si="88"/>
        <v>4437</v>
      </c>
      <c r="X4446" s="564">
        <v>45</v>
      </c>
    </row>
    <row r="4447" spans="23:24" x14ac:dyDescent="0.25">
      <c r="W4447" s="574">
        <f t="shared" si="88"/>
        <v>4438</v>
      </c>
      <c r="X4447" s="564">
        <v>45</v>
      </c>
    </row>
    <row r="4448" spans="23:24" x14ac:dyDescent="0.25">
      <c r="W4448" s="574">
        <f t="shared" si="88"/>
        <v>4439</v>
      </c>
      <c r="X4448" s="564">
        <v>45</v>
      </c>
    </row>
    <row r="4449" spans="23:24" x14ac:dyDescent="0.25">
      <c r="W4449" s="574">
        <f t="shared" si="88"/>
        <v>4440</v>
      </c>
      <c r="X4449" s="564">
        <v>45</v>
      </c>
    </row>
    <row r="4450" spans="23:24" x14ac:dyDescent="0.25">
      <c r="W4450" s="574">
        <f t="shared" si="88"/>
        <v>4441</v>
      </c>
      <c r="X4450" s="564">
        <v>45</v>
      </c>
    </row>
    <row r="4451" spans="23:24" x14ac:dyDescent="0.25">
      <c r="W4451" s="574">
        <f t="shared" si="88"/>
        <v>4442</v>
      </c>
      <c r="X4451" s="564">
        <v>45</v>
      </c>
    </row>
    <row r="4452" spans="23:24" x14ac:dyDescent="0.25">
      <c r="W4452" s="574">
        <f t="shared" si="88"/>
        <v>4443</v>
      </c>
      <c r="X4452" s="564">
        <v>45</v>
      </c>
    </row>
    <row r="4453" spans="23:24" x14ac:dyDescent="0.25">
      <c r="W4453" s="574">
        <f t="shared" si="88"/>
        <v>4444</v>
      </c>
      <c r="X4453" s="564">
        <v>45</v>
      </c>
    </row>
    <row r="4454" spans="23:24" x14ac:dyDescent="0.25">
      <c r="W4454" s="574">
        <f t="shared" si="88"/>
        <v>4445</v>
      </c>
      <c r="X4454" s="564">
        <v>45</v>
      </c>
    </row>
    <row r="4455" spans="23:24" x14ac:dyDescent="0.25">
      <c r="W4455" s="574">
        <f t="shared" si="88"/>
        <v>4446</v>
      </c>
      <c r="X4455" s="564">
        <v>45</v>
      </c>
    </row>
    <row r="4456" spans="23:24" x14ac:dyDescent="0.25">
      <c r="W4456" s="574">
        <f t="shared" si="88"/>
        <v>4447</v>
      </c>
      <c r="X4456" s="564">
        <v>45</v>
      </c>
    </row>
    <row r="4457" spans="23:24" x14ac:dyDescent="0.25">
      <c r="W4457" s="574">
        <f t="shared" si="88"/>
        <v>4448</v>
      </c>
      <c r="X4457" s="564">
        <v>45</v>
      </c>
    </row>
    <row r="4458" spans="23:24" x14ac:dyDescent="0.25">
      <c r="W4458" s="574">
        <f t="shared" si="88"/>
        <v>4449</v>
      </c>
      <c r="X4458" s="564">
        <v>45</v>
      </c>
    </row>
    <row r="4459" spans="23:24" x14ac:dyDescent="0.25">
      <c r="W4459" s="574">
        <f t="shared" si="88"/>
        <v>4450</v>
      </c>
      <c r="X4459" s="564">
        <v>45</v>
      </c>
    </row>
    <row r="4460" spans="23:24" x14ac:dyDescent="0.25">
      <c r="W4460" s="574">
        <f t="shared" si="88"/>
        <v>4451</v>
      </c>
      <c r="X4460" s="564">
        <v>45</v>
      </c>
    </row>
    <row r="4461" spans="23:24" x14ac:dyDescent="0.25">
      <c r="W4461" s="574">
        <f t="shared" si="88"/>
        <v>4452</v>
      </c>
      <c r="X4461" s="564">
        <v>45</v>
      </c>
    </row>
    <row r="4462" spans="23:24" x14ac:dyDescent="0.25">
      <c r="W4462" s="574">
        <f t="shared" si="88"/>
        <v>4453</v>
      </c>
      <c r="X4462" s="564">
        <v>45</v>
      </c>
    </row>
    <row r="4463" spans="23:24" x14ac:dyDescent="0.25">
      <c r="W4463" s="574">
        <f t="shared" si="88"/>
        <v>4454</v>
      </c>
      <c r="X4463" s="564">
        <v>45</v>
      </c>
    </row>
    <row r="4464" spans="23:24" x14ac:dyDescent="0.25">
      <c r="W4464" s="574">
        <f t="shared" si="88"/>
        <v>4455</v>
      </c>
      <c r="X4464" s="564">
        <v>45</v>
      </c>
    </row>
    <row r="4465" spans="23:24" x14ac:dyDescent="0.25">
      <c r="W4465" s="574">
        <f t="shared" si="88"/>
        <v>4456</v>
      </c>
      <c r="X4465" s="564">
        <v>45</v>
      </c>
    </row>
    <row r="4466" spans="23:24" x14ac:dyDescent="0.25">
      <c r="W4466" s="574">
        <f t="shared" si="88"/>
        <v>4457</v>
      </c>
      <c r="X4466" s="564">
        <v>45</v>
      </c>
    </row>
    <row r="4467" spans="23:24" x14ac:dyDescent="0.25">
      <c r="W4467" s="574">
        <f t="shared" si="88"/>
        <v>4458</v>
      </c>
      <c r="X4467" s="564">
        <v>45</v>
      </c>
    </row>
    <row r="4468" spans="23:24" x14ac:dyDescent="0.25">
      <c r="W4468" s="574">
        <f t="shared" si="88"/>
        <v>4459</v>
      </c>
      <c r="X4468" s="564">
        <v>45</v>
      </c>
    </row>
    <row r="4469" spans="23:24" x14ac:dyDescent="0.25">
      <c r="W4469" s="574">
        <f t="shared" si="88"/>
        <v>4460</v>
      </c>
      <c r="X4469" s="564">
        <v>45</v>
      </c>
    </row>
    <row r="4470" spans="23:24" x14ac:dyDescent="0.25">
      <c r="W4470" s="574">
        <f t="shared" si="88"/>
        <v>4461</v>
      </c>
      <c r="X4470" s="564">
        <v>45</v>
      </c>
    </row>
    <row r="4471" spans="23:24" x14ac:dyDescent="0.25">
      <c r="W4471" s="574">
        <f t="shared" si="88"/>
        <v>4462</v>
      </c>
      <c r="X4471" s="564">
        <v>45</v>
      </c>
    </row>
    <row r="4472" spans="23:24" x14ac:dyDescent="0.25">
      <c r="W4472" s="574">
        <f t="shared" si="88"/>
        <v>4463</v>
      </c>
      <c r="X4472" s="564">
        <v>45</v>
      </c>
    </row>
    <row r="4473" spans="23:24" x14ac:dyDescent="0.25">
      <c r="W4473" s="574">
        <f t="shared" si="88"/>
        <v>4464</v>
      </c>
      <c r="X4473" s="564">
        <v>45</v>
      </c>
    </row>
    <row r="4474" spans="23:24" x14ac:dyDescent="0.25">
      <c r="W4474" s="574">
        <f t="shared" si="88"/>
        <v>4465</v>
      </c>
      <c r="X4474" s="564">
        <v>45</v>
      </c>
    </row>
    <row r="4475" spans="23:24" x14ac:dyDescent="0.25">
      <c r="W4475" s="574">
        <f t="shared" si="88"/>
        <v>4466</v>
      </c>
      <c r="X4475" s="564">
        <v>45</v>
      </c>
    </row>
    <row r="4476" spans="23:24" x14ac:dyDescent="0.25">
      <c r="W4476" s="574">
        <f t="shared" si="88"/>
        <v>4467</v>
      </c>
      <c r="X4476" s="564">
        <v>45</v>
      </c>
    </row>
    <row r="4477" spans="23:24" x14ac:dyDescent="0.25">
      <c r="W4477" s="574">
        <f t="shared" si="88"/>
        <v>4468</v>
      </c>
      <c r="X4477" s="564">
        <v>45</v>
      </c>
    </row>
    <row r="4478" spans="23:24" x14ac:dyDescent="0.25">
      <c r="W4478" s="574">
        <f t="shared" si="88"/>
        <v>4469</v>
      </c>
      <c r="X4478" s="564">
        <v>45</v>
      </c>
    </row>
    <row r="4479" spans="23:24" x14ac:dyDescent="0.25">
      <c r="W4479" s="574">
        <f t="shared" si="88"/>
        <v>4470</v>
      </c>
      <c r="X4479" s="564">
        <v>45</v>
      </c>
    </row>
    <row r="4480" spans="23:24" x14ac:dyDescent="0.25">
      <c r="W4480" s="574">
        <f t="shared" si="88"/>
        <v>4471</v>
      </c>
      <c r="X4480" s="564">
        <v>45</v>
      </c>
    </row>
    <row r="4481" spans="23:24" x14ac:dyDescent="0.25">
      <c r="W4481" s="574">
        <f t="shared" si="88"/>
        <v>4472</v>
      </c>
      <c r="X4481" s="564">
        <v>45</v>
      </c>
    </row>
    <row r="4482" spans="23:24" x14ac:dyDescent="0.25">
      <c r="W4482" s="574">
        <f t="shared" si="88"/>
        <v>4473</v>
      </c>
      <c r="X4482" s="564">
        <v>45</v>
      </c>
    </row>
    <row r="4483" spans="23:24" x14ac:dyDescent="0.25">
      <c r="W4483" s="574">
        <f t="shared" si="88"/>
        <v>4474</v>
      </c>
      <c r="X4483" s="564">
        <v>45</v>
      </c>
    </row>
    <row r="4484" spans="23:24" x14ac:dyDescent="0.25">
      <c r="W4484" s="574">
        <f t="shared" si="88"/>
        <v>4475</v>
      </c>
      <c r="X4484" s="564">
        <v>45</v>
      </c>
    </row>
    <row r="4485" spans="23:24" x14ac:dyDescent="0.25">
      <c r="W4485" s="574">
        <f t="shared" si="88"/>
        <v>4476</v>
      </c>
      <c r="X4485" s="564">
        <v>45</v>
      </c>
    </row>
    <row r="4486" spans="23:24" x14ac:dyDescent="0.25">
      <c r="W4486" s="574">
        <f t="shared" si="88"/>
        <v>4477</v>
      </c>
      <c r="X4486" s="564">
        <v>45</v>
      </c>
    </row>
    <row r="4487" spans="23:24" x14ac:dyDescent="0.25">
      <c r="W4487" s="574">
        <f t="shared" si="88"/>
        <v>4478</v>
      </c>
      <c r="X4487" s="564">
        <v>45</v>
      </c>
    </row>
    <row r="4488" spans="23:24" x14ac:dyDescent="0.25">
      <c r="W4488" s="574">
        <f t="shared" si="88"/>
        <v>4479</v>
      </c>
      <c r="X4488" s="564">
        <v>45</v>
      </c>
    </row>
    <row r="4489" spans="23:24" x14ac:dyDescent="0.25">
      <c r="W4489" s="574">
        <f t="shared" si="88"/>
        <v>4480</v>
      </c>
      <c r="X4489" s="564">
        <v>45</v>
      </c>
    </row>
    <row r="4490" spans="23:24" x14ac:dyDescent="0.25">
      <c r="W4490" s="574">
        <f t="shared" si="88"/>
        <v>4481</v>
      </c>
      <c r="X4490" s="564">
        <v>45</v>
      </c>
    </row>
    <row r="4491" spans="23:24" x14ac:dyDescent="0.25">
      <c r="W4491" s="574">
        <f t="shared" si="88"/>
        <v>4482</v>
      </c>
      <c r="X4491" s="564">
        <v>45</v>
      </c>
    </row>
    <row r="4492" spans="23:24" x14ac:dyDescent="0.25">
      <c r="W4492" s="574">
        <f t="shared" si="88"/>
        <v>4483</v>
      </c>
      <c r="X4492" s="564">
        <v>45</v>
      </c>
    </row>
    <row r="4493" spans="23:24" x14ac:dyDescent="0.25">
      <c r="W4493" s="574">
        <f t="shared" si="88"/>
        <v>4484</v>
      </c>
      <c r="X4493" s="564">
        <v>45</v>
      </c>
    </row>
    <row r="4494" spans="23:24" x14ac:dyDescent="0.25">
      <c r="W4494" s="574">
        <f t="shared" si="88"/>
        <v>4485</v>
      </c>
      <c r="X4494" s="564">
        <v>45</v>
      </c>
    </row>
    <row r="4495" spans="23:24" x14ac:dyDescent="0.25">
      <c r="W4495" s="574">
        <f t="shared" si="88"/>
        <v>4486</v>
      </c>
      <c r="X4495" s="564">
        <v>45</v>
      </c>
    </row>
    <row r="4496" spans="23:24" x14ac:dyDescent="0.25">
      <c r="W4496" s="574">
        <f t="shared" si="88"/>
        <v>4487</v>
      </c>
      <c r="X4496" s="564">
        <v>45</v>
      </c>
    </row>
    <row r="4497" spans="23:24" x14ac:dyDescent="0.25">
      <c r="W4497" s="574">
        <f t="shared" si="88"/>
        <v>4488</v>
      </c>
      <c r="X4497" s="564">
        <v>45</v>
      </c>
    </row>
    <row r="4498" spans="23:24" x14ac:dyDescent="0.25">
      <c r="W4498" s="574">
        <f t="shared" si="88"/>
        <v>4489</v>
      </c>
      <c r="X4498" s="564">
        <v>45</v>
      </c>
    </row>
    <row r="4499" spans="23:24" x14ac:dyDescent="0.25">
      <c r="W4499" s="574">
        <f t="shared" si="88"/>
        <v>4490</v>
      </c>
      <c r="X4499" s="564">
        <v>45</v>
      </c>
    </row>
    <row r="4500" spans="23:24" x14ac:dyDescent="0.25">
      <c r="W4500" s="574">
        <f t="shared" si="88"/>
        <v>4491</v>
      </c>
      <c r="X4500" s="564">
        <v>45</v>
      </c>
    </row>
    <row r="4501" spans="23:24" x14ac:dyDescent="0.25">
      <c r="W4501" s="574">
        <f t="shared" si="88"/>
        <v>4492</v>
      </c>
      <c r="X4501" s="564">
        <v>45</v>
      </c>
    </row>
    <row r="4502" spans="23:24" x14ac:dyDescent="0.25">
      <c r="W4502" s="574">
        <f t="shared" si="88"/>
        <v>4493</v>
      </c>
      <c r="X4502" s="564">
        <v>45</v>
      </c>
    </row>
    <row r="4503" spans="23:24" x14ac:dyDescent="0.25">
      <c r="W4503" s="574">
        <f t="shared" si="88"/>
        <v>4494</v>
      </c>
      <c r="X4503" s="564">
        <v>45</v>
      </c>
    </row>
    <row r="4504" spans="23:24" x14ac:dyDescent="0.25">
      <c r="W4504" s="574">
        <f t="shared" si="88"/>
        <v>4495</v>
      </c>
      <c r="X4504" s="564">
        <v>45</v>
      </c>
    </row>
    <row r="4505" spans="23:24" x14ac:dyDescent="0.25">
      <c r="W4505" s="574">
        <f t="shared" si="88"/>
        <v>4496</v>
      </c>
      <c r="X4505" s="564">
        <v>45</v>
      </c>
    </row>
    <row r="4506" spans="23:24" x14ac:dyDescent="0.25">
      <c r="W4506" s="574">
        <f>W4505+1</f>
        <v>4497</v>
      </c>
      <c r="X4506" s="564">
        <v>45</v>
      </c>
    </row>
    <row r="4507" spans="23:24" x14ac:dyDescent="0.25">
      <c r="W4507" s="574">
        <f>W4506+1</f>
        <v>4498</v>
      </c>
      <c r="X4507" s="564">
        <v>45</v>
      </c>
    </row>
    <row r="4508" spans="23:24" x14ac:dyDescent="0.25">
      <c r="W4508" s="574">
        <f>W4507+1</f>
        <v>4499</v>
      </c>
      <c r="X4508" s="564">
        <v>45</v>
      </c>
    </row>
    <row r="4509" spans="23:24" x14ac:dyDescent="0.25">
      <c r="W4509" s="574">
        <f>W4508+1</f>
        <v>4500</v>
      </c>
      <c r="X4509" s="564">
        <v>46</v>
      </c>
    </row>
    <row r="4510" spans="23:24" x14ac:dyDescent="0.25">
      <c r="W4510" s="574">
        <f t="shared" ref="W4510:W4516" si="89">W4509+1</f>
        <v>4501</v>
      </c>
      <c r="X4510" s="564">
        <v>46</v>
      </c>
    </row>
    <row r="4511" spans="23:24" x14ac:dyDescent="0.25">
      <c r="W4511" s="574">
        <f t="shared" si="89"/>
        <v>4502</v>
      </c>
      <c r="X4511" s="564">
        <v>46</v>
      </c>
    </row>
    <row r="4512" spans="23:24" x14ac:dyDescent="0.25">
      <c r="W4512" s="574">
        <f t="shared" si="89"/>
        <v>4503</v>
      </c>
      <c r="X4512" s="564">
        <v>46</v>
      </c>
    </row>
    <row r="4513" spans="23:24" x14ac:dyDescent="0.25">
      <c r="W4513" s="574">
        <f t="shared" si="89"/>
        <v>4504</v>
      </c>
      <c r="X4513" s="564">
        <v>46</v>
      </c>
    </row>
    <row r="4514" spans="23:24" x14ac:dyDescent="0.25">
      <c r="W4514" s="574">
        <f t="shared" si="89"/>
        <v>4505</v>
      </c>
      <c r="X4514" s="564">
        <v>46</v>
      </c>
    </row>
    <row r="4515" spans="23:24" x14ac:dyDescent="0.25">
      <c r="W4515" s="574">
        <f t="shared" si="89"/>
        <v>4506</v>
      </c>
      <c r="X4515" s="564">
        <v>46</v>
      </c>
    </row>
    <row r="4516" spans="23:24" x14ac:dyDescent="0.25">
      <c r="W4516" s="574">
        <f t="shared" si="89"/>
        <v>4507</v>
      </c>
      <c r="X4516" s="564">
        <v>46</v>
      </c>
    </row>
    <row r="4517" spans="23:24" x14ac:dyDescent="0.25">
      <c r="W4517" s="574">
        <f t="shared" ref="W4517:W4580" si="90">W4516+1</f>
        <v>4508</v>
      </c>
      <c r="X4517" s="564">
        <v>46</v>
      </c>
    </row>
    <row r="4518" spans="23:24" x14ac:dyDescent="0.25">
      <c r="W4518" s="574">
        <f t="shared" si="90"/>
        <v>4509</v>
      </c>
      <c r="X4518" s="564">
        <v>46</v>
      </c>
    </row>
    <row r="4519" spans="23:24" x14ac:dyDescent="0.25">
      <c r="W4519" s="574">
        <f t="shared" si="90"/>
        <v>4510</v>
      </c>
      <c r="X4519" s="564">
        <v>46</v>
      </c>
    </row>
    <row r="4520" spans="23:24" x14ac:dyDescent="0.25">
      <c r="W4520" s="574">
        <f t="shared" si="90"/>
        <v>4511</v>
      </c>
      <c r="X4520" s="564">
        <v>46</v>
      </c>
    </row>
    <row r="4521" spans="23:24" x14ac:dyDescent="0.25">
      <c r="W4521" s="574">
        <f t="shared" si="90"/>
        <v>4512</v>
      </c>
      <c r="X4521" s="564">
        <v>46</v>
      </c>
    </row>
    <row r="4522" spans="23:24" x14ac:dyDescent="0.25">
      <c r="W4522" s="574">
        <f t="shared" si="90"/>
        <v>4513</v>
      </c>
      <c r="X4522" s="564">
        <v>46</v>
      </c>
    </row>
    <row r="4523" spans="23:24" x14ac:dyDescent="0.25">
      <c r="W4523" s="574">
        <f t="shared" si="90"/>
        <v>4514</v>
      </c>
      <c r="X4523" s="564">
        <v>46</v>
      </c>
    </row>
    <row r="4524" spans="23:24" x14ac:dyDescent="0.25">
      <c r="W4524" s="574">
        <f t="shared" si="90"/>
        <v>4515</v>
      </c>
      <c r="X4524" s="564">
        <v>46</v>
      </c>
    </row>
    <row r="4525" spans="23:24" x14ac:dyDescent="0.25">
      <c r="W4525" s="574">
        <f t="shared" si="90"/>
        <v>4516</v>
      </c>
      <c r="X4525" s="564">
        <v>46</v>
      </c>
    </row>
    <row r="4526" spans="23:24" x14ac:dyDescent="0.25">
      <c r="W4526" s="574">
        <f t="shared" si="90"/>
        <v>4517</v>
      </c>
      <c r="X4526" s="564">
        <v>46</v>
      </c>
    </row>
    <row r="4527" spans="23:24" x14ac:dyDescent="0.25">
      <c r="W4527" s="574">
        <f t="shared" si="90"/>
        <v>4518</v>
      </c>
      <c r="X4527" s="564">
        <v>46</v>
      </c>
    </row>
    <row r="4528" spans="23:24" x14ac:dyDescent="0.25">
      <c r="W4528" s="574">
        <f t="shared" si="90"/>
        <v>4519</v>
      </c>
      <c r="X4528" s="564">
        <v>46</v>
      </c>
    </row>
    <row r="4529" spans="23:24" x14ac:dyDescent="0.25">
      <c r="W4529" s="574">
        <f t="shared" si="90"/>
        <v>4520</v>
      </c>
      <c r="X4529" s="564">
        <v>46</v>
      </c>
    </row>
    <row r="4530" spans="23:24" x14ac:dyDescent="0.25">
      <c r="W4530" s="574">
        <f t="shared" si="90"/>
        <v>4521</v>
      </c>
      <c r="X4530" s="564">
        <v>46</v>
      </c>
    </row>
    <row r="4531" spans="23:24" x14ac:dyDescent="0.25">
      <c r="W4531" s="574">
        <f t="shared" si="90"/>
        <v>4522</v>
      </c>
      <c r="X4531" s="564">
        <v>46</v>
      </c>
    </row>
    <row r="4532" spans="23:24" x14ac:dyDescent="0.25">
      <c r="W4532" s="574">
        <f t="shared" si="90"/>
        <v>4523</v>
      </c>
      <c r="X4532" s="564">
        <v>46</v>
      </c>
    </row>
    <row r="4533" spans="23:24" x14ac:dyDescent="0.25">
      <c r="W4533" s="574">
        <f t="shared" si="90"/>
        <v>4524</v>
      </c>
      <c r="X4533" s="564">
        <v>46</v>
      </c>
    </row>
    <row r="4534" spans="23:24" x14ac:dyDescent="0.25">
      <c r="W4534" s="574">
        <f t="shared" si="90"/>
        <v>4525</v>
      </c>
      <c r="X4534" s="564">
        <v>46</v>
      </c>
    </row>
    <row r="4535" spans="23:24" x14ac:dyDescent="0.25">
      <c r="W4535" s="574">
        <f t="shared" si="90"/>
        <v>4526</v>
      </c>
      <c r="X4535" s="564">
        <v>46</v>
      </c>
    </row>
    <row r="4536" spans="23:24" x14ac:dyDescent="0.25">
      <c r="W4536" s="574">
        <f t="shared" si="90"/>
        <v>4527</v>
      </c>
      <c r="X4536" s="564">
        <v>46</v>
      </c>
    </row>
    <row r="4537" spans="23:24" x14ac:dyDescent="0.25">
      <c r="W4537" s="574">
        <f t="shared" si="90"/>
        <v>4528</v>
      </c>
      <c r="X4537" s="564">
        <v>46</v>
      </c>
    </row>
    <row r="4538" spans="23:24" x14ac:dyDescent="0.25">
      <c r="W4538" s="574">
        <f t="shared" si="90"/>
        <v>4529</v>
      </c>
      <c r="X4538" s="564">
        <v>46</v>
      </c>
    </row>
    <row r="4539" spans="23:24" x14ac:dyDescent="0.25">
      <c r="W4539" s="574">
        <f t="shared" si="90"/>
        <v>4530</v>
      </c>
      <c r="X4539" s="564">
        <v>46</v>
      </c>
    </row>
    <row r="4540" spans="23:24" x14ac:dyDescent="0.25">
      <c r="W4540" s="574">
        <f t="shared" si="90"/>
        <v>4531</v>
      </c>
      <c r="X4540" s="564">
        <v>46</v>
      </c>
    </row>
    <row r="4541" spans="23:24" x14ac:dyDescent="0.25">
      <c r="W4541" s="574">
        <f t="shared" si="90"/>
        <v>4532</v>
      </c>
      <c r="X4541" s="564">
        <v>46</v>
      </c>
    </row>
    <row r="4542" spans="23:24" x14ac:dyDescent="0.25">
      <c r="W4542" s="574">
        <f t="shared" si="90"/>
        <v>4533</v>
      </c>
      <c r="X4542" s="564">
        <v>46</v>
      </c>
    </row>
    <row r="4543" spans="23:24" x14ac:dyDescent="0.25">
      <c r="W4543" s="574">
        <f t="shared" si="90"/>
        <v>4534</v>
      </c>
      <c r="X4543" s="564">
        <v>46</v>
      </c>
    </row>
    <row r="4544" spans="23:24" x14ac:dyDescent="0.25">
      <c r="W4544" s="574">
        <f t="shared" si="90"/>
        <v>4535</v>
      </c>
      <c r="X4544" s="564">
        <v>46</v>
      </c>
    </row>
    <row r="4545" spans="23:24" x14ac:dyDescent="0.25">
      <c r="W4545" s="574">
        <f t="shared" si="90"/>
        <v>4536</v>
      </c>
      <c r="X4545" s="564">
        <v>46</v>
      </c>
    </row>
    <row r="4546" spans="23:24" x14ac:dyDescent="0.25">
      <c r="W4546" s="574">
        <f t="shared" si="90"/>
        <v>4537</v>
      </c>
      <c r="X4546" s="564">
        <v>46</v>
      </c>
    </row>
    <row r="4547" spans="23:24" x14ac:dyDescent="0.25">
      <c r="W4547" s="574">
        <f t="shared" si="90"/>
        <v>4538</v>
      </c>
      <c r="X4547" s="564">
        <v>46</v>
      </c>
    </row>
    <row r="4548" spans="23:24" x14ac:dyDescent="0.25">
      <c r="W4548" s="574">
        <f t="shared" si="90"/>
        <v>4539</v>
      </c>
      <c r="X4548" s="564">
        <v>46</v>
      </c>
    </row>
    <row r="4549" spans="23:24" x14ac:dyDescent="0.25">
      <c r="W4549" s="574">
        <f t="shared" si="90"/>
        <v>4540</v>
      </c>
      <c r="X4549" s="564">
        <v>46</v>
      </c>
    </row>
    <row r="4550" spans="23:24" x14ac:dyDescent="0.25">
      <c r="W4550" s="574">
        <f t="shared" si="90"/>
        <v>4541</v>
      </c>
      <c r="X4550" s="564">
        <v>46</v>
      </c>
    </row>
    <row r="4551" spans="23:24" x14ac:dyDescent="0.25">
      <c r="W4551" s="574">
        <f t="shared" si="90"/>
        <v>4542</v>
      </c>
      <c r="X4551" s="564">
        <v>46</v>
      </c>
    </row>
    <row r="4552" spans="23:24" x14ac:dyDescent="0.25">
      <c r="W4552" s="574">
        <f t="shared" si="90"/>
        <v>4543</v>
      </c>
      <c r="X4552" s="564">
        <v>46</v>
      </c>
    </row>
    <row r="4553" spans="23:24" x14ac:dyDescent="0.25">
      <c r="W4553" s="574">
        <f t="shared" si="90"/>
        <v>4544</v>
      </c>
      <c r="X4553" s="564">
        <v>46</v>
      </c>
    </row>
    <row r="4554" spans="23:24" x14ac:dyDescent="0.25">
      <c r="W4554" s="574">
        <f t="shared" si="90"/>
        <v>4545</v>
      </c>
      <c r="X4554" s="564">
        <v>46</v>
      </c>
    </row>
    <row r="4555" spans="23:24" x14ac:dyDescent="0.25">
      <c r="W4555" s="574">
        <f t="shared" si="90"/>
        <v>4546</v>
      </c>
      <c r="X4555" s="564">
        <v>46</v>
      </c>
    </row>
    <row r="4556" spans="23:24" x14ac:dyDescent="0.25">
      <c r="W4556" s="574">
        <f t="shared" si="90"/>
        <v>4547</v>
      </c>
      <c r="X4556" s="564">
        <v>46</v>
      </c>
    </row>
    <row r="4557" spans="23:24" x14ac:dyDescent="0.25">
      <c r="W4557" s="574">
        <f t="shared" si="90"/>
        <v>4548</v>
      </c>
      <c r="X4557" s="564">
        <v>46</v>
      </c>
    </row>
    <row r="4558" spans="23:24" x14ac:dyDescent="0.25">
      <c r="W4558" s="574">
        <f t="shared" si="90"/>
        <v>4549</v>
      </c>
      <c r="X4558" s="564">
        <v>46</v>
      </c>
    </row>
    <row r="4559" spans="23:24" x14ac:dyDescent="0.25">
      <c r="W4559" s="574">
        <f t="shared" si="90"/>
        <v>4550</v>
      </c>
      <c r="X4559" s="564">
        <v>46</v>
      </c>
    </row>
    <row r="4560" spans="23:24" x14ac:dyDescent="0.25">
      <c r="W4560" s="574">
        <f t="shared" si="90"/>
        <v>4551</v>
      </c>
      <c r="X4560" s="564">
        <v>46</v>
      </c>
    </row>
    <row r="4561" spans="23:24" x14ac:dyDescent="0.25">
      <c r="W4561" s="574">
        <f t="shared" si="90"/>
        <v>4552</v>
      </c>
      <c r="X4561" s="564">
        <v>46</v>
      </c>
    </row>
    <row r="4562" spans="23:24" x14ac:dyDescent="0.25">
      <c r="W4562" s="574">
        <f t="shared" si="90"/>
        <v>4553</v>
      </c>
      <c r="X4562" s="564">
        <v>46</v>
      </c>
    </row>
    <row r="4563" spans="23:24" x14ac:dyDescent="0.25">
      <c r="W4563" s="574">
        <f t="shared" si="90"/>
        <v>4554</v>
      </c>
      <c r="X4563" s="564">
        <v>46</v>
      </c>
    </row>
    <row r="4564" spans="23:24" x14ac:dyDescent="0.25">
      <c r="W4564" s="574">
        <f t="shared" si="90"/>
        <v>4555</v>
      </c>
      <c r="X4564" s="564">
        <v>46</v>
      </c>
    </row>
    <row r="4565" spans="23:24" x14ac:dyDescent="0.25">
      <c r="W4565" s="574">
        <f t="shared" si="90"/>
        <v>4556</v>
      </c>
      <c r="X4565" s="564">
        <v>46</v>
      </c>
    </row>
    <row r="4566" spans="23:24" x14ac:dyDescent="0.25">
      <c r="W4566" s="574">
        <f t="shared" si="90"/>
        <v>4557</v>
      </c>
      <c r="X4566" s="564">
        <v>46</v>
      </c>
    </row>
    <row r="4567" spans="23:24" x14ac:dyDescent="0.25">
      <c r="W4567" s="574">
        <f t="shared" si="90"/>
        <v>4558</v>
      </c>
      <c r="X4567" s="564">
        <v>46</v>
      </c>
    </row>
    <row r="4568" spans="23:24" x14ac:dyDescent="0.25">
      <c r="W4568" s="574">
        <f t="shared" si="90"/>
        <v>4559</v>
      </c>
      <c r="X4568" s="564">
        <v>46</v>
      </c>
    </row>
    <row r="4569" spans="23:24" x14ac:dyDescent="0.25">
      <c r="W4569" s="574">
        <f t="shared" si="90"/>
        <v>4560</v>
      </c>
      <c r="X4569" s="564">
        <v>46</v>
      </c>
    </row>
    <row r="4570" spans="23:24" x14ac:dyDescent="0.25">
      <c r="W4570" s="574">
        <f t="shared" si="90"/>
        <v>4561</v>
      </c>
      <c r="X4570" s="564">
        <v>46</v>
      </c>
    </row>
    <row r="4571" spans="23:24" x14ac:dyDescent="0.25">
      <c r="W4571" s="574">
        <f t="shared" si="90"/>
        <v>4562</v>
      </c>
      <c r="X4571" s="564">
        <v>46</v>
      </c>
    </row>
    <row r="4572" spans="23:24" x14ac:dyDescent="0.25">
      <c r="W4572" s="574">
        <f t="shared" si="90"/>
        <v>4563</v>
      </c>
      <c r="X4572" s="564">
        <v>46</v>
      </c>
    </row>
    <row r="4573" spans="23:24" x14ac:dyDescent="0.25">
      <c r="W4573" s="574">
        <f t="shared" si="90"/>
        <v>4564</v>
      </c>
      <c r="X4573" s="564">
        <v>46</v>
      </c>
    </row>
    <row r="4574" spans="23:24" x14ac:dyDescent="0.25">
      <c r="W4574" s="574">
        <f t="shared" si="90"/>
        <v>4565</v>
      </c>
      <c r="X4574" s="564">
        <v>46</v>
      </c>
    </row>
    <row r="4575" spans="23:24" x14ac:dyDescent="0.25">
      <c r="W4575" s="574">
        <f t="shared" si="90"/>
        <v>4566</v>
      </c>
      <c r="X4575" s="564">
        <v>46</v>
      </c>
    </row>
    <row r="4576" spans="23:24" x14ac:dyDescent="0.25">
      <c r="W4576" s="574">
        <f t="shared" si="90"/>
        <v>4567</v>
      </c>
      <c r="X4576" s="564">
        <v>46</v>
      </c>
    </row>
    <row r="4577" spans="23:24" x14ac:dyDescent="0.25">
      <c r="W4577" s="574">
        <f t="shared" si="90"/>
        <v>4568</v>
      </c>
      <c r="X4577" s="564">
        <v>46</v>
      </c>
    </row>
    <row r="4578" spans="23:24" x14ac:dyDescent="0.25">
      <c r="W4578" s="574">
        <f t="shared" si="90"/>
        <v>4569</v>
      </c>
      <c r="X4578" s="564">
        <v>46</v>
      </c>
    </row>
    <row r="4579" spans="23:24" x14ac:dyDescent="0.25">
      <c r="W4579" s="574">
        <f t="shared" si="90"/>
        <v>4570</v>
      </c>
      <c r="X4579" s="564">
        <v>46</v>
      </c>
    </row>
    <row r="4580" spans="23:24" x14ac:dyDescent="0.25">
      <c r="W4580" s="574">
        <f t="shared" si="90"/>
        <v>4571</v>
      </c>
      <c r="X4580" s="564">
        <v>46</v>
      </c>
    </row>
    <row r="4581" spans="23:24" x14ac:dyDescent="0.25">
      <c r="W4581" s="574">
        <f t="shared" ref="W4581:W4644" si="91">W4580+1</f>
        <v>4572</v>
      </c>
      <c r="X4581" s="564">
        <v>46</v>
      </c>
    </row>
    <row r="4582" spans="23:24" x14ac:dyDescent="0.25">
      <c r="W4582" s="574">
        <f t="shared" si="91"/>
        <v>4573</v>
      </c>
      <c r="X4582" s="564">
        <v>46</v>
      </c>
    </row>
    <row r="4583" spans="23:24" x14ac:dyDescent="0.25">
      <c r="W4583" s="574">
        <f t="shared" si="91"/>
        <v>4574</v>
      </c>
      <c r="X4583" s="564">
        <v>46</v>
      </c>
    </row>
    <row r="4584" spans="23:24" x14ac:dyDescent="0.25">
      <c r="W4584" s="574">
        <f t="shared" si="91"/>
        <v>4575</v>
      </c>
      <c r="X4584" s="564">
        <v>46</v>
      </c>
    </row>
    <row r="4585" spans="23:24" x14ac:dyDescent="0.25">
      <c r="W4585" s="574">
        <f t="shared" si="91"/>
        <v>4576</v>
      </c>
      <c r="X4585" s="564">
        <v>46</v>
      </c>
    </row>
    <row r="4586" spans="23:24" x14ac:dyDescent="0.25">
      <c r="W4586" s="574">
        <f t="shared" si="91"/>
        <v>4577</v>
      </c>
      <c r="X4586" s="564">
        <v>46</v>
      </c>
    </row>
    <row r="4587" spans="23:24" x14ac:dyDescent="0.25">
      <c r="W4587" s="574">
        <f t="shared" si="91"/>
        <v>4578</v>
      </c>
      <c r="X4587" s="564">
        <v>46</v>
      </c>
    </row>
    <row r="4588" spans="23:24" x14ac:dyDescent="0.25">
      <c r="W4588" s="574">
        <f t="shared" si="91"/>
        <v>4579</v>
      </c>
      <c r="X4588" s="564">
        <v>46</v>
      </c>
    </row>
    <row r="4589" spans="23:24" x14ac:dyDescent="0.25">
      <c r="W4589" s="574">
        <f t="shared" si="91"/>
        <v>4580</v>
      </c>
      <c r="X4589" s="564">
        <v>46</v>
      </c>
    </row>
    <row r="4590" spans="23:24" x14ac:dyDescent="0.25">
      <c r="W4590" s="574">
        <f t="shared" si="91"/>
        <v>4581</v>
      </c>
      <c r="X4590" s="564">
        <v>46</v>
      </c>
    </row>
    <row r="4591" spans="23:24" x14ac:dyDescent="0.25">
      <c r="W4591" s="574">
        <f t="shared" si="91"/>
        <v>4582</v>
      </c>
      <c r="X4591" s="564">
        <v>46</v>
      </c>
    </row>
    <row r="4592" spans="23:24" x14ac:dyDescent="0.25">
      <c r="W4592" s="574">
        <f t="shared" si="91"/>
        <v>4583</v>
      </c>
      <c r="X4592" s="564">
        <v>46</v>
      </c>
    </row>
    <row r="4593" spans="23:24" x14ac:dyDescent="0.25">
      <c r="W4593" s="574">
        <f t="shared" si="91"/>
        <v>4584</v>
      </c>
      <c r="X4593" s="564">
        <v>46</v>
      </c>
    </row>
    <row r="4594" spans="23:24" x14ac:dyDescent="0.25">
      <c r="W4594" s="574">
        <f t="shared" si="91"/>
        <v>4585</v>
      </c>
      <c r="X4594" s="564">
        <v>46</v>
      </c>
    </row>
    <row r="4595" spans="23:24" x14ac:dyDescent="0.25">
      <c r="W4595" s="574">
        <f t="shared" si="91"/>
        <v>4586</v>
      </c>
      <c r="X4595" s="564">
        <v>46</v>
      </c>
    </row>
    <row r="4596" spans="23:24" x14ac:dyDescent="0.25">
      <c r="W4596" s="574">
        <f t="shared" si="91"/>
        <v>4587</v>
      </c>
      <c r="X4596" s="564">
        <v>46</v>
      </c>
    </row>
    <row r="4597" spans="23:24" x14ac:dyDescent="0.25">
      <c r="W4597" s="574">
        <f t="shared" si="91"/>
        <v>4588</v>
      </c>
      <c r="X4597" s="564">
        <v>46</v>
      </c>
    </row>
    <row r="4598" spans="23:24" x14ac:dyDescent="0.25">
      <c r="W4598" s="574">
        <f t="shared" si="91"/>
        <v>4589</v>
      </c>
      <c r="X4598" s="564">
        <v>46</v>
      </c>
    </row>
    <row r="4599" spans="23:24" x14ac:dyDescent="0.25">
      <c r="W4599" s="574">
        <f t="shared" si="91"/>
        <v>4590</v>
      </c>
      <c r="X4599" s="564">
        <v>46</v>
      </c>
    </row>
    <row r="4600" spans="23:24" x14ac:dyDescent="0.25">
      <c r="W4600" s="574">
        <f t="shared" si="91"/>
        <v>4591</v>
      </c>
      <c r="X4600" s="564">
        <v>46</v>
      </c>
    </row>
    <row r="4601" spans="23:24" x14ac:dyDescent="0.25">
      <c r="W4601" s="574">
        <f t="shared" si="91"/>
        <v>4592</v>
      </c>
      <c r="X4601" s="564">
        <v>46</v>
      </c>
    </row>
    <row r="4602" spans="23:24" x14ac:dyDescent="0.25">
      <c r="W4602" s="574">
        <f t="shared" si="91"/>
        <v>4593</v>
      </c>
      <c r="X4602" s="564">
        <v>46</v>
      </c>
    </row>
    <row r="4603" spans="23:24" x14ac:dyDescent="0.25">
      <c r="W4603" s="574">
        <f t="shared" si="91"/>
        <v>4594</v>
      </c>
      <c r="X4603" s="564">
        <v>46</v>
      </c>
    </row>
    <row r="4604" spans="23:24" x14ac:dyDescent="0.25">
      <c r="W4604" s="574">
        <f t="shared" si="91"/>
        <v>4595</v>
      </c>
      <c r="X4604" s="564">
        <v>46</v>
      </c>
    </row>
    <row r="4605" spans="23:24" x14ac:dyDescent="0.25">
      <c r="W4605" s="574">
        <f t="shared" si="91"/>
        <v>4596</v>
      </c>
      <c r="X4605" s="564">
        <v>46</v>
      </c>
    </row>
    <row r="4606" spans="23:24" x14ac:dyDescent="0.25">
      <c r="W4606" s="574">
        <f t="shared" si="91"/>
        <v>4597</v>
      </c>
      <c r="X4606" s="564">
        <v>46</v>
      </c>
    </row>
    <row r="4607" spans="23:24" x14ac:dyDescent="0.25">
      <c r="W4607" s="574">
        <f t="shared" si="91"/>
        <v>4598</v>
      </c>
      <c r="X4607" s="564">
        <v>46</v>
      </c>
    </row>
    <row r="4608" spans="23:24" x14ac:dyDescent="0.25">
      <c r="W4608" s="574">
        <f t="shared" si="91"/>
        <v>4599</v>
      </c>
      <c r="X4608" s="564">
        <v>46</v>
      </c>
    </row>
    <row r="4609" spans="23:24" x14ac:dyDescent="0.25">
      <c r="W4609" s="574">
        <f t="shared" si="91"/>
        <v>4600</v>
      </c>
      <c r="X4609" s="564">
        <v>46</v>
      </c>
    </row>
    <row r="4610" spans="23:24" x14ac:dyDescent="0.25">
      <c r="W4610" s="574">
        <f t="shared" si="91"/>
        <v>4601</v>
      </c>
      <c r="X4610" s="564">
        <v>46</v>
      </c>
    </row>
    <row r="4611" spans="23:24" x14ac:dyDescent="0.25">
      <c r="W4611" s="574">
        <f t="shared" si="91"/>
        <v>4602</v>
      </c>
      <c r="X4611" s="564">
        <v>46</v>
      </c>
    </row>
    <row r="4612" spans="23:24" x14ac:dyDescent="0.25">
      <c r="W4612" s="574">
        <f t="shared" si="91"/>
        <v>4603</v>
      </c>
      <c r="X4612" s="564">
        <v>46</v>
      </c>
    </row>
    <row r="4613" spans="23:24" x14ac:dyDescent="0.25">
      <c r="W4613" s="574">
        <f t="shared" si="91"/>
        <v>4604</v>
      </c>
      <c r="X4613" s="564">
        <v>46</v>
      </c>
    </row>
    <row r="4614" spans="23:24" x14ac:dyDescent="0.25">
      <c r="W4614" s="574">
        <f t="shared" si="91"/>
        <v>4605</v>
      </c>
      <c r="X4614" s="564">
        <v>46</v>
      </c>
    </row>
    <row r="4615" spans="23:24" x14ac:dyDescent="0.25">
      <c r="W4615" s="574">
        <f t="shared" si="91"/>
        <v>4606</v>
      </c>
      <c r="X4615" s="564">
        <v>46</v>
      </c>
    </row>
    <row r="4616" spans="23:24" x14ac:dyDescent="0.25">
      <c r="W4616" s="574">
        <f t="shared" si="91"/>
        <v>4607</v>
      </c>
      <c r="X4616" s="564">
        <v>46</v>
      </c>
    </row>
    <row r="4617" spans="23:24" x14ac:dyDescent="0.25">
      <c r="W4617" s="574">
        <f t="shared" si="91"/>
        <v>4608</v>
      </c>
      <c r="X4617" s="564">
        <v>46</v>
      </c>
    </row>
    <row r="4618" spans="23:24" x14ac:dyDescent="0.25">
      <c r="W4618" s="574">
        <f t="shared" si="91"/>
        <v>4609</v>
      </c>
      <c r="X4618" s="564">
        <v>46</v>
      </c>
    </row>
    <row r="4619" spans="23:24" x14ac:dyDescent="0.25">
      <c r="W4619" s="574">
        <f t="shared" si="91"/>
        <v>4610</v>
      </c>
      <c r="X4619" s="564">
        <v>46</v>
      </c>
    </row>
    <row r="4620" spans="23:24" x14ac:dyDescent="0.25">
      <c r="W4620" s="574">
        <f t="shared" si="91"/>
        <v>4611</v>
      </c>
      <c r="X4620" s="564">
        <v>46</v>
      </c>
    </row>
    <row r="4621" spans="23:24" x14ac:dyDescent="0.25">
      <c r="W4621" s="574">
        <f t="shared" si="91"/>
        <v>4612</v>
      </c>
      <c r="X4621" s="564">
        <v>46</v>
      </c>
    </row>
    <row r="4622" spans="23:24" x14ac:dyDescent="0.25">
      <c r="W4622" s="574">
        <f t="shared" si="91"/>
        <v>4613</v>
      </c>
      <c r="X4622" s="564">
        <v>46</v>
      </c>
    </row>
    <row r="4623" spans="23:24" x14ac:dyDescent="0.25">
      <c r="W4623" s="574">
        <f t="shared" si="91"/>
        <v>4614</v>
      </c>
      <c r="X4623" s="564">
        <v>46</v>
      </c>
    </row>
    <row r="4624" spans="23:24" x14ac:dyDescent="0.25">
      <c r="W4624" s="574">
        <f t="shared" si="91"/>
        <v>4615</v>
      </c>
      <c r="X4624" s="564">
        <v>46</v>
      </c>
    </row>
    <row r="4625" spans="23:24" x14ac:dyDescent="0.25">
      <c r="W4625" s="574">
        <f t="shared" si="91"/>
        <v>4616</v>
      </c>
      <c r="X4625" s="564">
        <v>46</v>
      </c>
    </row>
    <row r="4626" spans="23:24" x14ac:dyDescent="0.25">
      <c r="W4626" s="574">
        <f t="shared" si="91"/>
        <v>4617</v>
      </c>
      <c r="X4626" s="564">
        <v>46</v>
      </c>
    </row>
    <row r="4627" spans="23:24" x14ac:dyDescent="0.25">
      <c r="W4627" s="574">
        <f t="shared" si="91"/>
        <v>4618</v>
      </c>
      <c r="X4627" s="564">
        <v>46</v>
      </c>
    </row>
    <row r="4628" spans="23:24" x14ac:dyDescent="0.25">
      <c r="W4628" s="574">
        <f t="shared" si="91"/>
        <v>4619</v>
      </c>
      <c r="X4628" s="564">
        <v>46</v>
      </c>
    </row>
    <row r="4629" spans="23:24" x14ac:dyDescent="0.25">
      <c r="W4629" s="574">
        <f t="shared" si="91"/>
        <v>4620</v>
      </c>
      <c r="X4629" s="564">
        <v>46</v>
      </c>
    </row>
    <row r="4630" spans="23:24" x14ac:dyDescent="0.25">
      <c r="W4630" s="574">
        <f t="shared" si="91"/>
        <v>4621</v>
      </c>
      <c r="X4630" s="564">
        <v>46</v>
      </c>
    </row>
    <row r="4631" spans="23:24" x14ac:dyDescent="0.25">
      <c r="W4631" s="574">
        <f t="shared" si="91"/>
        <v>4622</v>
      </c>
      <c r="X4631" s="564">
        <v>46</v>
      </c>
    </row>
    <row r="4632" spans="23:24" x14ac:dyDescent="0.25">
      <c r="W4632" s="574">
        <f t="shared" si="91"/>
        <v>4623</v>
      </c>
      <c r="X4632" s="564">
        <v>46</v>
      </c>
    </row>
    <row r="4633" spans="23:24" x14ac:dyDescent="0.25">
      <c r="W4633" s="574">
        <f t="shared" si="91"/>
        <v>4624</v>
      </c>
      <c r="X4633" s="564">
        <v>46</v>
      </c>
    </row>
    <row r="4634" spans="23:24" x14ac:dyDescent="0.25">
      <c r="W4634" s="574">
        <f t="shared" si="91"/>
        <v>4625</v>
      </c>
      <c r="X4634" s="564">
        <v>46</v>
      </c>
    </row>
    <row r="4635" spans="23:24" x14ac:dyDescent="0.25">
      <c r="W4635" s="574">
        <f t="shared" si="91"/>
        <v>4626</v>
      </c>
      <c r="X4635" s="564">
        <v>46</v>
      </c>
    </row>
    <row r="4636" spans="23:24" x14ac:dyDescent="0.25">
      <c r="W4636" s="574">
        <f t="shared" si="91"/>
        <v>4627</v>
      </c>
      <c r="X4636" s="564">
        <v>46</v>
      </c>
    </row>
    <row r="4637" spans="23:24" x14ac:dyDescent="0.25">
      <c r="W4637" s="574">
        <f t="shared" si="91"/>
        <v>4628</v>
      </c>
      <c r="X4637" s="564">
        <v>46</v>
      </c>
    </row>
    <row r="4638" spans="23:24" x14ac:dyDescent="0.25">
      <c r="W4638" s="574">
        <f t="shared" si="91"/>
        <v>4629</v>
      </c>
      <c r="X4638" s="564">
        <v>46</v>
      </c>
    </row>
    <row r="4639" spans="23:24" x14ac:dyDescent="0.25">
      <c r="W4639" s="574">
        <f t="shared" si="91"/>
        <v>4630</v>
      </c>
      <c r="X4639" s="564">
        <v>46</v>
      </c>
    </row>
    <row r="4640" spans="23:24" x14ac:dyDescent="0.25">
      <c r="W4640" s="574">
        <f t="shared" si="91"/>
        <v>4631</v>
      </c>
      <c r="X4640" s="564">
        <v>46</v>
      </c>
    </row>
    <row r="4641" spans="23:24" x14ac:dyDescent="0.25">
      <c r="W4641" s="574">
        <f t="shared" si="91"/>
        <v>4632</v>
      </c>
      <c r="X4641" s="564">
        <v>46</v>
      </c>
    </row>
    <row r="4642" spans="23:24" x14ac:dyDescent="0.25">
      <c r="W4642" s="574">
        <f t="shared" si="91"/>
        <v>4633</v>
      </c>
      <c r="X4642" s="564">
        <v>46</v>
      </c>
    </row>
    <row r="4643" spans="23:24" x14ac:dyDescent="0.25">
      <c r="W4643" s="574">
        <f t="shared" si="91"/>
        <v>4634</v>
      </c>
      <c r="X4643" s="564">
        <v>46</v>
      </c>
    </row>
    <row r="4644" spans="23:24" x14ac:dyDescent="0.25">
      <c r="W4644" s="574">
        <f t="shared" si="91"/>
        <v>4635</v>
      </c>
      <c r="X4644" s="564">
        <v>46</v>
      </c>
    </row>
    <row r="4645" spans="23:24" x14ac:dyDescent="0.25">
      <c r="W4645" s="574">
        <f t="shared" ref="W4645:W4708" si="92">W4644+1</f>
        <v>4636</v>
      </c>
      <c r="X4645" s="564">
        <v>46</v>
      </c>
    </row>
    <row r="4646" spans="23:24" x14ac:dyDescent="0.25">
      <c r="W4646" s="574">
        <f t="shared" si="92"/>
        <v>4637</v>
      </c>
      <c r="X4646" s="564">
        <v>46</v>
      </c>
    </row>
    <row r="4647" spans="23:24" x14ac:dyDescent="0.25">
      <c r="W4647" s="574">
        <f t="shared" si="92"/>
        <v>4638</v>
      </c>
      <c r="X4647" s="564">
        <v>46</v>
      </c>
    </row>
    <row r="4648" spans="23:24" x14ac:dyDescent="0.25">
      <c r="W4648" s="574">
        <f t="shared" si="92"/>
        <v>4639</v>
      </c>
      <c r="X4648" s="564">
        <v>46</v>
      </c>
    </row>
    <row r="4649" spans="23:24" x14ac:dyDescent="0.25">
      <c r="W4649" s="574">
        <f t="shared" si="92"/>
        <v>4640</v>
      </c>
      <c r="X4649" s="564">
        <v>46</v>
      </c>
    </row>
    <row r="4650" spans="23:24" x14ac:dyDescent="0.25">
      <c r="W4650" s="574">
        <f t="shared" si="92"/>
        <v>4641</v>
      </c>
      <c r="X4650" s="564">
        <v>46</v>
      </c>
    </row>
    <row r="4651" spans="23:24" x14ac:dyDescent="0.25">
      <c r="W4651" s="574">
        <f t="shared" si="92"/>
        <v>4642</v>
      </c>
      <c r="X4651" s="564">
        <v>46</v>
      </c>
    </row>
    <row r="4652" spans="23:24" x14ac:dyDescent="0.25">
      <c r="W4652" s="574">
        <f t="shared" si="92"/>
        <v>4643</v>
      </c>
      <c r="X4652" s="564">
        <v>46</v>
      </c>
    </row>
    <row r="4653" spans="23:24" x14ac:dyDescent="0.25">
      <c r="W4653" s="574">
        <f t="shared" si="92"/>
        <v>4644</v>
      </c>
      <c r="X4653" s="564">
        <v>46</v>
      </c>
    </row>
    <row r="4654" spans="23:24" x14ac:dyDescent="0.25">
      <c r="W4654" s="574">
        <f t="shared" si="92"/>
        <v>4645</v>
      </c>
      <c r="X4654" s="564">
        <v>46</v>
      </c>
    </row>
    <row r="4655" spans="23:24" x14ac:dyDescent="0.25">
      <c r="W4655" s="574">
        <f t="shared" si="92"/>
        <v>4646</v>
      </c>
      <c r="X4655" s="564">
        <v>46</v>
      </c>
    </row>
    <row r="4656" spans="23:24" x14ac:dyDescent="0.25">
      <c r="W4656" s="574">
        <f t="shared" si="92"/>
        <v>4647</v>
      </c>
      <c r="X4656" s="564">
        <v>46</v>
      </c>
    </row>
    <row r="4657" spans="23:24" x14ac:dyDescent="0.25">
      <c r="W4657" s="574">
        <f t="shared" si="92"/>
        <v>4648</v>
      </c>
      <c r="X4657" s="564">
        <v>46</v>
      </c>
    </row>
    <row r="4658" spans="23:24" x14ac:dyDescent="0.25">
      <c r="W4658" s="574">
        <f t="shared" si="92"/>
        <v>4649</v>
      </c>
      <c r="X4658" s="564">
        <v>46</v>
      </c>
    </row>
    <row r="4659" spans="23:24" x14ac:dyDescent="0.25">
      <c r="W4659" s="574">
        <f t="shared" si="92"/>
        <v>4650</v>
      </c>
      <c r="X4659" s="564">
        <v>46</v>
      </c>
    </row>
    <row r="4660" spans="23:24" x14ac:dyDescent="0.25">
      <c r="W4660" s="574">
        <f t="shared" si="92"/>
        <v>4651</v>
      </c>
      <c r="X4660" s="564">
        <v>46</v>
      </c>
    </row>
    <row r="4661" spans="23:24" x14ac:dyDescent="0.25">
      <c r="W4661" s="574">
        <f t="shared" si="92"/>
        <v>4652</v>
      </c>
      <c r="X4661" s="564">
        <v>46</v>
      </c>
    </row>
    <row r="4662" spans="23:24" x14ac:dyDescent="0.25">
      <c r="W4662" s="574">
        <f t="shared" si="92"/>
        <v>4653</v>
      </c>
      <c r="X4662" s="564">
        <v>46</v>
      </c>
    </row>
    <row r="4663" spans="23:24" x14ac:dyDescent="0.25">
      <c r="W4663" s="574">
        <f t="shared" si="92"/>
        <v>4654</v>
      </c>
      <c r="X4663" s="564">
        <v>46</v>
      </c>
    </row>
    <row r="4664" spans="23:24" x14ac:dyDescent="0.25">
      <c r="W4664" s="574">
        <f t="shared" si="92"/>
        <v>4655</v>
      </c>
      <c r="X4664" s="564">
        <v>46</v>
      </c>
    </row>
    <row r="4665" spans="23:24" x14ac:dyDescent="0.25">
      <c r="W4665" s="574">
        <f t="shared" si="92"/>
        <v>4656</v>
      </c>
      <c r="X4665" s="564">
        <v>46</v>
      </c>
    </row>
    <row r="4666" spans="23:24" x14ac:dyDescent="0.25">
      <c r="W4666" s="574">
        <f t="shared" si="92"/>
        <v>4657</v>
      </c>
      <c r="X4666" s="564">
        <v>46</v>
      </c>
    </row>
    <row r="4667" spans="23:24" x14ac:dyDescent="0.25">
      <c r="W4667" s="574">
        <f t="shared" si="92"/>
        <v>4658</v>
      </c>
      <c r="X4667" s="564">
        <v>46</v>
      </c>
    </row>
    <row r="4668" spans="23:24" x14ac:dyDescent="0.25">
      <c r="W4668" s="574">
        <f t="shared" si="92"/>
        <v>4659</v>
      </c>
      <c r="X4668" s="564">
        <v>46</v>
      </c>
    </row>
    <row r="4669" spans="23:24" x14ac:dyDescent="0.25">
      <c r="W4669" s="574">
        <f t="shared" si="92"/>
        <v>4660</v>
      </c>
      <c r="X4669" s="564">
        <v>46</v>
      </c>
    </row>
    <row r="4670" spans="23:24" x14ac:dyDescent="0.25">
      <c r="W4670" s="574">
        <f t="shared" si="92"/>
        <v>4661</v>
      </c>
      <c r="X4670" s="564">
        <v>46</v>
      </c>
    </row>
    <row r="4671" spans="23:24" x14ac:dyDescent="0.25">
      <c r="W4671" s="574">
        <f t="shared" si="92"/>
        <v>4662</v>
      </c>
      <c r="X4671" s="564">
        <v>46</v>
      </c>
    </row>
    <row r="4672" spans="23:24" x14ac:dyDescent="0.25">
      <c r="W4672" s="574">
        <f t="shared" si="92"/>
        <v>4663</v>
      </c>
      <c r="X4672" s="564">
        <v>46</v>
      </c>
    </row>
    <row r="4673" spans="23:24" x14ac:dyDescent="0.25">
      <c r="W4673" s="574">
        <f t="shared" si="92"/>
        <v>4664</v>
      </c>
      <c r="X4673" s="564">
        <v>46</v>
      </c>
    </row>
    <row r="4674" spans="23:24" x14ac:dyDescent="0.25">
      <c r="W4674" s="574">
        <f t="shared" si="92"/>
        <v>4665</v>
      </c>
      <c r="X4674" s="564">
        <v>46</v>
      </c>
    </row>
    <row r="4675" spans="23:24" x14ac:dyDescent="0.25">
      <c r="W4675" s="574">
        <f t="shared" si="92"/>
        <v>4666</v>
      </c>
      <c r="X4675" s="564">
        <v>46</v>
      </c>
    </row>
    <row r="4676" spans="23:24" x14ac:dyDescent="0.25">
      <c r="W4676" s="574">
        <f t="shared" si="92"/>
        <v>4667</v>
      </c>
      <c r="X4676" s="564">
        <v>46</v>
      </c>
    </row>
    <row r="4677" spans="23:24" x14ac:dyDescent="0.25">
      <c r="W4677" s="574">
        <f t="shared" si="92"/>
        <v>4668</v>
      </c>
      <c r="X4677" s="564">
        <v>46</v>
      </c>
    </row>
    <row r="4678" spans="23:24" x14ac:dyDescent="0.25">
      <c r="W4678" s="574">
        <f t="shared" si="92"/>
        <v>4669</v>
      </c>
      <c r="X4678" s="564">
        <v>46</v>
      </c>
    </row>
    <row r="4679" spans="23:24" x14ac:dyDescent="0.25">
      <c r="W4679" s="574">
        <f t="shared" si="92"/>
        <v>4670</v>
      </c>
      <c r="X4679" s="564">
        <v>46</v>
      </c>
    </row>
    <row r="4680" spans="23:24" x14ac:dyDescent="0.25">
      <c r="W4680" s="574">
        <f t="shared" si="92"/>
        <v>4671</v>
      </c>
      <c r="X4680" s="564">
        <v>46</v>
      </c>
    </row>
    <row r="4681" spans="23:24" x14ac:dyDescent="0.25">
      <c r="W4681" s="574">
        <f t="shared" si="92"/>
        <v>4672</v>
      </c>
      <c r="X4681" s="564">
        <v>46</v>
      </c>
    </row>
    <row r="4682" spans="23:24" x14ac:dyDescent="0.25">
      <c r="W4682" s="574">
        <f t="shared" si="92"/>
        <v>4673</v>
      </c>
      <c r="X4682" s="564">
        <v>46</v>
      </c>
    </row>
    <row r="4683" spans="23:24" x14ac:dyDescent="0.25">
      <c r="W4683" s="574">
        <f t="shared" si="92"/>
        <v>4674</v>
      </c>
      <c r="X4683" s="564">
        <v>46</v>
      </c>
    </row>
    <row r="4684" spans="23:24" x14ac:dyDescent="0.25">
      <c r="W4684" s="574">
        <f t="shared" si="92"/>
        <v>4675</v>
      </c>
      <c r="X4684" s="564">
        <v>46</v>
      </c>
    </row>
    <row r="4685" spans="23:24" x14ac:dyDescent="0.25">
      <c r="W4685" s="574">
        <f t="shared" si="92"/>
        <v>4676</v>
      </c>
      <c r="X4685" s="564">
        <v>46</v>
      </c>
    </row>
    <row r="4686" spans="23:24" x14ac:dyDescent="0.25">
      <c r="W4686" s="574">
        <f t="shared" si="92"/>
        <v>4677</v>
      </c>
      <c r="X4686" s="564">
        <v>46</v>
      </c>
    </row>
    <row r="4687" spans="23:24" x14ac:dyDescent="0.25">
      <c r="W4687" s="574">
        <f t="shared" si="92"/>
        <v>4678</v>
      </c>
      <c r="X4687" s="564">
        <v>46</v>
      </c>
    </row>
    <row r="4688" spans="23:24" x14ac:dyDescent="0.25">
      <c r="W4688" s="574">
        <f t="shared" si="92"/>
        <v>4679</v>
      </c>
      <c r="X4688" s="564">
        <v>46</v>
      </c>
    </row>
    <row r="4689" spans="23:24" x14ac:dyDescent="0.25">
      <c r="W4689" s="574">
        <f t="shared" si="92"/>
        <v>4680</v>
      </c>
      <c r="X4689" s="564">
        <v>46</v>
      </c>
    </row>
    <row r="4690" spans="23:24" x14ac:dyDescent="0.25">
      <c r="W4690" s="574">
        <f t="shared" si="92"/>
        <v>4681</v>
      </c>
      <c r="X4690" s="564">
        <v>46</v>
      </c>
    </row>
    <row r="4691" spans="23:24" x14ac:dyDescent="0.25">
      <c r="W4691" s="574">
        <f t="shared" si="92"/>
        <v>4682</v>
      </c>
      <c r="X4691" s="564">
        <v>46</v>
      </c>
    </row>
    <row r="4692" spans="23:24" x14ac:dyDescent="0.25">
      <c r="W4692" s="574">
        <f t="shared" si="92"/>
        <v>4683</v>
      </c>
      <c r="X4692" s="564">
        <v>46</v>
      </c>
    </row>
    <row r="4693" spans="23:24" x14ac:dyDescent="0.25">
      <c r="W4693" s="574">
        <f t="shared" si="92"/>
        <v>4684</v>
      </c>
      <c r="X4693" s="564">
        <v>46</v>
      </c>
    </row>
    <row r="4694" spans="23:24" x14ac:dyDescent="0.25">
      <c r="W4694" s="574">
        <f t="shared" si="92"/>
        <v>4685</v>
      </c>
      <c r="X4694" s="564">
        <v>46</v>
      </c>
    </row>
    <row r="4695" spans="23:24" x14ac:dyDescent="0.25">
      <c r="W4695" s="574">
        <f t="shared" si="92"/>
        <v>4686</v>
      </c>
      <c r="X4695" s="564">
        <v>46</v>
      </c>
    </row>
    <row r="4696" spans="23:24" x14ac:dyDescent="0.25">
      <c r="W4696" s="574">
        <f t="shared" si="92"/>
        <v>4687</v>
      </c>
      <c r="X4696" s="564">
        <v>46</v>
      </c>
    </row>
    <row r="4697" spans="23:24" x14ac:dyDescent="0.25">
      <c r="W4697" s="574">
        <f t="shared" si="92"/>
        <v>4688</v>
      </c>
      <c r="X4697" s="564">
        <v>46</v>
      </c>
    </row>
    <row r="4698" spans="23:24" x14ac:dyDescent="0.25">
      <c r="W4698" s="574">
        <f t="shared" si="92"/>
        <v>4689</v>
      </c>
      <c r="X4698" s="564">
        <v>46</v>
      </c>
    </row>
    <row r="4699" spans="23:24" x14ac:dyDescent="0.25">
      <c r="W4699" s="574">
        <f t="shared" si="92"/>
        <v>4690</v>
      </c>
      <c r="X4699" s="564">
        <v>46</v>
      </c>
    </row>
    <row r="4700" spans="23:24" x14ac:dyDescent="0.25">
      <c r="W4700" s="574">
        <f t="shared" si="92"/>
        <v>4691</v>
      </c>
      <c r="X4700" s="564">
        <v>46</v>
      </c>
    </row>
    <row r="4701" spans="23:24" x14ac:dyDescent="0.25">
      <c r="W4701" s="574">
        <f t="shared" si="92"/>
        <v>4692</v>
      </c>
      <c r="X4701" s="564">
        <v>46</v>
      </c>
    </row>
    <row r="4702" spans="23:24" x14ac:dyDescent="0.25">
      <c r="W4702" s="574">
        <f t="shared" si="92"/>
        <v>4693</v>
      </c>
      <c r="X4702" s="564">
        <v>46</v>
      </c>
    </row>
    <row r="4703" spans="23:24" x14ac:dyDescent="0.25">
      <c r="W4703" s="574">
        <f t="shared" si="92"/>
        <v>4694</v>
      </c>
      <c r="X4703" s="564">
        <v>46</v>
      </c>
    </row>
    <row r="4704" spans="23:24" x14ac:dyDescent="0.25">
      <c r="W4704" s="574">
        <f t="shared" si="92"/>
        <v>4695</v>
      </c>
      <c r="X4704" s="564">
        <v>46</v>
      </c>
    </row>
    <row r="4705" spans="23:24" x14ac:dyDescent="0.25">
      <c r="W4705" s="574">
        <f t="shared" si="92"/>
        <v>4696</v>
      </c>
      <c r="X4705" s="564">
        <v>46</v>
      </c>
    </row>
    <row r="4706" spans="23:24" x14ac:dyDescent="0.25">
      <c r="W4706" s="574">
        <f t="shared" si="92"/>
        <v>4697</v>
      </c>
      <c r="X4706" s="564">
        <v>46</v>
      </c>
    </row>
    <row r="4707" spans="23:24" x14ac:dyDescent="0.25">
      <c r="W4707" s="574">
        <f t="shared" si="92"/>
        <v>4698</v>
      </c>
      <c r="X4707" s="564">
        <v>46</v>
      </c>
    </row>
    <row r="4708" spans="23:24" x14ac:dyDescent="0.25">
      <c r="W4708" s="574">
        <f t="shared" si="92"/>
        <v>4699</v>
      </c>
      <c r="X4708" s="564">
        <v>46</v>
      </c>
    </row>
    <row r="4709" spans="23:24" x14ac:dyDescent="0.25">
      <c r="W4709" s="574">
        <f t="shared" ref="W4709:W4772" si="93">W4708+1</f>
        <v>4700</v>
      </c>
      <c r="X4709" s="564">
        <v>46</v>
      </c>
    </row>
    <row r="4710" spans="23:24" x14ac:dyDescent="0.25">
      <c r="W4710" s="574">
        <f t="shared" si="93"/>
        <v>4701</v>
      </c>
      <c r="X4710" s="564">
        <v>46</v>
      </c>
    </row>
    <row r="4711" spans="23:24" x14ac:dyDescent="0.25">
      <c r="W4711" s="574">
        <f t="shared" si="93"/>
        <v>4702</v>
      </c>
      <c r="X4711" s="564">
        <v>46</v>
      </c>
    </row>
    <row r="4712" spans="23:24" x14ac:dyDescent="0.25">
      <c r="W4712" s="574">
        <f t="shared" si="93"/>
        <v>4703</v>
      </c>
      <c r="X4712" s="564">
        <v>46</v>
      </c>
    </row>
    <row r="4713" spans="23:24" x14ac:dyDescent="0.25">
      <c r="W4713" s="574">
        <f t="shared" si="93"/>
        <v>4704</v>
      </c>
      <c r="X4713" s="564">
        <v>46</v>
      </c>
    </row>
    <row r="4714" spans="23:24" x14ac:dyDescent="0.25">
      <c r="W4714" s="574">
        <f t="shared" si="93"/>
        <v>4705</v>
      </c>
      <c r="X4714" s="564">
        <v>46</v>
      </c>
    </row>
    <row r="4715" spans="23:24" x14ac:dyDescent="0.25">
      <c r="W4715" s="574">
        <f t="shared" si="93"/>
        <v>4706</v>
      </c>
      <c r="X4715" s="564">
        <v>46</v>
      </c>
    </row>
    <row r="4716" spans="23:24" x14ac:dyDescent="0.25">
      <c r="W4716" s="574">
        <f t="shared" si="93"/>
        <v>4707</v>
      </c>
      <c r="X4716" s="564">
        <v>46</v>
      </c>
    </row>
    <row r="4717" spans="23:24" x14ac:dyDescent="0.25">
      <c r="W4717" s="574">
        <f t="shared" si="93"/>
        <v>4708</v>
      </c>
      <c r="X4717" s="564">
        <v>46</v>
      </c>
    </row>
    <row r="4718" spans="23:24" x14ac:dyDescent="0.25">
      <c r="W4718" s="574">
        <f t="shared" si="93"/>
        <v>4709</v>
      </c>
      <c r="X4718" s="564">
        <v>46</v>
      </c>
    </row>
    <row r="4719" spans="23:24" x14ac:dyDescent="0.25">
      <c r="W4719" s="574">
        <f t="shared" si="93"/>
        <v>4710</v>
      </c>
      <c r="X4719" s="564">
        <v>46</v>
      </c>
    </row>
    <row r="4720" spans="23:24" x14ac:dyDescent="0.25">
      <c r="W4720" s="574">
        <f t="shared" si="93"/>
        <v>4711</v>
      </c>
      <c r="X4720" s="564">
        <v>46</v>
      </c>
    </row>
    <row r="4721" spans="23:24" x14ac:dyDescent="0.25">
      <c r="W4721" s="574">
        <f t="shared" si="93"/>
        <v>4712</v>
      </c>
      <c r="X4721" s="564">
        <v>46</v>
      </c>
    </row>
    <row r="4722" spans="23:24" x14ac:dyDescent="0.25">
      <c r="W4722" s="574">
        <f t="shared" si="93"/>
        <v>4713</v>
      </c>
      <c r="X4722" s="564">
        <v>46</v>
      </c>
    </row>
    <row r="4723" spans="23:24" x14ac:dyDescent="0.25">
      <c r="W4723" s="574">
        <f t="shared" si="93"/>
        <v>4714</v>
      </c>
      <c r="X4723" s="564">
        <v>46</v>
      </c>
    </row>
    <row r="4724" spans="23:24" x14ac:dyDescent="0.25">
      <c r="W4724" s="574">
        <f t="shared" si="93"/>
        <v>4715</v>
      </c>
      <c r="X4724" s="564">
        <v>46</v>
      </c>
    </row>
    <row r="4725" spans="23:24" x14ac:dyDescent="0.25">
      <c r="W4725" s="574">
        <f t="shared" si="93"/>
        <v>4716</v>
      </c>
      <c r="X4725" s="564">
        <v>46</v>
      </c>
    </row>
    <row r="4726" spans="23:24" x14ac:dyDescent="0.25">
      <c r="W4726" s="574">
        <f t="shared" si="93"/>
        <v>4717</v>
      </c>
      <c r="X4726" s="564">
        <v>46</v>
      </c>
    </row>
    <row r="4727" spans="23:24" x14ac:dyDescent="0.25">
      <c r="W4727" s="574">
        <f t="shared" si="93"/>
        <v>4718</v>
      </c>
      <c r="X4727" s="564">
        <v>46</v>
      </c>
    </row>
    <row r="4728" spans="23:24" x14ac:dyDescent="0.25">
      <c r="W4728" s="574">
        <f t="shared" si="93"/>
        <v>4719</v>
      </c>
      <c r="X4728" s="564">
        <v>46</v>
      </c>
    </row>
    <row r="4729" spans="23:24" x14ac:dyDescent="0.25">
      <c r="W4729" s="574">
        <f t="shared" si="93"/>
        <v>4720</v>
      </c>
      <c r="X4729" s="564">
        <v>46</v>
      </c>
    </row>
    <row r="4730" spans="23:24" x14ac:dyDescent="0.25">
      <c r="W4730" s="574">
        <f t="shared" si="93"/>
        <v>4721</v>
      </c>
      <c r="X4730" s="564">
        <v>46</v>
      </c>
    </row>
    <row r="4731" spans="23:24" x14ac:dyDescent="0.25">
      <c r="W4731" s="574">
        <f t="shared" si="93"/>
        <v>4722</v>
      </c>
      <c r="X4731" s="564">
        <v>46</v>
      </c>
    </row>
    <row r="4732" spans="23:24" x14ac:dyDescent="0.25">
      <c r="W4732" s="574">
        <f t="shared" si="93"/>
        <v>4723</v>
      </c>
      <c r="X4732" s="564">
        <v>46</v>
      </c>
    </row>
    <row r="4733" spans="23:24" x14ac:dyDescent="0.25">
      <c r="W4733" s="574">
        <f t="shared" si="93"/>
        <v>4724</v>
      </c>
      <c r="X4733" s="564">
        <v>46</v>
      </c>
    </row>
    <row r="4734" spans="23:24" x14ac:dyDescent="0.25">
      <c r="W4734" s="574">
        <f t="shared" si="93"/>
        <v>4725</v>
      </c>
      <c r="X4734" s="564">
        <v>46</v>
      </c>
    </row>
    <row r="4735" spans="23:24" x14ac:dyDescent="0.25">
      <c r="W4735" s="574">
        <f t="shared" si="93"/>
        <v>4726</v>
      </c>
      <c r="X4735" s="564">
        <v>46</v>
      </c>
    </row>
    <row r="4736" spans="23:24" x14ac:dyDescent="0.25">
      <c r="W4736" s="574">
        <f t="shared" si="93"/>
        <v>4727</v>
      </c>
      <c r="X4736" s="564">
        <v>46</v>
      </c>
    </row>
    <row r="4737" spans="23:24" x14ac:dyDescent="0.25">
      <c r="W4737" s="574">
        <f t="shared" si="93"/>
        <v>4728</v>
      </c>
      <c r="X4737" s="564">
        <v>46</v>
      </c>
    </row>
    <row r="4738" spans="23:24" x14ac:dyDescent="0.25">
      <c r="W4738" s="574">
        <f t="shared" si="93"/>
        <v>4729</v>
      </c>
      <c r="X4738" s="564">
        <v>46</v>
      </c>
    </row>
    <row r="4739" spans="23:24" x14ac:dyDescent="0.25">
      <c r="W4739" s="574">
        <f t="shared" si="93"/>
        <v>4730</v>
      </c>
      <c r="X4739" s="564">
        <v>46</v>
      </c>
    </row>
    <row r="4740" spans="23:24" x14ac:dyDescent="0.25">
      <c r="W4740" s="574">
        <f t="shared" si="93"/>
        <v>4731</v>
      </c>
      <c r="X4740" s="564">
        <v>46</v>
      </c>
    </row>
    <row r="4741" spans="23:24" x14ac:dyDescent="0.25">
      <c r="W4741" s="574">
        <f t="shared" si="93"/>
        <v>4732</v>
      </c>
      <c r="X4741" s="564">
        <v>46</v>
      </c>
    </row>
    <row r="4742" spans="23:24" x14ac:dyDescent="0.25">
      <c r="W4742" s="574">
        <f t="shared" si="93"/>
        <v>4733</v>
      </c>
      <c r="X4742" s="564">
        <v>46</v>
      </c>
    </row>
    <row r="4743" spans="23:24" x14ac:dyDescent="0.25">
      <c r="W4743" s="574">
        <f t="shared" si="93"/>
        <v>4734</v>
      </c>
      <c r="X4743" s="564">
        <v>46</v>
      </c>
    </row>
    <row r="4744" spans="23:24" x14ac:dyDescent="0.25">
      <c r="W4744" s="574">
        <f t="shared" si="93"/>
        <v>4735</v>
      </c>
      <c r="X4744" s="564">
        <v>46</v>
      </c>
    </row>
    <row r="4745" spans="23:24" x14ac:dyDescent="0.25">
      <c r="W4745" s="574">
        <f t="shared" si="93"/>
        <v>4736</v>
      </c>
      <c r="X4745" s="564">
        <v>46</v>
      </c>
    </row>
    <row r="4746" spans="23:24" x14ac:dyDescent="0.25">
      <c r="W4746" s="574">
        <f t="shared" si="93"/>
        <v>4737</v>
      </c>
      <c r="X4746" s="564">
        <v>46</v>
      </c>
    </row>
    <row r="4747" spans="23:24" x14ac:dyDescent="0.25">
      <c r="W4747" s="574">
        <f t="shared" si="93"/>
        <v>4738</v>
      </c>
      <c r="X4747" s="564">
        <v>46</v>
      </c>
    </row>
    <row r="4748" spans="23:24" x14ac:dyDescent="0.25">
      <c r="W4748" s="574">
        <f t="shared" si="93"/>
        <v>4739</v>
      </c>
      <c r="X4748" s="564">
        <v>46</v>
      </c>
    </row>
    <row r="4749" spans="23:24" x14ac:dyDescent="0.25">
      <c r="W4749" s="574">
        <f t="shared" si="93"/>
        <v>4740</v>
      </c>
      <c r="X4749" s="564">
        <v>46</v>
      </c>
    </row>
    <row r="4750" spans="23:24" x14ac:dyDescent="0.25">
      <c r="W4750" s="574">
        <f t="shared" si="93"/>
        <v>4741</v>
      </c>
      <c r="X4750" s="564">
        <v>46</v>
      </c>
    </row>
    <row r="4751" spans="23:24" x14ac:dyDescent="0.25">
      <c r="W4751" s="574">
        <f t="shared" si="93"/>
        <v>4742</v>
      </c>
      <c r="X4751" s="564">
        <v>46</v>
      </c>
    </row>
    <row r="4752" spans="23:24" x14ac:dyDescent="0.25">
      <c r="W4752" s="574">
        <f t="shared" si="93"/>
        <v>4743</v>
      </c>
      <c r="X4752" s="564">
        <v>46</v>
      </c>
    </row>
    <row r="4753" spans="23:24" x14ac:dyDescent="0.25">
      <c r="W4753" s="574">
        <f t="shared" si="93"/>
        <v>4744</v>
      </c>
      <c r="X4753" s="564">
        <v>46</v>
      </c>
    </row>
    <row r="4754" spans="23:24" x14ac:dyDescent="0.25">
      <c r="W4754" s="574">
        <f t="shared" si="93"/>
        <v>4745</v>
      </c>
      <c r="X4754" s="564">
        <v>46</v>
      </c>
    </row>
    <row r="4755" spans="23:24" x14ac:dyDescent="0.25">
      <c r="W4755" s="574">
        <f t="shared" si="93"/>
        <v>4746</v>
      </c>
      <c r="X4755" s="564">
        <v>46</v>
      </c>
    </row>
    <row r="4756" spans="23:24" x14ac:dyDescent="0.25">
      <c r="W4756" s="574">
        <f t="shared" si="93"/>
        <v>4747</v>
      </c>
      <c r="X4756" s="564">
        <v>46</v>
      </c>
    </row>
    <row r="4757" spans="23:24" x14ac:dyDescent="0.25">
      <c r="W4757" s="574">
        <f t="shared" si="93"/>
        <v>4748</v>
      </c>
      <c r="X4757" s="564">
        <v>46</v>
      </c>
    </row>
    <row r="4758" spans="23:24" x14ac:dyDescent="0.25">
      <c r="W4758" s="574">
        <f t="shared" si="93"/>
        <v>4749</v>
      </c>
      <c r="X4758" s="564">
        <v>46</v>
      </c>
    </row>
    <row r="4759" spans="23:24" x14ac:dyDescent="0.25">
      <c r="W4759" s="574">
        <f t="shared" si="93"/>
        <v>4750</v>
      </c>
      <c r="X4759" s="564">
        <v>46</v>
      </c>
    </row>
    <row r="4760" spans="23:24" x14ac:dyDescent="0.25">
      <c r="W4760" s="574">
        <f t="shared" si="93"/>
        <v>4751</v>
      </c>
      <c r="X4760" s="564">
        <v>47</v>
      </c>
    </row>
    <row r="4761" spans="23:24" x14ac:dyDescent="0.25">
      <c r="W4761" s="574">
        <f t="shared" si="93"/>
        <v>4752</v>
      </c>
      <c r="X4761" s="564">
        <v>47</v>
      </c>
    </row>
    <row r="4762" spans="23:24" x14ac:dyDescent="0.25">
      <c r="W4762" s="574">
        <f t="shared" si="93"/>
        <v>4753</v>
      </c>
      <c r="X4762" s="564">
        <v>47</v>
      </c>
    </row>
    <row r="4763" spans="23:24" x14ac:dyDescent="0.25">
      <c r="W4763" s="574">
        <f t="shared" si="93"/>
        <v>4754</v>
      </c>
      <c r="X4763" s="564">
        <v>47</v>
      </c>
    </row>
    <row r="4764" spans="23:24" x14ac:dyDescent="0.25">
      <c r="W4764" s="574">
        <f t="shared" si="93"/>
        <v>4755</v>
      </c>
      <c r="X4764" s="564">
        <v>47</v>
      </c>
    </row>
    <row r="4765" spans="23:24" x14ac:dyDescent="0.25">
      <c r="W4765" s="574">
        <f t="shared" si="93"/>
        <v>4756</v>
      </c>
      <c r="X4765" s="564">
        <v>47</v>
      </c>
    </row>
    <row r="4766" spans="23:24" x14ac:dyDescent="0.25">
      <c r="W4766" s="574">
        <f t="shared" si="93"/>
        <v>4757</v>
      </c>
      <c r="X4766" s="564">
        <v>47</v>
      </c>
    </row>
    <row r="4767" spans="23:24" x14ac:dyDescent="0.25">
      <c r="W4767" s="574">
        <f t="shared" si="93"/>
        <v>4758</v>
      </c>
      <c r="X4767" s="564">
        <v>47</v>
      </c>
    </row>
    <row r="4768" spans="23:24" x14ac:dyDescent="0.25">
      <c r="W4768" s="574">
        <f t="shared" si="93"/>
        <v>4759</v>
      </c>
      <c r="X4768" s="564">
        <v>47</v>
      </c>
    </row>
    <row r="4769" spans="23:24" x14ac:dyDescent="0.25">
      <c r="W4769" s="574">
        <f t="shared" si="93"/>
        <v>4760</v>
      </c>
      <c r="X4769" s="564">
        <v>47</v>
      </c>
    </row>
    <row r="4770" spans="23:24" x14ac:dyDescent="0.25">
      <c r="W4770" s="574">
        <f t="shared" si="93"/>
        <v>4761</v>
      </c>
      <c r="X4770" s="564">
        <v>47</v>
      </c>
    </row>
    <row r="4771" spans="23:24" x14ac:dyDescent="0.25">
      <c r="W4771" s="574">
        <f t="shared" si="93"/>
        <v>4762</v>
      </c>
      <c r="X4771" s="564">
        <v>47</v>
      </c>
    </row>
    <row r="4772" spans="23:24" x14ac:dyDescent="0.25">
      <c r="W4772" s="574">
        <f t="shared" si="93"/>
        <v>4763</v>
      </c>
      <c r="X4772" s="564">
        <v>47</v>
      </c>
    </row>
    <row r="4773" spans="23:24" x14ac:dyDescent="0.25">
      <c r="W4773" s="574">
        <f t="shared" ref="W4773:W4809" si="94">W4772+1</f>
        <v>4764</v>
      </c>
      <c r="X4773" s="564">
        <v>47</v>
      </c>
    </row>
    <row r="4774" spans="23:24" x14ac:dyDescent="0.25">
      <c r="W4774" s="574">
        <f t="shared" si="94"/>
        <v>4765</v>
      </c>
      <c r="X4774" s="564">
        <v>47</v>
      </c>
    </row>
    <row r="4775" spans="23:24" x14ac:dyDescent="0.25">
      <c r="W4775" s="574">
        <f t="shared" si="94"/>
        <v>4766</v>
      </c>
      <c r="X4775" s="564">
        <v>47</v>
      </c>
    </row>
    <row r="4776" spans="23:24" x14ac:dyDescent="0.25">
      <c r="W4776" s="574">
        <f t="shared" si="94"/>
        <v>4767</v>
      </c>
      <c r="X4776" s="564">
        <v>47</v>
      </c>
    </row>
    <row r="4777" spans="23:24" x14ac:dyDescent="0.25">
      <c r="W4777" s="574">
        <f t="shared" si="94"/>
        <v>4768</v>
      </c>
      <c r="X4777" s="564">
        <v>47</v>
      </c>
    </row>
    <row r="4778" spans="23:24" x14ac:dyDescent="0.25">
      <c r="W4778" s="574">
        <f t="shared" si="94"/>
        <v>4769</v>
      </c>
      <c r="X4778" s="564">
        <v>47</v>
      </c>
    </row>
    <row r="4779" spans="23:24" x14ac:dyDescent="0.25">
      <c r="W4779" s="574">
        <f t="shared" si="94"/>
        <v>4770</v>
      </c>
      <c r="X4779" s="564">
        <v>47</v>
      </c>
    </row>
    <row r="4780" spans="23:24" x14ac:dyDescent="0.25">
      <c r="W4780" s="574">
        <f t="shared" si="94"/>
        <v>4771</v>
      </c>
      <c r="X4780" s="564">
        <v>47</v>
      </c>
    </row>
    <row r="4781" spans="23:24" x14ac:dyDescent="0.25">
      <c r="W4781" s="574">
        <f t="shared" si="94"/>
        <v>4772</v>
      </c>
      <c r="X4781" s="564">
        <v>47</v>
      </c>
    </row>
    <row r="4782" spans="23:24" x14ac:dyDescent="0.25">
      <c r="W4782" s="574">
        <f t="shared" si="94"/>
        <v>4773</v>
      </c>
      <c r="X4782" s="564">
        <v>47</v>
      </c>
    </row>
    <row r="4783" spans="23:24" x14ac:dyDescent="0.25">
      <c r="W4783" s="574">
        <f t="shared" si="94"/>
        <v>4774</v>
      </c>
      <c r="X4783" s="564">
        <v>47</v>
      </c>
    </row>
    <row r="4784" spans="23:24" x14ac:dyDescent="0.25">
      <c r="W4784" s="574">
        <f t="shared" si="94"/>
        <v>4775</v>
      </c>
      <c r="X4784" s="564">
        <v>47</v>
      </c>
    </row>
    <row r="4785" spans="23:24" x14ac:dyDescent="0.25">
      <c r="W4785" s="574">
        <f t="shared" si="94"/>
        <v>4776</v>
      </c>
      <c r="X4785" s="564">
        <v>47</v>
      </c>
    </row>
    <row r="4786" spans="23:24" x14ac:dyDescent="0.25">
      <c r="W4786" s="574">
        <f t="shared" si="94"/>
        <v>4777</v>
      </c>
      <c r="X4786" s="564">
        <v>47</v>
      </c>
    </row>
    <row r="4787" spans="23:24" x14ac:dyDescent="0.25">
      <c r="W4787" s="574">
        <f t="shared" si="94"/>
        <v>4778</v>
      </c>
      <c r="X4787" s="564">
        <v>47</v>
      </c>
    </row>
    <row r="4788" spans="23:24" x14ac:dyDescent="0.25">
      <c r="W4788" s="574">
        <f t="shared" si="94"/>
        <v>4779</v>
      </c>
      <c r="X4788" s="564">
        <v>47</v>
      </c>
    </row>
    <row r="4789" spans="23:24" x14ac:dyDescent="0.25">
      <c r="W4789" s="574">
        <f t="shared" si="94"/>
        <v>4780</v>
      </c>
      <c r="X4789" s="564">
        <v>47</v>
      </c>
    </row>
    <row r="4790" spans="23:24" x14ac:dyDescent="0.25">
      <c r="W4790" s="574">
        <f t="shared" si="94"/>
        <v>4781</v>
      </c>
      <c r="X4790" s="564">
        <v>47</v>
      </c>
    </row>
    <row r="4791" spans="23:24" x14ac:dyDescent="0.25">
      <c r="W4791" s="574">
        <f t="shared" si="94"/>
        <v>4782</v>
      </c>
      <c r="X4791" s="564">
        <v>47</v>
      </c>
    </row>
    <row r="4792" spans="23:24" x14ac:dyDescent="0.25">
      <c r="W4792" s="574">
        <f t="shared" si="94"/>
        <v>4783</v>
      </c>
      <c r="X4792" s="564">
        <v>47</v>
      </c>
    </row>
    <row r="4793" spans="23:24" x14ac:dyDescent="0.25">
      <c r="W4793" s="574">
        <f t="shared" si="94"/>
        <v>4784</v>
      </c>
      <c r="X4793" s="564">
        <v>47</v>
      </c>
    </row>
    <row r="4794" spans="23:24" x14ac:dyDescent="0.25">
      <c r="W4794" s="574">
        <f t="shared" si="94"/>
        <v>4785</v>
      </c>
      <c r="X4794" s="564">
        <v>47</v>
      </c>
    </row>
    <row r="4795" spans="23:24" x14ac:dyDescent="0.25">
      <c r="W4795" s="574">
        <f t="shared" si="94"/>
        <v>4786</v>
      </c>
      <c r="X4795" s="564">
        <v>47</v>
      </c>
    </row>
    <row r="4796" spans="23:24" x14ac:dyDescent="0.25">
      <c r="W4796" s="574">
        <f t="shared" si="94"/>
        <v>4787</v>
      </c>
      <c r="X4796" s="564">
        <v>47</v>
      </c>
    </row>
    <row r="4797" spans="23:24" x14ac:dyDescent="0.25">
      <c r="W4797" s="574">
        <f t="shared" si="94"/>
        <v>4788</v>
      </c>
      <c r="X4797" s="564">
        <v>47</v>
      </c>
    </row>
    <row r="4798" spans="23:24" x14ac:dyDescent="0.25">
      <c r="W4798" s="574">
        <f t="shared" si="94"/>
        <v>4789</v>
      </c>
      <c r="X4798" s="564">
        <v>47</v>
      </c>
    </row>
    <row r="4799" spans="23:24" x14ac:dyDescent="0.25">
      <c r="W4799" s="574">
        <f t="shared" si="94"/>
        <v>4790</v>
      </c>
      <c r="X4799" s="564">
        <v>47</v>
      </c>
    </row>
    <row r="4800" spans="23:24" x14ac:dyDescent="0.25">
      <c r="W4800" s="574">
        <f t="shared" si="94"/>
        <v>4791</v>
      </c>
      <c r="X4800" s="564">
        <v>47</v>
      </c>
    </row>
    <row r="4801" spans="23:24" x14ac:dyDescent="0.25">
      <c r="W4801" s="574">
        <f t="shared" si="94"/>
        <v>4792</v>
      </c>
      <c r="X4801" s="564">
        <v>47</v>
      </c>
    </row>
    <row r="4802" spans="23:24" x14ac:dyDescent="0.25">
      <c r="W4802" s="574">
        <f t="shared" si="94"/>
        <v>4793</v>
      </c>
      <c r="X4802" s="564">
        <v>47</v>
      </c>
    </row>
    <row r="4803" spans="23:24" x14ac:dyDescent="0.25">
      <c r="W4803" s="574">
        <f t="shared" si="94"/>
        <v>4794</v>
      </c>
      <c r="X4803" s="564">
        <v>47</v>
      </c>
    </row>
    <row r="4804" spans="23:24" x14ac:dyDescent="0.25">
      <c r="W4804" s="574">
        <f t="shared" si="94"/>
        <v>4795</v>
      </c>
      <c r="X4804" s="564">
        <v>47</v>
      </c>
    </row>
    <row r="4805" spans="23:24" x14ac:dyDescent="0.25">
      <c r="W4805" s="574">
        <f t="shared" si="94"/>
        <v>4796</v>
      </c>
      <c r="X4805" s="564">
        <v>47</v>
      </c>
    </row>
    <row r="4806" spans="23:24" x14ac:dyDescent="0.25">
      <c r="W4806" s="574">
        <f t="shared" si="94"/>
        <v>4797</v>
      </c>
      <c r="X4806" s="564">
        <v>47</v>
      </c>
    </row>
    <row r="4807" spans="23:24" x14ac:dyDescent="0.25">
      <c r="W4807" s="574">
        <f t="shared" si="94"/>
        <v>4798</v>
      </c>
      <c r="X4807" s="564">
        <v>47</v>
      </c>
    </row>
    <row r="4808" spans="23:24" x14ac:dyDescent="0.25">
      <c r="W4808" s="574">
        <f t="shared" si="94"/>
        <v>4799</v>
      </c>
      <c r="X4808" s="564">
        <v>47</v>
      </c>
    </row>
    <row r="4809" spans="23:24" x14ac:dyDescent="0.25">
      <c r="W4809" s="574">
        <f t="shared" si="94"/>
        <v>4800</v>
      </c>
      <c r="X4809" s="564">
        <v>47</v>
      </c>
    </row>
    <row r="4810" spans="23:24" x14ac:dyDescent="0.25">
      <c r="W4810" s="574">
        <f t="shared" ref="W4810:W4819" si="95">W4809+1</f>
        <v>4801</v>
      </c>
      <c r="X4810" s="564">
        <v>47</v>
      </c>
    </row>
    <row r="4811" spans="23:24" x14ac:dyDescent="0.25">
      <c r="W4811" s="574">
        <f t="shared" si="95"/>
        <v>4802</v>
      </c>
      <c r="X4811" s="564">
        <v>47</v>
      </c>
    </row>
    <row r="4812" spans="23:24" x14ac:dyDescent="0.25">
      <c r="W4812" s="574">
        <f t="shared" si="95"/>
        <v>4803</v>
      </c>
      <c r="X4812" s="564">
        <v>47</v>
      </c>
    </row>
    <row r="4813" spans="23:24" x14ac:dyDescent="0.25">
      <c r="W4813" s="574">
        <f t="shared" si="95"/>
        <v>4804</v>
      </c>
      <c r="X4813" s="564">
        <v>47</v>
      </c>
    </row>
    <row r="4814" spans="23:24" x14ac:dyDescent="0.25">
      <c r="W4814" s="574">
        <f t="shared" si="95"/>
        <v>4805</v>
      </c>
      <c r="X4814" s="564">
        <v>47</v>
      </c>
    </row>
    <row r="4815" spans="23:24" x14ac:dyDescent="0.25">
      <c r="W4815" s="574">
        <f t="shared" si="95"/>
        <v>4806</v>
      </c>
      <c r="X4815" s="564">
        <v>47</v>
      </c>
    </row>
    <row r="4816" spans="23:24" x14ac:dyDescent="0.25">
      <c r="W4816" s="574">
        <f t="shared" si="95"/>
        <v>4807</v>
      </c>
      <c r="X4816" s="564">
        <v>47</v>
      </c>
    </row>
    <row r="4817" spans="23:24" x14ac:dyDescent="0.25">
      <c r="W4817" s="574">
        <f t="shared" si="95"/>
        <v>4808</v>
      </c>
      <c r="X4817" s="564">
        <v>47</v>
      </c>
    </row>
    <row r="4818" spans="23:24" x14ac:dyDescent="0.25">
      <c r="W4818" s="574">
        <f t="shared" si="95"/>
        <v>4809</v>
      </c>
      <c r="X4818" s="564">
        <v>47</v>
      </c>
    </row>
    <row r="4819" spans="23:24" x14ac:dyDescent="0.25">
      <c r="W4819" s="574">
        <f t="shared" si="95"/>
        <v>4810</v>
      </c>
      <c r="X4819" s="564">
        <v>47</v>
      </c>
    </row>
    <row r="4820" spans="23:24" x14ac:dyDescent="0.25">
      <c r="W4820" s="574">
        <f t="shared" ref="W4820:W4883" si="96">W4819+1</f>
        <v>4811</v>
      </c>
      <c r="X4820" s="564">
        <v>47</v>
      </c>
    </row>
    <row r="4821" spans="23:24" x14ac:dyDescent="0.25">
      <c r="W4821" s="574">
        <f t="shared" si="96"/>
        <v>4812</v>
      </c>
      <c r="X4821" s="564">
        <v>47</v>
      </c>
    </row>
    <row r="4822" spans="23:24" x14ac:dyDescent="0.25">
      <c r="W4822" s="574">
        <f t="shared" si="96"/>
        <v>4813</v>
      </c>
      <c r="X4822" s="564">
        <v>47</v>
      </c>
    </row>
    <row r="4823" spans="23:24" x14ac:dyDescent="0.25">
      <c r="W4823" s="574">
        <f t="shared" si="96"/>
        <v>4814</v>
      </c>
      <c r="X4823" s="564">
        <v>47</v>
      </c>
    </row>
    <row r="4824" spans="23:24" x14ac:dyDescent="0.25">
      <c r="W4824" s="574">
        <f t="shared" si="96"/>
        <v>4815</v>
      </c>
      <c r="X4824" s="564">
        <v>47</v>
      </c>
    </row>
    <row r="4825" spans="23:24" x14ac:dyDescent="0.25">
      <c r="W4825" s="574">
        <f t="shared" si="96"/>
        <v>4816</v>
      </c>
      <c r="X4825" s="564">
        <v>47</v>
      </c>
    </row>
    <row r="4826" spans="23:24" x14ac:dyDescent="0.25">
      <c r="W4826" s="574">
        <f t="shared" si="96"/>
        <v>4817</v>
      </c>
      <c r="X4826" s="564">
        <v>47</v>
      </c>
    </row>
    <row r="4827" spans="23:24" x14ac:dyDescent="0.25">
      <c r="W4827" s="574">
        <f t="shared" si="96"/>
        <v>4818</v>
      </c>
      <c r="X4827" s="564">
        <v>47</v>
      </c>
    </row>
    <row r="4828" spans="23:24" x14ac:dyDescent="0.25">
      <c r="W4828" s="574">
        <f t="shared" si="96"/>
        <v>4819</v>
      </c>
      <c r="X4828" s="564">
        <v>47</v>
      </c>
    </row>
    <row r="4829" spans="23:24" x14ac:dyDescent="0.25">
      <c r="W4829" s="574">
        <f t="shared" si="96"/>
        <v>4820</v>
      </c>
      <c r="X4829" s="564">
        <v>47</v>
      </c>
    </row>
    <row r="4830" spans="23:24" x14ac:dyDescent="0.25">
      <c r="W4830" s="574">
        <f t="shared" si="96"/>
        <v>4821</v>
      </c>
      <c r="X4830" s="564">
        <v>47</v>
      </c>
    </row>
    <row r="4831" spans="23:24" x14ac:dyDescent="0.25">
      <c r="W4831" s="574">
        <f t="shared" si="96"/>
        <v>4822</v>
      </c>
      <c r="X4831" s="564">
        <v>47</v>
      </c>
    </row>
    <row r="4832" spans="23:24" x14ac:dyDescent="0.25">
      <c r="W4832" s="574">
        <f t="shared" si="96"/>
        <v>4823</v>
      </c>
      <c r="X4832" s="564">
        <v>47</v>
      </c>
    </row>
    <row r="4833" spans="23:24" x14ac:dyDescent="0.25">
      <c r="W4833" s="574">
        <f t="shared" si="96"/>
        <v>4824</v>
      </c>
      <c r="X4833" s="564">
        <v>47</v>
      </c>
    </row>
    <row r="4834" spans="23:24" x14ac:dyDescent="0.25">
      <c r="W4834" s="574">
        <f t="shared" si="96"/>
        <v>4825</v>
      </c>
      <c r="X4834" s="564">
        <v>47</v>
      </c>
    </row>
    <row r="4835" spans="23:24" x14ac:dyDescent="0.25">
      <c r="W4835" s="574">
        <f t="shared" si="96"/>
        <v>4826</v>
      </c>
      <c r="X4835" s="564">
        <v>47</v>
      </c>
    </row>
    <row r="4836" spans="23:24" x14ac:dyDescent="0.25">
      <c r="W4836" s="574">
        <f t="shared" si="96"/>
        <v>4827</v>
      </c>
      <c r="X4836" s="564">
        <v>47</v>
      </c>
    </row>
    <row r="4837" spans="23:24" x14ac:dyDescent="0.25">
      <c r="W4837" s="574">
        <f t="shared" si="96"/>
        <v>4828</v>
      </c>
      <c r="X4837" s="564">
        <v>47</v>
      </c>
    </row>
    <row r="4838" spans="23:24" x14ac:dyDescent="0.25">
      <c r="W4838" s="574">
        <f t="shared" si="96"/>
        <v>4829</v>
      </c>
      <c r="X4838" s="564">
        <v>47</v>
      </c>
    </row>
    <row r="4839" spans="23:24" x14ac:dyDescent="0.25">
      <c r="W4839" s="574">
        <f t="shared" si="96"/>
        <v>4830</v>
      </c>
      <c r="X4839" s="564">
        <v>47</v>
      </c>
    </row>
    <row r="4840" spans="23:24" x14ac:dyDescent="0.25">
      <c r="W4840" s="574">
        <f t="shared" si="96"/>
        <v>4831</v>
      </c>
      <c r="X4840" s="564">
        <v>47</v>
      </c>
    </row>
    <row r="4841" spans="23:24" x14ac:dyDescent="0.25">
      <c r="W4841" s="574">
        <f t="shared" si="96"/>
        <v>4832</v>
      </c>
      <c r="X4841" s="564">
        <v>47</v>
      </c>
    </row>
    <row r="4842" spans="23:24" x14ac:dyDescent="0.25">
      <c r="W4842" s="574">
        <f t="shared" si="96"/>
        <v>4833</v>
      </c>
      <c r="X4842" s="564">
        <v>47</v>
      </c>
    </row>
    <row r="4843" spans="23:24" x14ac:dyDescent="0.25">
      <c r="W4843" s="574">
        <f t="shared" si="96"/>
        <v>4834</v>
      </c>
      <c r="X4843" s="564">
        <v>47</v>
      </c>
    </row>
    <row r="4844" spans="23:24" x14ac:dyDescent="0.25">
      <c r="W4844" s="574">
        <f t="shared" si="96"/>
        <v>4835</v>
      </c>
      <c r="X4844" s="564">
        <v>47</v>
      </c>
    </row>
    <row r="4845" spans="23:24" x14ac:dyDescent="0.25">
      <c r="W4845" s="574">
        <f t="shared" si="96"/>
        <v>4836</v>
      </c>
      <c r="X4845" s="564">
        <v>47</v>
      </c>
    </row>
    <row r="4846" spans="23:24" x14ac:dyDescent="0.25">
      <c r="W4846" s="574">
        <f t="shared" si="96"/>
        <v>4837</v>
      </c>
      <c r="X4846" s="564">
        <v>47</v>
      </c>
    </row>
    <row r="4847" spans="23:24" x14ac:dyDescent="0.25">
      <c r="W4847" s="574">
        <f t="shared" si="96"/>
        <v>4838</v>
      </c>
      <c r="X4847" s="564">
        <v>47</v>
      </c>
    </row>
    <row r="4848" spans="23:24" x14ac:dyDescent="0.25">
      <c r="W4848" s="574">
        <f t="shared" si="96"/>
        <v>4839</v>
      </c>
      <c r="X4848" s="564">
        <v>47</v>
      </c>
    </row>
    <row r="4849" spans="23:24" x14ac:dyDescent="0.25">
      <c r="W4849" s="574">
        <f t="shared" si="96"/>
        <v>4840</v>
      </c>
      <c r="X4849" s="564">
        <v>47</v>
      </c>
    </row>
    <row r="4850" spans="23:24" x14ac:dyDescent="0.25">
      <c r="W4850" s="574">
        <f t="shared" si="96"/>
        <v>4841</v>
      </c>
      <c r="X4850" s="564">
        <v>47</v>
      </c>
    </row>
    <row r="4851" spans="23:24" x14ac:dyDescent="0.25">
      <c r="W4851" s="574">
        <f t="shared" si="96"/>
        <v>4842</v>
      </c>
      <c r="X4851" s="564">
        <v>47</v>
      </c>
    </row>
    <row r="4852" spans="23:24" x14ac:dyDescent="0.25">
      <c r="W4852" s="574">
        <f t="shared" si="96"/>
        <v>4843</v>
      </c>
      <c r="X4852" s="564">
        <v>47</v>
      </c>
    </row>
    <row r="4853" spans="23:24" x14ac:dyDescent="0.25">
      <c r="W4853" s="574">
        <f t="shared" si="96"/>
        <v>4844</v>
      </c>
      <c r="X4853" s="564">
        <v>47</v>
      </c>
    </row>
    <row r="4854" spans="23:24" x14ac:dyDescent="0.25">
      <c r="W4854" s="574">
        <f t="shared" si="96"/>
        <v>4845</v>
      </c>
      <c r="X4854" s="564">
        <v>47</v>
      </c>
    </row>
    <row r="4855" spans="23:24" x14ac:dyDescent="0.25">
      <c r="W4855" s="574">
        <f t="shared" si="96"/>
        <v>4846</v>
      </c>
      <c r="X4855" s="564">
        <v>47</v>
      </c>
    </row>
    <row r="4856" spans="23:24" x14ac:dyDescent="0.25">
      <c r="W4856" s="574">
        <f t="shared" si="96"/>
        <v>4847</v>
      </c>
      <c r="X4856" s="564">
        <v>47</v>
      </c>
    </row>
    <row r="4857" spans="23:24" x14ac:dyDescent="0.25">
      <c r="W4857" s="574">
        <f t="shared" si="96"/>
        <v>4848</v>
      </c>
      <c r="X4857" s="564">
        <v>47</v>
      </c>
    </row>
    <row r="4858" spans="23:24" x14ac:dyDescent="0.25">
      <c r="W4858" s="574">
        <f t="shared" si="96"/>
        <v>4849</v>
      </c>
      <c r="X4858" s="564">
        <v>47</v>
      </c>
    </row>
    <row r="4859" spans="23:24" x14ac:dyDescent="0.25">
      <c r="W4859" s="574">
        <f t="shared" si="96"/>
        <v>4850</v>
      </c>
      <c r="X4859" s="564">
        <v>47</v>
      </c>
    </row>
    <row r="4860" spans="23:24" x14ac:dyDescent="0.25">
      <c r="W4860" s="574">
        <f t="shared" si="96"/>
        <v>4851</v>
      </c>
      <c r="X4860" s="564">
        <v>47</v>
      </c>
    </row>
    <row r="4861" spans="23:24" x14ac:dyDescent="0.25">
      <c r="W4861" s="574">
        <f t="shared" si="96"/>
        <v>4852</v>
      </c>
      <c r="X4861" s="564">
        <v>47</v>
      </c>
    </row>
    <row r="4862" spans="23:24" x14ac:dyDescent="0.25">
      <c r="W4862" s="574">
        <f t="shared" si="96"/>
        <v>4853</v>
      </c>
      <c r="X4862" s="564">
        <v>47</v>
      </c>
    </row>
    <row r="4863" spans="23:24" x14ac:dyDescent="0.25">
      <c r="W4863" s="574">
        <f t="shared" si="96"/>
        <v>4854</v>
      </c>
      <c r="X4863" s="564">
        <v>47</v>
      </c>
    </row>
    <row r="4864" spans="23:24" x14ac:dyDescent="0.25">
      <c r="W4864" s="574">
        <f t="shared" si="96"/>
        <v>4855</v>
      </c>
      <c r="X4864" s="564">
        <v>47</v>
      </c>
    </row>
    <row r="4865" spans="23:24" x14ac:dyDescent="0.25">
      <c r="W4865" s="574">
        <f t="shared" si="96"/>
        <v>4856</v>
      </c>
      <c r="X4865" s="564">
        <v>47</v>
      </c>
    </row>
    <row r="4866" spans="23:24" x14ac:dyDescent="0.25">
      <c r="W4866" s="574">
        <f t="shared" si="96"/>
        <v>4857</v>
      </c>
      <c r="X4866" s="564">
        <v>47</v>
      </c>
    </row>
    <row r="4867" spans="23:24" x14ac:dyDescent="0.25">
      <c r="W4867" s="574">
        <f t="shared" si="96"/>
        <v>4858</v>
      </c>
      <c r="X4867" s="564">
        <v>47</v>
      </c>
    </row>
    <row r="4868" spans="23:24" x14ac:dyDescent="0.25">
      <c r="W4868" s="574">
        <f t="shared" si="96"/>
        <v>4859</v>
      </c>
      <c r="X4868" s="564">
        <v>47</v>
      </c>
    </row>
    <row r="4869" spans="23:24" x14ac:dyDescent="0.25">
      <c r="W4869" s="574">
        <f t="shared" si="96"/>
        <v>4860</v>
      </c>
      <c r="X4869" s="564">
        <v>47</v>
      </c>
    </row>
    <row r="4870" spans="23:24" x14ac:dyDescent="0.25">
      <c r="W4870" s="574">
        <f t="shared" si="96"/>
        <v>4861</v>
      </c>
      <c r="X4870" s="564">
        <v>47</v>
      </c>
    </row>
    <row r="4871" spans="23:24" x14ac:dyDescent="0.25">
      <c r="W4871" s="574">
        <f t="shared" si="96"/>
        <v>4862</v>
      </c>
      <c r="X4871" s="564">
        <v>47</v>
      </c>
    </row>
    <row r="4872" spans="23:24" x14ac:dyDescent="0.25">
      <c r="W4872" s="574">
        <f t="shared" si="96"/>
        <v>4863</v>
      </c>
      <c r="X4872" s="564">
        <v>47</v>
      </c>
    </row>
    <row r="4873" spans="23:24" x14ac:dyDescent="0.25">
      <c r="W4873" s="574">
        <f t="shared" si="96"/>
        <v>4864</v>
      </c>
      <c r="X4873" s="564">
        <v>47</v>
      </c>
    </row>
    <row r="4874" spans="23:24" x14ac:dyDescent="0.25">
      <c r="W4874" s="574">
        <f t="shared" si="96"/>
        <v>4865</v>
      </c>
      <c r="X4874" s="564">
        <v>47</v>
      </c>
    </row>
    <row r="4875" spans="23:24" x14ac:dyDescent="0.25">
      <c r="W4875" s="574">
        <f t="shared" si="96"/>
        <v>4866</v>
      </c>
      <c r="X4875" s="564">
        <v>47</v>
      </c>
    </row>
    <row r="4876" spans="23:24" x14ac:dyDescent="0.25">
      <c r="W4876" s="574">
        <f t="shared" si="96"/>
        <v>4867</v>
      </c>
      <c r="X4876" s="564">
        <v>47</v>
      </c>
    </row>
    <row r="4877" spans="23:24" x14ac:dyDescent="0.25">
      <c r="W4877" s="574">
        <f t="shared" si="96"/>
        <v>4868</v>
      </c>
      <c r="X4877" s="564">
        <v>47</v>
      </c>
    </row>
    <row r="4878" spans="23:24" x14ac:dyDescent="0.25">
      <c r="W4878" s="574">
        <f t="shared" si="96"/>
        <v>4869</v>
      </c>
      <c r="X4878" s="564">
        <v>47</v>
      </c>
    </row>
    <row r="4879" spans="23:24" x14ac:dyDescent="0.25">
      <c r="W4879" s="574">
        <f t="shared" si="96"/>
        <v>4870</v>
      </c>
      <c r="X4879" s="564">
        <v>47</v>
      </c>
    </row>
    <row r="4880" spans="23:24" x14ac:dyDescent="0.25">
      <c r="W4880" s="574">
        <f t="shared" si="96"/>
        <v>4871</v>
      </c>
      <c r="X4880" s="564">
        <v>47</v>
      </c>
    </row>
    <row r="4881" spans="23:24" x14ac:dyDescent="0.25">
      <c r="W4881" s="574">
        <f t="shared" si="96"/>
        <v>4872</v>
      </c>
      <c r="X4881" s="564">
        <v>47</v>
      </c>
    </row>
    <row r="4882" spans="23:24" x14ac:dyDescent="0.25">
      <c r="W4882" s="574">
        <f t="shared" si="96"/>
        <v>4873</v>
      </c>
      <c r="X4882" s="564">
        <v>47</v>
      </c>
    </row>
    <row r="4883" spans="23:24" x14ac:dyDescent="0.25">
      <c r="W4883" s="574">
        <f t="shared" si="96"/>
        <v>4874</v>
      </c>
      <c r="X4883" s="564">
        <v>47</v>
      </c>
    </row>
    <row r="4884" spans="23:24" x14ac:dyDescent="0.25">
      <c r="W4884" s="574">
        <f t="shared" ref="W4884:W4947" si="97">W4883+1</f>
        <v>4875</v>
      </c>
      <c r="X4884" s="564">
        <v>47</v>
      </c>
    </row>
    <row r="4885" spans="23:24" x14ac:dyDescent="0.25">
      <c r="W4885" s="574">
        <f t="shared" si="97"/>
        <v>4876</v>
      </c>
      <c r="X4885" s="564">
        <v>47</v>
      </c>
    </row>
    <row r="4886" spans="23:24" x14ac:dyDescent="0.25">
      <c r="W4886" s="574">
        <f t="shared" si="97"/>
        <v>4877</v>
      </c>
      <c r="X4886" s="564">
        <v>47</v>
      </c>
    </row>
    <row r="4887" spans="23:24" x14ac:dyDescent="0.25">
      <c r="W4887" s="574">
        <f t="shared" si="97"/>
        <v>4878</v>
      </c>
      <c r="X4887" s="564">
        <v>47</v>
      </c>
    </row>
    <row r="4888" spans="23:24" x14ac:dyDescent="0.25">
      <c r="W4888" s="574">
        <f t="shared" si="97"/>
        <v>4879</v>
      </c>
      <c r="X4888" s="564">
        <v>47</v>
      </c>
    </row>
    <row r="4889" spans="23:24" x14ac:dyDescent="0.25">
      <c r="W4889" s="574">
        <f t="shared" si="97"/>
        <v>4880</v>
      </c>
      <c r="X4889" s="564">
        <v>47</v>
      </c>
    </row>
    <row r="4890" spans="23:24" x14ac:dyDescent="0.25">
      <c r="W4890" s="574">
        <f t="shared" si="97"/>
        <v>4881</v>
      </c>
      <c r="X4890" s="564">
        <v>47</v>
      </c>
    </row>
    <row r="4891" spans="23:24" x14ac:dyDescent="0.25">
      <c r="W4891" s="574">
        <f t="shared" si="97"/>
        <v>4882</v>
      </c>
      <c r="X4891" s="564">
        <v>47</v>
      </c>
    </row>
    <row r="4892" spans="23:24" x14ac:dyDescent="0.25">
      <c r="W4892" s="574">
        <f t="shared" si="97"/>
        <v>4883</v>
      </c>
      <c r="X4892" s="564">
        <v>47</v>
      </c>
    </row>
    <row r="4893" spans="23:24" x14ac:dyDescent="0.25">
      <c r="W4893" s="574">
        <f t="shared" si="97"/>
        <v>4884</v>
      </c>
      <c r="X4893" s="564">
        <v>47</v>
      </c>
    </row>
    <row r="4894" spans="23:24" x14ac:dyDescent="0.25">
      <c r="W4894" s="574">
        <f t="shared" si="97"/>
        <v>4885</v>
      </c>
      <c r="X4894" s="564">
        <v>47</v>
      </c>
    </row>
    <row r="4895" spans="23:24" x14ac:dyDescent="0.25">
      <c r="W4895" s="574">
        <f t="shared" si="97"/>
        <v>4886</v>
      </c>
      <c r="X4895" s="564">
        <v>47</v>
      </c>
    </row>
    <row r="4896" spans="23:24" x14ac:dyDescent="0.25">
      <c r="W4896" s="574">
        <f t="shared" si="97"/>
        <v>4887</v>
      </c>
      <c r="X4896" s="564">
        <v>47</v>
      </c>
    </row>
    <row r="4897" spans="23:24" x14ac:dyDescent="0.25">
      <c r="W4897" s="574">
        <f t="shared" si="97"/>
        <v>4888</v>
      </c>
      <c r="X4897" s="564">
        <v>47</v>
      </c>
    </row>
    <row r="4898" spans="23:24" x14ac:dyDescent="0.25">
      <c r="W4898" s="574">
        <f t="shared" si="97"/>
        <v>4889</v>
      </c>
      <c r="X4898" s="564">
        <v>47</v>
      </c>
    </row>
    <row r="4899" spans="23:24" x14ac:dyDescent="0.25">
      <c r="W4899" s="574">
        <f t="shared" si="97"/>
        <v>4890</v>
      </c>
      <c r="X4899" s="564">
        <v>47</v>
      </c>
    </row>
    <row r="4900" spans="23:24" x14ac:dyDescent="0.25">
      <c r="W4900" s="574">
        <f t="shared" si="97"/>
        <v>4891</v>
      </c>
      <c r="X4900" s="564">
        <v>47</v>
      </c>
    </row>
    <row r="4901" spans="23:24" x14ac:dyDescent="0.25">
      <c r="W4901" s="574">
        <f t="shared" si="97"/>
        <v>4892</v>
      </c>
      <c r="X4901" s="564">
        <v>47</v>
      </c>
    </row>
    <row r="4902" spans="23:24" x14ac:dyDescent="0.25">
      <c r="W4902" s="574">
        <f t="shared" si="97"/>
        <v>4893</v>
      </c>
      <c r="X4902" s="564">
        <v>47</v>
      </c>
    </row>
    <row r="4903" spans="23:24" x14ac:dyDescent="0.25">
      <c r="W4903" s="574">
        <f t="shared" si="97"/>
        <v>4894</v>
      </c>
      <c r="X4903" s="564">
        <v>47</v>
      </c>
    </row>
    <row r="4904" spans="23:24" x14ac:dyDescent="0.25">
      <c r="W4904" s="574">
        <f t="shared" si="97"/>
        <v>4895</v>
      </c>
      <c r="X4904" s="564">
        <v>47</v>
      </c>
    </row>
    <row r="4905" spans="23:24" x14ac:dyDescent="0.25">
      <c r="W4905" s="574">
        <f t="shared" si="97"/>
        <v>4896</v>
      </c>
      <c r="X4905" s="564">
        <v>47</v>
      </c>
    </row>
    <row r="4906" spans="23:24" x14ac:dyDescent="0.25">
      <c r="W4906" s="574">
        <f t="shared" si="97"/>
        <v>4897</v>
      </c>
      <c r="X4906" s="564">
        <v>47</v>
      </c>
    </row>
    <row r="4907" spans="23:24" x14ac:dyDescent="0.25">
      <c r="W4907" s="574">
        <f t="shared" si="97"/>
        <v>4898</v>
      </c>
      <c r="X4907" s="564">
        <v>47</v>
      </c>
    </row>
    <row r="4908" spans="23:24" x14ac:dyDescent="0.25">
      <c r="W4908" s="574">
        <f t="shared" si="97"/>
        <v>4899</v>
      </c>
      <c r="X4908" s="564">
        <v>47</v>
      </c>
    </row>
    <row r="4909" spans="23:24" x14ac:dyDescent="0.25">
      <c r="W4909" s="574">
        <f t="shared" si="97"/>
        <v>4900</v>
      </c>
      <c r="X4909" s="564">
        <v>47</v>
      </c>
    </row>
    <row r="4910" spans="23:24" x14ac:dyDescent="0.25">
      <c r="W4910" s="574">
        <f t="shared" si="97"/>
        <v>4901</v>
      </c>
      <c r="X4910" s="564">
        <v>47</v>
      </c>
    </row>
    <row r="4911" spans="23:24" x14ac:dyDescent="0.25">
      <c r="W4911" s="574">
        <f t="shared" si="97"/>
        <v>4902</v>
      </c>
      <c r="X4911" s="564">
        <v>47</v>
      </c>
    </row>
    <row r="4912" spans="23:24" x14ac:dyDescent="0.25">
      <c r="W4912" s="574">
        <f t="shared" si="97"/>
        <v>4903</v>
      </c>
      <c r="X4912" s="564">
        <v>47</v>
      </c>
    </row>
    <row r="4913" spans="23:24" x14ac:dyDescent="0.25">
      <c r="W4913" s="574">
        <f t="shared" si="97"/>
        <v>4904</v>
      </c>
      <c r="X4913" s="564">
        <v>47</v>
      </c>
    </row>
    <row r="4914" spans="23:24" x14ac:dyDescent="0.25">
      <c r="W4914" s="574">
        <f t="shared" si="97"/>
        <v>4905</v>
      </c>
      <c r="X4914" s="564">
        <v>47</v>
      </c>
    </row>
    <row r="4915" spans="23:24" x14ac:dyDescent="0.25">
      <c r="W4915" s="574">
        <f t="shared" si="97"/>
        <v>4906</v>
      </c>
      <c r="X4915" s="564">
        <v>47</v>
      </c>
    </row>
    <row r="4916" spans="23:24" x14ac:dyDescent="0.25">
      <c r="W4916" s="574">
        <f t="shared" si="97"/>
        <v>4907</v>
      </c>
      <c r="X4916" s="564">
        <v>47</v>
      </c>
    </row>
    <row r="4917" spans="23:24" x14ac:dyDescent="0.25">
      <c r="W4917" s="574">
        <f t="shared" si="97"/>
        <v>4908</v>
      </c>
      <c r="X4917" s="564">
        <v>47</v>
      </c>
    </row>
    <row r="4918" spans="23:24" x14ac:dyDescent="0.25">
      <c r="W4918" s="574">
        <f t="shared" si="97"/>
        <v>4909</v>
      </c>
      <c r="X4918" s="564">
        <v>47</v>
      </c>
    </row>
    <row r="4919" spans="23:24" x14ac:dyDescent="0.25">
      <c r="W4919" s="574">
        <f t="shared" si="97"/>
        <v>4910</v>
      </c>
      <c r="X4919" s="564">
        <v>47</v>
      </c>
    </row>
    <row r="4920" spans="23:24" x14ac:dyDescent="0.25">
      <c r="W4920" s="574">
        <f t="shared" si="97"/>
        <v>4911</v>
      </c>
      <c r="X4920" s="564">
        <v>47</v>
      </c>
    </row>
    <row r="4921" spans="23:24" x14ac:dyDescent="0.25">
      <c r="W4921" s="574">
        <f t="shared" si="97"/>
        <v>4912</v>
      </c>
      <c r="X4921" s="564">
        <v>47</v>
      </c>
    </row>
    <row r="4922" spans="23:24" x14ac:dyDescent="0.25">
      <c r="W4922" s="574">
        <f t="shared" si="97"/>
        <v>4913</v>
      </c>
      <c r="X4922" s="564">
        <v>47</v>
      </c>
    </row>
    <row r="4923" spans="23:24" x14ac:dyDescent="0.25">
      <c r="W4923" s="574">
        <f t="shared" si="97"/>
        <v>4914</v>
      </c>
      <c r="X4923" s="564">
        <v>47</v>
      </c>
    </row>
    <row r="4924" spans="23:24" x14ac:dyDescent="0.25">
      <c r="W4924" s="574">
        <f t="shared" si="97"/>
        <v>4915</v>
      </c>
      <c r="X4924" s="564">
        <v>47</v>
      </c>
    </row>
    <row r="4925" spans="23:24" x14ac:dyDescent="0.25">
      <c r="W4925" s="574">
        <f t="shared" si="97"/>
        <v>4916</v>
      </c>
      <c r="X4925" s="564">
        <v>47</v>
      </c>
    </row>
    <row r="4926" spans="23:24" x14ac:dyDescent="0.25">
      <c r="W4926" s="574">
        <f t="shared" si="97"/>
        <v>4917</v>
      </c>
      <c r="X4926" s="564">
        <v>47</v>
      </c>
    </row>
    <row r="4927" spans="23:24" x14ac:dyDescent="0.25">
      <c r="W4927" s="574">
        <f t="shared" si="97"/>
        <v>4918</v>
      </c>
      <c r="X4927" s="564">
        <v>47</v>
      </c>
    </row>
    <row r="4928" spans="23:24" x14ac:dyDescent="0.25">
      <c r="W4928" s="574">
        <f t="shared" si="97"/>
        <v>4919</v>
      </c>
      <c r="X4928" s="564">
        <v>47</v>
      </c>
    </row>
    <row r="4929" spans="23:24" x14ac:dyDescent="0.25">
      <c r="W4929" s="574">
        <f t="shared" si="97"/>
        <v>4920</v>
      </c>
      <c r="X4929" s="564">
        <v>47</v>
      </c>
    </row>
    <row r="4930" spans="23:24" x14ac:dyDescent="0.25">
      <c r="W4930" s="574">
        <f t="shared" si="97"/>
        <v>4921</v>
      </c>
      <c r="X4930" s="564">
        <v>47</v>
      </c>
    </row>
    <row r="4931" spans="23:24" x14ac:dyDescent="0.25">
      <c r="W4931" s="574">
        <f t="shared" si="97"/>
        <v>4922</v>
      </c>
      <c r="X4931" s="564">
        <v>47</v>
      </c>
    </row>
    <row r="4932" spans="23:24" x14ac:dyDescent="0.25">
      <c r="W4932" s="574">
        <f t="shared" si="97"/>
        <v>4923</v>
      </c>
      <c r="X4932" s="564">
        <v>47</v>
      </c>
    </row>
    <row r="4933" spans="23:24" x14ac:dyDescent="0.25">
      <c r="W4933" s="574">
        <f t="shared" si="97"/>
        <v>4924</v>
      </c>
      <c r="X4933" s="564">
        <v>47</v>
      </c>
    </row>
    <row r="4934" spans="23:24" x14ac:dyDescent="0.25">
      <c r="W4934" s="574">
        <f t="shared" si="97"/>
        <v>4925</v>
      </c>
      <c r="X4934" s="564">
        <v>47</v>
      </c>
    </row>
    <row r="4935" spans="23:24" x14ac:dyDescent="0.25">
      <c r="W4935" s="574">
        <f t="shared" si="97"/>
        <v>4926</v>
      </c>
      <c r="X4935" s="564">
        <v>47</v>
      </c>
    </row>
    <row r="4936" spans="23:24" x14ac:dyDescent="0.25">
      <c r="W4936" s="574">
        <f t="shared" si="97"/>
        <v>4927</v>
      </c>
      <c r="X4936" s="564">
        <v>47</v>
      </c>
    </row>
    <row r="4937" spans="23:24" x14ac:dyDescent="0.25">
      <c r="W4937" s="574">
        <f t="shared" si="97"/>
        <v>4928</v>
      </c>
      <c r="X4937" s="564">
        <v>47</v>
      </c>
    </row>
    <row r="4938" spans="23:24" x14ac:dyDescent="0.25">
      <c r="W4938" s="574">
        <f t="shared" si="97"/>
        <v>4929</v>
      </c>
      <c r="X4938" s="564">
        <v>47</v>
      </c>
    </row>
    <row r="4939" spans="23:24" x14ac:dyDescent="0.25">
      <c r="W4939" s="574">
        <f t="shared" si="97"/>
        <v>4930</v>
      </c>
      <c r="X4939" s="564">
        <v>47</v>
      </c>
    </row>
    <row r="4940" spans="23:24" x14ac:dyDescent="0.25">
      <c r="W4940" s="574">
        <f t="shared" si="97"/>
        <v>4931</v>
      </c>
      <c r="X4940" s="564">
        <v>47</v>
      </c>
    </row>
    <row r="4941" spans="23:24" x14ac:dyDescent="0.25">
      <c r="W4941" s="574">
        <f t="shared" si="97"/>
        <v>4932</v>
      </c>
      <c r="X4941" s="564">
        <v>47</v>
      </c>
    </row>
    <row r="4942" spans="23:24" x14ac:dyDescent="0.25">
      <c r="W4942" s="574">
        <f t="shared" si="97"/>
        <v>4933</v>
      </c>
      <c r="X4942" s="564">
        <v>47</v>
      </c>
    </row>
    <row r="4943" spans="23:24" x14ac:dyDescent="0.25">
      <c r="W4943" s="574">
        <f t="shared" si="97"/>
        <v>4934</v>
      </c>
      <c r="X4943" s="564">
        <v>47</v>
      </c>
    </row>
    <row r="4944" spans="23:24" x14ac:dyDescent="0.25">
      <c r="W4944" s="574">
        <f t="shared" si="97"/>
        <v>4935</v>
      </c>
      <c r="X4944" s="564">
        <v>47</v>
      </c>
    </row>
    <row r="4945" spans="23:24" x14ac:dyDescent="0.25">
      <c r="W4945" s="574">
        <f t="shared" si="97"/>
        <v>4936</v>
      </c>
      <c r="X4945" s="564">
        <v>47</v>
      </c>
    </row>
    <row r="4946" spans="23:24" x14ac:dyDescent="0.25">
      <c r="W4946" s="574">
        <f t="shared" si="97"/>
        <v>4937</v>
      </c>
      <c r="X4946" s="564">
        <v>47</v>
      </c>
    </row>
    <row r="4947" spans="23:24" x14ac:dyDescent="0.25">
      <c r="W4947" s="574">
        <f t="shared" si="97"/>
        <v>4938</v>
      </c>
      <c r="X4947" s="564">
        <v>47</v>
      </c>
    </row>
    <row r="4948" spans="23:24" x14ac:dyDescent="0.25">
      <c r="W4948" s="574">
        <f t="shared" ref="W4948:W5011" si="98">W4947+1</f>
        <v>4939</v>
      </c>
      <c r="X4948" s="564">
        <v>47</v>
      </c>
    </row>
    <row r="4949" spans="23:24" x14ac:dyDescent="0.25">
      <c r="W4949" s="574">
        <f t="shared" si="98"/>
        <v>4940</v>
      </c>
      <c r="X4949" s="564">
        <v>47</v>
      </c>
    </row>
    <row r="4950" spans="23:24" x14ac:dyDescent="0.25">
      <c r="W4950" s="574">
        <f t="shared" si="98"/>
        <v>4941</v>
      </c>
      <c r="X4950" s="564">
        <v>47</v>
      </c>
    </row>
    <row r="4951" spans="23:24" x14ac:dyDescent="0.25">
      <c r="W4951" s="574">
        <f t="shared" si="98"/>
        <v>4942</v>
      </c>
      <c r="X4951" s="564">
        <v>47</v>
      </c>
    </row>
    <row r="4952" spans="23:24" x14ac:dyDescent="0.25">
      <c r="W4952" s="574">
        <f t="shared" si="98"/>
        <v>4943</v>
      </c>
      <c r="X4952" s="564">
        <v>47</v>
      </c>
    </row>
    <row r="4953" spans="23:24" x14ac:dyDescent="0.25">
      <c r="W4953" s="574">
        <f t="shared" si="98"/>
        <v>4944</v>
      </c>
      <c r="X4953" s="564">
        <v>47</v>
      </c>
    </row>
    <row r="4954" spans="23:24" x14ac:dyDescent="0.25">
      <c r="W4954" s="574">
        <f t="shared" si="98"/>
        <v>4945</v>
      </c>
      <c r="X4954" s="564">
        <v>47</v>
      </c>
    </row>
    <row r="4955" spans="23:24" x14ac:dyDescent="0.25">
      <c r="W4955" s="574">
        <f t="shared" si="98"/>
        <v>4946</v>
      </c>
      <c r="X4955" s="564">
        <v>47</v>
      </c>
    </row>
    <row r="4956" spans="23:24" x14ac:dyDescent="0.25">
      <c r="W4956" s="574">
        <f t="shared" si="98"/>
        <v>4947</v>
      </c>
      <c r="X4956" s="564">
        <v>47</v>
      </c>
    </row>
    <row r="4957" spans="23:24" x14ac:dyDescent="0.25">
      <c r="W4957" s="574">
        <f t="shared" si="98"/>
        <v>4948</v>
      </c>
      <c r="X4957" s="564">
        <v>47</v>
      </c>
    </row>
    <row r="4958" spans="23:24" x14ac:dyDescent="0.25">
      <c r="W4958" s="574">
        <f t="shared" si="98"/>
        <v>4949</v>
      </c>
      <c r="X4958" s="564">
        <v>47</v>
      </c>
    </row>
    <row r="4959" spans="23:24" x14ac:dyDescent="0.25">
      <c r="W4959" s="574">
        <f t="shared" si="98"/>
        <v>4950</v>
      </c>
      <c r="X4959" s="564">
        <v>47</v>
      </c>
    </row>
    <row r="4960" spans="23:24" x14ac:dyDescent="0.25">
      <c r="W4960" s="574">
        <f t="shared" si="98"/>
        <v>4951</v>
      </c>
      <c r="X4960" s="564">
        <v>47</v>
      </c>
    </row>
    <row r="4961" spans="23:24" x14ac:dyDescent="0.25">
      <c r="W4961" s="574">
        <f t="shared" si="98"/>
        <v>4952</v>
      </c>
      <c r="X4961" s="564">
        <v>47</v>
      </c>
    </row>
    <row r="4962" spans="23:24" x14ac:dyDescent="0.25">
      <c r="W4962" s="574">
        <f t="shared" si="98"/>
        <v>4953</v>
      </c>
      <c r="X4962" s="564">
        <v>47</v>
      </c>
    </row>
    <row r="4963" spans="23:24" x14ac:dyDescent="0.25">
      <c r="W4963" s="574">
        <f t="shared" si="98"/>
        <v>4954</v>
      </c>
      <c r="X4963" s="564">
        <v>47</v>
      </c>
    </row>
    <row r="4964" spans="23:24" x14ac:dyDescent="0.25">
      <c r="W4964" s="574">
        <f t="shared" si="98"/>
        <v>4955</v>
      </c>
      <c r="X4964" s="564">
        <v>47</v>
      </c>
    </row>
    <row r="4965" spans="23:24" x14ac:dyDescent="0.25">
      <c r="W4965" s="574">
        <f t="shared" si="98"/>
        <v>4956</v>
      </c>
      <c r="X4965" s="564">
        <v>47</v>
      </c>
    </row>
    <row r="4966" spans="23:24" x14ac:dyDescent="0.25">
      <c r="W4966" s="574">
        <f t="shared" si="98"/>
        <v>4957</v>
      </c>
      <c r="X4966" s="564">
        <v>47</v>
      </c>
    </row>
    <row r="4967" spans="23:24" x14ac:dyDescent="0.25">
      <c r="W4967" s="574">
        <f t="shared" si="98"/>
        <v>4958</v>
      </c>
      <c r="X4967" s="564">
        <v>47</v>
      </c>
    </row>
    <row r="4968" spans="23:24" x14ac:dyDescent="0.25">
      <c r="W4968" s="574">
        <f t="shared" si="98"/>
        <v>4959</v>
      </c>
      <c r="X4968" s="564">
        <v>47</v>
      </c>
    </row>
    <row r="4969" spans="23:24" x14ac:dyDescent="0.25">
      <c r="W4969" s="574">
        <f t="shared" si="98"/>
        <v>4960</v>
      </c>
      <c r="X4969" s="564">
        <v>47</v>
      </c>
    </row>
    <row r="4970" spans="23:24" x14ac:dyDescent="0.25">
      <c r="W4970" s="574">
        <f t="shared" si="98"/>
        <v>4961</v>
      </c>
      <c r="X4970" s="564">
        <v>47</v>
      </c>
    </row>
    <row r="4971" spans="23:24" x14ac:dyDescent="0.25">
      <c r="W4971" s="574">
        <f t="shared" si="98"/>
        <v>4962</v>
      </c>
      <c r="X4971" s="564">
        <v>47</v>
      </c>
    </row>
    <row r="4972" spans="23:24" x14ac:dyDescent="0.25">
      <c r="W4972" s="574">
        <f t="shared" si="98"/>
        <v>4963</v>
      </c>
      <c r="X4972" s="564">
        <v>47</v>
      </c>
    </row>
    <row r="4973" spans="23:24" x14ac:dyDescent="0.25">
      <c r="W4973" s="574">
        <f t="shared" si="98"/>
        <v>4964</v>
      </c>
      <c r="X4973" s="564">
        <v>47</v>
      </c>
    </row>
    <row r="4974" spans="23:24" x14ac:dyDescent="0.25">
      <c r="W4974" s="574">
        <f t="shared" si="98"/>
        <v>4965</v>
      </c>
      <c r="X4974" s="564">
        <v>47</v>
      </c>
    </row>
    <row r="4975" spans="23:24" x14ac:dyDescent="0.25">
      <c r="W4975" s="574">
        <f t="shared" si="98"/>
        <v>4966</v>
      </c>
      <c r="X4975" s="564">
        <v>47</v>
      </c>
    </row>
    <row r="4976" spans="23:24" x14ac:dyDescent="0.25">
      <c r="W4976" s="574">
        <f t="shared" si="98"/>
        <v>4967</v>
      </c>
      <c r="X4976" s="564">
        <v>47</v>
      </c>
    </row>
    <row r="4977" spans="23:24" x14ac:dyDescent="0.25">
      <c r="W4977" s="574">
        <f t="shared" si="98"/>
        <v>4968</v>
      </c>
      <c r="X4977" s="564">
        <v>47</v>
      </c>
    </row>
    <row r="4978" spans="23:24" x14ac:dyDescent="0.25">
      <c r="W4978" s="574">
        <f t="shared" si="98"/>
        <v>4969</v>
      </c>
      <c r="X4978" s="564">
        <v>47</v>
      </c>
    </row>
    <row r="4979" spans="23:24" x14ac:dyDescent="0.25">
      <c r="W4979" s="574">
        <f t="shared" si="98"/>
        <v>4970</v>
      </c>
      <c r="X4979" s="564">
        <v>47</v>
      </c>
    </row>
    <row r="4980" spans="23:24" x14ac:dyDescent="0.25">
      <c r="W4980" s="574">
        <f t="shared" si="98"/>
        <v>4971</v>
      </c>
      <c r="X4980" s="564">
        <v>47</v>
      </c>
    </row>
    <row r="4981" spans="23:24" x14ac:dyDescent="0.25">
      <c r="W4981" s="574">
        <f t="shared" si="98"/>
        <v>4972</v>
      </c>
      <c r="X4981" s="564">
        <v>47</v>
      </c>
    </row>
    <row r="4982" spans="23:24" x14ac:dyDescent="0.25">
      <c r="W4982" s="574">
        <f t="shared" si="98"/>
        <v>4973</v>
      </c>
      <c r="X4982" s="564">
        <v>47</v>
      </c>
    </row>
    <row r="4983" spans="23:24" x14ac:dyDescent="0.25">
      <c r="W4983" s="574">
        <f t="shared" si="98"/>
        <v>4974</v>
      </c>
      <c r="X4983" s="564">
        <v>47</v>
      </c>
    </row>
    <row r="4984" spans="23:24" x14ac:dyDescent="0.25">
      <c r="W4984" s="574">
        <f t="shared" si="98"/>
        <v>4975</v>
      </c>
      <c r="X4984" s="564">
        <v>47</v>
      </c>
    </row>
    <row r="4985" spans="23:24" x14ac:dyDescent="0.25">
      <c r="W4985" s="574">
        <f t="shared" si="98"/>
        <v>4976</v>
      </c>
      <c r="X4985" s="564">
        <v>47</v>
      </c>
    </row>
    <row r="4986" spans="23:24" x14ac:dyDescent="0.25">
      <c r="W4986" s="574">
        <f t="shared" si="98"/>
        <v>4977</v>
      </c>
      <c r="X4986" s="564">
        <v>47</v>
      </c>
    </row>
    <row r="4987" spans="23:24" x14ac:dyDescent="0.25">
      <c r="W4987" s="574">
        <f t="shared" si="98"/>
        <v>4978</v>
      </c>
      <c r="X4987" s="564">
        <v>47</v>
      </c>
    </row>
    <row r="4988" spans="23:24" x14ac:dyDescent="0.25">
      <c r="W4988" s="574">
        <f t="shared" si="98"/>
        <v>4979</v>
      </c>
      <c r="X4988" s="564">
        <v>47</v>
      </c>
    </row>
    <row r="4989" spans="23:24" x14ac:dyDescent="0.25">
      <c r="W4989" s="574">
        <f t="shared" si="98"/>
        <v>4980</v>
      </c>
      <c r="X4989" s="564">
        <v>47</v>
      </c>
    </row>
    <row r="4990" spans="23:24" x14ac:dyDescent="0.25">
      <c r="W4990" s="574">
        <f t="shared" si="98"/>
        <v>4981</v>
      </c>
      <c r="X4990" s="564">
        <v>47</v>
      </c>
    </row>
    <row r="4991" spans="23:24" x14ac:dyDescent="0.25">
      <c r="W4991" s="574">
        <f t="shared" si="98"/>
        <v>4982</v>
      </c>
      <c r="X4991" s="564">
        <v>47</v>
      </c>
    </row>
    <row r="4992" spans="23:24" x14ac:dyDescent="0.25">
      <c r="W4992" s="574">
        <f t="shared" si="98"/>
        <v>4983</v>
      </c>
      <c r="X4992" s="564">
        <v>47</v>
      </c>
    </row>
    <row r="4993" spans="23:24" x14ac:dyDescent="0.25">
      <c r="W4993" s="574">
        <f t="shared" si="98"/>
        <v>4984</v>
      </c>
      <c r="X4993" s="564">
        <v>47</v>
      </c>
    </row>
    <row r="4994" spans="23:24" x14ac:dyDescent="0.25">
      <c r="W4994" s="574">
        <f t="shared" si="98"/>
        <v>4985</v>
      </c>
      <c r="X4994" s="564">
        <v>47</v>
      </c>
    </row>
    <row r="4995" spans="23:24" x14ac:dyDescent="0.25">
      <c r="W4995" s="574">
        <f t="shared" si="98"/>
        <v>4986</v>
      </c>
      <c r="X4995" s="564">
        <v>47</v>
      </c>
    </row>
    <row r="4996" spans="23:24" x14ac:dyDescent="0.25">
      <c r="W4996" s="574">
        <f t="shared" si="98"/>
        <v>4987</v>
      </c>
      <c r="X4996" s="564">
        <v>47</v>
      </c>
    </row>
    <row r="4997" spans="23:24" x14ac:dyDescent="0.25">
      <c r="W4997" s="574">
        <f t="shared" si="98"/>
        <v>4988</v>
      </c>
      <c r="X4997" s="564">
        <v>47</v>
      </c>
    </row>
    <row r="4998" spans="23:24" x14ac:dyDescent="0.25">
      <c r="W4998" s="574">
        <f t="shared" si="98"/>
        <v>4989</v>
      </c>
      <c r="X4998" s="564">
        <v>47</v>
      </c>
    </row>
    <row r="4999" spans="23:24" x14ac:dyDescent="0.25">
      <c r="W4999" s="574">
        <f t="shared" si="98"/>
        <v>4990</v>
      </c>
      <c r="X4999" s="564">
        <v>47</v>
      </c>
    </row>
    <row r="5000" spans="23:24" x14ac:dyDescent="0.25">
      <c r="W5000" s="574">
        <f t="shared" si="98"/>
        <v>4991</v>
      </c>
      <c r="X5000" s="564">
        <v>47</v>
      </c>
    </row>
    <row r="5001" spans="23:24" x14ac:dyDescent="0.25">
      <c r="W5001" s="574">
        <f t="shared" si="98"/>
        <v>4992</v>
      </c>
      <c r="X5001" s="564">
        <v>47</v>
      </c>
    </row>
    <row r="5002" spans="23:24" x14ac:dyDescent="0.25">
      <c r="W5002" s="574">
        <f t="shared" si="98"/>
        <v>4993</v>
      </c>
      <c r="X5002" s="564">
        <v>47</v>
      </c>
    </row>
    <row r="5003" spans="23:24" x14ac:dyDescent="0.25">
      <c r="W5003" s="574">
        <f t="shared" si="98"/>
        <v>4994</v>
      </c>
      <c r="X5003" s="564">
        <v>47</v>
      </c>
    </row>
    <row r="5004" spans="23:24" x14ac:dyDescent="0.25">
      <c r="W5004" s="574">
        <f t="shared" si="98"/>
        <v>4995</v>
      </c>
      <c r="X5004" s="564">
        <v>47</v>
      </c>
    </row>
    <row r="5005" spans="23:24" x14ac:dyDescent="0.25">
      <c r="W5005" s="574">
        <f t="shared" si="98"/>
        <v>4996</v>
      </c>
      <c r="X5005" s="564">
        <v>47</v>
      </c>
    </row>
    <row r="5006" spans="23:24" x14ac:dyDescent="0.25">
      <c r="W5006" s="574">
        <f t="shared" si="98"/>
        <v>4997</v>
      </c>
      <c r="X5006" s="564">
        <v>47</v>
      </c>
    </row>
    <row r="5007" spans="23:24" x14ac:dyDescent="0.25">
      <c r="W5007" s="574">
        <f t="shared" si="98"/>
        <v>4998</v>
      </c>
      <c r="X5007" s="564">
        <v>47</v>
      </c>
    </row>
    <row r="5008" spans="23:24" x14ac:dyDescent="0.25">
      <c r="W5008" s="574">
        <f t="shared" si="98"/>
        <v>4999</v>
      </c>
      <c r="X5008" s="564">
        <v>47</v>
      </c>
    </row>
    <row r="5009" spans="23:24" x14ac:dyDescent="0.25">
      <c r="W5009" s="574">
        <f t="shared" si="98"/>
        <v>5000</v>
      </c>
      <c r="X5009" s="564">
        <v>47</v>
      </c>
    </row>
    <row r="5010" spans="23:24" x14ac:dyDescent="0.25">
      <c r="W5010" s="574">
        <f t="shared" si="98"/>
        <v>5001</v>
      </c>
      <c r="X5010" s="564">
        <v>48</v>
      </c>
    </row>
    <row r="5011" spans="23:24" x14ac:dyDescent="0.25">
      <c r="W5011" s="574">
        <f t="shared" si="98"/>
        <v>5002</v>
      </c>
      <c r="X5011" s="564">
        <v>48</v>
      </c>
    </row>
    <row r="5012" spans="23:24" x14ac:dyDescent="0.25">
      <c r="W5012" s="574">
        <f t="shared" ref="W5012:W5075" si="99">W5011+1</f>
        <v>5003</v>
      </c>
      <c r="X5012" s="564">
        <v>48</v>
      </c>
    </row>
    <row r="5013" spans="23:24" x14ac:dyDescent="0.25">
      <c r="W5013" s="574">
        <f t="shared" si="99"/>
        <v>5004</v>
      </c>
      <c r="X5013" s="564">
        <v>48</v>
      </c>
    </row>
    <row r="5014" spans="23:24" x14ac:dyDescent="0.25">
      <c r="W5014" s="574">
        <f t="shared" si="99"/>
        <v>5005</v>
      </c>
      <c r="X5014" s="564">
        <v>48</v>
      </c>
    </row>
    <row r="5015" spans="23:24" x14ac:dyDescent="0.25">
      <c r="W5015" s="574">
        <f t="shared" si="99"/>
        <v>5006</v>
      </c>
      <c r="X5015" s="564">
        <v>48</v>
      </c>
    </row>
    <row r="5016" spans="23:24" x14ac:dyDescent="0.25">
      <c r="W5016" s="574">
        <f t="shared" si="99"/>
        <v>5007</v>
      </c>
      <c r="X5016" s="564">
        <v>48</v>
      </c>
    </row>
    <row r="5017" spans="23:24" x14ac:dyDescent="0.25">
      <c r="W5017" s="574">
        <f t="shared" si="99"/>
        <v>5008</v>
      </c>
      <c r="X5017" s="564">
        <v>48</v>
      </c>
    </row>
    <row r="5018" spans="23:24" x14ac:dyDescent="0.25">
      <c r="W5018" s="574">
        <f t="shared" si="99"/>
        <v>5009</v>
      </c>
      <c r="X5018" s="564">
        <v>48</v>
      </c>
    </row>
    <row r="5019" spans="23:24" x14ac:dyDescent="0.25">
      <c r="W5019" s="574">
        <f t="shared" si="99"/>
        <v>5010</v>
      </c>
      <c r="X5019" s="564">
        <v>48</v>
      </c>
    </row>
    <row r="5020" spans="23:24" x14ac:dyDescent="0.25">
      <c r="W5020" s="574">
        <f t="shared" si="99"/>
        <v>5011</v>
      </c>
      <c r="X5020" s="564">
        <v>48</v>
      </c>
    </row>
    <row r="5021" spans="23:24" x14ac:dyDescent="0.25">
      <c r="W5021" s="574">
        <f t="shared" si="99"/>
        <v>5012</v>
      </c>
      <c r="X5021" s="564">
        <v>48</v>
      </c>
    </row>
    <row r="5022" spans="23:24" x14ac:dyDescent="0.25">
      <c r="W5022" s="574">
        <f t="shared" si="99"/>
        <v>5013</v>
      </c>
      <c r="X5022" s="564">
        <v>48</v>
      </c>
    </row>
    <row r="5023" spans="23:24" x14ac:dyDescent="0.25">
      <c r="W5023" s="574">
        <f t="shared" si="99"/>
        <v>5014</v>
      </c>
      <c r="X5023" s="564">
        <v>48</v>
      </c>
    </row>
    <row r="5024" spans="23:24" x14ac:dyDescent="0.25">
      <c r="W5024" s="574">
        <f t="shared" si="99"/>
        <v>5015</v>
      </c>
      <c r="X5024" s="564">
        <v>48</v>
      </c>
    </row>
    <row r="5025" spans="23:24" x14ac:dyDescent="0.25">
      <c r="W5025" s="574">
        <f t="shared" si="99"/>
        <v>5016</v>
      </c>
      <c r="X5025" s="564">
        <v>48</v>
      </c>
    </row>
    <row r="5026" spans="23:24" x14ac:dyDescent="0.25">
      <c r="W5026" s="574">
        <f t="shared" si="99"/>
        <v>5017</v>
      </c>
      <c r="X5026" s="564">
        <v>48</v>
      </c>
    </row>
    <row r="5027" spans="23:24" x14ac:dyDescent="0.25">
      <c r="W5027" s="574">
        <f t="shared" si="99"/>
        <v>5018</v>
      </c>
      <c r="X5027" s="564">
        <v>48</v>
      </c>
    </row>
    <row r="5028" spans="23:24" x14ac:dyDescent="0.25">
      <c r="W5028" s="574">
        <f t="shared" si="99"/>
        <v>5019</v>
      </c>
      <c r="X5028" s="564">
        <v>48</v>
      </c>
    </row>
    <row r="5029" spans="23:24" x14ac:dyDescent="0.25">
      <c r="W5029" s="574">
        <f t="shared" si="99"/>
        <v>5020</v>
      </c>
      <c r="X5029" s="564">
        <v>48</v>
      </c>
    </row>
    <row r="5030" spans="23:24" x14ac:dyDescent="0.25">
      <c r="W5030" s="574">
        <f t="shared" si="99"/>
        <v>5021</v>
      </c>
      <c r="X5030" s="564">
        <v>48</v>
      </c>
    </row>
    <row r="5031" spans="23:24" x14ac:dyDescent="0.25">
      <c r="W5031" s="574">
        <f t="shared" si="99"/>
        <v>5022</v>
      </c>
      <c r="X5031" s="564">
        <v>48</v>
      </c>
    </row>
    <row r="5032" spans="23:24" x14ac:dyDescent="0.25">
      <c r="W5032" s="574">
        <f t="shared" si="99"/>
        <v>5023</v>
      </c>
      <c r="X5032" s="564">
        <v>48</v>
      </c>
    </row>
    <row r="5033" spans="23:24" x14ac:dyDescent="0.25">
      <c r="W5033" s="574">
        <f t="shared" si="99"/>
        <v>5024</v>
      </c>
      <c r="X5033" s="564">
        <v>48</v>
      </c>
    </row>
    <row r="5034" spans="23:24" x14ac:dyDescent="0.25">
      <c r="W5034" s="574">
        <f t="shared" si="99"/>
        <v>5025</v>
      </c>
      <c r="X5034" s="564">
        <v>48</v>
      </c>
    </row>
    <row r="5035" spans="23:24" x14ac:dyDescent="0.25">
      <c r="W5035" s="574">
        <f t="shared" si="99"/>
        <v>5026</v>
      </c>
      <c r="X5035" s="564">
        <v>48</v>
      </c>
    </row>
    <row r="5036" spans="23:24" x14ac:dyDescent="0.25">
      <c r="W5036" s="574">
        <f t="shared" si="99"/>
        <v>5027</v>
      </c>
      <c r="X5036" s="564">
        <v>48</v>
      </c>
    </row>
    <row r="5037" spans="23:24" x14ac:dyDescent="0.25">
      <c r="W5037" s="574">
        <f t="shared" si="99"/>
        <v>5028</v>
      </c>
      <c r="X5037" s="564">
        <v>48</v>
      </c>
    </row>
    <row r="5038" spans="23:24" x14ac:dyDescent="0.25">
      <c r="W5038" s="574">
        <f t="shared" si="99"/>
        <v>5029</v>
      </c>
      <c r="X5038" s="564">
        <v>48</v>
      </c>
    </row>
    <row r="5039" spans="23:24" x14ac:dyDescent="0.25">
      <c r="W5039" s="574">
        <f t="shared" si="99"/>
        <v>5030</v>
      </c>
      <c r="X5039" s="564">
        <v>48</v>
      </c>
    </row>
    <row r="5040" spans="23:24" x14ac:dyDescent="0.25">
      <c r="W5040" s="574">
        <f t="shared" si="99"/>
        <v>5031</v>
      </c>
      <c r="X5040" s="564">
        <v>48</v>
      </c>
    </row>
    <row r="5041" spans="23:24" x14ac:dyDescent="0.25">
      <c r="W5041" s="574">
        <f t="shared" si="99"/>
        <v>5032</v>
      </c>
      <c r="X5041" s="564">
        <v>48</v>
      </c>
    </row>
    <row r="5042" spans="23:24" x14ac:dyDescent="0.25">
      <c r="W5042" s="574">
        <f t="shared" si="99"/>
        <v>5033</v>
      </c>
      <c r="X5042" s="564">
        <v>48</v>
      </c>
    </row>
    <row r="5043" spans="23:24" x14ac:dyDescent="0.25">
      <c r="W5043" s="574">
        <f t="shared" si="99"/>
        <v>5034</v>
      </c>
      <c r="X5043" s="564">
        <v>48</v>
      </c>
    </row>
    <row r="5044" spans="23:24" x14ac:dyDescent="0.25">
      <c r="W5044" s="574">
        <f t="shared" si="99"/>
        <v>5035</v>
      </c>
      <c r="X5044" s="564">
        <v>48</v>
      </c>
    </row>
    <row r="5045" spans="23:24" x14ac:dyDescent="0.25">
      <c r="W5045" s="574">
        <f t="shared" si="99"/>
        <v>5036</v>
      </c>
      <c r="X5045" s="564">
        <v>48</v>
      </c>
    </row>
    <row r="5046" spans="23:24" x14ac:dyDescent="0.25">
      <c r="W5046" s="574">
        <f t="shared" si="99"/>
        <v>5037</v>
      </c>
      <c r="X5046" s="564">
        <v>48</v>
      </c>
    </row>
    <row r="5047" spans="23:24" x14ac:dyDescent="0.25">
      <c r="W5047" s="574">
        <f t="shared" si="99"/>
        <v>5038</v>
      </c>
      <c r="X5047" s="564">
        <v>48</v>
      </c>
    </row>
    <row r="5048" spans="23:24" x14ac:dyDescent="0.25">
      <c r="W5048" s="574">
        <f t="shared" si="99"/>
        <v>5039</v>
      </c>
      <c r="X5048" s="564">
        <v>48</v>
      </c>
    </row>
    <row r="5049" spans="23:24" x14ac:dyDescent="0.25">
      <c r="W5049" s="574">
        <f t="shared" si="99"/>
        <v>5040</v>
      </c>
      <c r="X5049" s="564">
        <v>48</v>
      </c>
    </row>
    <row r="5050" spans="23:24" x14ac:dyDescent="0.25">
      <c r="W5050" s="574">
        <f t="shared" si="99"/>
        <v>5041</v>
      </c>
      <c r="X5050" s="564">
        <v>48</v>
      </c>
    </row>
    <row r="5051" spans="23:24" x14ac:dyDescent="0.25">
      <c r="W5051" s="574">
        <f t="shared" si="99"/>
        <v>5042</v>
      </c>
      <c r="X5051" s="564">
        <v>48</v>
      </c>
    </row>
    <row r="5052" spans="23:24" x14ac:dyDescent="0.25">
      <c r="W5052" s="574">
        <f t="shared" si="99"/>
        <v>5043</v>
      </c>
      <c r="X5052" s="564">
        <v>48</v>
      </c>
    </row>
    <row r="5053" spans="23:24" x14ac:dyDescent="0.25">
      <c r="W5053" s="574">
        <f t="shared" si="99"/>
        <v>5044</v>
      </c>
      <c r="X5053" s="564">
        <v>48</v>
      </c>
    </row>
    <row r="5054" spans="23:24" x14ac:dyDescent="0.25">
      <c r="W5054" s="574">
        <f t="shared" si="99"/>
        <v>5045</v>
      </c>
      <c r="X5054" s="564">
        <v>48</v>
      </c>
    </row>
    <row r="5055" spans="23:24" x14ac:dyDescent="0.25">
      <c r="W5055" s="574">
        <f t="shared" si="99"/>
        <v>5046</v>
      </c>
      <c r="X5055" s="564">
        <v>48</v>
      </c>
    </row>
    <row r="5056" spans="23:24" x14ac:dyDescent="0.25">
      <c r="W5056" s="574">
        <f t="shared" si="99"/>
        <v>5047</v>
      </c>
      <c r="X5056" s="564">
        <v>48</v>
      </c>
    </row>
    <row r="5057" spans="23:24" x14ac:dyDescent="0.25">
      <c r="W5057" s="574">
        <f t="shared" si="99"/>
        <v>5048</v>
      </c>
      <c r="X5057" s="564">
        <v>48</v>
      </c>
    </row>
    <row r="5058" spans="23:24" x14ac:dyDescent="0.25">
      <c r="W5058" s="574">
        <f t="shared" si="99"/>
        <v>5049</v>
      </c>
      <c r="X5058" s="564">
        <v>48</v>
      </c>
    </row>
    <row r="5059" spans="23:24" x14ac:dyDescent="0.25">
      <c r="W5059" s="574">
        <f t="shared" si="99"/>
        <v>5050</v>
      </c>
      <c r="X5059" s="564">
        <v>48</v>
      </c>
    </row>
    <row r="5060" spans="23:24" x14ac:dyDescent="0.25">
      <c r="W5060" s="574">
        <f t="shared" si="99"/>
        <v>5051</v>
      </c>
      <c r="X5060" s="564">
        <v>48</v>
      </c>
    </row>
    <row r="5061" spans="23:24" x14ac:dyDescent="0.25">
      <c r="W5061" s="574">
        <f t="shared" si="99"/>
        <v>5052</v>
      </c>
      <c r="X5061" s="564">
        <v>48</v>
      </c>
    </row>
    <row r="5062" spans="23:24" x14ac:dyDescent="0.25">
      <c r="W5062" s="574">
        <f t="shared" si="99"/>
        <v>5053</v>
      </c>
      <c r="X5062" s="564">
        <v>48</v>
      </c>
    </row>
    <row r="5063" spans="23:24" x14ac:dyDescent="0.25">
      <c r="W5063" s="574">
        <f t="shared" si="99"/>
        <v>5054</v>
      </c>
      <c r="X5063" s="564">
        <v>48</v>
      </c>
    </row>
    <row r="5064" spans="23:24" x14ac:dyDescent="0.25">
      <c r="W5064" s="574">
        <f t="shared" si="99"/>
        <v>5055</v>
      </c>
      <c r="X5064" s="564">
        <v>48</v>
      </c>
    </row>
    <row r="5065" spans="23:24" x14ac:dyDescent="0.25">
      <c r="W5065" s="574">
        <f t="shared" si="99"/>
        <v>5056</v>
      </c>
      <c r="X5065" s="564">
        <v>48</v>
      </c>
    </row>
    <row r="5066" spans="23:24" x14ac:dyDescent="0.25">
      <c r="W5066" s="574">
        <f t="shared" si="99"/>
        <v>5057</v>
      </c>
      <c r="X5066" s="564">
        <v>48</v>
      </c>
    </row>
    <row r="5067" spans="23:24" x14ac:dyDescent="0.25">
      <c r="W5067" s="574">
        <f t="shared" si="99"/>
        <v>5058</v>
      </c>
      <c r="X5067" s="564">
        <v>48</v>
      </c>
    </row>
    <row r="5068" spans="23:24" x14ac:dyDescent="0.25">
      <c r="W5068" s="574">
        <f t="shared" si="99"/>
        <v>5059</v>
      </c>
      <c r="X5068" s="564">
        <v>48</v>
      </c>
    </row>
    <row r="5069" spans="23:24" x14ac:dyDescent="0.25">
      <c r="W5069" s="574">
        <f t="shared" si="99"/>
        <v>5060</v>
      </c>
      <c r="X5069" s="564">
        <v>48</v>
      </c>
    </row>
    <row r="5070" spans="23:24" x14ac:dyDescent="0.25">
      <c r="W5070" s="574">
        <f t="shared" si="99"/>
        <v>5061</v>
      </c>
      <c r="X5070" s="564">
        <v>48</v>
      </c>
    </row>
    <row r="5071" spans="23:24" x14ac:dyDescent="0.25">
      <c r="W5071" s="574">
        <f t="shared" si="99"/>
        <v>5062</v>
      </c>
      <c r="X5071" s="564">
        <v>48</v>
      </c>
    </row>
    <row r="5072" spans="23:24" x14ac:dyDescent="0.25">
      <c r="W5072" s="574">
        <f t="shared" si="99"/>
        <v>5063</v>
      </c>
      <c r="X5072" s="564">
        <v>48</v>
      </c>
    </row>
    <row r="5073" spans="23:24" x14ac:dyDescent="0.25">
      <c r="W5073" s="574">
        <f t="shared" si="99"/>
        <v>5064</v>
      </c>
      <c r="X5073" s="564">
        <v>48</v>
      </c>
    </row>
    <row r="5074" spans="23:24" x14ac:dyDescent="0.25">
      <c r="W5074" s="574">
        <f t="shared" si="99"/>
        <v>5065</v>
      </c>
      <c r="X5074" s="564">
        <v>48</v>
      </c>
    </row>
    <row r="5075" spans="23:24" x14ac:dyDescent="0.25">
      <c r="W5075" s="574">
        <f t="shared" si="99"/>
        <v>5066</v>
      </c>
      <c r="X5075" s="564">
        <v>48</v>
      </c>
    </row>
    <row r="5076" spans="23:24" x14ac:dyDescent="0.25">
      <c r="W5076" s="574">
        <f t="shared" ref="W5076:W5139" si="100">W5075+1</f>
        <v>5067</v>
      </c>
      <c r="X5076" s="564">
        <v>48</v>
      </c>
    </row>
    <row r="5077" spans="23:24" x14ac:dyDescent="0.25">
      <c r="W5077" s="574">
        <f t="shared" si="100"/>
        <v>5068</v>
      </c>
      <c r="X5077" s="564">
        <v>48</v>
      </c>
    </row>
    <row r="5078" spans="23:24" x14ac:dyDescent="0.25">
      <c r="W5078" s="574">
        <f t="shared" si="100"/>
        <v>5069</v>
      </c>
      <c r="X5078" s="564">
        <v>48</v>
      </c>
    </row>
    <row r="5079" spans="23:24" x14ac:dyDescent="0.25">
      <c r="W5079" s="574">
        <f t="shared" si="100"/>
        <v>5070</v>
      </c>
      <c r="X5079" s="564">
        <v>48</v>
      </c>
    </row>
    <row r="5080" spans="23:24" x14ac:dyDescent="0.25">
      <c r="W5080" s="574">
        <f t="shared" si="100"/>
        <v>5071</v>
      </c>
      <c r="X5080" s="564">
        <v>48</v>
      </c>
    </row>
    <row r="5081" spans="23:24" x14ac:dyDescent="0.25">
      <c r="W5081" s="574">
        <f t="shared" si="100"/>
        <v>5072</v>
      </c>
      <c r="X5081" s="564">
        <v>48</v>
      </c>
    </row>
    <row r="5082" spans="23:24" x14ac:dyDescent="0.25">
      <c r="W5082" s="574">
        <f t="shared" si="100"/>
        <v>5073</v>
      </c>
      <c r="X5082" s="564">
        <v>48</v>
      </c>
    </row>
    <row r="5083" spans="23:24" x14ac:dyDescent="0.25">
      <c r="W5083" s="574">
        <f t="shared" si="100"/>
        <v>5074</v>
      </c>
      <c r="X5083" s="564">
        <v>48</v>
      </c>
    </row>
    <row r="5084" spans="23:24" x14ac:dyDescent="0.25">
      <c r="W5084" s="574">
        <f t="shared" si="100"/>
        <v>5075</v>
      </c>
      <c r="X5084" s="564">
        <v>48</v>
      </c>
    </row>
    <row r="5085" spans="23:24" x14ac:dyDescent="0.25">
      <c r="W5085" s="574">
        <f t="shared" si="100"/>
        <v>5076</v>
      </c>
      <c r="X5085" s="564">
        <v>48</v>
      </c>
    </row>
    <row r="5086" spans="23:24" x14ac:dyDescent="0.25">
      <c r="W5086" s="574">
        <f t="shared" si="100"/>
        <v>5077</v>
      </c>
      <c r="X5086" s="564">
        <v>48</v>
      </c>
    </row>
    <row r="5087" spans="23:24" x14ac:dyDescent="0.25">
      <c r="W5087" s="574">
        <f t="shared" si="100"/>
        <v>5078</v>
      </c>
      <c r="X5087" s="564">
        <v>48</v>
      </c>
    </row>
    <row r="5088" spans="23:24" x14ac:dyDescent="0.25">
      <c r="W5088" s="574">
        <f t="shared" si="100"/>
        <v>5079</v>
      </c>
      <c r="X5088" s="564">
        <v>48</v>
      </c>
    </row>
    <row r="5089" spans="23:24" x14ac:dyDescent="0.25">
      <c r="W5089" s="574">
        <f t="shared" si="100"/>
        <v>5080</v>
      </c>
      <c r="X5089" s="564">
        <v>48</v>
      </c>
    </row>
    <row r="5090" spans="23:24" x14ac:dyDescent="0.25">
      <c r="W5090" s="574">
        <f t="shared" si="100"/>
        <v>5081</v>
      </c>
      <c r="X5090" s="564">
        <v>48</v>
      </c>
    </row>
    <row r="5091" spans="23:24" x14ac:dyDescent="0.25">
      <c r="W5091" s="574">
        <f t="shared" si="100"/>
        <v>5082</v>
      </c>
      <c r="X5091" s="564">
        <v>48</v>
      </c>
    </row>
    <row r="5092" spans="23:24" x14ac:dyDescent="0.25">
      <c r="W5092" s="574">
        <f t="shared" si="100"/>
        <v>5083</v>
      </c>
      <c r="X5092" s="564">
        <v>48</v>
      </c>
    </row>
    <row r="5093" spans="23:24" x14ac:dyDescent="0.25">
      <c r="W5093" s="574">
        <f t="shared" si="100"/>
        <v>5084</v>
      </c>
      <c r="X5093" s="564">
        <v>48</v>
      </c>
    </row>
    <row r="5094" spans="23:24" x14ac:dyDescent="0.25">
      <c r="W5094" s="574">
        <f t="shared" si="100"/>
        <v>5085</v>
      </c>
      <c r="X5094" s="564">
        <v>48</v>
      </c>
    </row>
    <row r="5095" spans="23:24" x14ac:dyDescent="0.25">
      <c r="W5095" s="574">
        <f t="shared" si="100"/>
        <v>5086</v>
      </c>
      <c r="X5095" s="564">
        <v>48</v>
      </c>
    </row>
    <row r="5096" spans="23:24" x14ac:dyDescent="0.25">
      <c r="W5096" s="574">
        <f t="shared" si="100"/>
        <v>5087</v>
      </c>
      <c r="X5096" s="564">
        <v>48</v>
      </c>
    </row>
    <row r="5097" spans="23:24" x14ac:dyDescent="0.25">
      <c r="W5097" s="574">
        <f t="shared" si="100"/>
        <v>5088</v>
      </c>
      <c r="X5097" s="564">
        <v>48</v>
      </c>
    </row>
    <row r="5098" spans="23:24" x14ac:dyDescent="0.25">
      <c r="W5098" s="574">
        <f t="shared" si="100"/>
        <v>5089</v>
      </c>
      <c r="X5098" s="564">
        <v>48</v>
      </c>
    </row>
    <row r="5099" spans="23:24" x14ac:dyDescent="0.25">
      <c r="W5099" s="574">
        <f t="shared" si="100"/>
        <v>5090</v>
      </c>
      <c r="X5099" s="564">
        <v>48</v>
      </c>
    </row>
    <row r="5100" spans="23:24" x14ac:dyDescent="0.25">
      <c r="W5100" s="574">
        <f t="shared" si="100"/>
        <v>5091</v>
      </c>
      <c r="X5100" s="564">
        <v>48</v>
      </c>
    </row>
    <row r="5101" spans="23:24" x14ac:dyDescent="0.25">
      <c r="W5101" s="574">
        <f t="shared" si="100"/>
        <v>5092</v>
      </c>
      <c r="X5101" s="564">
        <v>48</v>
      </c>
    </row>
    <row r="5102" spans="23:24" x14ac:dyDescent="0.25">
      <c r="W5102" s="574">
        <f t="shared" si="100"/>
        <v>5093</v>
      </c>
      <c r="X5102" s="564">
        <v>48</v>
      </c>
    </row>
    <row r="5103" spans="23:24" x14ac:dyDescent="0.25">
      <c r="W5103" s="574">
        <f t="shared" si="100"/>
        <v>5094</v>
      </c>
      <c r="X5103" s="564">
        <v>48</v>
      </c>
    </row>
    <row r="5104" spans="23:24" x14ac:dyDescent="0.25">
      <c r="W5104" s="574">
        <f t="shared" si="100"/>
        <v>5095</v>
      </c>
      <c r="X5104" s="564">
        <v>48</v>
      </c>
    </row>
    <row r="5105" spans="23:24" x14ac:dyDescent="0.25">
      <c r="W5105" s="574">
        <f t="shared" si="100"/>
        <v>5096</v>
      </c>
      <c r="X5105" s="564">
        <v>48</v>
      </c>
    </row>
    <row r="5106" spans="23:24" x14ac:dyDescent="0.25">
      <c r="W5106" s="574">
        <f t="shared" si="100"/>
        <v>5097</v>
      </c>
      <c r="X5106" s="564">
        <v>48</v>
      </c>
    </row>
    <row r="5107" spans="23:24" x14ac:dyDescent="0.25">
      <c r="W5107" s="574">
        <f t="shared" si="100"/>
        <v>5098</v>
      </c>
      <c r="X5107" s="564">
        <v>48</v>
      </c>
    </row>
    <row r="5108" spans="23:24" x14ac:dyDescent="0.25">
      <c r="W5108" s="574">
        <f t="shared" si="100"/>
        <v>5099</v>
      </c>
      <c r="X5108" s="564">
        <v>48</v>
      </c>
    </row>
    <row r="5109" spans="23:24" x14ac:dyDescent="0.25">
      <c r="W5109" s="574">
        <f t="shared" si="100"/>
        <v>5100</v>
      </c>
      <c r="X5109" s="564">
        <v>48</v>
      </c>
    </row>
    <row r="5110" spans="23:24" x14ac:dyDescent="0.25">
      <c r="W5110" s="574">
        <f t="shared" si="100"/>
        <v>5101</v>
      </c>
      <c r="X5110" s="564">
        <v>48</v>
      </c>
    </row>
    <row r="5111" spans="23:24" x14ac:dyDescent="0.25">
      <c r="W5111" s="574">
        <f t="shared" si="100"/>
        <v>5102</v>
      </c>
      <c r="X5111" s="564">
        <v>48</v>
      </c>
    </row>
    <row r="5112" spans="23:24" x14ac:dyDescent="0.25">
      <c r="W5112" s="574">
        <f t="shared" si="100"/>
        <v>5103</v>
      </c>
      <c r="X5112" s="564">
        <v>48</v>
      </c>
    </row>
    <row r="5113" spans="23:24" x14ac:dyDescent="0.25">
      <c r="W5113" s="574">
        <f t="shared" si="100"/>
        <v>5104</v>
      </c>
      <c r="X5113" s="564">
        <v>48</v>
      </c>
    </row>
    <row r="5114" spans="23:24" x14ac:dyDescent="0.25">
      <c r="W5114" s="574">
        <f t="shared" si="100"/>
        <v>5105</v>
      </c>
      <c r="X5114" s="564">
        <v>48</v>
      </c>
    </row>
    <row r="5115" spans="23:24" x14ac:dyDescent="0.25">
      <c r="W5115" s="574">
        <f t="shared" si="100"/>
        <v>5106</v>
      </c>
      <c r="X5115" s="564">
        <v>48</v>
      </c>
    </row>
    <row r="5116" spans="23:24" x14ac:dyDescent="0.25">
      <c r="W5116" s="574">
        <f t="shared" si="100"/>
        <v>5107</v>
      </c>
      <c r="X5116" s="564">
        <v>48</v>
      </c>
    </row>
    <row r="5117" spans="23:24" x14ac:dyDescent="0.25">
      <c r="W5117" s="574">
        <f t="shared" si="100"/>
        <v>5108</v>
      </c>
      <c r="X5117" s="564">
        <v>48</v>
      </c>
    </row>
    <row r="5118" spans="23:24" x14ac:dyDescent="0.25">
      <c r="W5118" s="574">
        <f t="shared" si="100"/>
        <v>5109</v>
      </c>
      <c r="X5118" s="564">
        <v>48</v>
      </c>
    </row>
    <row r="5119" spans="23:24" x14ac:dyDescent="0.25">
      <c r="W5119" s="574">
        <f t="shared" si="100"/>
        <v>5110</v>
      </c>
      <c r="X5119" s="564">
        <v>48</v>
      </c>
    </row>
    <row r="5120" spans="23:24" x14ac:dyDescent="0.25">
      <c r="W5120" s="574">
        <f t="shared" si="100"/>
        <v>5111</v>
      </c>
      <c r="X5120" s="564">
        <v>48</v>
      </c>
    </row>
    <row r="5121" spans="23:24" x14ac:dyDescent="0.25">
      <c r="W5121" s="574">
        <f t="shared" si="100"/>
        <v>5112</v>
      </c>
      <c r="X5121" s="564">
        <v>48</v>
      </c>
    </row>
    <row r="5122" spans="23:24" x14ac:dyDescent="0.25">
      <c r="W5122" s="574">
        <f t="shared" si="100"/>
        <v>5113</v>
      </c>
      <c r="X5122" s="564">
        <v>48</v>
      </c>
    </row>
    <row r="5123" spans="23:24" x14ac:dyDescent="0.25">
      <c r="W5123" s="574">
        <f t="shared" si="100"/>
        <v>5114</v>
      </c>
      <c r="X5123" s="564">
        <v>48</v>
      </c>
    </row>
    <row r="5124" spans="23:24" x14ac:dyDescent="0.25">
      <c r="W5124" s="574">
        <f t="shared" si="100"/>
        <v>5115</v>
      </c>
      <c r="X5124" s="564">
        <v>48</v>
      </c>
    </row>
    <row r="5125" spans="23:24" x14ac:dyDescent="0.25">
      <c r="W5125" s="574">
        <f t="shared" si="100"/>
        <v>5116</v>
      </c>
      <c r="X5125" s="564">
        <v>48</v>
      </c>
    </row>
    <row r="5126" spans="23:24" x14ac:dyDescent="0.25">
      <c r="W5126" s="574">
        <f t="shared" si="100"/>
        <v>5117</v>
      </c>
      <c r="X5126" s="564">
        <v>48</v>
      </c>
    </row>
    <row r="5127" spans="23:24" x14ac:dyDescent="0.25">
      <c r="W5127" s="574">
        <f t="shared" si="100"/>
        <v>5118</v>
      </c>
      <c r="X5127" s="564">
        <v>48</v>
      </c>
    </row>
    <row r="5128" spans="23:24" x14ac:dyDescent="0.25">
      <c r="W5128" s="574">
        <f t="shared" si="100"/>
        <v>5119</v>
      </c>
      <c r="X5128" s="564">
        <v>48</v>
      </c>
    </row>
    <row r="5129" spans="23:24" x14ac:dyDescent="0.25">
      <c r="W5129" s="574">
        <f t="shared" si="100"/>
        <v>5120</v>
      </c>
      <c r="X5129" s="564">
        <v>48</v>
      </c>
    </row>
    <row r="5130" spans="23:24" x14ac:dyDescent="0.25">
      <c r="W5130" s="574">
        <f t="shared" si="100"/>
        <v>5121</v>
      </c>
      <c r="X5130" s="564">
        <v>48</v>
      </c>
    </row>
    <row r="5131" spans="23:24" x14ac:dyDescent="0.25">
      <c r="W5131" s="574">
        <f t="shared" si="100"/>
        <v>5122</v>
      </c>
      <c r="X5131" s="564">
        <v>48</v>
      </c>
    </row>
    <row r="5132" spans="23:24" x14ac:dyDescent="0.25">
      <c r="W5132" s="574">
        <f t="shared" si="100"/>
        <v>5123</v>
      </c>
      <c r="X5132" s="564">
        <v>48</v>
      </c>
    </row>
    <row r="5133" spans="23:24" x14ac:dyDescent="0.25">
      <c r="W5133" s="574">
        <f t="shared" si="100"/>
        <v>5124</v>
      </c>
      <c r="X5133" s="564">
        <v>48</v>
      </c>
    </row>
    <row r="5134" spans="23:24" x14ac:dyDescent="0.25">
      <c r="W5134" s="574">
        <f t="shared" si="100"/>
        <v>5125</v>
      </c>
      <c r="X5134" s="564">
        <v>48</v>
      </c>
    </row>
    <row r="5135" spans="23:24" x14ac:dyDescent="0.25">
      <c r="W5135" s="574">
        <f t="shared" si="100"/>
        <v>5126</v>
      </c>
      <c r="X5135" s="564">
        <v>48</v>
      </c>
    </row>
    <row r="5136" spans="23:24" x14ac:dyDescent="0.25">
      <c r="W5136" s="574">
        <f t="shared" si="100"/>
        <v>5127</v>
      </c>
      <c r="X5136" s="564">
        <v>48</v>
      </c>
    </row>
    <row r="5137" spans="23:24" x14ac:dyDescent="0.25">
      <c r="W5137" s="574">
        <f t="shared" si="100"/>
        <v>5128</v>
      </c>
      <c r="X5137" s="564">
        <v>48</v>
      </c>
    </row>
    <row r="5138" spans="23:24" x14ac:dyDescent="0.25">
      <c r="W5138" s="574">
        <f t="shared" si="100"/>
        <v>5129</v>
      </c>
      <c r="X5138" s="564">
        <v>48</v>
      </c>
    </row>
    <row r="5139" spans="23:24" x14ac:dyDescent="0.25">
      <c r="W5139" s="574">
        <f t="shared" si="100"/>
        <v>5130</v>
      </c>
      <c r="X5139" s="564">
        <v>48</v>
      </c>
    </row>
    <row r="5140" spans="23:24" x14ac:dyDescent="0.25">
      <c r="W5140" s="574">
        <f t="shared" ref="W5140:W5203" si="101">W5139+1</f>
        <v>5131</v>
      </c>
      <c r="X5140" s="564">
        <v>48</v>
      </c>
    </row>
    <row r="5141" spans="23:24" x14ac:dyDescent="0.25">
      <c r="W5141" s="574">
        <f t="shared" si="101"/>
        <v>5132</v>
      </c>
      <c r="X5141" s="564">
        <v>48</v>
      </c>
    </row>
    <row r="5142" spans="23:24" x14ac:dyDescent="0.25">
      <c r="W5142" s="574">
        <f t="shared" si="101"/>
        <v>5133</v>
      </c>
      <c r="X5142" s="564">
        <v>48</v>
      </c>
    </row>
    <row r="5143" spans="23:24" x14ac:dyDescent="0.25">
      <c r="W5143" s="574">
        <f t="shared" si="101"/>
        <v>5134</v>
      </c>
      <c r="X5143" s="564">
        <v>48</v>
      </c>
    </row>
    <row r="5144" spans="23:24" x14ac:dyDescent="0.25">
      <c r="W5144" s="574">
        <f t="shared" si="101"/>
        <v>5135</v>
      </c>
      <c r="X5144" s="564">
        <v>48</v>
      </c>
    </row>
    <row r="5145" spans="23:24" x14ac:dyDescent="0.25">
      <c r="W5145" s="574">
        <f t="shared" si="101"/>
        <v>5136</v>
      </c>
      <c r="X5145" s="564">
        <v>48</v>
      </c>
    </row>
    <row r="5146" spans="23:24" x14ac:dyDescent="0.25">
      <c r="W5146" s="574">
        <f t="shared" si="101"/>
        <v>5137</v>
      </c>
      <c r="X5146" s="564">
        <v>48</v>
      </c>
    </row>
    <row r="5147" spans="23:24" x14ac:dyDescent="0.25">
      <c r="W5147" s="574">
        <f t="shared" si="101"/>
        <v>5138</v>
      </c>
      <c r="X5147" s="564">
        <v>48</v>
      </c>
    </row>
    <row r="5148" spans="23:24" x14ac:dyDescent="0.25">
      <c r="W5148" s="574">
        <f t="shared" si="101"/>
        <v>5139</v>
      </c>
      <c r="X5148" s="564">
        <v>48</v>
      </c>
    </row>
    <row r="5149" spans="23:24" x14ac:dyDescent="0.25">
      <c r="W5149" s="574">
        <f t="shared" si="101"/>
        <v>5140</v>
      </c>
      <c r="X5149" s="564">
        <v>48</v>
      </c>
    </row>
    <row r="5150" spans="23:24" x14ac:dyDescent="0.25">
      <c r="W5150" s="574">
        <f t="shared" si="101"/>
        <v>5141</v>
      </c>
      <c r="X5150" s="564">
        <v>48</v>
      </c>
    </row>
    <row r="5151" spans="23:24" x14ac:dyDescent="0.25">
      <c r="W5151" s="574">
        <f t="shared" si="101"/>
        <v>5142</v>
      </c>
      <c r="X5151" s="564">
        <v>48</v>
      </c>
    </row>
    <row r="5152" spans="23:24" x14ac:dyDescent="0.25">
      <c r="W5152" s="574">
        <f t="shared" si="101"/>
        <v>5143</v>
      </c>
      <c r="X5152" s="564">
        <v>48</v>
      </c>
    </row>
    <row r="5153" spans="23:24" x14ac:dyDescent="0.25">
      <c r="W5153" s="574">
        <f t="shared" si="101"/>
        <v>5144</v>
      </c>
      <c r="X5153" s="564">
        <v>48</v>
      </c>
    </row>
    <row r="5154" spans="23:24" x14ac:dyDescent="0.25">
      <c r="W5154" s="574">
        <f t="shared" si="101"/>
        <v>5145</v>
      </c>
      <c r="X5154" s="564">
        <v>48</v>
      </c>
    </row>
    <row r="5155" spans="23:24" x14ac:dyDescent="0.25">
      <c r="W5155" s="574">
        <f t="shared" si="101"/>
        <v>5146</v>
      </c>
      <c r="X5155" s="564">
        <v>48</v>
      </c>
    </row>
    <row r="5156" spans="23:24" x14ac:dyDescent="0.25">
      <c r="W5156" s="574">
        <f t="shared" si="101"/>
        <v>5147</v>
      </c>
      <c r="X5156" s="564">
        <v>48</v>
      </c>
    </row>
    <row r="5157" spans="23:24" x14ac:dyDescent="0.25">
      <c r="W5157" s="574">
        <f t="shared" si="101"/>
        <v>5148</v>
      </c>
      <c r="X5157" s="564">
        <v>48</v>
      </c>
    </row>
    <row r="5158" spans="23:24" x14ac:dyDescent="0.25">
      <c r="W5158" s="574">
        <f t="shared" si="101"/>
        <v>5149</v>
      </c>
      <c r="X5158" s="564">
        <v>48</v>
      </c>
    </row>
    <row r="5159" spans="23:24" x14ac:dyDescent="0.25">
      <c r="W5159" s="574">
        <f t="shared" si="101"/>
        <v>5150</v>
      </c>
      <c r="X5159" s="564">
        <v>48</v>
      </c>
    </row>
    <row r="5160" spans="23:24" x14ac:dyDescent="0.25">
      <c r="W5160" s="574">
        <f t="shared" si="101"/>
        <v>5151</v>
      </c>
      <c r="X5160" s="564">
        <v>48</v>
      </c>
    </row>
    <row r="5161" spans="23:24" x14ac:dyDescent="0.25">
      <c r="W5161" s="574">
        <f t="shared" si="101"/>
        <v>5152</v>
      </c>
      <c r="X5161" s="564">
        <v>48</v>
      </c>
    </row>
    <row r="5162" spans="23:24" x14ac:dyDescent="0.25">
      <c r="W5162" s="574">
        <f t="shared" si="101"/>
        <v>5153</v>
      </c>
      <c r="X5162" s="564">
        <v>48</v>
      </c>
    </row>
    <row r="5163" spans="23:24" x14ac:dyDescent="0.25">
      <c r="W5163" s="574">
        <f t="shared" si="101"/>
        <v>5154</v>
      </c>
      <c r="X5163" s="564">
        <v>48</v>
      </c>
    </row>
    <row r="5164" spans="23:24" x14ac:dyDescent="0.25">
      <c r="W5164" s="574">
        <f t="shared" si="101"/>
        <v>5155</v>
      </c>
      <c r="X5164" s="564">
        <v>48</v>
      </c>
    </row>
    <row r="5165" spans="23:24" x14ac:dyDescent="0.25">
      <c r="W5165" s="574">
        <f t="shared" si="101"/>
        <v>5156</v>
      </c>
      <c r="X5165" s="564">
        <v>48</v>
      </c>
    </row>
    <row r="5166" spans="23:24" x14ac:dyDescent="0.25">
      <c r="W5166" s="574">
        <f t="shared" si="101"/>
        <v>5157</v>
      </c>
      <c r="X5166" s="564">
        <v>48</v>
      </c>
    </row>
    <row r="5167" spans="23:24" x14ac:dyDescent="0.25">
      <c r="W5167" s="574">
        <f t="shared" si="101"/>
        <v>5158</v>
      </c>
      <c r="X5167" s="564">
        <v>48</v>
      </c>
    </row>
    <row r="5168" spans="23:24" x14ac:dyDescent="0.25">
      <c r="W5168" s="574">
        <f t="shared" si="101"/>
        <v>5159</v>
      </c>
      <c r="X5168" s="564">
        <v>48</v>
      </c>
    </row>
    <row r="5169" spans="23:24" x14ac:dyDescent="0.25">
      <c r="W5169" s="574">
        <f t="shared" si="101"/>
        <v>5160</v>
      </c>
      <c r="X5169" s="564">
        <v>48</v>
      </c>
    </row>
    <row r="5170" spans="23:24" x14ac:dyDescent="0.25">
      <c r="W5170" s="574">
        <f t="shared" si="101"/>
        <v>5161</v>
      </c>
      <c r="X5170" s="564">
        <v>48</v>
      </c>
    </row>
    <row r="5171" spans="23:24" x14ac:dyDescent="0.25">
      <c r="W5171" s="574">
        <f t="shared" si="101"/>
        <v>5162</v>
      </c>
      <c r="X5171" s="564">
        <v>48</v>
      </c>
    </row>
    <row r="5172" spans="23:24" x14ac:dyDescent="0.25">
      <c r="W5172" s="574">
        <f t="shared" si="101"/>
        <v>5163</v>
      </c>
      <c r="X5172" s="564">
        <v>48</v>
      </c>
    </row>
    <row r="5173" spans="23:24" x14ac:dyDescent="0.25">
      <c r="W5173" s="574">
        <f t="shared" si="101"/>
        <v>5164</v>
      </c>
      <c r="X5173" s="564">
        <v>48</v>
      </c>
    </row>
    <row r="5174" spans="23:24" x14ac:dyDescent="0.25">
      <c r="W5174" s="574">
        <f t="shared" si="101"/>
        <v>5165</v>
      </c>
      <c r="X5174" s="564">
        <v>48</v>
      </c>
    </row>
    <row r="5175" spans="23:24" x14ac:dyDescent="0.25">
      <c r="W5175" s="574">
        <f t="shared" si="101"/>
        <v>5166</v>
      </c>
      <c r="X5175" s="564">
        <v>48</v>
      </c>
    </row>
    <row r="5176" spans="23:24" x14ac:dyDescent="0.25">
      <c r="W5176" s="574">
        <f t="shared" si="101"/>
        <v>5167</v>
      </c>
      <c r="X5176" s="564">
        <v>48</v>
      </c>
    </row>
    <row r="5177" spans="23:24" x14ac:dyDescent="0.25">
      <c r="W5177" s="574">
        <f t="shared" si="101"/>
        <v>5168</v>
      </c>
      <c r="X5177" s="564">
        <v>48</v>
      </c>
    </row>
    <row r="5178" spans="23:24" x14ac:dyDescent="0.25">
      <c r="W5178" s="574">
        <f t="shared" si="101"/>
        <v>5169</v>
      </c>
      <c r="X5178" s="564">
        <v>48</v>
      </c>
    </row>
    <row r="5179" spans="23:24" x14ac:dyDescent="0.25">
      <c r="W5179" s="574">
        <f t="shared" si="101"/>
        <v>5170</v>
      </c>
      <c r="X5179" s="564">
        <v>48</v>
      </c>
    </row>
    <row r="5180" spans="23:24" x14ac:dyDescent="0.25">
      <c r="W5180" s="574">
        <f t="shared" si="101"/>
        <v>5171</v>
      </c>
      <c r="X5180" s="564">
        <v>48</v>
      </c>
    </row>
    <row r="5181" spans="23:24" x14ac:dyDescent="0.25">
      <c r="W5181" s="574">
        <f t="shared" si="101"/>
        <v>5172</v>
      </c>
      <c r="X5181" s="564">
        <v>48</v>
      </c>
    </row>
    <row r="5182" spans="23:24" x14ac:dyDescent="0.25">
      <c r="W5182" s="574">
        <f t="shared" si="101"/>
        <v>5173</v>
      </c>
      <c r="X5182" s="564">
        <v>48</v>
      </c>
    </row>
    <row r="5183" spans="23:24" x14ac:dyDescent="0.25">
      <c r="W5183" s="574">
        <f t="shared" si="101"/>
        <v>5174</v>
      </c>
      <c r="X5183" s="564">
        <v>48</v>
      </c>
    </row>
    <row r="5184" spans="23:24" x14ac:dyDescent="0.25">
      <c r="W5184" s="574">
        <f t="shared" si="101"/>
        <v>5175</v>
      </c>
      <c r="X5184" s="564">
        <v>48</v>
      </c>
    </row>
    <row r="5185" spans="23:24" x14ac:dyDescent="0.25">
      <c r="W5185" s="574">
        <f t="shared" si="101"/>
        <v>5176</v>
      </c>
      <c r="X5185" s="564">
        <v>48</v>
      </c>
    </row>
    <row r="5186" spans="23:24" x14ac:dyDescent="0.25">
      <c r="W5186" s="574">
        <f t="shared" si="101"/>
        <v>5177</v>
      </c>
      <c r="X5186" s="564">
        <v>48</v>
      </c>
    </row>
    <row r="5187" spans="23:24" x14ac:dyDescent="0.25">
      <c r="W5187" s="574">
        <f t="shared" si="101"/>
        <v>5178</v>
      </c>
      <c r="X5187" s="564">
        <v>48</v>
      </c>
    </row>
    <row r="5188" spans="23:24" x14ac:dyDescent="0.25">
      <c r="W5188" s="574">
        <f t="shared" si="101"/>
        <v>5179</v>
      </c>
      <c r="X5188" s="564">
        <v>48</v>
      </c>
    </row>
    <row r="5189" spans="23:24" x14ac:dyDescent="0.25">
      <c r="W5189" s="574">
        <f t="shared" si="101"/>
        <v>5180</v>
      </c>
      <c r="X5189" s="564">
        <v>48</v>
      </c>
    </row>
    <row r="5190" spans="23:24" x14ac:dyDescent="0.25">
      <c r="W5190" s="574">
        <f t="shared" si="101"/>
        <v>5181</v>
      </c>
      <c r="X5190" s="564">
        <v>48</v>
      </c>
    </row>
    <row r="5191" spans="23:24" x14ac:dyDescent="0.25">
      <c r="W5191" s="574">
        <f t="shared" si="101"/>
        <v>5182</v>
      </c>
      <c r="X5191" s="564">
        <v>48</v>
      </c>
    </row>
    <row r="5192" spans="23:24" x14ac:dyDescent="0.25">
      <c r="W5192" s="574">
        <f t="shared" si="101"/>
        <v>5183</v>
      </c>
      <c r="X5192" s="564">
        <v>48</v>
      </c>
    </row>
    <row r="5193" spans="23:24" x14ac:dyDescent="0.25">
      <c r="W5193" s="574">
        <f t="shared" si="101"/>
        <v>5184</v>
      </c>
      <c r="X5193" s="564">
        <v>48</v>
      </c>
    </row>
    <row r="5194" spans="23:24" x14ac:dyDescent="0.25">
      <c r="W5194" s="574">
        <f t="shared" si="101"/>
        <v>5185</v>
      </c>
      <c r="X5194" s="564">
        <v>48</v>
      </c>
    </row>
    <row r="5195" spans="23:24" x14ac:dyDescent="0.25">
      <c r="W5195" s="574">
        <f t="shared" si="101"/>
        <v>5186</v>
      </c>
      <c r="X5195" s="564">
        <v>48</v>
      </c>
    </row>
    <row r="5196" spans="23:24" x14ac:dyDescent="0.25">
      <c r="W5196" s="574">
        <f t="shared" si="101"/>
        <v>5187</v>
      </c>
      <c r="X5196" s="564">
        <v>48</v>
      </c>
    </row>
    <row r="5197" spans="23:24" x14ac:dyDescent="0.25">
      <c r="W5197" s="574">
        <f t="shared" si="101"/>
        <v>5188</v>
      </c>
      <c r="X5197" s="564">
        <v>48</v>
      </c>
    </row>
    <row r="5198" spans="23:24" x14ac:dyDescent="0.25">
      <c r="W5198" s="574">
        <f t="shared" si="101"/>
        <v>5189</v>
      </c>
      <c r="X5198" s="564">
        <v>48</v>
      </c>
    </row>
    <row r="5199" spans="23:24" x14ac:dyDescent="0.25">
      <c r="W5199" s="574">
        <f t="shared" si="101"/>
        <v>5190</v>
      </c>
      <c r="X5199" s="564">
        <v>48</v>
      </c>
    </row>
    <row r="5200" spans="23:24" x14ac:dyDescent="0.25">
      <c r="W5200" s="574">
        <f t="shared" si="101"/>
        <v>5191</v>
      </c>
      <c r="X5200" s="564">
        <v>48</v>
      </c>
    </row>
    <row r="5201" spans="23:24" x14ac:dyDescent="0.25">
      <c r="W5201" s="574">
        <f t="shared" si="101"/>
        <v>5192</v>
      </c>
      <c r="X5201" s="564">
        <v>48</v>
      </c>
    </row>
    <row r="5202" spans="23:24" x14ac:dyDescent="0.25">
      <c r="W5202" s="574">
        <f t="shared" si="101"/>
        <v>5193</v>
      </c>
      <c r="X5202" s="564">
        <v>48</v>
      </c>
    </row>
    <row r="5203" spans="23:24" x14ac:dyDescent="0.25">
      <c r="W5203" s="574">
        <f t="shared" si="101"/>
        <v>5194</v>
      </c>
      <c r="X5203" s="564">
        <v>48</v>
      </c>
    </row>
    <row r="5204" spans="23:24" x14ac:dyDescent="0.25">
      <c r="W5204" s="574">
        <f t="shared" ref="W5204:W5259" si="102">W5203+1</f>
        <v>5195</v>
      </c>
      <c r="X5204" s="564">
        <v>48</v>
      </c>
    </row>
    <row r="5205" spans="23:24" x14ac:dyDescent="0.25">
      <c r="W5205" s="574">
        <f t="shared" si="102"/>
        <v>5196</v>
      </c>
      <c r="X5205" s="564">
        <v>48</v>
      </c>
    </row>
    <row r="5206" spans="23:24" x14ac:dyDescent="0.25">
      <c r="W5206" s="574">
        <f t="shared" si="102"/>
        <v>5197</v>
      </c>
      <c r="X5206" s="564">
        <v>48</v>
      </c>
    </row>
    <row r="5207" spans="23:24" x14ac:dyDescent="0.25">
      <c r="W5207" s="574">
        <f t="shared" si="102"/>
        <v>5198</v>
      </c>
      <c r="X5207" s="564">
        <v>48</v>
      </c>
    </row>
    <row r="5208" spans="23:24" x14ac:dyDescent="0.25">
      <c r="W5208" s="574">
        <f t="shared" si="102"/>
        <v>5199</v>
      </c>
      <c r="X5208" s="564">
        <v>48</v>
      </c>
    </row>
    <row r="5209" spans="23:24" x14ac:dyDescent="0.25">
      <c r="W5209" s="574">
        <f t="shared" si="102"/>
        <v>5200</v>
      </c>
      <c r="X5209" s="564">
        <v>48</v>
      </c>
    </row>
    <row r="5210" spans="23:24" x14ac:dyDescent="0.25">
      <c r="W5210" s="574">
        <f t="shared" si="102"/>
        <v>5201</v>
      </c>
      <c r="X5210" s="564">
        <v>48</v>
      </c>
    </row>
    <row r="5211" spans="23:24" x14ac:dyDescent="0.25">
      <c r="W5211" s="574">
        <f t="shared" si="102"/>
        <v>5202</v>
      </c>
      <c r="X5211" s="564">
        <v>48</v>
      </c>
    </row>
    <row r="5212" spans="23:24" x14ac:dyDescent="0.25">
      <c r="W5212" s="574">
        <f t="shared" si="102"/>
        <v>5203</v>
      </c>
      <c r="X5212" s="564">
        <v>48</v>
      </c>
    </row>
    <row r="5213" spans="23:24" x14ac:dyDescent="0.25">
      <c r="W5213" s="574">
        <f t="shared" si="102"/>
        <v>5204</v>
      </c>
      <c r="X5213" s="564">
        <v>48</v>
      </c>
    </row>
    <row r="5214" spans="23:24" x14ac:dyDescent="0.25">
      <c r="W5214" s="574">
        <f t="shared" si="102"/>
        <v>5205</v>
      </c>
      <c r="X5214" s="564">
        <v>48</v>
      </c>
    </row>
    <row r="5215" spans="23:24" x14ac:dyDescent="0.25">
      <c r="W5215" s="574">
        <f t="shared" si="102"/>
        <v>5206</v>
      </c>
      <c r="X5215" s="564">
        <v>48</v>
      </c>
    </row>
    <row r="5216" spans="23:24" x14ac:dyDescent="0.25">
      <c r="W5216" s="574">
        <f t="shared" si="102"/>
        <v>5207</v>
      </c>
      <c r="X5216" s="564">
        <v>48</v>
      </c>
    </row>
    <row r="5217" spans="23:24" x14ac:dyDescent="0.25">
      <c r="W5217" s="574">
        <f t="shared" si="102"/>
        <v>5208</v>
      </c>
      <c r="X5217" s="564">
        <v>48</v>
      </c>
    </row>
    <row r="5218" spans="23:24" x14ac:dyDescent="0.25">
      <c r="W5218" s="574">
        <f t="shared" si="102"/>
        <v>5209</v>
      </c>
      <c r="X5218" s="564">
        <v>48</v>
      </c>
    </row>
    <row r="5219" spans="23:24" x14ac:dyDescent="0.25">
      <c r="W5219" s="574">
        <f t="shared" si="102"/>
        <v>5210</v>
      </c>
      <c r="X5219" s="564">
        <v>48</v>
      </c>
    </row>
    <row r="5220" spans="23:24" x14ac:dyDescent="0.25">
      <c r="W5220" s="574">
        <f t="shared" si="102"/>
        <v>5211</v>
      </c>
      <c r="X5220" s="564">
        <v>48</v>
      </c>
    </row>
    <row r="5221" spans="23:24" x14ac:dyDescent="0.25">
      <c r="W5221" s="574">
        <f t="shared" si="102"/>
        <v>5212</v>
      </c>
      <c r="X5221" s="564">
        <v>48</v>
      </c>
    </row>
    <row r="5222" spans="23:24" x14ac:dyDescent="0.25">
      <c r="W5222" s="574">
        <f t="shared" si="102"/>
        <v>5213</v>
      </c>
      <c r="X5222" s="564">
        <v>48</v>
      </c>
    </row>
    <row r="5223" spans="23:24" x14ac:dyDescent="0.25">
      <c r="W5223" s="574">
        <f t="shared" si="102"/>
        <v>5214</v>
      </c>
      <c r="X5223" s="564">
        <v>48</v>
      </c>
    </row>
    <row r="5224" spans="23:24" x14ac:dyDescent="0.25">
      <c r="W5224" s="574">
        <f t="shared" si="102"/>
        <v>5215</v>
      </c>
      <c r="X5224" s="564">
        <v>48</v>
      </c>
    </row>
    <row r="5225" spans="23:24" x14ac:dyDescent="0.25">
      <c r="W5225" s="574">
        <f t="shared" si="102"/>
        <v>5216</v>
      </c>
      <c r="X5225" s="564">
        <v>48</v>
      </c>
    </row>
    <row r="5226" spans="23:24" x14ac:dyDescent="0.25">
      <c r="W5226" s="574">
        <f t="shared" si="102"/>
        <v>5217</v>
      </c>
      <c r="X5226" s="564">
        <v>48</v>
      </c>
    </row>
    <row r="5227" spans="23:24" x14ac:dyDescent="0.25">
      <c r="W5227" s="574">
        <f t="shared" si="102"/>
        <v>5218</v>
      </c>
      <c r="X5227" s="564">
        <v>48</v>
      </c>
    </row>
    <row r="5228" spans="23:24" x14ac:dyDescent="0.25">
      <c r="W5228" s="574">
        <f t="shared" si="102"/>
        <v>5219</v>
      </c>
      <c r="X5228" s="564">
        <v>48</v>
      </c>
    </row>
    <row r="5229" spans="23:24" x14ac:dyDescent="0.25">
      <c r="W5229" s="574">
        <f t="shared" si="102"/>
        <v>5220</v>
      </c>
      <c r="X5229" s="564">
        <v>48</v>
      </c>
    </row>
    <row r="5230" spans="23:24" x14ac:dyDescent="0.25">
      <c r="W5230" s="574">
        <f t="shared" si="102"/>
        <v>5221</v>
      </c>
      <c r="X5230" s="564">
        <v>48</v>
      </c>
    </row>
    <row r="5231" spans="23:24" x14ac:dyDescent="0.25">
      <c r="W5231" s="574">
        <f t="shared" si="102"/>
        <v>5222</v>
      </c>
      <c r="X5231" s="564">
        <v>48</v>
      </c>
    </row>
    <row r="5232" spans="23:24" x14ac:dyDescent="0.25">
      <c r="W5232" s="574">
        <f t="shared" si="102"/>
        <v>5223</v>
      </c>
      <c r="X5232" s="564">
        <v>48</v>
      </c>
    </row>
    <row r="5233" spans="23:24" x14ac:dyDescent="0.25">
      <c r="W5233" s="574">
        <f t="shared" si="102"/>
        <v>5224</v>
      </c>
      <c r="X5233" s="564">
        <v>48</v>
      </c>
    </row>
    <row r="5234" spans="23:24" x14ac:dyDescent="0.25">
      <c r="W5234" s="574">
        <f t="shared" si="102"/>
        <v>5225</v>
      </c>
      <c r="X5234" s="564">
        <v>48</v>
      </c>
    </row>
    <row r="5235" spans="23:24" x14ac:dyDescent="0.25">
      <c r="W5235" s="574">
        <f t="shared" si="102"/>
        <v>5226</v>
      </c>
      <c r="X5235" s="564">
        <v>48</v>
      </c>
    </row>
    <row r="5236" spans="23:24" x14ac:dyDescent="0.25">
      <c r="W5236" s="574">
        <f t="shared" si="102"/>
        <v>5227</v>
      </c>
      <c r="X5236" s="564">
        <v>48</v>
      </c>
    </row>
    <row r="5237" spans="23:24" x14ac:dyDescent="0.25">
      <c r="W5237" s="574">
        <f t="shared" si="102"/>
        <v>5228</v>
      </c>
      <c r="X5237" s="564">
        <v>48</v>
      </c>
    </row>
    <row r="5238" spans="23:24" x14ac:dyDescent="0.25">
      <c r="W5238" s="574">
        <f t="shared" si="102"/>
        <v>5229</v>
      </c>
      <c r="X5238" s="564">
        <v>48</v>
      </c>
    </row>
    <row r="5239" spans="23:24" x14ac:dyDescent="0.25">
      <c r="W5239" s="574">
        <f t="shared" si="102"/>
        <v>5230</v>
      </c>
      <c r="X5239" s="564">
        <v>48</v>
      </c>
    </row>
    <row r="5240" spans="23:24" x14ac:dyDescent="0.25">
      <c r="W5240" s="574">
        <f t="shared" si="102"/>
        <v>5231</v>
      </c>
      <c r="X5240" s="564">
        <v>48</v>
      </c>
    </row>
    <row r="5241" spans="23:24" x14ac:dyDescent="0.25">
      <c r="W5241" s="574">
        <f t="shared" si="102"/>
        <v>5232</v>
      </c>
      <c r="X5241" s="564">
        <v>48</v>
      </c>
    </row>
    <row r="5242" spans="23:24" x14ac:dyDescent="0.25">
      <c r="W5242" s="574">
        <f t="shared" si="102"/>
        <v>5233</v>
      </c>
      <c r="X5242" s="564">
        <v>48</v>
      </c>
    </row>
    <row r="5243" spans="23:24" x14ac:dyDescent="0.25">
      <c r="W5243" s="574">
        <f t="shared" si="102"/>
        <v>5234</v>
      </c>
      <c r="X5243" s="564">
        <v>48</v>
      </c>
    </row>
    <row r="5244" spans="23:24" x14ac:dyDescent="0.25">
      <c r="W5244" s="574">
        <f t="shared" si="102"/>
        <v>5235</v>
      </c>
      <c r="X5244" s="564">
        <v>48</v>
      </c>
    </row>
    <row r="5245" spans="23:24" x14ac:dyDescent="0.25">
      <c r="W5245" s="574">
        <f t="shared" si="102"/>
        <v>5236</v>
      </c>
      <c r="X5245" s="564">
        <v>48</v>
      </c>
    </row>
    <row r="5246" spans="23:24" x14ac:dyDescent="0.25">
      <c r="W5246" s="574">
        <f t="shared" si="102"/>
        <v>5237</v>
      </c>
      <c r="X5246" s="564">
        <v>48</v>
      </c>
    </row>
    <row r="5247" spans="23:24" x14ac:dyDescent="0.25">
      <c r="W5247" s="574">
        <f t="shared" si="102"/>
        <v>5238</v>
      </c>
      <c r="X5247" s="564">
        <v>48</v>
      </c>
    </row>
    <row r="5248" spans="23:24" x14ac:dyDescent="0.25">
      <c r="W5248" s="574">
        <f t="shared" si="102"/>
        <v>5239</v>
      </c>
      <c r="X5248" s="564">
        <v>48</v>
      </c>
    </row>
    <row r="5249" spans="23:24" x14ac:dyDescent="0.25">
      <c r="W5249" s="574">
        <f t="shared" si="102"/>
        <v>5240</v>
      </c>
      <c r="X5249" s="564">
        <v>48</v>
      </c>
    </row>
    <row r="5250" spans="23:24" x14ac:dyDescent="0.25">
      <c r="W5250" s="574">
        <f t="shared" si="102"/>
        <v>5241</v>
      </c>
      <c r="X5250" s="564">
        <v>48</v>
      </c>
    </row>
    <row r="5251" spans="23:24" x14ac:dyDescent="0.25">
      <c r="W5251" s="574">
        <f t="shared" si="102"/>
        <v>5242</v>
      </c>
      <c r="X5251" s="564">
        <v>48</v>
      </c>
    </row>
    <row r="5252" spans="23:24" x14ac:dyDescent="0.25">
      <c r="W5252" s="574">
        <f t="shared" si="102"/>
        <v>5243</v>
      </c>
      <c r="X5252" s="564">
        <v>48</v>
      </c>
    </row>
    <row r="5253" spans="23:24" x14ac:dyDescent="0.25">
      <c r="W5253" s="574">
        <f t="shared" si="102"/>
        <v>5244</v>
      </c>
      <c r="X5253" s="564">
        <v>48</v>
      </c>
    </row>
    <row r="5254" spans="23:24" x14ac:dyDescent="0.25">
      <c r="W5254" s="574">
        <f t="shared" si="102"/>
        <v>5245</v>
      </c>
      <c r="X5254" s="564">
        <v>48</v>
      </c>
    </row>
    <row r="5255" spans="23:24" x14ac:dyDescent="0.25">
      <c r="W5255" s="574">
        <f t="shared" si="102"/>
        <v>5246</v>
      </c>
      <c r="X5255" s="564">
        <v>48</v>
      </c>
    </row>
    <row r="5256" spans="23:24" x14ac:dyDescent="0.25">
      <c r="W5256" s="574">
        <f t="shared" si="102"/>
        <v>5247</v>
      </c>
      <c r="X5256" s="564">
        <v>48</v>
      </c>
    </row>
    <row r="5257" spans="23:24" x14ac:dyDescent="0.25">
      <c r="W5257" s="574">
        <f t="shared" si="102"/>
        <v>5248</v>
      </c>
      <c r="X5257" s="564">
        <v>48</v>
      </c>
    </row>
    <row r="5258" spans="23:24" x14ac:dyDescent="0.25">
      <c r="W5258" s="574">
        <f t="shared" si="102"/>
        <v>5249</v>
      </c>
      <c r="X5258" s="564">
        <v>48</v>
      </c>
    </row>
    <row r="5259" spans="23:24" x14ac:dyDescent="0.25">
      <c r="W5259" s="574">
        <f t="shared" si="102"/>
        <v>5250</v>
      </c>
      <c r="X5259" s="564">
        <v>48</v>
      </c>
    </row>
    <row r="5260" spans="23:24" x14ac:dyDescent="0.25">
      <c r="W5260" s="574">
        <f>W5259+1</f>
        <v>5251</v>
      </c>
      <c r="X5260" s="564">
        <v>49</v>
      </c>
    </row>
    <row r="5261" spans="23:24" x14ac:dyDescent="0.25">
      <c r="W5261" s="574">
        <f>W5260+1</f>
        <v>5252</v>
      </c>
      <c r="X5261" s="564">
        <v>49</v>
      </c>
    </row>
    <row r="5262" spans="23:24" x14ac:dyDescent="0.25">
      <c r="W5262" s="574">
        <f t="shared" ref="W5262:W5269" si="103">W5261+1</f>
        <v>5253</v>
      </c>
      <c r="X5262" s="564">
        <v>49</v>
      </c>
    </row>
    <row r="5263" spans="23:24" x14ac:dyDescent="0.25">
      <c r="W5263" s="574">
        <f t="shared" si="103"/>
        <v>5254</v>
      </c>
      <c r="X5263" s="564">
        <v>49</v>
      </c>
    </row>
    <row r="5264" spans="23:24" x14ac:dyDescent="0.25">
      <c r="W5264" s="574">
        <f t="shared" si="103"/>
        <v>5255</v>
      </c>
      <c r="X5264" s="564">
        <v>49</v>
      </c>
    </row>
    <row r="5265" spans="23:24" x14ac:dyDescent="0.25">
      <c r="W5265" s="574">
        <f t="shared" si="103"/>
        <v>5256</v>
      </c>
      <c r="X5265" s="564">
        <v>49</v>
      </c>
    </row>
    <row r="5266" spans="23:24" x14ac:dyDescent="0.25">
      <c r="W5266" s="574">
        <f t="shared" si="103"/>
        <v>5257</v>
      </c>
      <c r="X5266" s="564">
        <v>49</v>
      </c>
    </row>
    <row r="5267" spans="23:24" x14ac:dyDescent="0.25">
      <c r="W5267" s="574">
        <f t="shared" si="103"/>
        <v>5258</v>
      </c>
      <c r="X5267" s="564">
        <v>49</v>
      </c>
    </row>
    <row r="5268" spans="23:24" x14ac:dyDescent="0.25">
      <c r="W5268" s="574">
        <f t="shared" si="103"/>
        <v>5259</v>
      </c>
      <c r="X5268" s="564">
        <v>49</v>
      </c>
    </row>
    <row r="5269" spans="23:24" x14ac:dyDescent="0.25">
      <c r="W5269" s="574">
        <f t="shared" si="103"/>
        <v>5260</v>
      </c>
      <c r="X5269" s="564">
        <v>49</v>
      </c>
    </row>
    <row r="5270" spans="23:24" x14ac:dyDescent="0.25">
      <c r="W5270" s="574">
        <f t="shared" ref="W5270:W5333" si="104">W5269+1</f>
        <v>5261</v>
      </c>
      <c r="X5270" s="564">
        <v>49</v>
      </c>
    </row>
    <row r="5271" spans="23:24" x14ac:dyDescent="0.25">
      <c r="W5271" s="574">
        <f t="shared" si="104"/>
        <v>5262</v>
      </c>
      <c r="X5271" s="564">
        <v>49</v>
      </c>
    </row>
    <row r="5272" spans="23:24" x14ac:dyDescent="0.25">
      <c r="W5272" s="574">
        <f t="shared" si="104"/>
        <v>5263</v>
      </c>
      <c r="X5272" s="564">
        <v>49</v>
      </c>
    </row>
    <row r="5273" spans="23:24" x14ac:dyDescent="0.25">
      <c r="W5273" s="574">
        <f t="shared" si="104"/>
        <v>5264</v>
      </c>
      <c r="X5273" s="564">
        <v>49</v>
      </c>
    </row>
    <row r="5274" spans="23:24" x14ac:dyDescent="0.25">
      <c r="W5274" s="574">
        <f t="shared" si="104"/>
        <v>5265</v>
      </c>
      <c r="X5274" s="564">
        <v>49</v>
      </c>
    </row>
    <row r="5275" spans="23:24" x14ac:dyDescent="0.25">
      <c r="W5275" s="574">
        <f t="shared" si="104"/>
        <v>5266</v>
      </c>
      <c r="X5275" s="564">
        <v>49</v>
      </c>
    </row>
    <row r="5276" spans="23:24" x14ac:dyDescent="0.25">
      <c r="W5276" s="574">
        <f t="shared" si="104"/>
        <v>5267</v>
      </c>
      <c r="X5276" s="564">
        <v>49</v>
      </c>
    </row>
    <row r="5277" spans="23:24" x14ac:dyDescent="0.25">
      <c r="W5277" s="574">
        <f t="shared" si="104"/>
        <v>5268</v>
      </c>
      <c r="X5277" s="564">
        <v>49</v>
      </c>
    </row>
    <row r="5278" spans="23:24" x14ac:dyDescent="0.25">
      <c r="W5278" s="574">
        <f t="shared" si="104"/>
        <v>5269</v>
      </c>
      <c r="X5278" s="564">
        <v>49</v>
      </c>
    </row>
    <row r="5279" spans="23:24" x14ac:dyDescent="0.25">
      <c r="W5279" s="574">
        <f t="shared" si="104"/>
        <v>5270</v>
      </c>
      <c r="X5279" s="564">
        <v>49</v>
      </c>
    </row>
    <row r="5280" spans="23:24" x14ac:dyDescent="0.25">
      <c r="W5280" s="574">
        <f t="shared" si="104"/>
        <v>5271</v>
      </c>
      <c r="X5280" s="564">
        <v>49</v>
      </c>
    </row>
    <row r="5281" spans="23:24" x14ac:dyDescent="0.25">
      <c r="W5281" s="574">
        <f t="shared" si="104"/>
        <v>5272</v>
      </c>
      <c r="X5281" s="564">
        <v>49</v>
      </c>
    </row>
    <row r="5282" spans="23:24" x14ac:dyDescent="0.25">
      <c r="W5282" s="574">
        <f t="shared" si="104"/>
        <v>5273</v>
      </c>
      <c r="X5282" s="564">
        <v>49</v>
      </c>
    </row>
    <row r="5283" spans="23:24" x14ac:dyDescent="0.25">
      <c r="W5283" s="574">
        <f t="shared" si="104"/>
        <v>5274</v>
      </c>
      <c r="X5283" s="564">
        <v>49</v>
      </c>
    </row>
    <row r="5284" spans="23:24" x14ac:dyDescent="0.25">
      <c r="W5284" s="574">
        <f t="shared" si="104"/>
        <v>5275</v>
      </c>
      <c r="X5284" s="564">
        <v>49</v>
      </c>
    </row>
    <row r="5285" spans="23:24" x14ac:dyDescent="0.25">
      <c r="W5285" s="574">
        <f t="shared" si="104"/>
        <v>5276</v>
      </c>
      <c r="X5285" s="564">
        <v>49</v>
      </c>
    </row>
    <row r="5286" spans="23:24" x14ac:dyDescent="0.25">
      <c r="W5286" s="574">
        <f t="shared" si="104"/>
        <v>5277</v>
      </c>
      <c r="X5286" s="564">
        <v>49</v>
      </c>
    </row>
    <row r="5287" spans="23:24" x14ac:dyDescent="0.25">
      <c r="W5287" s="574">
        <f t="shared" si="104"/>
        <v>5278</v>
      </c>
      <c r="X5287" s="564">
        <v>49</v>
      </c>
    </row>
    <row r="5288" spans="23:24" x14ac:dyDescent="0.25">
      <c r="W5288" s="574">
        <f t="shared" si="104"/>
        <v>5279</v>
      </c>
      <c r="X5288" s="564">
        <v>49</v>
      </c>
    </row>
    <row r="5289" spans="23:24" x14ac:dyDescent="0.25">
      <c r="W5289" s="574">
        <f t="shared" si="104"/>
        <v>5280</v>
      </c>
      <c r="X5289" s="564">
        <v>49</v>
      </c>
    </row>
    <row r="5290" spans="23:24" x14ac:dyDescent="0.25">
      <c r="W5290" s="574">
        <f t="shared" si="104"/>
        <v>5281</v>
      </c>
      <c r="X5290" s="564">
        <v>49</v>
      </c>
    </row>
    <row r="5291" spans="23:24" x14ac:dyDescent="0.25">
      <c r="W5291" s="574">
        <f t="shared" si="104"/>
        <v>5282</v>
      </c>
      <c r="X5291" s="564">
        <v>49</v>
      </c>
    </row>
    <row r="5292" spans="23:24" x14ac:dyDescent="0.25">
      <c r="W5292" s="574">
        <f t="shared" si="104"/>
        <v>5283</v>
      </c>
      <c r="X5292" s="564">
        <v>49</v>
      </c>
    </row>
    <row r="5293" spans="23:24" x14ac:dyDescent="0.25">
      <c r="W5293" s="574">
        <f t="shared" si="104"/>
        <v>5284</v>
      </c>
      <c r="X5293" s="564">
        <v>49</v>
      </c>
    </row>
    <row r="5294" spans="23:24" x14ac:dyDescent="0.25">
      <c r="W5294" s="574">
        <f t="shared" si="104"/>
        <v>5285</v>
      </c>
      <c r="X5294" s="564">
        <v>49</v>
      </c>
    </row>
    <row r="5295" spans="23:24" x14ac:dyDescent="0.25">
      <c r="W5295" s="574">
        <f t="shared" si="104"/>
        <v>5286</v>
      </c>
      <c r="X5295" s="564">
        <v>49</v>
      </c>
    </row>
    <row r="5296" spans="23:24" x14ac:dyDescent="0.25">
      <c r="W5296" s="574">
        <f t="shared" si="104"/>
        <v>5287</v>
      </c>
      <c r="X5296" s="564">
        <v>49</v>
      </c>
    </row>
    <row r="5297" spans="23:24" x14ac:dyDescent="0.25">
      <c r="W5297" s="574">
        <f t="shared" si="104"/>
        <v>5288</v>
      </c>
      <c r="X5297" s="564">
        <v>49</v>
      </c>
    </row>
    <row r="5298" spans="23:24" x14ac:dyDescent="0.25">
      <c r="W5298" s="574">
        <f t="shared" si="104"/>
        <v>5289</v>
      </c>
      <c r="X5298" s="564">
        <v>49</v>
      </c>
    </row>
    <row r="5299" spans="23:24" x14ac:dyDescent="0.25">
      <c r="W5299" s="574">
        <f t="shared" si="104"/>
        <v>5290</v>
      </c>
      <c r="X5299" s="564">
        <v>49</v>
      </c>
    </row>
    <row r="5300" spans="23:24" x14ac:dyDescent="0.25">
      <c r="W5300" s="574">
        <f t="shared" si="104"/>
        <v>5291</v>
      </c>
      <c r="X5300" s="564">
        <v>49</v>
      </c>
    </row>
    <row r="5301" spans="23:24" x14ac:dyDescent="0.25">
      <c r="W5301" s="574">
        <f t="shared" si="104"/>
        <v>5292</v>
      </c>
      <c r="X5301" s="564">
        <v>49</v>
      </c>
    </row>
    <row r="5302" spans="23:24" x14ac:dyDescent="0.25">
      <c r="W5302" s="574">
        <f t="shared" si="104"/>
        <v>5293</v>
      </c>
      <c r="X5302" s="564">
        <v>49</v>
      </c>
    </row>
    <row r="5303" spans="23:24" x14ac:dyDescent="0.25">
      <c r="W5303" s="574">
        <f t="shared" si="104"/>
        <v>5294</v>
      </c>
      <c r="X5303" s="564">
        <v>49</v>
      </c>
    </row>
    <row r="5304" spans="23:24" x14ac:dyDescent="0.25">
      <c r="W5304" s="574">
        <f t="shared" si="104"/>
        <v>5295</v>
      </c>
      <c r="X5304" s="564">
        <v>49</v>
      </c>
    </row>
    <row r="5305" spans="23:24" x14ac:dyDescent="0.25">
      <c r="W5305" s="574">
        <f t="shared" si="104"/>
        <v>5296</v>
      </c>
      <c r="X5305" s="564">
        <v>49</v>
      </c>
    </row>
    <row r="5306" spans="23:24" x14ac:dyDescent="0.25">
      <c r="W5306" s="574">
        <f t="shared" si="104"/>
        <v>5297</v>
      </c>
      <c r="X5306" s="564">
        <v>49</v>
      </c>
    </row>
    <row r="5307" spans="23:24" x14ac:dyDescent="0.25">
      <c r="W5307" s="574">
        <f t="shared" si="104"/>
        <v>5298</v>
      </c>
      <c r="X5307" s="564">
        <v>49</v>
      </c>
    </row>
    <row r="5308" spans="23:24" x14ac:dyDescent="0.25">
      <c r="W5308" s="574">
        <f t="shared" si="104"/>
        <v>5299</v>
      </c>
      <c r="X5308" s="564">
        <v>49</v>
      </c>
    </row>
    <row r="5309" spans="23:24" x14ac:dyDescent="0.25">
      <c r="W5309" s="574">
        <f t="shared" si="104"/>
        <v>5300</v>
      </c>
      <c r="X5309" s="564">
        <v>49</v>
      </c>
    </row>
    <row r="5310" spans="23:24" x14ac:dyDescent="0.25">
      <c r="W5310" s="574">
        <f t="shared" si="104"/>
        <v>5301</v>
      </c>
      <c r="X5310" s="564">
        <v>49</v>
      </c>
    </row>
    <row r="5311" spans="23:24" x14ac:dyDescent="0.25">
      <c r="W5311" s="574">
        <f t="shared" si="104"/>
        <v>5302</v>
      </c>
      <c r="X5311" s="564">
        <v>49</v>
      </c>
    </row>
    <row r="5312" spans="23:24" x14ac:dyDescent="0.25">
      <c r="W5312" s="574">
        <f t="shared" si="104"/>
        <v>5303</v>
      </c>
      <c r="X5312" s="564">
        <v>49</v>
      </c>
    </row>
    <row r="5313" spans="23:24" x14ac:dyDescent="0.25">
      <c r="W5313" s="574">
        <f t="shared" si="104"/>
        <v>5304</v>
      </c>
      <c r="X5313" s="564">
        <v>49</v>
      </c>
    </row>
    <row r="5314" spans="23:24" x14ac:dyDescent="0.25">
      <c r="W5314" s="574">
        <f t="shared" si="104"/>
        <v>5305</v>
      </c>
      <c r="X5314" s="564">
        <v>49</v>
      </c>
    </row>
    <row r="5315" spans="23:24" x14ac:dyDescent="0.25">
      <c r="W5315" s="574">
        <f t="shared" si="104"/>
        <v>5306</v>
      </c>
      <c r="X5315" s="564">
        <v>49</v>
      </c>
    </row>
    <row r="5316" spans="23:24" x14ac:dyDescent="0.25">
      <c r="W5316" s="574">
        <f t="shared" si="104"/>
        <v>5307</v>
      </c>
      <c r="X5316" s="564">
        <v>49</v>
      </c>
    </row>
    <row r="5317" spans="23:24" x14ac:dyDescent="0.25">
      <c r="W5317" s="574">
        <f t="shared" si="104"/>
        <v>5308</v>
      </c>
      <c r="X5317" s="564">
        <v>49</v>
      </c>
    </row>
    <row r="5318" spans="23:24" x14ac:dyDescent="0.25">
      <c r="W5318" s="574">
        <f t="shared" si="104"/>
        <v>5309</v>
      </c>
      <c r="X5318" s="564">
        <v>49</v>
      </c>
    </row>
    <row r="5319" spans="23:24" x14ac:dyDescent="0.25">
      <c r="W5319" s="574">
        <f t="shared" si="104"/>
        <v>5310</v>
      </c>
      <c r="X5319" s="564">
        <v>49</v>
      </c>
    </row>
    <row r="5320" spans="23:24" x14ac:dyDescent="0.25">
      <c r="W5320" s="574">
        <f t="shared" si="104"/>
        <v>5311</v>
      </c>
      <c r="X5320" s="564">
        <v>49</v>
      </c>
    </row>
    <row r="5321" spans="23:24" x14ac:dyDescent="0.25">
      <c r="W5321" s="574">
        <f t="shared" si="104"/>
        <v>5312</v>
      </c>
      <c r="X5321" s="564">
        <v>49</v>
      </c>
    </row>
    <row r="5322" spans="23:24" x14ac:dyDescent="0.25">
      <c r="W5322" s="574">
        <f t="shared" si="104"/>
        <v>5313</v>
      </c>
      <c r="X5322" s="564">
        <v>49</v>
      </c>
    </row>
    <row r="5323" spans="23:24" x14ac:dyDescent="0.25">
      <c r="W5323" s="574">
        <f t="shared" si="104"/>
        <v>5314</v>
      </c>
      <c r="X5323" s="564">
        <v>49</v>
      </c>
    </row>
    <row r="5324" spans="23:24" x14ac:dyDescent="0.25">
      <c r="W5324" s="574">
        <f t="shared" si="104"/>
        <v>5315</v>
      </c>
      <c r="X5324" s="564">
        <v>49</v>
      </c>
    </row>
    <row r="5325" spans="23:24" x14ac:dyDescent="0.25">
      <c r="W5325" s="574">
        <f t="shared" si="104"/>
        <v>5316</v>
      </c>
      <c r="X5325" s="564">
        <v>49</v>
      </c>
    </row>
    <row r="5326" spans="23:24" x14ac:dyDescent="0.25">
      <c r="W5326" s="574">
        <f t="shared" si="104"/>
        <v>5317</v>
      </c>
      <c r="X5326" s="564">
        <v>49</v>
      </c>
    </row>
    <row r="5327" spans="23:24" x14ac:dyDescent="0.25">
      <c r="W5327" s="574">
        <f t="shared" si="104"/>
        <v>5318</v>
      </c>
      <c r="X5327" s="564">
        <v>49</v>
      </c>
    </row>
    <row r="5328" spans="23:24" x14ac:dyDescent="0.25">
      <c r="W5328" s="574">
        <f t="shared" si="104"/>
        <v>5319</v>
      </c>
      <c r="X5328" s="564">
        <v>49</v>
      </c>
    </row>
    <row r="5329" spans="23:24" x14ac:dyDescent="0.25">
      <c r="W5329" s="574">
        <f t="shared" si="104"/>
        <v>5320</v>
      </c>
      <c r="X5329" s="564">
        <v>49</v>
      </c>
    </row>
    <row r="5330" spans="23:24" x14ac:dyDescent="0.25">
      <c r="W5330" s="574">
        <f t="shared" si="104"/>
        <v>5321</v>
      </c>
      <c r="X5330" s="564">
        <v>49</v>
      </c>
    </row>
    <row r="5331" spans="23:24" x14ac:dyDescent="0.25">
      <c r="W5331" s="574">
        <f t="shared" si="104"/>
        <v>5322</v>
      </c>
      <c r="X5331" s="564">
        <v>49</v>
      </c>
    </row>
    <row r="5332" spans="23:24" x14ac:dyDescent="0.25">
      <c r="W5332" s="574">
        <f t="shared" si="104"/>
        <v>5323</v>
      </c>
      <c r="X5332" s="564">
        <v>49</v>
      </c>
    </row>
    <row r="5333" spans="23:24" x14ac:dyDescent="0.25">
      <c r="W5333" s="574">
        <f t="shared" si="104"/>
        <v>5324</v>
      </c>
      <c r="X5333" s="564">
        <v>49</v>
      </c>
    </row>
    <row r="5334" spans="23:24" x14ac:dyDescent="0.25">
      <c r="W5334" s="574">
        <f t="shared" ref="W5334:W5397" si="105">W5333+1</f>
        <v>5325</v>
      </c>
      <c r="X5334" s="564">
        <v>49</v>
      </c>
    </row>
    <row r="5335" spans="23:24" x14ac:dyDescent="0.25">
      <c r="W5335" s="574">
        <f t="shared" si="105"/>
        <v>5326</v>
      </c>
      <c r="X5335" s="564">
        <v>49</v>
      </c>
    </row>
    <row r="5336" spans="23:24" x14ac:dyDescent="0.25">
      <c r="W5336" s="574">
        <f t="shared" si="105"/>
        <v>5327</v>
      </c>
      <c r="X5336" s="564">
        <v>49</v>
      </c>
    </row>
    <row r="5337" spans="23:24" x14ac:dyDescent="0.25">
      <c r="W5337" s="574">
        <f t="shared" si="105"/>
        <v>5328</v>
      </c>
      <c r="X5337" s="564">
        <v>49</v>
      </c>
    </row>
    <row r="5338" spans="23:24" x14ac:dyDescent="0.25">
      <c r="W5338" s="574">
        <f t="shared" si="105"/>
        <v>5329</v>
      </c>
      <c r="X5338" s="564">
        <v>49</v>
      </c>
    </row>
    <row r="5339" spans="23:24" x14ac:dyDescent="0.25">
      <c r="W5339" s="574">
        <f t="shared" si="105"/>
        <v>5330</v>
      </c>
      <c r="X5339" s="564">
        <v>49</v>
      </c>
    </row>
    <row r="5340" spans="23:24" x14ac:dyDescent="0.25">
      <c r="W5340" s="574">
        <f t="shared" si="105"/>
        <v>5331</v>
      </c>
      <c r="X5340" s="564">
        <v>49</v>
      </c>
    </row>
    <row r="5341" spans="23:24" x14ac:dyDescent="0.25">
      <c r="W5341" s="574">
        <f t="shared" si="105"/>
        <v>5332</v>
      </c>
      <c r="X5341" s="564">
        <v>49</v>
      </c>
    </row>
    <row r="5342" spans="23:24" x14ac:dyDescent="0.25">
      <c r="W5342" s="574">
        <f t="shared" si="105"/>
        <v>5333</v>
      </c>
      <c r="X5342" s="564">
        <v>49</v>
      </c>
    </row>
    <row r="5343" spans="23:24" x14ac:dyDescent="0.25">
      <c r="W5343" s="574">
        <f t="shared" si="105"/>
        <v>5334</v>
      </c>
      <c r="X5343" s="564">
        <v>49</v>
      </c>
    </row>
    <row r="5344" spans="23:24" x14ac:dyDescent="0.25">
      <c r="W5344" s="574">
        <f t="shared" si="105"/>
        <v>5335</v>
      </c>
      <c r="X5344" s="564">
        <v>49</v>
      </c>
    </row>
    <row r="5345" spans="23:24" x14ac:dyDescent="0.25">
      <c r="W5345" s="574">
        <f t="shared" si="105"/>
        <v>5336</v>
      </c>
      <c r="X5345" s="564">
        <v>49</v>
      </c>
    </row>
    <row r="5346" spans="23:24" x14ac:dyDescent="0.25">
      <c r="W5346" s="574">
        <f t="shared" si="105"/>
        <v>5337</v>
      </c>
      <c r="X5346" s="564">
        <v>49</v>
      </c>
    </row>
    <row r="5347" spans="23:24" x14ac:dyDescent="0.25">
      <c r="W5347" s="574">
        <f t="shared" si="105"/>
        <v>5338</v>
      </c>
      <c r="X5347" s="564">
        <v>49</v>
      </c>
    </row>
    <row r="5348" spans="23:24" x14ac:dyDescent="0.25">
      <c r="W5348" s="574">
        <f t="shared" si="105"/>
        <v>5339</v>
      </c>
      <c r="X5348" s="564">
        <v>49</v>
      </c>
    </row>
    <row r="5349" spans="23:24" x14ac:dyDescent="0.25">
      <c r="W5349" s="574">
        <f t="shared" si="105"/>
        <v>5340</v>
      </c>
      <c r="X5349" s="564">
        <v>49</v>
      </c>
    </row>
    <row r="5350" spans="23:24" x14ac:dyDescent="0.25">
      <c r="W5350" s="574">
        <f t="shared" si="105"/>
        <v>5341</v>
      </c>
      <c r="X5350" s="564">
        <v>49</v>
      </c>
    </row>
    <row r="5351" spans="23:24" x14ac:dyDescent="0.25">
      <c r="W5351" s="574">
        <f t="shared" si="105"/>
        <v>5342</v>
      </c>
      <c r="X5351" s="564">
        <v>49</v>
      </c>
    </row>
    <row r="5352" spans="23:24" x14ac:dyDescent="0.25">
      <c r="W5352" s="574">
        <f t="shared" si="105"/>
        <v>5343</v>
      </c>
      <c r="X5352" s="564">
        <v>49</v>
      </c>
    </row>
    <row r="5353" spans="23:24" x14ac:dyDescent="0.25">
      <c r="W5353" s="574">
        <f t="shared" si="105"/>
        <v>5344</v>
      </c>
      <c r="X5353" s="564">
        <v>49</v>
      </c>
    </row>
    <row r="5354" spans="23:24" x14ac:dyDescent="0.25">
      <c r="W5354" s="574">
        <f t="shared" si="105"/>
        <v>5345</v>
      </c>
      <c r="X5354" s="564">
        <v>49</v>
      </c>
    </row>
    <row r="5355" spans="23:24" x14ac:dyDescent="0.25">
      <c r="W5355" s="574">
        <f t="shared" si="105"/>
        <v>5346</v>
      </c>
      <c r="X5355" s="564">
        <v>49</v>
      </c>
    </row>
    <row r="5356" spans="23:24" x14ac:dyDescent="0.25">
      <c r="W5356" s="574">
        <f t="shared" si="105"/>
        <v>5347</v>
      </c>
      <c r="X5356" s="564">
        <v>49</v>
      </c>
    </row>
    <row r="5357" spans="23:24" x14ac:dyDescent="0.25">
      <c r="W5357" s="574">
        <f t="shared" si="105"/>
        <v>5348</v>
      </c>
      <c r="X5357" s="564">
        <v>49</v>
      </c>
    </row>
    <row r="5358" spans="23:24" x14ac:dyDescent="0.25">
      <c r="W5358" s="574">
        <f t="shared" si="105"/>
        <v>5349</v>
      </c>
      <c r="X5358" s="564">
        <v>49</v>
      </c>
    </row>
    <row r="5359" spans="23:24" x14ac:dyDescent="0.25">
      <c r="W5359" s="574">
        <f t="shared" si="105"/>
        <v>5350</v>
      </c>
      <c r="X5359" s="564">
        <v>49</v>
      </c>
    </row>
    <row r="5360" spans="23:24" x14ac:dyDescent="0.25">
      <c r="W5360" s="574">
        <f t="shared" si="105"/>
        <v>5351</v>
      </c>
      <c r="X5360" s="564">
        <v>49</v>
      </c>
    </row>
    <row r="5361" spans="23:24" x14ac:dyDescent="0.25">
      <c r="W5361" s="574">
        <f t="shared" si="105"/>
        <v>5352</v>
      </c>
      <c r="X5361" s="564">
        <v>49</v>
      </c>
    </row>
    <row r="5362" spans="23:24" x14ac:dyDescent="0.25">
      <c r="W5362" s="574">
        <f t="shared" si="105"/>
        <v>5353</v>
      </c>
      <c r="X5362" s="564">
        <v>49</v>
      </c>
    </row>
    <row r="5363" spans="23:24" x14ac:dyDescent="0.25">
      <c r="W5363" s="574">
        <f t="shared" si="105"/>
        <v>5354</v>
      </c>
      <c r="X5363" s="564">
        <v>49</v>
      </c>
    </row>
    <row r="5364" spans="23:24" x14ac:dyDescent="0.25">
      <c r="W5364" s="574">
        <f t="shared" si="105"/>
        <v>5355</v>
      </c>
      <c r="X5364" s="564">
        <v>49</v>
      </c>
    </row>
    <row r="5365" spans="23:24" x14ac:dyDescent="0.25">
      <c r="W5365" s="574">
        <f t="shared" si="105"/>
        <v>5356</v>
      </c>
      <c r="X5365" s="564">
        <v>49</v>
      </c>
    </row>
    <row r="5366" spans="23:24" x14ac:dyDescent="0.25">
      <c r="W5366" s="574">
        <f t="shared" si="105"/>
        <v>5357</v>
      </c>
      <c r="X5366" s="564">
        <v>49</v>
      </c>
    </row>
    <row r="5367" spans="23:24" x14ac:dyDescent="0.25">
      <c r="W5367" s="574">
        <f t="shared" si="105"/>
        <v>5358</v>
      </c>
      <c r="X5367" s="564">
        <v>49</v>
      </c>
    </row>
    <row r="5368" spans="23:24" x14ac:dyDescent="0.25">
      <c r="W5368" s="574">
        <f t="shared" si="105"/>
        <v>5359</v>
      </c>
      <c r="X5368" s="564">
        <v>49</v>
      </c>
    </row>
    <row r="5369" spans="23:24" x14ac:dyDescent="0.25">
      <c r="W5369" s="574">
        <f t="shared" si="105"/>
        <v>5360</v>
      </c>
      <c r="X5369" s="564">
        <v>49</v>
      </c>
    </row>
    <row r="5370" spans="23:24" x14ac:dyDescent="0.25">
      <c r="W5370" s="574">
        <f t="shared" si="105"/>
        <v>5361</v>
      </c>
      <c r="X5370" s="564">
        <v>49</v>
      </c>
    </row>
    <row r="5371" spans="23:24" x14ac:dyDescent="0.25">
      <c r="W5371" s="574">
        <f t="shared" si="105"/>
        <v>5362</v>
      </c>
      <c r="X5371" s="564">
        <v>49</v>
      </c>
    </row>
    <row r="5372" spans="23:24" x14ac:dyDescent="0.25">
      <c r="W5372" s="574">
        <f t="shared" si="105"/>
        <v>5363</v>
      </c>
      <c r="X5372" s="564">
        <v>49</v>
      </c>
    </row>
    <row r="5373" spans="23:24" x14ac:dyDescent="0.25">
      <c r="W5373" s="574">
        <f t="shared" si="105"/>
        <v>5364</v>
      </c>
      <c r="X5373" s="564">
        <v>49</v>
      </c>
    </row>
    <row r="5374" spans="23:24" x14ac:dyDescent="0.25">
      <c r="W5374" s="574">
        <f t="shared" si="105"/>
        <v>5365</v>
      </c>
      <c r="X5374" s="564">
        <v>49</v>
      </c>
    </row>
    <row r="5375" spans="23:24" x14ac:dyDescent="0.25">
      <c r="W5375" s="574">
        <f t="shared" si="105"/>
        <v>5366</v>
      </c>
      <c r="X5375" s="564">
        <v>49</v>
      </c>
    </row>
    <row r="5376" spans="23:24" x14ac:dyDescent="0.25">
      <c r="W5376" s="574">
        <f t="shared" si="105"/>
        <v>5367</v>
      </c>
      <c r="X5376" s="564">
        <v>49</v>
      </c>
    </row>
    <row r="5377" spans="23:24" x14ac:dyDescent="0.25">
      <c r="W5377" s="574">
        <f t="shared" si="105"/>
        <v>5368</v>
      </c>
      <c r="X5377" s="564">
        <v>49</v>
      </c>
    </row>
    <row r="5378" spans="23:24" x14ac:dyDescent="0.25">
      <c r="W5378" s="574">
        <f t="shared" si="105"/>
        <v>5369</v>
      </c>
      <c r="X5378" s="564">
        <v>49</v>
      </c>
    </row>
    <row r="5379" spans="23:24" x14ac:dyDescent="0.25">
      <c r="W5379" s="574">
        <f t="shared" si="105"/>
        <v>5370</v>
      </c>
      <c r="X5379" s="564">
        <v>49</v>
      </c>
    </row>
    <row r="5380" spans="23:24" x14ac:dyDescent="0.25">
      <c r="W5380" s="574">
        <f t="shared" si="105"/>
        <v>5371</v>
      </c>
      <c r="X5380" s="564">
        <v>49</v>
      </c>
    </row>
    <row r="5381" spans="23:24" x14ac:dyDescent="0.25">
      <c r="W5381" s="574">
        <f t="shared" si="105"/>
        <v>5372</v>
      </c>
      <c r="X5381" s="564">
        <v>49</v>
      </c>
    </row>
    <row r="5382" spans="23:24" x14ac:dyDescent="0.25">
      <c r="W5382" s="574">
        <f t="shared" si="105"/>
        <v>5373</v>
      </c>
      <c r="X5382" s="564">
        <v>49</v>
      </c>
    </row>
    <row r="5383" spans="23:24" x14ac:dyDescent="0.25">
      <c r="W5383" s="574">
        <f t="shared" si="105"/>
        <v>5374</v>
      </c>
      <c r="X5383" s="564">
        <v>49</v>
      </c>
    </row>
    <row r="5384" spans="23:24" x14ac:dyDescent="0.25">
      <c r="W5384" s="574">
        <f t="shared" si="105"/>
        <v>5375</v>
      </c>
      <c r="X5384" s="564">
        <v>49</v>
      </c>
    </row>
    <row r="5385" spans="23:24" x14ac:dyDescent="0.25">
      <c r="W5385" s="574">
        <f t="shared" si="105"/>
        <v>5376</v>
      </c>
      <c r="X5385" s="564">
        <v>49</v>
      </c>
    </row>
    <row r="5386" spans="23:24" x14ac:dyDescent="0.25">
      <c r="W5386" s="574">
        <f t="shared" si="105"/>
        <v>5377</v>
      </c>
      <c r="X5386" s="564">
        <v>49</v>
      </c>
    </row>
    <row r="5387" spans="23:24" x14ac:dyDescent="0.25">
      <c r="W5387" s="574">
        <f t="shared" si="105"/>
        <v>5378</v>
      </c>
      <c r="X5387" s="564">
        <v>49</v>
      </c>
    </row>
    <row r="5388" spans="23:24" x14ac:dyDescent="0.25">
      <c r="W5388" s="574">
        <f t="shared" si="105"/>
        <v>5379</v>
      </c>
      <c r="X5388" s="564">
        <v>49</v>
      </c>
    </row>
    <row r="5389" spans="23:24" x14ac:dyDescent="0.25">
      <c r="W5389" s="574">
        <f t="shared" si="105"/>
        <v>5380</v>
      </c>
      <c r="X5389" s="564">
        <v>49</v>
      </c>
    </row>
    <row r="5390" spans="23:24" x14ac:dyDescent="0.25">
      <c r="W5390" s="574">
        <f t="shared" si="105"/>
        <v>5381</v>
      </c>
      <c r="X5390" s="564">
        <v>49</v>
      </c>
    </row>
    <row r="5391" spans="23:24" x14ac:dyDescent="0.25">
      <c r="W5391" s="574">
        <f t="shared" si="105"/>
        <v>5382</v>
      </c>
      <c r="X5391" s="564">
        <v>49</v>
      </c>
    </row>
    <row r="5392" spans="23:24" x14ac:dyDescent="0.25">
      <c r="W5392" s="574">
        <f t="shared" si="105"/>
        <v>5383</v>
      </c>
      <c r="X5392" s="564">
        <v>49</v>
      </c>
    </row>
    <row r="5393" spans="23:24" x14ac:dyDescent="0.25">
      <c r="W5393" s="574">
        <f t="shared" si="105"/>
        <v>5384</v>
      </c>
      <c r="X5393" s="564">
        <v>49</v>
      </c>
    </row>
    <row r="5394" spans="23:24" x14ac:dyDescent="0.25">
      <c r="W5394" s="574">
        <f t="shared" si="105"/>
        <v>5385</v>
      </c>
      <c r="X5394" s="564">
        <v>49</v>
      </c>
    </row>
    <row r="5395" spans="23:24" x14ac:dyDescent="0.25">
      <c r="W5395" s="574">
        <f t="shared" si="105"/>
        <v>5386</v>
      </c>
      <c r="X5395" s="564">
        <v>49</v>
      </c>
    </row>
    <row r="5396" spans="23:24" x14ac:dyDescent="0.25">
      <c r="W5396" s="574">
        <f t="shared" si="105"/>
        <v>5387</v>
      </c>
      <c r="X5396" s="564">
        <v>49</v>
      </c>
    </row>
    <row r="5397" spans="23:24" x14ac:dyDescent="0.25">
      <c r="W5397" s="574">
        <f t="shared" si="105"/>
        <v>5388</v>
      </c>
      <c r="X5397" s="564">
        <v>49</v>
      </c>
    </row>
    <row r="5398" spans="23:24" x14ac:dyDescent="0.25">
      <c r="W5398" s="574">
        <f t="shared" ref="W5398:W5459" si="106">W5397+1</f>
        <v>5389</v>
      </c>
      <c r="X5398" s="564">
        <v>49</v>
      </c>
    </row>
    <row r="5399" spans="23:24" x14ac:dyDescent="0.25">
      <c r="W5399" s="574">
        <f t="shared" si="106"/>
        <v>5390</v>
      </c>
      <c r="X5399" s="564">
        <v>49</v>
      </c>
    </row>
    <row r="5400" spans="23:24" x14ac:dyDescent="0.25">
      <c r="W5400" s="574">
        <f t="shared" si="106"/>
        <v>5391</v>
      </c>
      <c r="X5400" s="564">
        <v>49</v>
      </c>
    </row>
    <row r="5401" spans="23:24" x14ac:dyDescent="0.25">
      <c r="W5401" s="574">
        <f t="shared" si="106"/>
        <v>5392</v>
      </c>
      <c r="X5401" s="564">
        <v>49</v>
      </c>
    </row>
    <row r="5402" spans="23:24" x14ac:dyDescent="0.25">
      <c r="W5402" s="574">
        <f t="shared" si="106"/>
        <v>5393</v>
      </c>
      <c r="X5402" s="564">
        <v>49</v>
      </c>
    </row>
    <row r="5403" spans="23:24" x14ac:dyDescent="0.25">
      <c r="W5403" s="574">
        <f t="shared" si="106"/>
        <v>5394</v>
      </c>
      <c r="X5403" s="564">
        <v>49</v>
      </c>
    </row>
    <row r="5404" spans="23:24" x14ac:dyDescent="0.25">
      <c r="W5404" s="574">
        <f t="shared" si="106"/>
        <v>5395</v>
      </c>
      <c r="X5404" s="564">
        <v>49</v>
      </c>
    </row>
    <row r="5405" spans="23:24" x14ac:dyDescent="0.25">
      <c r="W5405" s="574">
        <f t="shared" si="106"/>
        <v>5396</v>
      </c>
      <c r="X5405" s="564">
        <v>49</v>
      </c>
    </row>
    <row r="5406" spans="23:24" x14ac:dyDescent="0.25">
      <c r="W5406" s="574">
        <f t="shared" si="106"/>
        <v>5397</v>
      </c>
      <c r="X5406" s="564">
        <v>49</v>
      </c>
    </row>
    <row r="5407" spans="23:24" x14ac:dyDescent="0.25">
      <c r="W5407" s="574">
        <f t="shared" si="106"/>
        <v>5398</v>
      </c>
      <c r="X5407" s="564">
        <v>49</v>
      </c>
    </row>
    <row r="5408" spans="23:24" x14ac:dyDescent="0.25">
      <c r="W5408" s="574">
        <f t="shared" si="106"/>
        <v>5399</v>
      </c>
      <c r="X5408" s="564">
        <v>49</v>
      </c>
    </row>
    <row r="5409" spans="23:24" x14ac:dyDescent="0.25">
      <c r="W5409" s="574">
        <f t="shared" si="106"/>
        <v>5400</v>
      </c>
      <c r="X5409" s="564">
        <v>49</v>
      </c>
    </row>
    <row r="5410" spans="23:24" x14ac:dyDescent="0.25">
      <c r="W5410" s="574">
        <f t="shared" si="106"/>
        <v>5401</v>
      </c>
      <c r="X5410" s="564">
        <v>49</v>
      </c>
    </row>
    <row r="5411" spans="23:24" x14ac:dyDescent="0.25">
      <c r="W5411" s="574">
        <f t="shared" si="106"/>
        <v>5402</v>
      </c>
      <c r="X5411" s="564">
        <v>49</v>
      </c>
    </row>
    <row r="5412" spans="23:24" x14ac:dyDescent="0.25">
      <c r="W5412" s="574">
        <f t="shared" si="106"/>
        <v>5403</v>
      </c>
      <c r="X5412" s="564">
        <v>49</v>
      </c>
    </row>
    <row r="5413" spans="23:24" x14ac:dyDescent="0.25">
      <c r="W5413" s="574">
        <f t="shared" si="106"/>
        <v>5404</v>
      </c>
      <c r="X5413" s="564">
        <v>49</v>
      </c>
    </row>
    <row r="5414" spans="23:24" x14ac:dyDescent="0.25">
      <c r="W5414" s="574">
        <f t="shared" si="106"/>
        <v>5405</v>
      </c>
      <c r="X5414" s="564">
        <v>49</v>
      </c>
    </row>
    <row r="5415" spans="23:24" x14ac:dyDescent="0.25">
      <c r="W5415" s="574">
        <f t="shared" si="106"/>
        <v>5406</v>
      </c>
      <c r="X5415" s="564">
        <v>49</v>
      </c>
    </row>
    <row r="5416" spans="23:24" x14ac:dyDescent="0.25">
      <c r="W5416" s="574">
        <f t="shared" si="106"/>
        <v>5407</v>
      </c>
      <c r="X5416" s="564">
        <v>49</v>
      </c>
    </row>
    <row r="5417" spans="23:24" x14ac:dyDescent="0.25">
      <c r="W5417" s="574">
        <f t="shared" si="106"/>
        <v>5408</v>
      </c>
      <c r="X5417" s="564">
        <v>49</v>
      </c>
    </row>
    <row r="5418" spans="23:24" x14ac:dyDescent="0.25">
      <c r="W5418" s="574">
        <f t="shared" si="106"/>
        <v>5409</v>
      </c>
      <c r="X5418" s="564">
        <v>49</v>
      </c>
    </row>
    <row r="5419" spans="23:24" x14ac:dyDescent="0.25">
      <c r="W5419" s="574">
        <f t="shared" si="106"/>
        <v>5410</v>
      </c>
      <c r="X5419" s="564">
        <v>49</v>
      </c>
    </row>
    <row r="5420" spans="23:24" x14ac:dyDescent="0.25">
      <c r="W5420" s="574">
        <f t="shared" si="106"/>
        <v>5411</v>
      </c>
      <c r="X5420" s="564">
        <v>49</v>
      </c>
    </row>
    <row r="5421" spans="23:24" x14ac:dyDescent="0.25">
      <c r="W5421" s="574">
        <f t="shared" si="106"/>
        <v>5412</v>
      </c>
      <c r="X5421" s="564">
        <v>49</v>
      </c>
    </row>
    <row r="5422" spans="23:24" x14ac:dyDescent="0.25">
      <c r="W5422" s="574">
        <f t="shared" si="106"/>
        <v>5413</v>
      </c>
      <c r="X5422" s="564">
        <v>49</v>
      </c>
    </row>
    <row r="5423" spans="23:24" x14ac:dyDescent="0.25">
      <c r="W5423" s="574">
        <f t="shared" si="106"/>
        <v>5414</v>
      </c>
      <c r="X5423" s="564">
        <v>49</v>
      </c>
    </row>
    <row r="5424" spans="23:24" x14ac:dyDescent="0.25">
      <c r="W5424" s="574">
        <f t="shared" si="106"/>
        <v>5415</v>
      </c>
      <c r="X5424" s="564">
        <v>49</v>
      </c>
    </row>
    <row r="5425" spans="23:24" x14ac:dyDescent="0.25">
      <c r="W5425" s="574">
        <f t="shared" si="106"/>
        <v>5416</v>
      </c>
      <c r="X5425" s="564">
        <v>49</v>
      </c>
    </row>
    <row r="5426" spans="23:24" x14ac:dyDescent="0.25">
      <c r="W5426" s="574">
        <f t="shared" si="106"/>
        <v>5417</v>
      </c>
      <c r="X5426" s="564">
        <v>49</v>
      </c>
    </row>
    <row r="5427" spans="23:24" x14ac:dyDescent="0.25">
      <c r="W5427" s="574">
        <f t="shared" si="106"/>
        <v>5418</v>
      </c>
      <c r="X5427" s="564">
        <v>49</v>
      </c>
    </row>
    <row r="5428" spans="23:24" x14ac:dyDescent="0.25">
      <c r="W5428" s="574">
        <f t="shared" si="106"/>
        <v>5419</v>
      </c>
      <c r="X5428" s="564">
        <v>49</v>
      </c>
    </row>
    <row r="5429" spans="23:24" x14ac:dyDescent="0.25">
      <c r="W5429" s="574">
        <f t="shared" si="106"/>
        <v>5420</v>
      </c>
      <c r="X5429" s="564">
        <v>49</v>
      </c>
    </row>
    <row r="5430" spans="23:24" x14ac:dyDescent="0.25">
      <c r="W5430" s="574">
        <f t="shared" si="106"/>
        <v>5421</v>
      </c>
      <c r="X5430" s="564">
        <v>49</v>
      </c>
    </row>
    <row r="5431" spans="23:24" x14ac:dyDescent="0.25">
      <c r="W5431" s="574">
        <f t="shared" si="106"/>
        <v>5422</v>
      </c>
      <c r="X5431" s="564">
        <v>49</v>
      </c>
    </row>
    <row r="5432" spans="23:24" x14ac:dyDescent="0.25">
      <c r="W5432" s="574">
        <f t="shared" si="106"/>
        <v>5423</v>
      </c>
      <c r="X5432" s="564">
        <v>49</v>
      </c>
    </row>
    <row r="5433" spans="23:24" x14ac:dyDescent="0.25">
      <c r="W5433" s="574">
        <f t="shared" si="106"/>
        <v>5424</v>
      </c>
      <c r="X5433" s="564">
        <v>49</v>
      </c>
    </row>
    <row r="5434" spans="23:24" x14ac:dyDescent="0.25">
      <c r="W5434" s="574">
        <f t="shared" si="106"/>
        <v>5425</v>
      </c>
      <c r="X5434" s="564">
        <v>49</v>
      </c>
    </row>
    <row r="5435" spans="23:24" x14ac:dyDescent="0.25">
      <c r="W5435" s="574">
        <f t="shared" si="106"/>
        <v>5426</v>
      </c>
      <c r="X5435" s="564">
        <v>49</v>
      </c>
    </row>
    <row r="5436" spans="23:24" x14ac:dyDescent="0.25">
      <c r="W5436" s="574">
        <f t="shared" si="106"/>
        <v>5427</v>
      </c>
      <c r="X5436" s="564">
        <v>49</v>
      </c>
    </row>
    <row r="5437" spans="23:24" x14ac:dyDescent="0.25">
      <c r="W5437" s="574">
        <f t="shared" si="106"/>
        <v>5428</v>
      </c>
      <c r="X5437" s="564">
        <v>49</v>
      </c>
    </row>
    <row r="5438" spans="23:24" x14ac:dyDescent="0.25">
      <c r="W5438" s="574">
        <f t="shared" si="106"/>
        <v>5429</v>
      </c>
      <c r="X5438" s="564">
        <v>49</v>
      </c>
    </row>
    <row r="5439" spans="23:24" x14ac:dyDescent="0.25">
      <c r="W5439" s="574">
        <f t="shared" si="106"/>
        <v>5430</v>
      </c>
      <c r="X5439" s="564">
        <v>49</v>
      </c>
    </row>
    <row r="5440" spans="23:24" x14ac:dyDescent="0.25">
      <c r="W5440" s="574">
        <f t="shared" si="106"/>
        <v>5431</v>
      </c>
      <c r="X5440" s="564">
        <v>49</v>
      </c>
    </row>
    <row r="5441" spans="23:24" x14ac:dyDescent="0.25">
      <c r="W5441" s="574">
        <f t="shared" si="106"/>
        <v>5432</v>
      </c>
      <c r="X5441" s="564">
        <v>49</v>
      </c>
    </row>
    <row r="5442" spans="23:24" x14ac:dyDescent="0.25">
      <c r="W5442" s="574">
        <f t="shared" si="106"/>
        <v>5433</v>
      </c>
      <c r="X5442" s="564">
        <v>49</v>
      </c>
    </row>
    <row r="5443" spans="23:24" x14ac:dyDescent="0.25">
      <c r="W5443" s="574">
        <f t="shared" si="106"/>
        <v>5434</v>
      </c>
      <c r="X5443" s="564">
        <v>49</v>
      </c>
    </row>
    <row r="5444" spans="23:24" x14ac:dyDescent="0.25">
      <c r="W5444" s="574">
        <f t="shared" si="106"/>
        <v>5435</v>
      </c>
      <c r="X5444" s="564">
        <v>49</v>
      </c>
    </row>
    <row r="5445" spans="23:24" x14ac:dyDescent="0.25">
      <c r="W5445" s="574">
        <f t="shared" si="106"/>
        <v>5436</v>
      </c>
      <c r="X5445" s="564">
        <v>49</v>
      </c>
    </row>
    <row r="5446" spans="23:24" x14ac:dyDescent="0.25">
      <c r="W5446" s="574">
        <f t="shared" si="106"/>
        <v>5437</v>
      </c>
      <c r="X5446" s="564">
        <v>49</v>
      </c>
    </row>
    <row r="5447" spans="23:24" x14ac:dyDescent="0.25">
      <c r="W5447" s="574">
        <f t="shared" si="106"/>
        <v>5438</v>
      </c>
      <c r="X5447" s="564">
        <v>49</v>
      </c>
    </row>
    <row r="5448" spans="23:24" x14ac:dyDescent="0.25">
      <c r="W5448" s="574">
        <f t="shared" si="106"/>
        <v>5439</v>
      </c>
      <c r="X5448" s="564">
        <v>49</v>
      </c>
    </row>
    <row r="5449" spans="23:24" x14ac:dyDescent="0.25">
      <c r="W5449" s="574">
        <f t="shared" si="106"/>
        <v>5440</v>
      </c>
      <c r="X5449" s="564">
        <v>49</v>
      </c>
    </row>
    <row r="5450" spans="23:24" x14ac:dyDescent="0.25">
      <c r="W5450" s="574">
        <f t="shared" si="106"/>
        <v>5441</v>
      </c>
      <c r="X5450" s="564">
        <v>49</v>
      </c>
    </row>
    <row r="5451" spans="23:24" x14ac:dyDescent="0.25">
      <c r="W5451" s="574">
        <f t="shared" si="106"/>
        <v>5442</v>
      </c>
      <c r="X5451" s="564">
        <v>49</v>
      </c>
    </row>
    <row r="5452" spans="23:24" x14ac:dyDescent="0.25">
      <c r="W5452" s="574">
        <f t="shared" si="106"/>
        <v>5443</v>
      </c>
      <c r="X5452" s="564">
        <v>49</v>
      </c>
    </row>
    <row r="5453" spans="23:24" x14ac:dyDescent="0.25">
      <c r="W5453" s="574">
        <f t="shared" si="106"/>
        <v>5444</v>
      </c>
      <c r="X5453" s="564">
        <v>49</v>
      </c>
    </row>
    <row r="5454" spans="23:24" x14ac:dyDescent="0.25">
      <c r="W5454" s="574">
        <f t="shared" si="106"/>
        <v>5445</v>
      </c>
      <c r="X5454" s="564">
        <v>49</v>
      </c>
    </row>
    <row r="5455" spans="23:24" x14ac:dyDescent="0.25">
      <c r="W5455" s="574">
        <f t="shared" si="106"/>
        <v>5446</v>
      </c>
      <c r="X5455" s="564">
        <v>49</v>
      </c>
    </row>
    <row r="5456" spans="23:24" x14ac:dyDescent="0.25">
      <c r="W5456" s="574">
        <f t="shared" si="106"/>
        <v>5447</v>
      </c>
      <c r="X5456" s="564">
        <v>49</v>
      </c>
    </row>
    <row r="5457" spans="23:24" x14ac:dyDescent="0.25">
      <c r="W5457" s="574">
        <f t="shared" si="106"/>
        <v>5448</v>
      </c>
      <c r="X5457" s="564">
        <v>49</v>
      </c>
    </row>
    <row r="5458" spans="23:24" x14ac:dyDescent="0.25">
      <c r="W5458" s="574">
        <f t="shared" si="106"/>
        <v>5449</v>
      </c>
      <c r="X5458" s="564">
        <v>49</v>
      </c>
    </row>
    <row r="5459" spans="23:24" x14ac:dyDescent="0.25">
      <c r="W5459" s="574">
        <f t="shared" si="106"/>
        <v>5450</v>
      </c>
      <c r="X5459" s="564">
        <v>49</v>
      </c>
    </row>
    <row r="5460" spans="23:24" x14ac:dyDescent="0.25">
      <c r="W5460" s="574">
        <f t="shared" ref="W5460:W5468" si="107">W5459+1</f>
        <v>5451</v>
      </c>
      <c r="X5460" s="564">
        <v>49</v>
      </c>
    </row>
    <row r="5461" spans="23:24" x14ac:dyDescent="0.25">
      <c r="W5461" s="574">
        <f t="shared" si="107"/>
        <v>5452</v>
      </c>
      <c r="X5461" s="564">
        <v>49</v>
      </c>
    </row>
    <row r="5462" spans="23:24" x14ac:dyDescent="0.25">
      <c r="W5462" s="574">
        <f t="shared" si="107"/>
        <v>5453</v>
      </c>
      <c r="X5462" s="564">
        <v>49</v>
      </c>
    </row>
    <row r="5463" spans="23:24" x14ac:dyDescent="0.25">
      <c r="W5463" s="574">
        <f t="shared" si="107"/>
        <v>5454</v>
      </c>
      <c r="X5463" s="564">
        <v>49</v>
      </c>
    </row>
    <row r="5464" spans="23:24" x14ac:dyDescent="0.25">
      <c r="W5464" s="574">
        <f t="shared" si="107"/>
        <v>5455</v>
      </c>
      <c r="X5464" s="564">
        <v>49</v>
      </c>
    </row>
    <row r="5465" spans="23:24" x14ac:dyDescent="0.25">
      <c r="W5465" s="574">
        <f t="shared" si="107"/>
        <v>5456</v>
      </c>
      <c r="X5465" s="564">
        <v>49</v>
      </c>
    </row>
    <row r="5466" spans="23:24" x14ac:dyDescent="0.25">
      <c r="W5466" s="574">
        <f t="shared" si="107"/>
        <v>5457</v>
      </c>
      <c r="X5466" s="564">
        <v>49</v>
      </c>
    </row>
    <row r="5467" spans="23:24" x14ac:dyDescent="0.25">
      <c r="W5467" s="574">
        <f t="shared" si="107"/>
        <v>5458</v>
      </c>
      <c r="X5467" s="564">
        <v>49</v>
      </c>
    </row>
    <row r="5468" spans="23:24" x14ac:dyDescent="0.25">
      <c r="W5468" s="574">
        <f t="shared" si="107"/>
        <v>5459</v>
      </c>
      <c r="X5468" s="564">
        <v>49</v>
      </c>
    </row>
    <row r="5469" spans="23:24" x14ac:dyDescent="0.25">
      <c r="W5469" s="574">
        <f t="shared" ref="W5469:W5479" si="108">W5468+1</f>
        <v>5460</v>
      </c>
      <c r="X5469" s="564">
        <v>49</v>
      </c>
    </row>
    <row r="5470" spans="23:24" x14ac:dyDescent="0.25">
      <c r="W5470" s="574">
        <f t="shared" si="108"/>
        <v>5461</v>
      </c>
      <c r="X5470" s="564">
        <v>49</v>
      </c>
    </row>
    <row r="5471" spans="23:24" x14ac:dyDescent="0.25">
      <c r="W5471" s="574">
        <f t="shared" si="108"/>
        <v>5462</v>
      </c>
      <c r="X5471" s="564">
        <v>49</v>
      </c>
    </row>
    <row r="5472" spans="23:24" x14ac:dyDescent="0.25">
      <c r="W5472" s="574">
        <f t="shared" si="108"/>
        <v>5463</v>
      </c>
      <c r="X5472" s="564">
        <v>49</v>
      </c>
    </row>
    <row r="5473" spans="23:24" x14ac:dyDescent="0.25">
      <c r="W5473" s="574">
        <f t="shared" si="108"/>
        <v>5464</v>
      </c>
      <c r="X5473" s="564">
        <v>49</v>
      </c>
    </row>
    <row r="5474" spans="23:24" x14ac:dyDescent="0.25">
      <c r="W5474" s="574">
        <f t="shared" si="108"/>
        <v>5465</v>
      </c>
      <c r="X5474" s="564">
        <v>49</v>
      </c>
    </row>
    <row r="5475" spans="23:24" x14ac:dyDescent="0.25">
      <c r="W5475" s="574">
        <f t="shared" si="108"/>
        <v>5466</v>
      </c>
      <c r="X5475" s="564">
        <v>49</v>
      </c>
    </row>
    <row r="5476" spans="23:24" x14ac:dyDescent="0.25">
      <c r="W5476" s="574">
        <f t="shared" si="108"/>
        <v>5467</v>
      </c>
      <c r="X5476" s="564">
        <v>49</v>
      </c>
    </row>
    <row r="5477" spans="23:24" x14ac:dyDescent="0.25">
      <c r="W5477" s="574">
        <f t="shared" si="108"/>
        <v>5468</v>
      </c>
      <c r="X5477" s="564">
        <v>49</v>
      </c>
    </row>
    <row r="5478" spans="23:24" x14ac:dyDescent="0.25">
      <c r="W5478" s="574">
        <f t="shared" si="108"/>
        <v>5469</v>
      </c>
      <c r="X5478" s="564">
        <v>49</v>
      </c>
    </row>
    <row r="5479" spans="23:24" x14ac:dyDescent="0.25">
      <c r="W5479" s="574">
        <f t="shared" si="108"/>
        <v>5470</v>
      </c>
      <c r="X5479" s="564">
        <v>49</v>
      </c>
    </row>
    <row r="5480" spans="23:24" x14ac:dyDescent="0.25">
      <c r="W5480" s="574">
        <f t="shared" ref="W5480:W5493" si="109">W5479+1</f>
        <v>5471</v>
      </c>
      <c r="X5480" s="564">
        <v>49</v>
      </c>
    </row>
    <row r="5481" spans="23:24" x14ac:dyDescent="0.25">
      <c r="W5481" s="574">
        <f t="shared" si="109"/>
        <v>5472</v>
      </c>
      <c r="X5481" s="564">
        <v>49</v>
      </c>
    </row>
    <row r="5482" spans="23:24" x14ac:dyDescent="0.25">
      <c r="W5482" s="574">
        <f t="shared" si="109"/>
        <v>5473</v>
      </c>
      <c r="X5482" s="564">
        <v>49</v>
      </c>
    </row>
    <row r="5483" spans="23:24" x14ac:dyDescent="0.25">
      <c r="W5483" s="574">
        <f t="shared" si="109"/>
        <v>5474</v>
      </c>
      <c r="X5483" s="564">
        <v>49</v>
      </c>
    </row>
    <row r="5484" spans="23:24" x14ac:dyDescent="0.25">
      <c r="W5484" s="574">
        <f t="shared" si="109"/>
        <v>5475</v>
      </c>
      <c r="X5484" s="564">
        <v>49</v>
      </c>
    </row>
    <row r="5485" spans="23:24" x14ac:dyDescent="0.25">
      <c r="W5485" s="574">
        <f t="shared" si="109"/>
        <v>5476</v>
      </c>
      <c r="X5485" s="564">
        <v>49</v>
      </c>
    </row>
    <row r="5486" spans="23:24" x14ac:dyDescent="0.25">
      <c r="W5486" s="574">
        <f t="shared" si="109"/>
        <v>5477</v>
      </c>
      <c r="X5486" s="564">
        <v>49</v>
      </c>
    </row>
    <row r="5487" spans="23:24" x14ac:dyDescent="0.25">
      <c r="W5487" s="574">
        <f t="shared" si="109"/>
        <v>5478</v>
      </c>
      <c r="X5487" s="564">
        <v>49</v>
      </c>
    </row>
    <row r="5488" spans="23:24" x14ac:dyDescent="0.25">
      <c r="W5488" s="574">
        <f t="shared" si="109"/>
        <v>5479</v>
      </c>
      <c r="X5488" s="564">
        <v>49</v>
      </c>
    </row>
    <row r="5489" spans="23:24" x14ac:dyDescent="0.25">
      <c r="W5489" s="574">
        <f t="shared" si="109"/>
        <v>5480</v>
      </c>
      <c r="X5489" s="564">
        <v>49</v>
      </c>
    </row>
    <row r="5490" spans="23:24" x14ac:dyDescent="0.25">
      <c r="W5490" s="574">
        <f t="shared" si="109"/>
        <v>5481</v>
      </c>
      <c r="X5490" s="564">
        <v>49</v>
      </c>
    </row>
    <row r="5491" spans="23:24" x14ac:dyDescent="0.25">
      <c r="W5491" s="574">
        <f t="shared" si="109"/>
        <v>5482</v>
      </c>
      <c r="X5491" s="564">
        <v>49</v>
      </c>
    </row>
    <row r="5492" spans="23:24" x14ac:dyDescent="0.25">
      <c r="W5492" s="574">
        <f t="shared" si="109"/>
        <v>5483</v>
      </c>
      <c r="X5492" s="564">
        <v>49</v>
      </c>
    </row>
    <row r="5493" spans="23:24" x14ac:dyDescent="0.25">
      <c r="W5493" s="574">
        <f t="shared" si="109"/>
        <v>5484</v>
      </c>
      <c r="X5493" s="564">
        <v>49</v>
      </c>
    </row>
    <row r="5494" spans="23:24" x14ac:dyDescent="0.25">
      <c r="W5494" s="574">
        <f t="shared" ref="W5494:W5557" si="110">W5493+1</f>
        <v>5485</v>
      </c>
      <c r="X5494" s="564">
        <v>49</v>
      </c>
    </row>
    <row r="5495" spans="23:24" x14ac:dyDescent="0.25">
      <c r="W5495" s="574">
        <f t="shared" si="110"/>
        <v>5486</v>
      </c>
      <c r="X5495" s="564">
        <v>49</v>
      </c>
    </row>
    <row r="5496" spans="23:24" x14ac:dyDescent="0.25">
      <c r="W5496" s="574">
        <f t="shared" si="110"/>
        <v>5487</v>
      </c>
      <c r="X5496" s="564">
        <v>49</v>
      </c>
    </row>
    <row r="5497" spans="23:24" x14ac:dyDescent="0.25">
      <c r="W5497" s="574">
        <f t="shared" si="110"/>
        <v>5488</v>
      </c>
      <c r="X5497" s="564">
        <v>49</v>
      </c>
    </row>
    <row r="5498" spans="23:24" x14ac:dyDescent="0.25">
      <c r="W5498" s="574">
        <f t="shared" si="110"/>
        <v>5489</v>
      </c>
      <c r="X5498" s="564">
        <v>49</v>
      </c>
    </row>
    <row r="5499" spans="23:24" x14ac:dyDescent="0.25">
      <c r="W5499" s="574">
        <f t="shared" si="110"/>
        <v>5490</v>
      </c>
      <c r="X5499" s="564">
        <v>49</v>
      </c>
    </row>
    <row r="5500" spans="23:24" x14ac:dyDescent="0.25">
      <c r="W5500" s="574">
        <f t="shared" si="110"/>
        <v>5491</v>
      </c>
      <c r="X5500" s="564">
        <v>49</v>
      </c>
    </row>
    <row r="5501" spans="23:24" x14ac:dyDescent="0.25">
      <c r="W5501" s="574">
        <f t="shared" si="110"/>
        <v>5492</v>
      </c>
      <c r="X5501" s="564">
        <v>49</v>
      </c>
    </row>
    <row r="5502" spans="23:24" x14ac:dyDescent="0.25">
      <c r="W5502" s="574">
        <f t="shared" si="110"/>
        <v>5493</v>
      </c>
      <c r="X5502" s="564">
        <v>49</v>
      </c>
    </row>
    <row r="5503" spans="23:24" x14ac:dyDescent="0.25">
      <c r="W5503" s="574">
        <f t="shared" si="110"/>
        <v>5494</v>
      </c>
      <c r="X5503" s="564">
        <v>49</v>
      </c>
    </row>
    <row r="5504" spans="23:24" x14ac:dyDescent="0.25">
      <c r="W5504" s="574">
        <f t="shared" si="110"/>
        <v>5495</v>
      </c>
      <c r="X5504" s="564">
        <v>49</v>
      </c>
    </row>
    <row r="5505" spans="23:24" x14ac:dyDescent="0.25">
      <c r="W5505" s="574">
        <f t="shared" si="110"/>
        <v>5496</v>
      </c>
      <c r="X5505" s="564">
        <v>49</v>
      </c>
    </row>
    <row r="5506" spans="23:24" x14ac:dyDescent="0.25">
      <c r="W5506" s="574">
        <f t="shared" si="110"/>
        <v>5497</v>
      </c>
      <c r="X5506" s="564">
        <v>49</v>
      </c>
    </row>
    <row r="5507" spans="23:24" x14ac:dyDescent="0.25">
      <c r="W5507" s="574">
        <f t="shared" si="110"/>
        <v>5498</v>
      </c>
      <c r="X5507" s="564">
        <v>49</v>
      </c>
    </row>
    <row r="5508" spans="23:24" x14ac:dyDescent="0.25">
      <c r="W5508" s="574">
        <f t="shared" si="110"/>
        <v>5499</v>
      </c>
      <c r="X5508" s="564">
        <v>49</v>
      </c>
    </row>
    <row r="5509" spans="23:24" x14ac:dyDescent="0.25">
      <c r="W5509" s="574">
        <f t="shared" si="110"/>
        <v>5500</v>
      </c>
      <c r="X5509" s="564">
        <v>49</v>
      </c>
    </row>
    <row r="5510" spans="23:24" x14ac:dyDescent="0.25">
      <c r="W5510" s="574">
        <f t="shared" si="110"/>
        <v>5501</v>
      </c>
      <c r="X5510" s="564">
        <v>50</v>
      </c>
    </row>
    <row r="5511" spans="23:24" x14ac:dyDescent="0.25">
      <c r="W5511" s="574">
        <f t="shared" si="110"/>
        <v>5502</v>
      </c>
      <c r="X5511" s="564">
        <v>50</v>
      </c>
    </row>
    <row r="5512" spans="23:24" x14ac:dyDescent="0.25">
      <c r="W5512" s="574">
        <f t="shared" si="110"/>
        <v>5503</v>
      </c>
      <c r="X5512" s="564">
        <v>50</v>
      </c>
    </row>
    <row r="5513" spans="23:24" x14ac:dyDescent="0.25">
      <c r="W5513" s="574">
        <f t="shared" si="110"/>
        <v>5504</v>
      </c>
      <c r="X5513" s="564">
        <v>50</v>
      </c>
    </row>
    <row r="5514" spans="23:24" x14ac:dyDescent="0.25">
      <c r="W5514" s="574">
        <f t="shared" si="110"/>
        <v>5505</v>
      </c>
      <c r="X5514" s="564">
        <v>50</v>
      </c>
    </row>
    <row r="5515" spans="23:24" x14ac:dyDescent="0.25">
      <c r="W5515" s="574">
        <f t="shared" si="110"/>
        <v>5506</v>
      </c>
      <c r="X5515" s="564">
        <v>50</v>
      </c>
    </row>
    <row r="5516" spans="23:24" x14ac:dyDescent="0.25">
      <c r="W5516" s="574">
        <f t="shared" si="110"/>
        <v>5507</v>
      </c>
      <c r="X5516" s="564">
        <v>50</v>
      </c>
    </row>
    <row r="5517" spans="23:24" x14ac:dyDescent="0.25">
      <c r="W5517" s="574">
        <f t="shared" si="110"/>
        <v>5508</v>
      </c>
      <c r="X5517" s="564">
        <v>50</v>
      </c>
    </row>
    <row r="5518" spans="23:24" x14ac:dyDescent="0.25">
      <c r="W5518" s="574">
        <f t="shared" si="110"/>
        <v>5509</v>
      </c>
      <c r="X5518" s="564">
        <v>50</v>
      </c>
    </row>
    <row r="5519" spans="23:24" x14ac:dyDescent="0.25">
      <c r="W5519" s="574">
        <f t="shared" si="110"/>
        <v>5510</v>
      </c>
      <c r="X5519" s="564">
        <v>50</v>
      </c>
    </row>
    <row r="5520" spans="23:24" x14ac:dyDescent="0.25">
      <c r="W5520" s="574">
        <f t="shared" si="110"/>
        <v>5511</v>
      </c>
      <c r="X5520" s="564">
        <v>50</v>
      </c>
    </row>
    <row r="5521" spans="23:24" x14ac:dyDescent="0.25">
      <c r="W5521" s="574">
        <f t="shared" si="110"/>
        <v>5512</v>
      </c>
      <c r="X5521" s="564">
        <v>50</v>
      </c>
    </row>
    <row r="5522" spans="23:24" x14ac:dyDescent="0.25">
      <c r="W5522" s="574">
        <f t="shared" si="110"/>
        <v>5513</v>
      </c>
      <c r="X5522" s="564">
        <v>50</v>
      </c>
    </row>
    <row r="5523" spans="23:24" x14ac:dyDescent="0.25">
      <c r="W5523" s="574">
        <f t="shared" si="110"/>
        <v>5514</v>
      </c>
      <c r="X5523" s="564">
        <v>50</v>
      </c>
    </row>
    <row r="5524" spans="23:24" x14ac:dyDescent="0.25">
      <c r="W5524" s="574">
        <f t="shared" si="110"/>
        <v>5515</v>
      </c>
      <c r="X5524" s="564">
        <v>50</v>
      </c>
    </row>
    <row r="5525" spans="23:24" x14ac:dyDescent="0.25">
      <c r="W5525" s="574">
        <f t="shared" si="110"/>
        <v>5516</v>
      </c>
      <c r="X5525" s="564">
        <v>50</v>
      </c>
    </row>
    <row r="5526" spans="23:24" x14ac:dyDescent="0.25">
      <c r="W5526" s="574">
        <f t="shared" si="110"/>
        <v>5517</v>
      </c>
      <c r="X5526" s="564">
        <v>50</v>
      </c>
    </row>
    <row r="5527" spans="23:24" x14ac:dyDescent="0.25">
      <c r="W5527" s="574">
        <f t="shared" si="110"/>
        <v>5518</v>
      </c>
      <c r="X5527" s="564">
        <v>50</v>
      </c>
    </row>
    <row r="5528" spans="23:24" x14ac:dyDescent="0.25">
      <c r="W5528" s="574">
        <f t="shared" si="110"/>
        <v>5519</v>
      </c>
      <c r="X5528" s="564">
        <v>50</v>
      </c>
    </row>
    <row r="5529" spans="23:24" x14ac:dyDescent="0.25">
      <c r="W5529" s="574">
        <f t="shared" si="110"/>
        <v>5520</v>
      </c>
      <c r="X5529" s="564">
        <v>50</v>
      </c>
    </row>
    <row r="5530" spans="23:24" x14ac:dyDescent="0.25">
      <c r="W5530" s="574">
        <f t="shared" si="110"/>
        <v>5521</v>
      </c>
      <c r="X5530" s="564">
        <v>50</v>
      </c>
    </row>
    <row r="5531" spans="23:24" x14ac:dyDescent="0.25">
      <c r="W5531" s="574">
        <f t="shared" si="110"/>
        <v>5522</v>
      </c>
      <c r="X5531" s="564">
        <v>50</v>
      </c>
    </row>
    <row r="5532" spans="23:24" x14ac:dyDescent="0.25">
      <c r="W5532" s="574">
        <f t="shared" si="110"/>
        <v>5523</v>
      </c>
      <c r="X5532" s="564">
        <v>50</v>
      </c>
    </row>
    <row r="5533" spans="23:24" x14ac:dyDescent="0.25">
      <c r="W5533" s="574">
        <f t="shared" si="110"/>
        <v>5524</v>
      </c>
      <c r="X5533" s="564">
        <v>50</v>
      </c>
    </row>
    <row r="5534" spans="23:24" x14ac:dyDescent="0.25">
      <c r="W5534" s="574">
        <f t="shared" si="110"/>
        <v>5525</v>
      </c>
      <c r="X5534" s="564">
        <v>50</v>
      </c>
    </row>
    <row r="5535" spans="23:24" x14ac:dyDescent="0.25">
      <c r="W5535" s="574">
        <f t="shared" si="110"/>
        <v>5526</v>
      </c>
      <c r="X5535" s="564">
        <v>50</v>
      </c>
    </row>
    <row r="5536" spans="23:24" x14ac:dyDescent="0.25">
      <c r="W5536" s="574">
        <f t="shared" si="110"/>
        <v>5527</v>
      </c>
      <c r="X5536" s="564">
        <v>50</v>
      </c>
    </row>
    <row r="5537" spans="23:24" x14ac:dyDescent="0.25">
      <c r="W5537" s="574">
        <f t="shared" si="110"/>
        <v>5528</v>
      </c>
      <c r="X5537" s="564">
        <v>50</v>
      </c>
    </row>
    <row r="5538" spans="23:24" x14ac:dyDescent="0.25">
      <c r="W5538" s="574">
        <f t="shared" si="110"/>
        <v>5529</v>
      </c>
      <c r="X5538" s="564">
        <v>50</v>
      </c>
    </row>
    <row r="5539" spans="23:24" x14ac:dyDescent="0.25">
      <c r="W5539" s="574">
        <f t="shared" si="110"/>
        <v>5530</v>
      </c>
      <c r="X5539" s="564">
        <v>50</v>
      </c>
    </row>
    <row r="5540" spans="23:24" x14ac:dyDescent="0.25">
      <c r="W5540" s="574">
        <f t="shared" si="110"/>
        <v>5531</v>
      </c>
      <c r="X5540" s="564">
        <v>50</v>
      </c>
    </row>
    <row r="5541" spans="23:24" x14ac:dyDescent="0.25">
      <c r="W5541" s="574">
        <f t="shared" si="110"/>
        <v>5532</v>
      </c>
      <c r="X5541" s="564">
        <v>50</v>
      </c>
    </row>
    <row r="5542" spans="23:24" x14ac:dyDescent="0.25">
      <c r="W5542" s="574">
        <f t="shared" si="110"/>
        <v>5533</v>
      </c>
      <c r="X5542" s="564">
        <v>50</v>
      </c>
    </row>
    <row r="5543" spans="23:24" x14ac:dyDescent="0.25">
      <c r="W5543" s="574">
        <f t="shared" si="110"/>
        <v>5534</v>
      </c>
      <c r="X5543" s="564">
        <v>50</v>
      </c>
    </row>
    <row r="5544" spans="23:24" x14ac:dyDescent="0.25">
      <c r="W5544" s="574">
        <f t="shared" si="110"/>
        <v>5535</v>
      </c>
      <c r="X5544" s="564">
        <v>50</v>
      </c>
    </row>
    <row r="5545" spans="23:24" x14ac:dyDescent="0.25">
      <c r="W5545" s="574">
        <f t="shared" si="110"/>
        <v>5536</v>
      </c>
      <c r="X5545" s="564">
        <v>50</v>
      </c>
    </row>
    <row r="5546" spans="23:24" x14ac:dyDescent="0.25">
      <c r="W5546" s="574">
        <f t="shared" si="110"/>
        <v>5537</v>
      </c>
      <c r="X5546" s="564">
        <v>50</v>
      </c>
    </row>
    <row r="5547" spans="23:24" x14ac:dyDescent="0.25">
      <c r="W5547" s="574">
        <f t="shared" si="110"/>
        <v>5538</v>
      </c>
      <c r="X5547" s="564">
        <v>50</v>
      </c>
    </row>
    <row r="5548" spans="23:24" x14ac:dyDescent="0.25">
      <c r="W5548" s="574">
        <f t="shared" si="110"/>
        <v>5539</v>
      </c>
      <c r="X5548" s="564">
        <v>50</v>
      </c>
    </row>
    <row r="5549" spans="23:24" x14ac:dyDescent="0.25">
      <c r="W5549" s="574">
        <f t="shared" si="110"/>
        <v>5540</v>
      </c>
      <c r="X5549" s="564">
        <v>50</v>
      </c>
    </row>
    <row r="5550" spans="23:24" x14ac:dyDescent="0.25">
      <c r="W5550" s="574">
        <f t="shared" si="110"/>
        <v>5541</v>
      </c>
      <c r="X5550" s="564">
        <v>50</v>
      </c>
    </row>
    <row r="5551" spans="23:24" x14ac:dyDescent="0.25">
      <c r="W5551" s="574">
        <f t="shared" si="110"/>
        <v>5542</v>
      </c>
      <c r="X5551" s="564">
        <v>50</v>
      </c>
    </row>
    <row r="5552" spans="23:24" x14ac:dyDescent="0.25">
      <c r="W5552" s="574">
        <f t="shared" si="110"/>
        <v>5543</v>
      </c>
      <c r="X5552" s="564">
        <v>50</v>
      </c>
    </row>
    <row r="5553" spans="23:24" x14ac:dyDescent="0.25">
      <c r="W5553" s="574">
        <f t="shared" si="110"/>
        <v>5544</v>
      </c>
      <c r="X5553" s="564">
        <v>50</v>
      </c>
    </row>
    <row r="5554" spans="23:24" x14ac:dyDescent="0.25">
      <c r="W5554" s="574">
        <f t="shared" si="110"/>
        <v>5545</v>
      </c>
      <c r="X5554" s="564">
        <v>50</v>
      </c>
    </row>
    <row r="5555" spans="23:24" x14ac:dyDescent="0.25">
      <c r="W5555" s="574">
        <f t="shared" si="110"/>
        <v>5546</v>
      </c>
      <c r="X5555" s="564">
        <v>50</v>
      </c>
    </row>
    <row r="5556" spans="23:24" x14ac:dyDescent="0.25">
      <c r="W5556" s="574">
        <f t="shared" si="110"/>
        <v>5547</v>
      </c>
      <c r="X5556" s="564">
        <v>50</v>
      </c>
    </row>
    <row r="5557" spans="23:24" x14ac:dyDescent="0.25">
      <c r="W5557" s="574">
        <f t="shared" si="110"/>
        <v>5548</v>
      </c>
      <c r="X5557" s="564">
        <v>50</v>
      </c>
    </row>
    <row r="5558" spans="23:24" x14ac:dyDescent="0.25">
      <c r="W5558" s="574">
        <f t="shared" ref="W5558:W5621" si="111">W5557+1</f>
        <v>5549</v>
      </c>
      <c r="X5558" s="564">
        <v>50</v>
      </c>
    </row>
    <row r="5559" spans="23:24" x14ac:dyDescent="0.25">
      <c r="W5559" s="574">
        <f t="shared" si="111"/>
        <v>5550</v>
      </c>
      <c r="X5559" s="564">
        <v>50</v>
      </c>
    </row>
    <row r="5560" spans="23:24" x14ac:dyDescent="0.25">
      <c r="W5560" s="574">
        <f t="shared" si="111"/>
        <v>5551</v>
      </c>
      <c r="X5560" s="564">
        <v>50</v>
      </c>
    </row>
    <row r="5561" spans="23:24" x14ac:dyDescent="0.25">
      <c r="W5561" s="574">
        <f t="shared" si="111"/>
        <v>5552</v>
      </c>
      <c r="X5561" s="564">
        <v>50</v>
      </c>
    </row>
    <row r="5562" spans="23:24" x14ac:dyDescent="0.25">
      <c r="W5562" s="574">
        <f t="shared" si="111"/>
        <v>5553</v>
      </c>
      <c r="X5562" s="564">
        <v>50</v>
      </c>
    </row>
    <row r="5563" spans="23:24" x14ac:dyDescent="0.25">
      <c r="W5563" s="574">
        <f t="shared" si="111"/>
        <v>5554</v>
      </c>
      <c r="X5563" s="564">
        <v>50</v>
      </c>
    </row>
    <row r="5564" spans="23:24" x14ac:dyDescent="0.25">
      <c r="W5564" s="574">
        <f t="shared" si="111"/>
        <v>5555</v>
      </c>
      <c r="X5564" s="564">
        <v>50</v>
      </c>
    </row>
    <row r="5565" spans="23:24" x14ac:dyDescent="0.25">
      <c r="W5565" s="574">
        <f t="shared" si="111"/>
        <v>5556</v>
      </c>
      <c r="X5565" s="564">
        <v>50</v>
      </c>
    </row>
    <row r="5566" spans="23:24" x14ac:dyDescent="0.25">
      <c r="W5566" s="574">
        <f t="shared" si="111"/>
        <v>5557</v>
      </c>
      <c r="X5566" s="564">
        <v>50</v>
      </c>
    </row>
    <row r="5567" spans="23:24" x14ac:dyDescent="0.25">
      <c r="W5567" s="574">
        <f t="shared" si="111"/>
        <v>5558</v>
      </c>
      <c r="X5567" s="564">
        <v>50</v>
      </c>
    </row>
    <row r="5568" spans="23:24" x14ac:dyDescent="0.25">
      <c r="W5568" s="574">
        <f t="shared" si="111"/>
        <v>5559</v>
      </c>
      <c r="X5568" s="564">
        <v>50</v>
      </c>
    </row>
    <row r="5569" spans="23:24" x14ac:dyDescent="0.25">
      <c r="W5569" s="574">
        <f t="shared" si="111"/>
        <v>5560</v>
      </c>
      <c r="X5569" s="564">
        <v>50</v>
      </c>
    </row>
    <row r="5570" spans="23:24" x14ac:dyDescent="0.25">
      <c r="W5570" s="574">
        <f t="shared" si="111"/>
        <v>5561</v>
      </c>
      <c r="X5570" s="564">
        <v>50</v>
      </c>
    </row>
    <row r="5571" spans="23:24" x14ac:dyDescent="0.25">
      <c r="W5571" s="574">
        <f t="shared" si="111"/>
        <v>5562</v>
      </c>
      <c r="X5571" s="564">
        <v>50</v>
      </c>
    </row>
    <row r="5572" spans="23:24" x14ac:dyDescent="0.25">
      <c r="W5572" s="574">
        <f t="shared" si="111"/>
        <v>5563</v>
      </c>
      <c r="X5572" s="564">
        <v>50</v>
      </c>
    </row>
    <row r="5573" spans="23:24" x14ac:dyDescent="0.25">
      <c r="W5573" s="574">
        <f t="shared" si="111"/>
        <v>5564</v>
      </c>
      <c r="X5573" s="564">
        <v>50</v>
      </c>
    </row>
    <row r="5574" spans="23:24" x14ac:dyDescent="0.25">
      <c r="W5574" s="574">
        <f t="shared" si="111"/>
        <v>5565</v>
      </c>
      <c r="X5574" s="564">
        <v>50</v>
      </c>
    </row>
    <row r="5575" spans="23:24" x14ac:dyDescent="0.25">
      <c r="W5575" s="574">
        <f t="shared" si="111"/>
        <v>5566</v>
      </c>
      <c r="X5575" s="564">
        <v>50</v>
      </c>
    </row>
    <row r="5576" spans="23:24" x14ac:dyDescent="0.25">
      <c r="W5576" s="574">
        <f t="shared" si="111"/>
        <v>5567</v>
      </c>
      <c r="X5576" s="564">
        <v>50</v>
      </c>
    </row>
    <row r="5577" spans="23:24" x14ac:dyDescent="0.25">
      <c r="W5577" s="574">
        <f t="shared" si="111"/>
        <v>5568</v>
      </c>
      <c r="X5577" s="564">
        <v>50</v>
      </c>
    </row>
    <row r="5578" spans="23:24" x14ac:dyDescent="0.25">
      <c r="W5578" s="574">
        <f t="shared" si="111"/>
        <v>5569</v>
      </c>
      <c r="X5578" s="564">
        <v>50</v>
      </c>
    </row>
    <row r="5579" spans="23:24" x14ac:dyDescent="0.25">
      <c r="W5579" s="574">
        <f t="shared" si="111"/>
        <v>5570</v>
      </c>
      <c r="X5579" s="564">
        <v>50</v>
      </c>
    </row>
    <row r="5580" spans="23:24" x14ac:dyDescent="0.25">
      <c r="W5580" s="574">
        <f t="shared" si="111"/>
        <v>5571</v>
      </c>
      <c r="X5580" s="564">
        <v>50</v>
      </c>
    </row>
    <row r="5581" spans="23:24" x14ac:dyDescent="0.25">
      <c r="W5581" s="574">
        <f t="shared" si="111"/>
        <v>5572</v>
      </c>
      <c r="X5581" s="564">
        <v>50</v>
      </c>
    </row>
    <row r="5582" spans="23:24" x14ac:dyDescent="0.25">
      <c r="W5582" s="574">
        <f t="shared" si="111"/>
        <v>5573</v>
      </c>
      <c r="X5582" s="564">
        <v>50</v>
      </c>
    </row>
    <row r="5583" spans="23:24" x14ac:dyDescent="0.25">
      <c r="W5583" s="574">
        <f t="shared" si="111"/>
        <v>5574</v>
      </c>
      <c r="X5583" s="564">
        <v>50</v>
      </c>
    </row>
    <row r="5584" spans="23:24" x14ac:dyDescent="0.25">
      <c r="W5584" s="574">
        <f t="shared" si="111"/>
        <v>5575</v>
      </c>
      <c r="X5584" s="564">
        <v>50</v>
      </c>
    </row>
    <row r="5585" spans="23:24" x14ac:dyDescent="0.25">
      <c r="W5585" s="574">
        <f t="shared" si="111"/>
        <v>5576</v>
      </c>
      <c r="X5585" s="564">
        <v>50</v>
      </c>
    </row>
    <row r="5586" spans="23:24" x14ac:dyDescent="0.25">
      <c r="W5586" s="574">
        <f t="shared" si="111"/>
        <v>5577</v>
      </c>
      <c r="X5586" s="564">
        <v>50</v>
      </c>
    </row>
    <row r="5587" spans="23:24" x14ac:dyDescent="0.25">
      <c r="W5587" s="574">
        <f t="shared" si="111"/>
        <v>5578</v>
      </c>
      <c r="X5587" s="564">
        <v>50</v>
      </c>
    </row>
    <row r="5588" spans="23:24" x14ac:dyDescent="0.25">
      <c r="W5588" s="574">
        <f t="shared" si="111"/>
        <v>5579</v>
      </c>
      <c r="X5588" s="564">
        <v>50</v>
      </c>
    </row>
    <row r="5589" spans="23:24" x14ac:dyDescent="0.25">
      <c r="W5589" s="574">
        <f t="shared" si="111"/>
        <v>5580</v>
      </c>
      <c r="X5589" s="564">
        <v>50</v>
      </c>
    </row>
    <row r="5590" spans="23:24" x14ac:dyDescent="0.25">
      <c r="W5590" s="574">
        <f t="shared" si="111"/>
        <v>5581</v>
      </c>
      <c r="X5590" s="564">
        <v>50</v>
      </c>
    </row>
    <row r="5591" spans="23:24" x14ac:dyDescent="0.25">
      <c r="W5591" s="574">
        <f t="shared" si="111"/>
        <v>5582</v>
      </c>
      <c r="X5591" s="564">
        <v>50</v>
      </c>
    </row>
    <row r="5592" spans="23:24" x14ac:dyDescent="0.25">
      <c r="W5592" s="574">
        <f t="shared" si="111"/>
        <v>5583</v>
      </c>
      <c r="X5592" s="564">
        <v>50</v>
      </c>
    </row>
    <row r="5593" spans="23:24" x14ac:dyDescent="0.25">
      <c r="W5593" s="574">
        <f t="shared" si="111"/>
        <v>5584</v>
      </c>
      <c r="X5593" s="564">
        <v>50</v>
      </c>
    </row>
    <row r="5594" spans="23:24" x14ac:dyDescent="0.25">
      <c r="W5594" s="574">
        <f t="shared" si="111"/>
        <v>5585</v>
      </c>
      <c r="X5594" s="564">
        <v>50</v>
      </c>
    </row>
    <row r="5595" spans="23:24" x14ac:dyDescent="0.25">
      <c r="W5595" s="574">
        <f t="shared" si="111"/>
        <v>5586</v>
      </c>
      <c r="X5595" s="564">
        <v>50</v>
      </c>
    </row>
    <row r="5596" spans="23:24" x14ac:dyDescent="0.25">
      <c r="W5596" s="574">
        <f t="shared" si="111"/>
        <v>5587</v>
      </c>
      <c r="X5596" s="564">
        <v>50</v>
      </c>
    </row>
    <row r="5597" spans="23:24" x14ac:dyDescent="0.25">
      <c r="W5597" s="574">
        <f t="shared" si="111"/>
        <v>5588</v>
      </c>
      <c r="X5597" s="564">
        <v>50</v>
      </c>
    </row>
    <row r="5598" spans="23:24" x14ac:dyDescent="0.25">
      <c r="W5598" s="574">
        <f t="shared" si="111"/>
        <v>5589</v>
      </c>
      <c r="X5598" s="564">
        <v>50</v>
      </c>
    </row>
    <row r="5599" spans="23:24" x14ac:dyDescent="0.25">
      <c r="W5599" s="574">
        <f t="shared" si="111"/>
        <v>5590</v>
      </c>
      <c r="X5599" s="564">
        <v>50</v>
      </c>
    </row>
    <row r="5600" spans="23:24" x14ac:dyDescent="0.25">
      <c r="W5600" s="574">
        <f t="shared" si="111"/>
        <v>5591</v>
      </c>
      <c r="X5600" s="564">
        <v>50</v>
      </c>
    </row>
    <row r="5601" spans="23:24" x14ac:dyDescent="0.25">
      <c r="W5601" s="574">
        <f t="shared" si="111"/>
        <v>5592</v>
      </c>
      <c r="X5601" s="564">
        <v>50</v>
      </c>
    </row>
    <row r="5602" spans="23:24" x14ac:dyDescent="0.25">
      <c r="W5602" s="574">
        <f t="shared" si="111"/>
        <v>5593</v>
      </c>
      <c r="X5602" s="564">
        <v>50</v>
      </c>
    </row>
    <row r="5603" spans="23:24" x14ac:dyDescent="0.25">
      <c r="W5603" s="574">
        <f t="shared" si="111"/>
        <v>5594</v>
      </c>
      <c r="X5603" s="564">
        <v>50</v>
      </c>
    </row>
    <row r="5604" spans="23:24" x14ac:dyDescent="0.25">
      <c r="W5604" s="574">
        <f t="shared" si="111"/>
        <v>5595</v>
      </c>
      <c r="X5604" s="564">
        <v>50</v>
      </c>
    </row>
    <row r="5605" spans="23:24" x14ac:dyDescent="0.25">
      <c r="W5605" s="574">
        <f t="shared" si="111"/>
        <v>5596</v>
      </c>
      <c r="X5605" s="564">
        <v>50</v>
      </c>
    </row>
    <row r="5606" spans="23:24" x14ac:dyDescent="0.25">
      <c r="W5606" s="574">
        <f t="shared" si="111"/>
        <v>5597</v>
      </c>
      <c r="X5606" s="564">
        <v>50</v>
      </c>
    </row>
    <row r="5607" spans="23:24" x14ac:dyDescent="0.25">
      <c r="W5607" s="574">
        <f t="shared" si="111"/>
        <v>5598</v>
      </c>
      <c r="X5607" s="564">
        <v>50</v>
      </c>
    </row>
    <row r="5608" spans="23:24" x14ac:dyDescent="0.25">
      <c r="W5608" s="574">
        <f t="shared" si="111"/>
        <v>5599</v>
      </c>
      <c r="X5608" s="564">
        <v>50</v>
      </c>
    </row>
    <row r="5609" spans="23:24" x14ac:dyDescent="0.25">
      <c r="W5609" s="574">
        <f t="shared" si="111"/>
        <v>5600</v>
      </c>
      <c r="X5609" s="564">
        <v>50</v>
      </c>
    </row>
    <row r="5610" spans="23:24" x14ac:dyDescent="0.25">
      <c r="W5610" s="574">
        <f t="shared" si="111"/>
        <v>5601</v>
      </c>
      <c r="X5610" s="564">
        <v>50</v>
      </c>
    </row>
    <row r="5611" spans="23:24" x14ac:dyDescent="0.25">
      <c r="W5611" s="574">
        <f t="shared" si="111"/>
        <v>5602</v>
      </c>
      <c r="X5611" s="564">
        <v>50</v>
      </c>
    </row>
    <row r="5612" spans="23:24" x14ac:dyDescent="0.25">
      <c r="W5612" s="574">
        <f t="shared" si="111"/>
        <v>5603</v>
      </c>
      <c r="X5612" s="564">
        <v>50</v>
      </c>
    </row>
    <row r="5613" spans="23:24" x14ac:dyDescent="0.25">
      <c r="W5613" s="574">
        <f t="shared" si="111"/>
        <v>5604</v>
      </c>
      <c r="X5613" s="564">
        <v>50</v>
      </c>
    </row>
    <row r="5614" spans="23:24" x14ac:dyDescent="0.25">
      <c r="W5614" s="574">
        <f t="shared" si="111"/>
        <v>5605</v>
      </c>
      <c r="X5614" s="564">
        <v>50</v>
      </c>
    </row>
    <row r="5615" spans="23:24" x14ac:dyDescent="0.25">
      <c r="W5615" s="574">
        <f t="shared" si="111"/>
        <v>5606</v>
      </c>
      <c r="X5615" s="564">
        <v>50</v>
      </c>
    </row>
    <row r="5616" spans="23:24" x14ac:dyDescent="0.25">
      <c r="W5616" s="574">
        <f t="shared" si="111"/>
        <v>5607</v>
      </c>
      <c r="X5616" s="564">
        <v>50</v>
      </c>
    </row>
    <row r="5617" spans="23:24" x14ac:dyDescent="0.25">
      <c r="W5617" s="574">
        <f t="shared" si="111"/>
        <v>5608</v>
      </c>
      <c r="X5617" s="564">
        <v>50</v>
      </c>
    </row>
    <row r="5618" spans="23:24" x14ac:dyDescent="0.25">
      <c r="W5618" s="574">
        <f t="shared" si="111"/>
        <v>5609</v>
      </c>
      <c r="X5618" s="564">
        <v>50</v>
      </c>
    </row>
    <row r="5619" spans="23:24" x14ac:dyDescent="0.25">
      <c r="W5619" s="574">
        <f t="shared" si="111"/>
        <v>5610</v>
      </c>
      <c r="X5619" s="564">
        <v>50</v>
      </c>
    </row>
    <row r="5620" spans="23:24" x14ac:dyDescent="0.25">
      <c r="W5620" s="574">
        <f t="shared" si="111"/>
        <v>5611</v>
      </c>
      <c r="X5620" s="564">
        <v>50</v>
      </c>
    </row>
    <row r="5621" spans="23:24" x14ac:dyDescent="0.25">
      <c r="W5621" s="574">
        <f t="shared" si="111"/>
        <v>5612</v>
      </c>
      <c r="X5621" s="564">
        <v>50</v>
      </c>
    </row>
    <row r="5622" spans="23:24" x14ac:dyDescent="0.25">
      <c r="W5622" s="574">
        <f t="shared" ref="W5622:W5685" si="112">W5621+1</f>
        <v>5613</v>
      </c>
      <c r="X5622" s="564">
        <v>50</v>
      </c>
    </row>
    <row r="5623" spans="23:24" x14ac:dyDescent="0.25">
      <c r="W5623" s="574">
        <f t="shared" si="112"/>
        <v>5614</v>
      </c>
      <c r="X5623" s="564">
        <v>50</v>
      </c>
    </row>
    <row r="5624" spans="23:24" x14ac:dyDescent="0.25">
      <c r="W5624" s="574">
        <f t="shared" si="112"/>
        <v>5615</v>
      </c>
      <c r="X5624" s="564">
        <v>50</v>
      </c>
    </row>
    <row r="5625" spans="23:24" x14ac:dyDescent="0.25">
      <c r="W5625" s="574">
        <f t="shared" si="112"/>
        <v>5616</v>
      </c>
      <c r="X5625" s="564">
        <v>50</v>
      </c>
    </row>
    <row r="5626" spans="23:24" x14ac:dyDescent="0.25">
      <c r="W5626" s="574">
        <f t="shared" si="112"/>
        <v>5617</v>
      </c>
      <c r="X5626" s="564">
        <v>50</v>
      </c>
    </row>
    <row r="5627" spans="23:24" x14ac:dyDescent="0.25">
      <c r="W5627" s="574">
        <f t="shared" si="112"/>
        <v>5618</v>
      </c>
      <c r="X5627" s="564">
        <v>50</v>
      </c>
    </row>
    <row r="5628" spans="23:24" x14ac:dyDescent="0.25">
      <c r="W5628" s="574">
        <f t="shared" si="112"/>
        <v>5619</v>
      </c>
      <c r="X5628" s="564">
        <v>50</v>
      </c>
    </row>
    <row r="5629" spans="23:24" x14ac:dyDescent="0.25">
      <c r="W5629" s="574">
        <f t="shared" si="112"/>
        <v>5620</v>
      </c>
      <c r="X5629" s="564">
        <v>50</v>
      </c>
    </row>
    <row r="5630" spans="23:24" x14ac:dyDescent="0.25">
      <c r="W5630" s="574">
        <f t="shared" si="112"/>
        <v>5621</v>
      </c>
      <c r="X5630" s="564">
        <v>50</v>
      </c>
    </row>
    <row r="5631" spans="23:24" x14ac:dyDescent="0.25">
      <c r="W5631" s="574">
        <f t="shared" si="112"/>
        <v>5622</v>
      </c>
      <c r="X5631" s="564">
        <v>50</v>
      </c>
    </row>
    <row r="5632" spans="23:24" x14ac:dyDescent="0.25">
      <c r="W5632" s="574">
        <f t="shared" si="112"/>
        <v>5623</v>
      </c>
      <c r="X5632" s="564">
        <v>50</v>
      </c>
    </row>
    <row r="5633" spans="23:24" x14ac:dyDescent="0.25">
      <c r="W5633" s="574">
        <f t="shared" si="112"/>
        <v>5624</v>
      </c>
      <c r="X5633" s="564">
        <v>50</v>
      </c>
    </row>
    <row r="5634" spans="23:24" x14ac:dyDescent="0.25">
      <c r="W5634" s="574">
        <f t="shared" si="112"/>
        <v>5625</v>
      </c>
      <c r="X5634" s="564">
        <v>50</v>
      </c>
    </row>
    <row r="5635" spans="23:24" x14ac:dyDescent="0.25">
      <c r="W5635" s="574">
        <f t="shared" si="112"/>
        <v>5626</v>
      </c>
      <c r="X5635" s="564">
        <v>50</v>
      </c>
    </row>
    <row r="5636" spans="23:24" x14ac:dyDescent="0.25">
      <c r="W5636" s="574">
        <f t="shared" si="112"/>
        <v>5627</v>
      </c>
      <c r="X5636" s="564">
        <v>50</v>
      </c>
    </row>
    <row r="5637" spans="23:24" x14ac:dyDescent="0.25">
      <c r="W5637" s="574">
        <f t="shared" si="112"/>
        <v>5628</v>
      </c>
      <c r="X5637" s="564">
        <v>50</v>
      </c>
    </row>
    <row r="5638" spans="23:24" x14ac:dyDescent="0.25">
      <c r="W5638" s="574">
        <f t="shared" si="112"/>
        <v>5629</v>
      </c>
      <c r="X5638" s="564">
        <v>50</v>
      </c>
    </row>
    <row r="5639" spans="23:24" x14ac:dyDescent="0.25">
      <c r="W5639" s="574">
        <f t="shared" si="112"/>
        <v>5630</v>
      </c>
      <c r="X5639" s="564">
        <v>50</v>
      </c>
    </row>
    <row r="5640" spans="23:24" x14ac:dyDescent="0.25">
      <c r="W5640" s="574">
        <f t="shared" si="112"/>
        <v>5631</v>
      </c>
      <c r="X5640" s="564">
        <v>50</v>
      </c>
    </row>
    <row r="5641" spans="23:24" x14ac:dyDescent="0.25">
      <c r="W5641" s="574">
        <f t="shared" si="112"/>
        <v>5632</v>
      </c>
      <c r="X5641" s="564">
        <v>50</v>
      </c>
    </row>
    <row r="5642" spans="23:24" x14ac:dyDescent="0.25">
      <c r="W5642" s="574">
        <f t="shared" si="112"/>
        <v>5633</v>
      </c>
      <c r="X5642" s="564">
        <v>50</v>
      </c>
    </row>
    <row r="5643" spans="23:24" x14ac:dyDescent="0.25">
      <c r="W5643" s="574">
        <f t="shared" si="112"/>
        <v>5634</v>
      </c>
      <c r="X5643" s="564">
        <v>50</v>
      </c>
    </row>
    <row r="5644" spans="23:24" x14ac:dyDescent="0.25">
      <c r="W5644" s="574">
        <f t="shared" si="112"/>
        <v>5635</v>
      </c>
      <c r="X5644" s="564">
        <v>50</v>
      </c>
    </row>
    <row r="5645" spans="23:24" x14ac:dyDescent="0.25">
      <c r="W5645" s="574">
        <f t="shared" si="112"/>
        <v>5636</v>
      </c>
      <c r="X5645" s="564">
        <v>50</v>
      </c>
    </row>
    <row r="5646" spans="23:24" x14ac:dyDescent="0.25">
      <c r="W5646" s="574">
        <f t="shared" si="112"/>
        <v>5637</v>
      </c>
      <c r="X5646" s="564">
        <v>50</v>
      </c>
    </row>
    <row r="5647" spans="23:24" x14ac:dyDescent="0.25">
      <c r="W5647" s="574">
        <f t="shared" si="112"/>
        <v>5638</v>
      </c>
      <c r="X5647" s="564">
        <v>50</v>
      </c>
    </row>
    <row r="5648" spans="23:24" x14ac:dyDescent="0.25">
      <c r="W5648" s="574">
        <f t="shared" si="112"/>
        <v>5639</v>
      </c>
      <c r="X5648" s="564">
        <v>50</v>
      </c>
    </row>
    <row r="5649" spans="23:24" x14ac:dyDescent="0.25">
      <c r="W5649" s="574">
        <f t="shared" si="112"/>
        <v>5640</v>
      </c>
      <c r="X5649" s="564">
        <v>50</v>
      </c>
    </row>
    <row r="5650" spans="23:24" x14ac:dyDescent="0.25">
      <c r="W5650" s="574">
        <f t="shared" si="112"/>
        <v>5641</v>
      </c>
      <c r="X5650" s="564">
        <v>50</v>
      </c>
    </row>
    <row r="5651" spans="23:24" x14ac:dyDescent="0.25">
      <c r="W5651" s="574">
        <f t="shared" si="112"/>
        <v>5642</v>
      </c>
      <c r="X5651" s="564">
        <v>50</v>
      </c>
    </row>
    <row r="5652" spans="23:24" x14ac:dyDescent="0.25">
      <c r="W5652" s="574">
        <f t="shared" si="112"/>
        <v>5643</v>
      </c>
      <c r="X5652" s="564">
        <v>50</v>
      </c>
    </row>
    <row r="5653" spans="23:24" x14ac:dyDescent="0.25">
      <c r="W5653" s="574">
        <f t="shared" si="112"/>
        <v>5644</v>
      </c>
      <c r="X5653" s="564">
        <v>50</v>
      </c>
    </row>
    <row r="5654" spans="23:24" x14ac:dyDescent="0.25">
      <c r="W5654" s="574">
        <f t="shared" si="112"/>
        <v>5645</v>
      </c>
      <c r="X5654" s="564">
        <v>50</v>
      </c>
    </row>
    <row r="5655" spans="23:24" x14ac:dyDescent="0.25">
      <c r="W5655" s="574">
        <f t="shared" si="112"/>
        <v>5646</v>
      </c>
      <c r="X5655" s="564">
        <v>50</v>
      </c>
    </row>
    <row r="5656" spans="23:24" x14ac:dyDescent="0.25">
      <c r="W5656" s="574">
        <f t="shared" si="112"/>
        <v>5647</v>
      </c>
      <c r="X5656" s="564">
        <v>50</v>
      </c>
    </row>
    <row r="5657" spans="23:24" x14ac:dyDescent="0.25">
      <c r="W5657" s="574">
        <f t="shared" si="112"/>
        <v>5648</v>
      </c>
      <c r="X5657" s="564">
        <v>50</v>
      </c>
    </row>
    <row r="5658" spans="23:24" x14ac:dyDescent="0.25">
      <c r="W5658" s="574">
        <f t="shared" si="112"/>
        <v>5649</v>
      </c>
      <c r="X5658" s="564">
        <v>50</v>
      </c>
    </row>
    <row r="5659" spans="23:24" x14ac:dyDescent="0.25">
      <c r="W5659" s="574">
        <f t="shared" si="112"/>
        <v>5650</v>
      </c>
      <c r="X5659" s="564">
        <v>50</v>
      </c>
    </row>
    <row r="5660" spans="23:24" x14ac:dyDescent="0.25">
      <c r="W5660" s="574">
        <f t="shared" si="112"/>
        <v>5651</v>
      </c>
      <c r="X5660" s="564">
        <v>50</v>
      </c>
    </row>
    <row r="5661" spans="23:24" x14ac:dyDescent="0.25">
      <c r="W5661" s="574">
        <f t="shared" si="112"/>
        <v>5652</v>
      </c>
      <c r="X5661" s="564">
        <v>50</v>
      </c>
    </row>
    <row r="5662" spans="23:24" x14ac:dyDescent="0.25">
      <c r="W5662" s="574">
        <f t="shared" si="112"/>
        <v>5653</v>
      </c>
      <c r="X5662" s="564">
        <v>50</v>
      </c>
    </row>
    <row r="5663" spans="23:24" x14ac:dyDescent="0.25">
      <c r="W5663" s="574">
        <f t="shared" si="112"/>
        <v>5654</v>
      </c>
      <c r="X5663" s="564">
        <v>50</v>
      </c>
    </row>
    <row r="5664" spans="23:24" x14ac:dyDescent="0.25">
      <c r="W5664" s="574">
        <f t="shared" si="112"/>
        <v>5655</v>
      </c>
      <c r="X5664" s="564">
        <v>50</v>
      </c>
    </row>
    <row r="5665" spans="23:24" x14ac:dyDescent="0.25">
      <c r="W5665" s="574">
        <f t="shared" si="112"/>
        <v>5656</v>
      </c>
      <c r="X5665" s="564">
        <v>50</v>
      </c>
    </row>
    <row r="5666" spans="23:24" x14ac:dyDescent="0.25">
      <c r="W5666" s="574">
        <f t="shared" si="112"/>
        <v>5657</v>
      </c>
      <c r="X5666" s="564">
        <v>50</v>
      </c>
    </row>
    <row r="5667" spans="23:24" x14ac:dyDescent="0.25">
      <c r="W5667" s="574">
        <f t="shared" si="112"/>
        <v>5658</v>
      </c>
      <c r="X5667" s="564">
        <v>50</v>
      </c>
    </row>
    <row r="5668" spans="23:24" x14ac:dyDescent="0.25">
      <c r="W5668" s="574">
        <f t="shared" si="112"/>
        <v>5659</v>
      </c>
      <c r="X5668" s="564">
        <v>50</v>
      </c>
    </row>
    <row r="5669" spans="23:24" x14ac:dyDescent="0.25">
      <c r="W5669" s="574">
        <f t="shared" si="112"/>
        <v>5660</v>
      </c>
      <c r="X5669" s="564">
        <v>50</v>
      </c>
    </row>
    <row r="5670" spans="23:24" x14ac:dyDescent="0.25">
      <c r="W5670" s="574">
        <f t="shared" si="112"/>
        <v>5661</v>
      </c>
      <c r="X5670" s="564">
        <v>50</v>
      </c>
    </row>
    <row r="5671" spans="23:24" x14ac:dyDescent="0.25">
      <c r="W5671" s="574">
        <f t="shared" si="112"/>
        <v>5662</v>
      </c>
      <c r="X5671" s="564">
        <v>50</v>
      </c>
    </row>
    <row r="5672" spans="23:24" x14ac:dyDescent="0.25">
      <c r="W5672" s="574">
        <f t="shared" si="112"/>
        <v>5663</v>
      </c>
      <c r="X5672" s="564">
        <v>50</v>
      </c>
    </row>
    <row r="5673" spans="23:24" x14ac:dyDescent="0.25">
      <c r="W5673" s="574">
        <f t="shared" si="112"/>
        <v>5664</v>
      </c>
      <c r="X5673" s="564">
        <v>50</v>
      </c>
    </row>
    <row r="5674" spans="23:24" x14ac:dyDescent="0.25">
      <c r="W5674" s="574">
        <f t="shared" si="112"/>
        <v>5665</v>
      </c>
      <c r="X5674" s="564">
        <v>50</v>
      </c>
    </row>
    <row r="5675" spans="23:24" x14ac:dyDescent="0.25">
      <c r="W5675" s="574">
        <f t="shared" si="112"/>
        <v>5666</v>
      </c>
      <c r="X5675" s="564">
        <v>50</v>
      </c>
    </row>
    <row r="5676" spans="23:24" x14ac:dyDescent="0.25">
      <c r="W5676" s="574">
        <f t="shared" si="112"/>
        <v>5667</v>
      </c>
      <c r="X5676" s="564">
        <v>50</v>
      </c>
    </row>
    <row r="5677" spans="23:24" x14ac:dyDescent="0.25">
      <c r="W5677" s="574">
        <f t="shared" si="112"/>
        <v>5668</v>
      </c>
      <c r="X5677" s="564">
        <v>50</v>
      </c>
    </row>
    <row r="5678" spans="23:24" x14ac:dyDescent="0.25">
      <c r="W5678" s="574">
        <f t="shared" si="112"/>
        <v>5669</v>
      </c>
      <c r="X5678" s="564">
        <v>50</v>
      </c>
    </row>
    <row r="5679" spans="23:24" x14ac:dyDescent="0.25">
      <c r="W5679" s="574">
        <f t="shared" si="112"/>
        <v>5670</v>
      </c>
      <c r="X5679" s="564">
        <v>50</v>
      </c>
    </row>
    <row r="5680" spans="23:24" x14ac:dyDescent="0.25">
      <c r="W5680" s="574">
        <f t="shared" si="112"/>
        <v>5671</v>
      </c>
      <c r="X5680" s="564">
        <v>50</v>
      </c>
    </row>
    <row r="5681" spans="23:24" x14ac:dyDescent="0.25">
      <c r="W5681" s="574">
        <f t="shared" si="112"/>
        <v>5672</v>
      </c>
      <c r="X5681" s="564">
        <v>50</v>
      </c>
    </row>
    <row r="5682" spans="23:24" x14ac:dyDescent="0.25">
      <c r="W5682" s="574">
        <f t="shared" si="112"/>
        <v>5673</v>
      </c>
      <c r="X5682" s="564">
        <v>50</v>
      </c>
    </row>
    <row r="5683" spans="23:24" x14ac:dyDescent="0.25">
      <c r="W5683" s="574">
        <f t="shared" si="112"/>
        <v>5674</v>
      </c>
      <c r="X5683" s="564">
        <v>50</v>
      </c>
    </row>
    <row r="5684" spans="23:24" x14ac:dyDescent="0.25">
      <c r="W5684" s="574">
        <f t="shared" si="112"/>
        <v>5675</v>
      </c>
      <c r="X5684" s="564">
        <v>50</v>
      </c>
    </row>
    <row r="5685" spans="23:24" x14ac:dyDescent="0.25">
      <c r="W5685" s="574">
        <f t="shared" si="112"/>
        <v>5676</v>
      </c>
      <c r="X5685" s="564">
        <v>50</v>
      </c>
    </row>
    <row r="5686" spans="23:24" x14ac:dyDescent="0.25">
      <c r="W5686" s="574">
        <f t="shared" ref="W5686:W5749" si="113">W5685+1</f>
        <v>5677</v>
      </c>
      <c r="X5686" s="564">
        <v>50</v>
      </c>
    </row>
    <row r="5687" spans="23:24" x14ac:dyDescent="0.25">
      <c r="W5687" s="574">
        <f t="shared" si="113"/>
        <v>5678</v>
      </c>
      <c r="X5687" s="564">
        <v>50</v>
      </c>
    </row>
    <row r="5688" spans="23:24" x14ac:dyDescent="0.25">
      <c r="W5688" s="574">
        <f t="shared" si="113"/>
        <v>5679</v>
      </c>
      <c r="X5688" s="564">
        <v>50</v>
      </c>
    </row>
    <row r="5689" spans="23:24" x14ac:dyDescent="0.25">
      <c r="W5689" s="574">
        <f t="shared" si="113"/>
        <v>5680</v>
      </c>
      <c r="X5689" s="564">
        <v>50</v>
      </c>
    </row>
    <row r="5690" spans="23:24" x14ac:dyDescent="0.25">
      <c r="W5690" s="574">
        <f t="shared" si="113"/>
        <v>5681</v>
      </c>
      <c r="X5690" s="564">
        <v>50</v>
      </c>
    </row>
    <row r="5691" spans="23:24" x14ac:dyDescent="0.25">
      <c r="W5691" s="574">
        <f t="shared" si="113"/>
        <v>5682</v>
      </c>
      <c r="X5691" s="564">
        <v>50</v>
      </c>
    </row>
    <row r="5692" spans="23:24" x14ac:dyDescent="0.25">
      <c r="W5692" s="574">
        <f t="shared" si="113"/>
        <v>5683</v>
      </c>
      <c r="X5692" s="564">
        <v>50</v>
      </c>
    </row>
    <row r="5693" spans="23:24" x14ac:dyDescent="0.25">
      <c r="W5693" s="574">
        <f t="shared" si="113"/>
        <v>5684</v>
      </c>
      <c r="X5693" s="564">
        <v>50</v>
      </c>
    </row>
    <row r="5694" spans="23:24" x14ac:dyDescent="0.25">
      <c r="W5694" s="574">
        <f t="shared" si="113"/>
        <v>5685</v>
      </c>
      <c r="X5694" s="564">
        <v>50</v>
      </c>
    </row>
    <row r="5695" spans="23:24" x14ac:dyDescent="0.25">
      <c r="W5695" s="574">
        <f t="shared" si="113"/>
        <v>5686</v>
      </c>
      <c r="X5695" s="564">
        <v>50</v>
      </c>
    </row>
    <row r="5696" spans="23:24" x14ac:dyDescent="0.25">
      <c r="W5696" s="574">
        <f t="shared" si="113"/>
        <v>5687</v>
      </c>
      <c r="X5696" s="564">
        <v>50</v>
      </c>
    </row>
    <row r="5697" spans="23:24" x14ac:dyDescent="0.25">
      <c r="W5697" s="574">
        <f t="shared" si="113"/>
        <v>5688</v>
      </c>
      <c r="X5697" s="564">
        <v>50</v>
      </c>
    </row>
    <row r="5698" spans="23:24" x14ac:dyDescent="0.25">
      <c r="W5698" s="574">
        <f t="shared" si="113"/>
        <v>5689</v>
      </c>
      <c r="X5698" s="564">
        <v>50</v>
      </c>
    </row>
    <row r="5699" spans="23:24" x14ac:dyDescent="0.25">
      <c r="W5699" s="574">
        <f t="shared" si="113"/>
        <v>5690</v>
      </c>
      <c r="X5699" s="564">
        <v>50</v>
      </c>
    </row>
    <row r="5700" spans="23:24" x14ac:dyDescent="0.25">
      <c r="W5700" s="574">
        <f t="shared" si="113"/>
        <v>5691</v>
      </c>
      <c r="X5700" s="564">
        <v>50</v>
      </c>
    </row>
    <row r="5701" spans="23:24" x14ac:dyDescent="0.25">
      <c r="W5701" s="574">
        <f t="shared" si="113"/>
        <v>5692</v>
      </c>
      <c r="X5701" s="564">
        <v>50</v>
      </c>
    </row>
    <row r="5702" spans="23:24" x14ac:dyDescent="0.25">
      <c r="W5702" s="574">
        <f t="shared" si="113"/>
        <v>5693</v>
      </c>
      <c r="X5702" s="564">
        <v>50</v>
      </c>
    </row>
    <row r="5703" spans="23:24" x14ac:dyDescent="0.25">
      <c r="W5703" s="574">
        <f t="shared" si="113"/>
        <v>5694</v>
      </c>
      <c r="X5703" s="564">
        <v>50</v>
      </c>
    </row>
    <row r="5704" spans="23:24" x14ac:dyDescent="0.25">
      <c r="W5704" s="574">
        <f t="shared" si="113"/>
        <v>5695</v>
      </c>
      <c r="X5704" s="564">
        <v>50</v>
      </c>
    </row>
    <row r="5705" spans="23:24" x14ac:dyDescent="0.25">
      <c r="W5705" s="574">
        <f t="shared" si="113"/>
        <v>5696</v>
      </c>
      <c r="X5705" s="564">
        <v>50</v>
      </c>
    </row>
    <row r="5706" spans="23:24" x14ac:dyDescent="0.25">
      <c r="W5706" s="574">
        <f t="shared" si="113"/>
        <v>5697</v>
      </c>
      <c r="X5706" s="564">
        <v>50</v>
      </c>
    </row>
    <row r="5707" spans="23:24" x14ac:dyDescent="0.25">
      <c r="W5707" s="574">
        <f t="shared" si="113"/>
        <v>5698</v>
      </c>
      <c r="X5707" s="564">
        <v>50</v>
      </c>
    </row>
    <row r="5708" spans="23:24" x14ac:dyDescent="0.25">
      <c r="W5708" s="574">
        <f t="shared" si="113"/>
        <v>5699</v>
      </c>
      <c r="X5708" s="564">
        <v>50</v>
      </c>
    </row>
    <row r="5709" spans="23:24" x14ac:dyDescent="0.25">
      <c r="W5709" s="574">
        <f t="shared" si="113"/>
        <v>5700</v>
      </c>
      <c r="X5709" s="564">
        <v>50</v>
      </c>
    </row>
    <row r="5710" spans="23:24" x14ac:dyDescent="0.25">
      <c r="W5710" s="574">
        <f t="shared" si="113"/>
        <v>5701</v>
      </c>
      <c r="X5710" s="564">
        <v>50</v>
      </c>
    </row>
    <row r="5711" spans="23:24" x14ac:dyDescent="0.25">
      <c r="W5711" s="574">
        <f t="shared" si="113"/>
        <v>5702</v>
      </c>
      <c r="X5711" s="564">
        <v>50</v>
      </c>
    </row>
    <row r="5712" spans="23:24" x14ac:dyDescent="0.25">
      <c r="W5712" s="574">
        <f t="shared" si="113"/>
        <v>5703</v>
      </c>
      <c r="X5712" s="564">
        <v>50</v>
      </c>
    </row>
    <row r="5713" spans="23:24" x14ac:dyDescent="0.25">
      <c r="W5713" s="574">
        <f t="shared" si="113"/>
        <v>5704</v>
      </c>
      <c r="X5713" s="564">
        <v>50</v>
      </c>
    </row>
    <row r="5714" spans="23:24" x14ac:dyDescent="0.25">
      <c r="W5714" s="574">
        <f t="shared" si="113"/>
        <v>5705</v>
      </c>
      <c r="X5714" s="564">
        <v>50</v>
      </c>
    </row>
    <row r="5715" spans="23:24" x14ac:dyDescent="0.25">
      <c r="W5715" s="574">
        <f t="shared" si="113"/>
        <v>5706</v>
      </c>
      <c r="X5715" s="564">
        <v>50</v>
      </c>
    </row>
    <row r="5716" spans="23:24" x14ac:dyDescent="0.25">
      <c r="W5716" s="574">
        <f t="shared" si="113"/>
        <v>5707</v>
      </c>
      <c r="X5716" s="564">
        <v>50</v>
      </c>
    </row>
    <row r="5717" spans="23:24" x14ac:dyDescent="0.25">
      <c r="W5717" s="574">
        <f t="shared" si="113"/>
        <v>5708</v>
      </c>
      <c r="X5717" s="564">
        <v>50</v>
      </c>
    </row>
    <row r="5718" spans="23:24" x14ac:dyDescent="0.25">
      <c r="W5718" s="574">
        <f t="shared" si="113"/>
        <v>5709</v>
      </c>
      <c r="X5718" s="564">
        <v>50</v>
      </c>
    </row>
    <row r="5719" spans="23:24" x14ac:dyDescent="0.25">
      <c r="W5719" s="574">
        <f t="shared" si="113"/>
        <v>5710</v>
      </c>
      <c r="X5719" s="564">
        <v>50</v>
      </c>
    </row>
    <row r="5720" spans="23:24" x14ac:dyDescent="0.25">
      <c r="W5720" s="574">
        <f t="shared" si="113"/>
        <v>5711</v>
      </c>
      <c r="X5720" s="564">
        <v>50</v>
      </c>
    </row>
    <row r="5721" spans="23:24" x14ac:dyDescent="0.25">
      <c r="W5721" s="574">
        <f t="shared" si="113"/>
        <v>5712</v>
      </c>
      <c r="X5721" s="564">
        <v>50</v>
      </c>
    </row>
    <row r="5722" spans="23:24" x14ac:dyDescent="0.25">
      <c r="W5722" s="574">
        <f t="shared" si="113"/>
        <v>5713</v>
      </c>
      <c r="X5722" s="564">
        <v>50</v>
      </c>
    </row>
    <row r="5723" spans="23:24" x14ac:dyDescent="0.25">
      <c r="W5723" s="574">
        <f t="shared" si="113"/>
        <v>5714</v>
      </c>
      <c r="X5723" s="564">
        <v>50</v>
      </c>
    </row>
    <row r="5724" spans="23:24" x14ac:dyDescent="0.25">
      <c r="W5724" s="574">
        <f t="shared" si="113"/>
        <v>5715</v>
      </c>
      <c r="X5724" s="564">
        <v>50</v>
      </c>
    </row>
    <row r="5725" spans="23:24" x14ac:dyDescent="0.25">
      <c r="W5725" s="574">
        <f t="shared" si="113"/>
        <v>5716</v>
      </c>
      <c r="X5725" s="564">
        <v>50</v>
      </c>
    </row>
    <row r="5726" spans="23:24" x14ac:dyDescent="0.25">
      <c r="W5726" s="574">
        <f t="shared" si="113"/>
        <v>5717</v>
      </c>
      <c r="X5726" s="564">
        <v>50</v>
      </c>
    </row>
    <row r="5727" spans="23:24" x14ac:dyDescent="0.25">
      <c r="W5727" s="574">
        <f t="shared" si="113"/>
        <v>5718</v>
      </c>
      <c r="X5727" s="564">
        <v>50</v>
      </c>
    </row>
    <row r="5728" spans="23:24" x14ac:dyDescent="0.25">
      <c r="W5728" s="574">
        <f t="shared" si="113"/>
        <v>5719</v>
      </c>
      <c r="X5728" s="564">
        <v>50</v>
      </c>
    </row>
    <row r="5729" spans="23:24" x14ac:dyDescent="0.25">
      <c r="W5729" s="574">
        <f t="shared" si="113"/>
        <v>5720</v>
      </c>
      <c r="X5729" s="564">
        <v>50</v>
      </c>
    </row>
    <row r="5730" spans="23:24" x14ac:dyDescent="0.25">
      <c r="W5730" s="574">
        <f t="shared" si="113"/>
        <v>5721</v>
      </c>
      <c r="X5730" s="564">
        <v>50</v>
      </c>
    </row>
    <row r="5731" spans="23:24" x14ac:dyDescent="0.25">
      <c r="W5731" s="574">
        <f t="shared" si="113"/>
        <v>5722</v>
      </c>
      <c r="X5731" s="564">
        <v>50</v>
      </c>
    </row>
    <row r="5732" spans="23:24" x14ac:dyDescent="0.25">
      <c r="W5732" s="574">
        <f t="shared" si="113"/>
        <v>5723</v>
      </c>
      <c r="X5732" s="564">
        <v>50</v>
      </c>
    </row>
    <row r="5733" spans="23:24" x14ac:dyDescent="0.25">
      <c r="W5733" s="574">
        <f t="shared" si="113"/>
        <v>5724</v>
      </c>
      <c r="X5733" s="564">
        <v>50</v>
      </c>
    </row>
    <row r="5734" spans="23:24" x14ac:dyDescent="0.25">
      <c r="W5734" s="574">
        <f t="shared" si="113"/>
        <v>5725</v>
      </c>
      <c r="X5734" s="564">
        <v>50</v>
      </c>
    </row>
    <row r="5735" spans="23:24" x14ac:dyDescent="0.25">
      <c r="W5735" s="574">
        <f t="shared" si="113"/>
        <v>5726</v>
      </c>
      <c r="X5735" s="564">
        <v>50</v>
      </c>
    </row>
    <row r="5736" spans="23:24" x14ac:dyDescent="0.25">
      <c r="W5736" s="574">
        <f t="shared" si="113"/>
        <v>5727</v>
      </c>
      <c r="X5736" s="564">
        <v>50</v>
      </c>
    </row>
    <row r="5737" spans="23:24" x14ac:dyDescent="0.25">
      <c r="W5737" s="574">
        <f t="shared" si="113"/>
        <v>5728</v>
      </c>
      <c r="X5737" s="564">
        <v>50</v>
      </c>
    </row>
    <row r="5738" spans="23:24" x14ac:dyDescent="0.25">
      <c r="W5738" s="574">
        <f t="shared" si="113"/>
        <v>5729</v>
      </c>
      <c r="X5738" s="564">
        <v>50</v>
      </c>
    </row>
    <row r="5739" spans="23:24" x14ac:dyDescent="0.25">
      <c r="W5739" s="574">
        <f t="shared" si="113"/>
        <v>5730</v>
      </c>
      <c r="X5739" s="564">
        <v>50</v>
      </c>
    </row>
    <row r="5740" spans="23:24" x14ac:dyDescent="0.25">
      <c r="W5740" s="574">
        <f t="shared" si="113"/>
        <v>5731</v>
      </c>
      <c r="X5740" s="564">
        <v>50</v>
      </c>
    </row>
    <row r="5741" spans="23:24" x14ac:dyDescent="0.25">
      <c r="W5741" s="574">
        <f t="shared" si="113"/>
        <v>5732</v>
      </c>
      <c r="X5741" s="564">
        <v>50</v>
      </c>
    </row>
    <row r="5742" spans="23:24" x14ac:dyDescent="0.25">
      <c r="W5742" s="574">
        <f t="shared" si="113"/>
        <v>5733</v>
      </c>
      <c r="X5742" s="564">
        <v>50</v>
      </c>
    </row>
    <row r="5743" spans="23:24" x14ac:dyDescent="0.25">
      <c r="W5743" s="574">
        <f t="shared" si="113"/>
        <v>5734</v>
      </c>
      <c r="X5743" s="564">
        <v>50</v>
      </c>
    </row>
    <row r="5744" spans="23:24" x14ac:dyDescent="0.25">
      <c r="W5744" s="574">
        <f t="shared" si="113"/>
        <v>5735</v>
      </c>
      <c r="X5744" s="564">
        <v>50</v>
      </c>
    </row>
    <row r="5745" spans="23:24" x14ac:dyDescent="0.25">
      <c r="W5745" s="574">
        <f t="shared" si="113"/>
        <v>5736</v>
      </c>
      <c r="X5745" s="564">
        <v>50</v>
      </c>
    </row>
    <row r="5746" spans="23:24" x14ac:dyDescent="0.25">
      <c r="W5746" s="574">
        <f t="shared" si="113"/>
        <v>5737</v>
      </c>
      <c r="X5746" s="564">
        <v>50</v>
      </c>
    </row>
    <row r="5747" spans="23:24" x14ac:dyDescent="0.25">
      <c r="W5747" s="574">
        <f t="shared" si="113"/>
        <v>5738</v>
      </c>
      <c r="X5747" s="564">
        <v>50</v>
      </c>
    </row>
    <row r="5748" spans="23:24" x14ac:dyDescent="0.25">
      <c r="W5748" s="574">
        <f t="shared" si="113"/>
        <v>5739</v>
      </c>
      <c r="X5748" s="564">
        <v>50</v>
      </c>
    </row>
    <row r="5749" spans="23:24" x14ac:dyDescent="0.25">
      <c r="W5749" s="574">
        <f t="shared" si="113"/>
        <v>5740</v>
      </c>
      <c r="X5749" s="564">
        <v>50</v>
      </c>
    </row>
    <row r="5750" spans="23:24" x14ac:dyDescent="0.25">
      <c r="W5750" s="574">
        <f t="shared" ref="W5750:W5813" si="114">W5749+1</f>
        <v>5741</v>
      </c>
      <c r="X5750" s="564">
        <v>50</v>
      </c>
    </row>
    <row r="5751" spans="23:24" x14ac:dyDescent="0.25">
      <c r="W5751" s="574">
        <f t="shared" si="114"/>
        <v>5742</v>
      </c>
      <c r="X5751" s="564">
        <v>50</v>
      </c>
    </row>
    <row r="5752" spans="23:24" x14ac:dyDescent="0.25">
      <c r="W5752" s="574">
        <f t="shared" si="114"/>
        <v>5743</v>
      </c>
      <c r="X5752" s="564">
        <v>50</v>
      </c>
    </row>
    <row r="5753" spans="23:24" x14ac:dyDescent="0.25">
      <c r="W5753" s="574">
        <f t="shared" si="114"/>
        <v>5744</v>
      </c>
      <c r="X5753" s="564">
        <v>50</v>
      </c>
    </row>
    <row r="5754" spans="23:24" x14ac:dyDescent="0.25">
      <c r="W5754" s="574">
        <f t="shared" si="114"/>
        <v>5745</v>
      </c>
      <c r="X5754" s="564">
        <v>50</v>
      </c>
    </row>
    <row r="5755" spans="23:24" x14ac:dyDescent="0.25">
      <c r="W5755" s="574">
        <f t="shared" si="114"/>
        <v>5746</v>
      </c>
      <c r="X5755" s="564">
        <v>50</v>
      </c>
    </row>
    <row r="5756" spans="23:24" x14ac:dyDescent="0.25">
      <c r="W5756" s="574">
        <f t="shared" si="114"/>
        <v>5747</v>
      </c>
      <c r="X5756" s="564">
        <v>50</v>
      </c>
    </row>
    <row r="5757" spans="23:24" x14ac:dyDescent="0.25">
      <c r="W5757" s="574">
        <f t="shared" si="114"/>
        <v>5748</v>
      </c>
      <c r="X5757" s="564">
        <v>50</v>
      </c>
    </row>
    <row r="5758" spans="23:24" x14ac:dyDescent="0.25">
      <c r="W5758" s="574">
        <f t="shared" si="114"/>
        <v>5749</v>
      </c>
      <c r="X5758" s="564">
        <v>50</v>
      </c>
    </row>
    <row r="5759" spans="23:24" x14ac:dyDescent="0.25">
      <c r="W5759" s="574">
        <f t="shared" si="114"/>
        <v>5750</v>
      </c>
      <c r="X5759" s="564">
        <v>51</v>
      </c>
    </row>
    <row r="5760" spans="23:24" x14ac:dyDescent="0.25">
      <c r="W5760" s="574">
        <f t="shared" si="114"/>
        <v>5751</v>
      </c>
      <c r="X5760" s="564">
        <v>51</v>
      </c>
    </row>
    <row r="5761" spans="23:24" x14ac:dyDescent="0.25">
      <c r="W5761" s="574">
        <f t="shared" si="114"/>
        <v>5752</v>
      </c>
      <c r="X5761" s="564">
        <v>51</v>
      </c>
    </row>
    <row r="5762" spans="23:24" x14ac:dyDescent="0.25">
      <c r="W5762" s="574">
        <f t="shared" si="114"/>
        <v>5753</v>
      </c>
      <c r="X5762" s="564">
        <v>51</v>
      </c>
    </row>
    <row r="5763" spans="23:24" x14ac:dyDescent="0.25">
      <c r="W5763" s="574">
        <f t="shared" si="114"/>
        <v>5754</v>
      </c>
      <c r="X5763" s="564">
        <v>51</v>
      </c>
    </row>
    <row r="5764" spans="23:24" x14ac:dyDescent="0.25">
      <c r="W5764" s="574">
        <f t="shared" si="114"/>
        <v>5755</v>
      </c>
      <c r="X5764" s="564">
        <v>51</v>
      </c>
    </row>
    <row r="5765" spans="23:24" x14ac:dyDescent="0.25">
      <c r="W5765" s="574">
        <f t="shared" si="114"/>
        <v>5756</v>
      </c>
      <c r="X5765" s="564">
        <v>51</v>
      </c>
    </row>
    <row r="5766" spans="23:24" x14ac:dyDescent="0.25">
      <c r="W5766" s="574">
        <f t="shared" si="114"/>
        <v>5757</v>
      </c>
      <c r="X5766" s="564">
        <v>51</v>
      </c>
    </row>
    <row r="5767" spans="23:24" x14ac:dyDescent="0.25">
      <c r="W5767" s="574">
        <f t="shared" si="114"/>
        <v>5758</v>
      </c>
      <c r="X5767" s="564">
        <v>51</v>
      </c>
    </row>
    <row r="5768" spans="23:24" x14ac:dyDescent="0.25">
      <c r="W5768" s="574">
        <f t="shared" si="114"/>
        <v>5759</v>
      </c>
      <c r="X5768" s="564">
        <v>51</v>
      </c>
    </row>
    <row r="5769" spans="23:24" x14ac:dyDescent="0.25">
      <c r="W5769" s="574">
        <f t="shared" si="114"/>
        <v>5760</v>
      </c>
      <c r="X5769" s="564">
        <v>51</v>
      </c>
    </row>
    <row r="5770" spans="23:24" x14ac:dyDescent="0.25">
      <c r="W5770" s="574">
        <f t="shared" si="114"/>
        <v>5761</v>
      </c>
      <c r="X5770" s="564">
        <v>51</v>
      </c>
    </row>
    <row r="5771" spans="23:24" x14ac:dyDescent="0.25">
      <c r="W5771" s="574">
        <f t="shared" si="114"/>
        <v>5762</v>
      </c>
      <c r="X5771" s="564">
        <v>51</v>
      </c>
    </row>
    <row r="5772" spans="23:24" x14ac:dyDescent="0.25">
      <c r="W5772" s="574">
        <f t="shared" si="114"/>
        <v>5763</v>
      </c>
      <c r="X5772" s="564">
        <v>51</v>
      </c>
    </row>
    <row r="5773" spans="23:24" x14ac:dyDescent="0.25">
      <c r="W5773" s="574">
        <f t="shared" si="114"/>
        <v>5764</v>
      </c>
      <c r="X5773" s="564">
        <v>51</v>
      </c>
    </row>
    <row r="5774" spans="23:24" x14ac:dyDescent="0.25">
      <c r="W5774" s="574">
        <f t="shared" si="114"/>
        <v>5765</v>
      </c>
      <c r="X5774" s="564">
        <v>51</v>
      </c>
    </row>
    <row r="5775" spans="23:24" x14ac:dyDescent="0.25">
      <c r="W5775" s="574">
        <f t="shared" si="114"/>
        <v>5766</v>
      </c>
      <c r="X5775" s="564">
        <v>51</v>
      </c>
    </row>
    <row r="5776" spans="23:24" x14ac:dyDescent="0.25">
      <c r="W5776" s="574">
        <f t="shared" si="114"/>
        <v>5767</v>
      </c>
      <c r="X5776" s="564">
        <v>51</v>
      </c>
    </row>
    <row r="5777" spans="23:24" x14ac:dyDescent="0.25">
      <c r="W5777" s="574">
        <f t="shared" si="114"/>
        <v>5768</v>
      </c>
      <c r="X5777" s="564">
        <v>51</v>
      </c>
    </row>
    <row r="5778" spans="23:24" x14ac:dyDescent="0.25">
      <c r="W5778" s="574">
        <f t="shared" si="114"/>
        <v>5769</v>
      </c>
      <c r="X5778" s="564">
        <v>51</v>
      </c>
    </row>
    <row r="5779" spans="23:24" x14ac:dyDescent="0.25">
      <c r="W5779" s="574">
        <f t="shared" si="114"/>
        <v>5770</v>
      </c>
      <c r="X5779" s="564">
        <v>51</v>
      </c>
    </row>
    <row r="5780" spans="23:24" x14ac:dyDescent="0.25">
      <c r="W5780" s="574">
        <f t="shared" si="114"/>
        <v>5771</v>
      </c>
      <c r="X5780" s="564">
        <v>51</v>
      </c>
    </row>
    <row r="5781" spans="23:24" x14ac:dyDescent="0.25">
      <c r="W5781" s="574">
        <f t="shared" si="114"/>
        <v>5772</v>
      </c>
      <c r="X5781" s="564">
        <v>51</v>
      </c>
    </row>
    <row r="5782" spans="23:24" x14ac:dyDescent="0.25">
      <c r="W5782" s="574">
        <f t="shared" si="114"/>
        <v>5773</v>
      </c>
      <c r="X5782" s="564">
        <v>51</v>
      </c>
    </row>
    <row r="5783" spans="23:24" x14ac:dyDescent="0.25">
      <c r="W5783" s="574">
        <f t="shared" si="114"/>
        <v>5774</v>
      </c>
      <c r="X5783" s="564">
        <v>51</v>
      </c>
    </row>
    <row r="5784" spans="23:24" x14ac:dyDescent="0.25">
      <c r="W5784" s="574">
        <f t="shared" si="114"/>
        <v>5775</v>
      </c>
      <c r="X5784" s="564">
        <v>51</v>
      </c>
    </row>
    <row r="5785" spans="23:24" x14ac:dyDescent="0.25">
      <c r="W5785" s="574">
        <f t="shared" si="114"/>
        <v>5776</v>
      </c>
      <c r="X5785" s="564">
        <v>51</v>
      </c>
    </row>
    <row r="5786" spans="23:24" x14ac:dyDescent="0.25">
      <c r="W5786" s="574">
        <f t="shared" si="114"/>
        <v>5777</v>
      </c>
      <c r="X5786" s="564">
        <v>51</v>
      </c>
    </row>
    <row r="5787" spans="23:24" x14ac:dyDescent="0.25">
      <c r="W5787" s="574">
        <f t="shared" si="114"/>
        <v>5778</v>
      </c>
      <c r="X5787" s="564">
        <v>51</v>
      </c>
    </row>
    <row r="5788" spans="23:24" x14ac:dyDescent="0.25">
      <c r="W5788" s="574">
        <f t="shared" si="114"/>
        <v>5779</v>
      </c>
      <c r="X5788" s="564">
        <v>51</v>
      </c>
    </row>
    <row r="5789" spans="23:24" x14ac:dyDescent="0.25">
      <c r="W5789" s="574">
        <f t="shared" si="114"/>
        <v>5780</v>
      </c>
      <c r="X5789" s="564">
        <v>51</v>
      </c>
    </row>
    <row r="5790" spans="23:24" x14ac:dyDescent="0.25">
      <c r="W5790" s="574">
        <f t="shared" si="114"/>
        <v>5781</v>
      </c>
      <c r="X5790" s="564">
        <v>51</v>
      </c>
    </row>
    <row r="5791" spans="23:24" x14ac:dyDescent="0.25">
      <c r="W5791" s="574">
        <f t="shared" si="114"/>
        <v>5782</v>
      </c>
      <c r="X5791" s="564">
        <v>51</v>
      </c>
    </row>
    <row r="5792" spans="23:24" x14ac:dyDescent="0.25">
      <c r="W5792" s="574">
        <f t="shared" si="114"/>
        <v>5783</v>
      </c>
      <c r="X5792" s="564">
        <v>51</v>
      </c>
    </row>
    <row r="5793" spans="23:24" x14ac:dyDescent="0.25">
      <c r="W5793" s="574">
        <f t="shared" si="114"/>
        <v>5784</v>
      </c>
      <c r="X5793" s="564">
        <v>51</v>
      </c>
    </row>
    <row r="5794" spans="23:24" x14ac:dyDescent="0.25">
      <c r="W5794" s="574">
        <f t="shared" si="114"/>
        <v>5785</v>
      </c>
      <c r="X5794" s="564">
        <v>51</v>
      </c>
    </row>
    <row r="5795" spans="23:24" x14ac:dyDescent="0.25">
      <c r="W5795" s="574">
        <f t="shared" si="114"/>
        <v>5786</v>
      </c>
      <c r="X5795" s="564">
        <v>51</v>
      </c>
    </row>
    <row r="5796" spans="23:24" x14ac:dyDescent="0.25">
      <c r="W5796" s="574">
        <f t="shared" si="114"/>
        <v>5787</v>
      </c>
      <c r="X5796" s="564">
        <v>51</v>
      </c>
    </row>
    <row r="5797" spans="23:24" x14ac:dyDescent="0.25">
      <c r="W5797" s="574">
        <f t="shared" si="114"/>
        <v>5788</v>
      </c>
      <c r="X5797" s="564">
        <v>51</v>
      </c>
    </row>
    <row r="5798" spans="23:24" x14ac:dyDescent="0.25">
      <c r="W5798" s="574">
        <f t="shared" si="114"/>
        <v>5789</v>
      </c>
      <c r="X5798" s="564">
        <v>51</v>
      </c>
    </row>
    <row r="5799" spans="23:24" x14ac:dyDescent="0.25">
      <c r="W5799" s="574">
        <f t="shared" si="114"/>
        <v>5790</v>
      </c>
      <c r="X5799" s="564">
        <v>51</v>
      </c>
    </row>
    <row r="5800" spans="23:24" x14ac:dyDescent="0.25">
      <c r="W5800" s="574">
        <f t="shared" si="114"/>
        <v>5791</v>
      </c>
      <c r="X5800" s="564">
        <v>51</v>
      </c>
    </row>
    <row r="5801" spans="23:24" x14ac:dyDescent="0.25">
      <c r="W5801" s="574">
        <f t="shared" si="114"/>
        <v>5792</v>
      </c>
      <c r="X5801" s="564">
        <v>51</v>
      </c>
    </row>
    <row r="5802" spans="23:24" x14ac:dyDescent="0.25">
      <c r="W5802" s="574">
        <f t="shared" si="114"/>
        <v>5793</v>
      </c>
      <c r="X5802" s="564">
        <v>51</v>
      </c>
    </row>
    <row r="5803" spans="23:24" x14ac:dyDescent="0.25">
      <c r="W5803" s="574">
        <f t="shared" si="114"/>
        <v>5794</v>
      </c>
      <c r="X5803" s="564">
        <v>51</v>
      </c>
    </row>
    <row r="5804" spans="23:24" x14ac:dyDescent="0.25">
      <c r="W5804" s="574">
        <f t="shared" si="114"/>
        <v>5795</v>
      </c>
      <c r="X5804" s="564">
        <v>51</v>
      </c>
    </row>
    <row r="5805" spans="23:24" x14ac:dyDescent="0.25">
      <c r="W5805" s="574">
        <f t="shared" si="114"/>
        <v>5796</v>
      </c>
      <c r="X5805" s="564">
        <v>51</v>
      </c>
    </row>
    <row r="5806" spans="23:24" x14ac:dyDescent="0.25">
      <c r="W5806" s="574">
        <f t="shared" si="114"/>
        <v>5797</v>
      </c>
      <c r="X5806" s="564">
        <v>51</v>
      </c>
    </row>
    <row r="5807" spans="23:24" x14ac:dyDescent="0.25">
      <c r="W5807" s="574">
        <f t="shared" si="114"/>
        <v>5798</v>
      </c>
      <c r="X5807" s="564">
        <v>51</v>
      </c>
    </row>
    <row r="5808" spans="23:24" x14ac:dyDescent="0.25">
      <c r="W5808" s="574">
        <f t="shared" si="114"/>
        <v>5799</v>
      </c>
      <c r="X5808" s="564">
        <v>51</v>
      </c>
    </row>
    <row r="5809" spans="23:24" x14ac:dyDescent="0.25">
      <c r="W5809" s="574">
        <f t="shared" si="114"/>
        <v>5800</v>
      </c>
      <c r="X5809" s="564">
        <v>51</v>
      </c>
    </row>
    <row r="5810" spans="23:24" x14ac:dyDescent="0.25">
      <c r="W5810" s="574">
        <f t="shared" si="114"/>
        <v>5801</v>
      </c>
      <c r="X5810" s="564">
        <v>51</v>
      </c>
    </row>
    <row r="5811" spans="23:24" x14ac:dyDescent="0.25">
      <c r="W5811" s="574">
        <f t="shared" si="114"/>
        <v>5802</v>
      </c>
      <c r="X5811" s="564">
        <v>51</v>
      </c>
    </row>
    <row r="5812" spans="23:24" x14ac:dyDescent="0.25">
      <c r="W5812" s="574">
        <f t="shared" si="114"/>
        <v>5803</v>
      </c>
      <c r="X5812" s="564">
        <v>51</v>
      </c>
    </row>
    <row r="5813" spans="23:24" x14ac:dyDescent="0.25">
      <c r="W5813" s="574">
        <f t="shared" si="114"/>
        <v>5804</v>
      </c>
      <c r="X5813" s="564">
        <v>51</v>
      </c>
    </row>
    <row r="5814" spans="23:24" x14ac:dyDescent="0.25">
      <c r="W5814" s="574">
        <f t="shared" ref="W5814:W5877" si="115">W5813+1</f>
        <v>5805</v>
      </c>
      <c r="X5814" s="564">
        <v>51</v>
      </c>
    </row>
    <row r="5815" spans="23:24" x14ac:dyDescent="0.25">
      <c r="W5815" s="574">
        <f t="shared" si="115"/>
        <v>5806</v>
      </c>
      <c r="X5815" s="564">
        <v>51</v>
      </c>
    </row>
    <row r="5816" spans="23:24" x14ac:dyDescent="0.25">
      <c r="W5816" s="574">
        <f t="shared" si="115"/>
        <v>5807</v>
      </c>
      <c r="X5816" s="564">
        <v>51</v>
      </c>
    </row>
    <row r="5817" spans="23:24" x14ac:dyDescent="0.25">
      <c r="W5817" s="574">
        <f t="shared" si="115"/>
        <v>5808</v>
      </c>
      <c r="X5817" s="564">
        <v>51</v>
      </c>
    </row>
    <row r="5818" spans="23:24" x14ac:dyDescent="0.25">
      <c r="W5818" s="574">
        <f t="shared" si="115"/>
        <v>5809</v>
      </c>
      <c r="X5818" s="564">
        <v>51</v>
      </c>
    </row>
    <row r="5819" spans="23:24" x14ac:dyDescent="0.25">
      <c r="W5819" s="574">
        <f t="shared" si="115"/>
        <v>5810</v>
      </c>
      <c r="X5819" s="564">
        <v>51</v>
      </c>
    </row>
    <row r="5820" spans="23:24" x14ac:dyDescent="0.25">
      <c r="W5820" s="574">
        <f t="shared" si="115"/>
        <v>5811</v>
      </c>
      <c r="X5820" s="564">
        <v>51</v>
      </c>
    </row>
    <row r="5821" spans="23:24" x14ac:dyDescent="0.25">
      <c r="W5821" s="574">
        <f t="shared" si="115"/>
        <v>5812</v>
      </c>
      <c r="X5821" s="564">
        <v>51</v>
      </c>
    </row>
    <row r="5822" spans="23:24" x14ac:dyDescent="0.25">
      <c r="W5822" s="574">
        <f t="shared" si="115"/>
        <v>5813</v>
      </c>
      <c r="X5822" s="564">
        <v>51</v>
      </c>
    </row>
    <row r="5823" spans="23:24" x14ac:dyDescent="0.25">
      <c r="W5823" s="574">
        <f t="shared" si="115"/>
        <v>5814</v>
      </c>
      <c r="X5823" s="564">
        <v>51</v>
      </c>
    </row>
    <row r="5824" spans="23:24" x14ac:dyDescent="0.25">
      <c r="W5824" s="574">
        <f t="shared" si="115"/>
        <v>5815</v>
      </c>
      <c r="X5824" s="564">
        <v>51</v>
      </c>
    </row>
    <row r="5825" spans="23:24" x14ac:dyDescent="0.25">
      <c r="W5825" s="574">
        <f t="shared" si="115"/>
        <v>5816</v>
      </c>
      <c r="X5825" s="564">
        <v>51</v>
      </c>
    </row>
    <row r="5826" spans="23:24" x14ac:dyDescent="0.25">
      <c r="W5826" s="574">
        <f t="shared" si="115"/>
        <v>5817</v>
      </c>
      <c r="X5826" s="564">
        <v>51</v>
      </c>
    </row>
    <row r="5827" spans="23:24" x14ac:dyDescent="0.25">
      <c r="W5827" s="574">
        <f t="shared" si="115"/>
        <v>5818</v>
      </c>
      <c r="X5827" s="564">
        <v>51</v>
      </c>
    </row>
    <row r="5828" spans="23:24" x14ac:dyDescent="0.25">
      <c r="W5828" s="574">
        <f t="shared" si="115"/>
        <v>5819</v>
      </c>
      <c r="X5828" s="564">
        <v>51</v>
      </c>
    </row>
    <row r="5829" spans="23:24" x14ac:dyDescent="0.25">
      <c r="W5829" s="574">
        <f t="shared" si="115"/>
        <v>5820</v>
      </c>
      <c r="X5829" s="564">
        <v>51</v>
      </c>
    </row>
    <row r="5830" spans="23:24" x14ac:dyDescent="0.25">
      <c r="W5830" s="574">
        <f t="shared" si="115"/>
        <v>5821</v>
      </c>
      <c r="X5830" s="564">
        <v>51</v>
      </c>
    </row>
    <row r="5831" spans="23:24" x14ac:dyDescent="0.25">
      <c r="W5831" s="574">
        <f t="shared" si="115"/>
        <v>5822</v>
      </c>
      <c r="X5831" s="564">
        <v>51</v>
      </c>
    </row>
    <row r="5832" spans="23:24" x14ac:dyDescent="0.25">
      <c r="W5832" s="574">
        <f t="shared" si="115"/>
        <v>5823</v>
      </c>
      <c r="X5832" s="564">
        <v>51</v>
      </c>
    </row>
    <row r="5833" spans="23:24" x14ac:dyDescent="0.25">
      <c r="W5833" s="574">
        <f t="shared" si="115"/>
        <v>5824</v>
      </c>
      <c r="X5833" s="564">
        <v>51</v>
      </c>
    </row>
    <row r="5834" spans="23:24" x14ac:dyDescent="0.25">
      <c r="W5834" s="574">
        <f t="shared" si="115"/>
        <v>5825</v>
      </c>
      <c r="X5834" s="564">
        <v>51</v>
      </c>
    </row>
    <row r="5835" spans="23:24" x14ac:dyDescent="0.25">
      <c r="W5835" s="574">
        <f t="shared" si="115"/>
        <v>5826</v>
      </c>
      <c r="X5835" s="564">
        <v>51</v>
      </c>
    </row>
    <row r="5836" spans="23:24" x14ac:dyDescent="0.25">
      <c r="W5836" s="574">
        <f t="shared" si="115"/>
        <v>5827</v>
      </c>
      <c r="X5836" s="564">
        <v>51</v>
      </c>
    </row>
    <row r="5837" spans="23:24" x14ac:dyDescent="0.25">
      <c r="W5837" s="574">
        <f t="shared" si="115"/>
        <v>5828</v>
      </c>
      <c r="X5837" s="564">
        <v>51</v>
      </c>
    </row>
    <row r="5838" spans="23:24" x14ac:dyDescent="0.25">
      <c r="W5838" s="574">
        <f t="shared" si="115"/>
        <v>5829</v>
      </c>
      <c r="X5838" s="564">
        <v>51</v>
      </c>
    </row>
    <row r="5839" spans="23:24" x14ac:dyDescent="0.25">
      <c r="W5839" s="574">
        <f t="shared" si="115"/>
        <v>5830</v>
      </c>
      <c r="X5839" s="564">
        <v>51</v>
      </c>
    </row>
    <row r="5840" spans="23:24" x14ac:dyDescent="0.25">
      <c r="W5840" s="574">
        <f t="shared" si="115"/>
        <v>5831</v>
      </c>
      <c r="X5840" s="564">
        <v>51</v>
      </c>
    </row>
    <row r="5841" spans="23:24" x14ac:dyDescent="0.25">
      <c r="W5841" s="574">
        <f t="shared" si="115"/>
        <v>5832</v>
      </c>
      <c r="X5841" s="564">
        <v>51</v>
      </c>
    </row>
    <row r="5842" spans="23:24" x14ac:dyDescent="0.25">
      <c r="W5842" s="574">
        <f t="shared" si="115"/>
        <v>5833</v>
      </c>
      <c r="X5842" s="564">
        <v>51</v>
      </c>
    </row>
    <row r="5843" spans="23:24" x14ac:dyDescent="0.25">
      <c r="W5843" s="574">
        <f t="shared" si="115"/>
        <v>5834</v>
      </c>
      <c r="X5843" s="564">
        <v>51</v>
      </c>
    </row>
    <row r="5844" spans="23:24" x14ac:dyDescent="0.25">
      <c r="W5844" s="574">
        <f t="shared" si="115"/>
        <v>5835</v>
      </c>
      <c r="X5844" s="564">
        <v>51</v>
      </c>
    </row>
    <row r="5845" spans="23:24" x14ac:dyDescent="0.25">
      <c r="W5845" s="574">
        <f t="shared" si="115"/>
        <v>5836</v>
      </c>
      <c r="X5845" s="564">
        <v>51</v>
      </c>
    </row>
    <row r="5846" spans="23:24" x14ac:dyDescent="0.25">
      <c r="W5846" s="574">
        <f t="shared" si="115"/>
        <v>5837</v>
      </c>
      <c r="X5846" s="564">
        <v>51</v>
      </c>
    </row>
    <row r="5847" spans="23:24" x14ac:dyDescent="0.25">
      <c r="W5847" s="574">
        <f t="shared" si="115"/>
        <v>5838</v>
      </c>
      <c r="X5847" s="564">
        <v>51</v>
      </c>
    </row>
    <row r="5848" spans="23:24" x14ac:dyDescent="0.25">
      <c r="W5848" s="574">
        <f t="shared" si="115"/>
        <v>5839</v>
      </c>
      <c r="X5848" s="564">
        <v>51</v>
      </c>
    </row>
    <row r="5849" spans="23:24" x14ac:dyDescent="0.25">
      <c r="W5849" s="574">
        <f t="shared" si="115"/>
        <v>5840</v>
      </c>
      <c r="X5849" s="564">
        <v>51</v>
      </c>
    </row>
    <row r="5850" spans="23:24" x14ac:dyDescent="0.25">
      <c r="W5850" s="574">
        <f t="shared" si="115"/>
        <v>5841</v>
      </c>
      <c r="X5850" s="564">
        <v>51</v>
      </c>
    </row>
    <row r="5851" spans="23:24" x14ac:dyDescent="0.25">
      <c r="W5851" s="574">
        <f t="shared" si="115"/>
        <v>5842</v>
      </c>
      <c r="X5851" s="564">
        <v>51</v>
      </c>
    </row>
    <row r="5852" spans="23:24" x14ac:dyDescent="0.25">
      <c r="W5852" s="574">
        <f t="shared" si="115"/>
        <v>5843</v>
      </c>
      <c r="X5852" s="564">
        <v>51</v>
      </c>
    </row>
    <row r="5853" spans="23:24" x14ac:dyDescent="0.25">
      <c r="W5853" s="574">
        <f t="shared" si="115"/>
        <v>5844</v>
      </c>
      <c r="X5853" s="564">
        <v>51</v>
      </c>
    </row>
    <row r="5854" spans="23:24" x14ac:dyDescent="0.25">
      <c r="W5854" s="574">
        <f t="shared" si="115"/>
        <v>5845</v>
      </c>
      <c r="X5854" s="564">
        <v>51</v>
      </c>
    </row>
    <row r="5855" spans="23:24" x14ac:dyDescent="0.25">
      <c r="W5855" s="574">
        <f t="shared" si="115"/>
        <v>5846</v>
      </c>
      <c r="X5855" s="564">
        <v>51</v>
      </c>
    </row>
    <row r="5856" spans="23:24" x14ac:dyDescent="0.25">
      <c r="W5856" s="574">
        <f t="shared" si="115"/>
        <v>5847</v>
      </c>
      <c r="X5856" s="564">
        <v>51</v>
      </c>
    </row>
    <row r="5857" spans="23:24" x14ac:dyDescent="0.25">
      <c r="W5857" s="574">
        <f t="shared" si="115"/>
        <v>5848</v>
      </c>
      <c r="X5857" s="564">
        <v>51</v>
      </c>
    </row>
    <row r="5858" spans="23:24" x14ac:dyDescent="0.25">
      <c r="W5858" s="574">
        <f t="shared" si="115"/>
        <v>5849</v>
      </c>
      <c r="X5858" s="564">
        <v>51</v>
      </c>
    </row>
    <row r="5859" spans="23:24" x14ac:dyDescent="0.25">
      <c r="W5859" s="574">
        <f t="shared" si="115"/>
        <v>5850</v>
      </c>
      <c r="X5859" s="564">
        <v>51</v>
      </c>
    </row>
    <row r="5860" spans="23:24" x14ac:dyDescent="0.25">
      <c r="W5860" s="574">
        <f t="shared" si="115"/>
        <v>5851</v>
      </c>
      <c r="X5860" s="564">
        <v>51</v>
      </c>
    </row>
    <row r="5861" spans="23:24" x14ac:dyDescent="0.25">
      <c r="W5861" s="574">
        <f t="shared" si="115"/>
        <v>5852</v>
      </c>
      <c r="X5861" s="564">
        <v>51</v>
      </c>
    </row>
    <row r="5862" spans="23:24" x14ac:dyDescent="0.25">
      <c r="W5862" s="574">
        <f t="shared" si="115"/>
        <v>5853</v>
      </c>
      <c r="X5862" s="564">
        <v>51</v>
      </c>
    </row>
    <row r="5863" spans="23:24" x14ac:dyDescent="0.25">
      <c r="W5863" s="574">
        <f t="shared" si="115"/>
        <v>5854</v>
      </c>
      <c r="X5863" s="564">
        <v>51</v>
      </c>
    </row>
    <row r="5864" spans="23:24" x14ac:dyDescent="0.25">
      <c r="W5864" s="574">
        <f t="shared" si="115"/>
        <v>5855</v>
      </c>
      <c r="X5864" s="564">
        <v>51</v>
      </c>
    </row>
    <row r="5865" spans="23:24" x14ac:dyDescent="0.25">
      <c r="W5865" s="574">
        <f t="shared" si="115"/>
        <v>5856</v>
      </c>
      <c r="X5865" s="564">
        <v>51</v>
      </c>
    </row>
    <row r="5866" spans="23:24" x14ac:dyDescent="0.25">
      <c r="W5866" s="574">
        <f t="shared" si="115"/>
        <v>5857</v>
      </c>
      <c r="X5866" s="564">
        <v>51</v>
      </c>
    </row>
    <row r="5867" spans="23:24" x14ac:dyDescent="0.25">
      <c r="W5867" s="574">
        <f t="shared" si="115"/>
        <v>5858</v>
      </c>
      <c r="X5867" s="564">
        <v>51</v>
      </c>
    </row>
    <row r="5868" spans="23:24" x14ac:dyDescent="0.25">
      <c r="W5868" s="574">
        <f t="shared" si="115"/>
        <v>5859</v>
      </c>
      <c r="X5868" s="564">
        <v>51</v>
      </c>
    </row>
    <row r="5869" spans="23:24" x14ac:dyDescent="0.25">
      <c r="W5869" s="574">
        <f t="shared" si="115"/>
        <v>5860</v>
      </c>
      <c r="X5869" s="564">
        <v>51</v>
      </c>
    </row>
    <row r="5870" spans="23:24" x14ac:dyDescent="0.25">
      <c r="W5870" s="574">
        <f t="shared" si="115"/>
        <v>5861</v>
      </c>
      <c r="X5870" s="564">
        <v>51</v>
      </c>
    </row>
    <row r="5871" spans="23:24" x14ac:dyDescent="0.25">
      <c r="W5871" s="574">
        <f t="shared" si="115"/>
        <v>5862</v>
      </c>
      <c r="X5871" s="564">
        <v>51</v>
      </c>
    </row>
    <row r="5872" spans="23:24" x14ac:dyDescent="0.25">
      <c r="W5872" s="574">
        <f t="shared" si="115"/>
        <v>5863</v>
      </c>
      <c r="X5872" s="564">
        <v>51</v>
      </c>
    </row>
    <row r="5873" spans="23:24" x14ac:dyDescent="0.25">
      <c r="W5873" s="574">
        <f t="shared" si="115"/>
        <v>5864</v>
      </c>
      <c r="X5873" s="564">
        <v>51</v>
      </c>
    </row>
    <row r="5874" spans="23:24" x14ac:dyDescent="0.25">
      <c r="W5874" s="574">
        <f t="shared" si="115"/>
        <v>5865</v>
      </c>
      <c r="X5874" s="564">
        <v>51</v>
      </c>
    </row>
    <row r="5875" spans="23:24" x14ac:dyDescent="0.25">
      <c r="W5875" s="574">
        <f t="shared" si="115"/>
        <v>5866</v>
      </c>
      <c r="X5875" s="564">
        <v>51</v>
      </c>
    </row>
    <row r="5876" spans="23:24" x14ac:dyDescent="0.25">
      <c r="W5876" s="574">
        <f t="shared" si="115"/>
        <v>5867</v>
      </c>
      <c r="X5876" s="564">
        <v>51</v>
      </c>
    </row>
    <row r="5877" spans="23:24" x14ac:dyDescent="0.25">
      <c r="W5877" s="574">
        <f t="shared" si="115"/>
        <v>5868</v>
      </c>
      <c r="X5877" s="564">
        <v>51</v>
      </c>
    </row>
    <row r="5878" spans="23:24" x14ac:dyDescent="0.25">
      <c r="W5878" s="574">
        <f t="shared" ref="W5878:W5941" si="116">W5877+1</f>
        <v>5869</v>
      </c>
      <c r="X5878" s="564">
        <v>51</v>
      </c>
    </row>
    <row r="5879" spans="23:24" x14ac:dyDescent="0.25">
      <c r="W5879" s="574">
        <f t="shared" si="116"/>
        <v>5870</v>
      </c>
      <c r="X5879" s="564">
        <v>51</v>
      </c>
    </row>
    <row r="5880" spans="23:24" x14ac:dyDescent="0.25">
      <c r="W5880" s="574">
        <f t="shared" si="116"/>
        <v>5871</v>
      </c>
      <c r="X5880" s="564">
        <v>51</v>
      </c>
    </row>
    <row r="5881" spans="23:24" x14ac:dyDescent="0.25">
      <c r="W5881" s="574">
        <f t="shared" si="116"/>
        <v>5872</v>
      </c>
      <c r="X5881" s="564">
        <v>51</v>
      </c>
    </row>
    <row r="5882" spans="23:24" x14ac:dyDescent="0.25">
      <c r="W5882" s="574">
        <f t="shared" si="116"/>
        <v>5873</v>
      </c>
      <c r="X5882" s="564">
        <v>51</v>
      </c>
    </row>
    <row r="5883" spans="23:24" x14ac:dyDescent="0.25">
      <c r="W5883" s="574">
        <f t="shared" si="116"/>
        <v>5874</v>
      </c>
      <c r="X5883" s="564">
        <v>51</v>
      </c>
    </row>
    <row r="5884" spans="23:24" x14ac:dyDescent="0.25">
      <c r="W5884" s="574">
        <f t="shared" si="116"/>
        <v>5875</v>
      </c>
      <c r="X5884" s="564">
        <v>51</v>
      </c>
    </row>
    <row r="5885" spans="23:24" x14ac:dyDescent="0.25">
      <c r="W5885" s="574">
        <f t="shared" si="116"/>
        <v>5876</v>
      </c>
      <c r="X5885" s="564">
        <v>51</v>
      </c>
    </row>
    <row r="5886" spans="23:24" x14ac:dyDescent="0.25">
      <c r="W5886" s="574">
        <f t="shared" si="116"/>
        <v>5877</v>
      </c>
      <c r="X5886" s="564">
        <v>51</v>
      </c>
    </row>
    <row r="5887" spans="23:24" x14ac:dyDescent="0.25">
      <c r="W5887" s="574">
        <f t="shared" si="116"/>
        <v>5878</v>
      </c>
      <c r="X5887" s="564">
        <v>51</v>
      </c>
    </row>
    <row r="5888" spans="23:24" x14ac:dyDescent="0.25">
      <c r="W5888" s="574">
        <f t="shared" si="116"/>
        <v>5879</v>
      </c>
      <c r="X5888" s="564">
        <v>51</v>
      </c>
    </row>
    <row r="5889" spans="23:24" x14ac:dyDescent="0.25">
      <c r="W5889" s="574">
        <f t="shared" si="116"/>
        <v>5880</v>
      </c>
      <c r="X5889" s="564">
        <v>51</v>
      </c>
    </row>
    <row r="5890" spans="23:24" x14ac:dyDescent="0.25">
      <c r="W5890" s="574">
        <f t="shared" si="116"/>
        <v>5881</v>
      </c>
      <c r="X5890" s="564">
        <v>51</v>
      </c>
    </row>
    <row r="5891" spans="23:24" x14ac:dyDescent="0.25">
      <c r="W5891" s="574">
        <f t="shared" si="116"/>
        <v>5882</v>
      </c>
      <c r="X5891" s="564">
        <v>51</v>
      </c>
    </row>
    <row r="5892" spans="23:24" x14ac:dyDescent="0.25">
      <c r="W5892" s="574">
        <f t="shared" si="116"/>
        <v>5883</v>
      </c>
      <c r="X5892" s="564">
        <v>51</v>
      </c>
    </row>
    <row r="5893" spans="23:24" x14ac:dyDescent="0.25">
      <c r="W5893" s="574">
        <f t="shared" si="116"/>
        <v>5884</v>
      </c>
      <c r="X5893" s="564">
        <v>51</v>
      </c>
    </row>
    <row r="5894" spans="23:24" x14ac:dyDescent="0.25">
      <c r="W5894" s="574">
        <f t="shared" si="116"/>
        <v>5885</v>
      </c>
      <c r="X5894" s="564">
        <v>51</v>
      </c>
    </row>
    <row r="5895" spans="23:24" x14ac:dyDescent="0.25">
      <c r="W5895" s="574">
        <f t="shared" si="116"/>
        <v>5886</v>
      </c>
      <c r="X5895" s="564">
        <v>51</v>
      </c>
    </row>
    <row r="5896" spans="23:24" x14ac:dyDescent="0.25">
      <c r="W5896" s="574">
        <f t="shared" si="116"/>
        <v>5887</v>
      </c>
      <c r="X5896" s="564">
        <v>51</v>
      </c>
    </row>
    <row r="5897" spans="23:24" x14ac:dyDescent="0.25">
      <c r="W5897" s="574">
        <f t="shared" si="116"/>
        <v>5888</v>
      </c>
      <c r="X5897" s="564">
        <v>51</v>
      </c>
    </row>
    <row r="5898" spans="23:24" x14ac:dyDescent="0.25">
      <c r="W5898" s="574">
        <f t="shared" si="116"/>
        <v>5889</v>
      </c>
      <c r="X5898" s="564">
        <v>51</v>
      </c>
    </row>
    <row r="5899" spans="23:24" x14ac:dyDescent="0.25">
      <c r="W5899" s="574">
        <f t="shared" si="116"/>
        <v>5890</v>
      </c>
      <c r="X5899" s="564">
        <v>51</v>
      </c>
    </row>
    <row r="5900" spans="23:24" x14ac:dyDescent="0.25">
      <c r="W5900" s="574">
        <f t="shared" si="116"/>
        <v>5891</v>
      </c>
      <c r="X5900" s="564">
        <v>51</v>
      </c>
    </row>
    <row r="5901" spans="23:24" x14ac:dyDescent="0.25">
      <c r="W5901" s="574">
        <f t="shared" si="116"/>
        <v>5892</v>
      </c>
      <c r="X5901" s="564">
        <v>51</v>
      </c>
    </row>
    <row r="5902" spans="23:24" x14ac:dyDescent="0.25">
      <c r="W5902" s="574">
        <f t="shared" si="116"/>
        <v>5893</v>
      </c>
      <c r="X5902" s="564">
        <v>51</v>
      </c>
    </row>
    <row r="5903" spans="23:24" x14ac:dyDescent="0.25">
      <c r="W5903" s="574">
        <f t="shared" si="116"/>
        <v>5894</v>
      </c>
      <c r="X5903" s="564">
        <v>51</v>
      </c>
    </row>
    <row r="5904" spans="23:24" x14ac:dyDescent="0.25">
      <c r="W5904" s="574">
        <f t="shared" si="116"/>
        <v>5895</v>
      </c>
      <c r="X5904" s="564">
        <v>51</v>
      </c>
    </row>
    <row r="5905" spans="23:24" x14ac:dyDescent="0.25">
      <c r="W5905" s="574">
        <f t="shared" si="116"/>
        <v>5896</v>
      </c>
      <c r="X5905" s="564">
        <v>51</v>
      </c>
    </row>
    <row r="5906" spans="23:24" x14ac:dyDescent="0.25">
      <c r="W5906" s="574">
        <f t="shared" si="116"/>
        <v>5897</v>
      </c>
      <c r="X5906" s="564">
        <v>51</v>
      </c>
    </row>
    <row r="5907" spans="23:24" x14ac:dyDescent="0.25">
      <c r="W5907" s="574">
        <f t="shared" si="116"/>
        <v>5898</v>
      </c>
      <c r="X5907" s="564">
        <v>51</v>
      </c>
    </row>
    <row r="5908" spans="23:24" x14ac:dyDescent="0.25">
      <c r="W5908" s="574">
        <f t="shared" si="116"/>
        <v>5899</v>
      </c>
      <c r="X5908" s="564">
        <v>51</v>
      </c>
    </row>
    <row r="5909" spans="23:24" x14ac:dyDescent="0.25">
      <c r="W5909" s="574">
        <f t="shared" si="116"/>
        <v>5900</v>
      </c>
      <c r="X5909" s="564">
        <v>51</v>
      </c>
    </row>
    <row r="5910" spans="23:24" x14ac:dyDescent="0.25">
      <c r="W5910" s="574">
        <f t="shared" si="116"/>
        <v>5901</v>
      </c>
      <c r="X5910" s="564">
        <v>51</v>
      </c>
    </row>
    <row r="5911" spans="23:24" x14ac:dyDescent="0.25">
      <c r="W5911" s="574">
        <f t="shared" si="116"/>
        <v>5902</v>
      </c>
      <c r="X5911" s="564">
        <v>51</v>
      </c>
    </row>
    <row r="5912" spans="23:24" x14ac:dyDescent="0.25">
      <c r="W5912" s="574">
        <f t="shared" si="116"/>
        <v>5903</v>
      </c>
      <c r="X5912" s="564">
        <v>51</v>
      </c>
    </row>
    <row r="5913" spans="23:24" x14ac:dyDescent="0.25">
      <c r="W5913" s="574">
        <f t="shared" si="116"/>
        <v>5904</v>
      </c>
      <c r="X5913" s="564">
        <v>51</v>
      </c>
    </row>
    <row r="5914" spans="23:24" x14ac:dyDescent="0.25">
      <c r="W5914" s="574">
        <f t="shared" si="116"/>
        <v>5905</v>
      </c>
      <c r="X5914" s="564">
        <v>51</v>
      </c>
    </row>
    <row r="5915" spans="23:24" x14ac:dyDescent="0.25">
      <c r="W5915" s="574">
        <f t="shared" si="116"/>
        <v>5906</v>
      </c>
      <c r="X5915" s="564">
        <v>51</v>
      </c>
    </row>
    <row r="5916" spans="23:24" x14ac:dyDescent="0.25">
      <c r="W5916" s="574">
        <f t="shared" si="116"/>
        <v>5907</v>
      </c>
      <c r="X5916" s="564">
        <v>51</v>
      </c>
    </row>
    <row r="5917" spans="23:24" x14ac:dyDescent="0.25">
      <c r="W5917" s="574">
        <f t="shared" si="116"/>
        <v>5908</v>
      </c>
      <c r="X5917" s="564">
        <v>51</v>
      </c>
    </row>
    <row r="5918" spans="23:24" x14ac:dyDescent="0.25">
      <c r="W5918" s="574">
        <f t="shared" si="116"/>
        <v>5909</v>
      </c>
      <c r="X5918" s="564">
        <v>51</v>
      </c>
    </row>
    <row r="5919" spans="23:24" x14ac:dyDescent="0.25">
      <c r="W5919" s="574">
        <f t="shared" si="116"/>
        <v>5910</v>
      </c>
      <c r="X5919" s="564">
        <v>51</v>
      </c>
    </row>
    <row r="5920" spans="23:24" x14ac:dyDescent="0.25">
      <c r="W5920" s="574">
        <f t="shared" si="116"/>
        <v>5911</v>
      </c>
      <c r="X5920" s="564">
        <v>51</v>
      </c>
    </row>
    <row r="5921" spans="23:24" x14ac:dyDescent="0.25">
      <c r="W5921" s="574">
        <f t="shared" si="116"/>
        <v>5912</v>
      </c>
      <c r="X5921" s="564">
        <v>51</v>
      </c>
    </row>
    <row r="5922" spans="23:24" x14ac:dyDescent="0.25">
      <c r="W5922" s="574">
        <f t="shared" si="116"/>
        <v>5913</v>
      </c>
      <c r="X5922" s="564">
        <v>51</v>
      </c>
    </row>
    <row r="5923" spans="23:24" x14ac:dyDescent="0.25">
      <c r="W5923" s="574">
        <f t="shared" si="116"/>
        <v>5914</v>
      </c>
      <c r="X5923" s="564">
        <v>51</v>
      </c>
    </row>
    <row r="5924" spans="23:24" x14ac:dyDescent="0.25">
      <c r="W5924" s="574">
        <f t="shared" si="116"/>
        <v>5915</v>
      </c>
      <c r="X5924" s="564">
        <v>51</v>
      </c>
    </row>
    <row r="5925" spans="23:24" x14ac:dyDescent="0.25">
      <c r="W5925" s="574">
        <f t="shared" si="116"/>
        <v>5916</v>
      </c>
      <c r="X5925" s="564">
        <v>51</v>
      </c>
    </row>
    <row r="5926" spans="23:24" x14ac:dyDescent="0.25">
      <c r="W5926" s="574">
        <f t="shared" si="116"/>
        <v>5917</v>
      </c>
      <c r="X5926" s="564">
        <v>51</v>
      </c>
    </row>
    <row r="5927" spans="23:24" x14ac:dyDescent="0.25">
      <c r="W5927" s="574">
        <f t="shared" si="116"/>
        <v>5918</v>
      </c>
      <c r="X5927" s="564">
        <v>51</v>
      </c>
    </row>
    <row r="5928" spans="23:24" x14ac:dyDescent="0.25">
      <c r="W5928" s="574">
        <f t="shared" si="116"/>
        <v>5919</v>
      </c>
      <c r="X5928" s="564">
        <v>51</v>
      </c>
    </row>
    <row r="5929" spans="23:24" x14ac:dyDescent="0.25">
      <c r="W5929" s="574">
        <f t="shared" si="116"/>
        <v>5920</v>
      </c>
      <c r="X5929" s="564">
        <v>51</v>
      </c>
    </row>
    <row r="5930" spans="23:24" x14ac:dyDescent="0.25">
      <c r="W5930" s="574">
        <f t="shared" si="116"/>
        <v>5921</v>
      </c>
      <c r="X5930" s="564">
        <v>51</v>
      </c>
    </row>
    <row r="5931" spans="23:24" x14ac:dyDescent="0.25">
      <c r="W5931" s="574">
        <f t="shared" si="116"/>
        <v>5922</v>
      </c>
      <c r="X5931" s="564">
        <v>51</v>
      </c>
    </row>
    <row r="5932" spans="23:24" x14ac:dyDescent="0.25">
      <c r="W5932" s="574">
        <f t="shared" si="116"/>
        <v>5923</v>
      </c>
      <c r="X5932" s="564">
        <v>51</v>
      </c>
    </row>
    <row r="5933" spans="23:24" x14ac:dyDescent="0.25">
      <c r="W5933" s="574">
        <f t="shared" si="116"/>
        <v>5924</v>
      </c>
      <c r="X5933" s="564">
        <v>51</v>
      </c>
    </row>
    <row r="5934" spans="23:24" x14ac:dyDescent="0.25">
      <c r="W5934" s="574">
        <f t="shared" si="116"/>
        <v>5925</v>
      </c>
      <c r="X5934" s="564">
        <v>51</v>
      </c>
    </row>
    <row r="5935" spans="23:24" x14ac:dyDescent="0.25">
      <c r="W5935" s="574">
        <f t="shared" si="116"/>
        <v>5926</v>
      </c>
      <c r="X5935" s="564">
        <v>51</v>
      </c>
    </row>
    <row r="5936" spans="23:24" x14ac:dyDescent="0.25">
      <c r="W5936" s="574">
        <f t="shared" si="116"/>
        <v>5927</v>
      </c>
      <c r="X5936" s="564">
        <v>51</v>
      </c>
    </row>
    <row r="5937" spans="23:24" x14ac:dyDescent="0.25">
      <c r="W5937" s="574">
        <f t="shared" si="116"/>
        <v>5928</v>
      </c>
      <c r="X5937" s="564">
        <v>51</v>
      </c>
    </row>
    <row r="5938" spans="23:24" x14ac:dyDescent="0.25">
      <c r="W5938" s="574">
        <f t="shared" si="116"/>
        <v>5929</v>
      </c>
      <c r="X5938" s="564">
        <v>51</v>
      </c>
    </row>
    <row r="5939" spans="23:24" x14ac:dyDescent="0.25">
      <c r="W5939" s="574">
        <f t="shared" si="116"/>
        <v>5930</v>
      </c>
      <c r="X5939" s="564">
        <v>51</v>
      </c>
    </row>
    <row r="5940" spans="23:24" x14ac:dyDescent="0.25">
      <c r="W5940" s="574">
        <f t="shared" si="116"/>
        <v>5931</v>
      </c>
      <c r="X5940" s="564">
        <v>51</v>
      </c>
    </row>
    <row r="5941" spans="23:24" x14ac:dyDescent="0.25">
      <c r="W5941" s="574">
        <f t="shared" si="116"/>
        <v>5932</v>
      </c>
      <c r="X5941" s="564">
        <v>51</v>
      </c>
    </row>
    <row r="5942" spans="23:24" x14ac:dyDescent="0.25">
      <c r="W5942" s="574">
        <f t="shared" ref="W5942:W6005" si="117">W5941+1</f>
        <v>5933</v>
      </c>
      <c r="X5942" s="564">
        <v>51</v>
      </c>
    </row>
    <row r="5943" spans="23:24" x14ac:dyDescent="0.25">
      <c r="W5943" s="574">
        <f t="shared" si="117"/>
        <v>5934</v>
      </c>
      <c r="X5943" s="564">
        <v>51</v>
      </c>
    </row>
    <row r="5944" spans="23:24" x14ac:dyDescent="0.25">
      <c r="W5944" s="574">
        <f t="shared" si="117"/>
        <v>5935</v>
      </c>
      <c r="X5944" s="564">
        <v>51</v>
      </c>
    </row>
    <row r="5945" spans="23:24" x14ac:dyDescent="0.25">
      <c r="W5945" s="574">
        <f t="shared" si="117"/>
        <v>5936</v>
      </c>
      <c r="X5945" s="564">
        <v>51</v>
      </c>
    </row>
    <row r="5946" spans="23:24" x14ac:dyDescent="0.25">
      <c r="W5946" s="574">
        <f t="shared" si="117"/>
        <v>5937</v>
      </c>
      <c r="X5946" s="564">
        <v>51</v>
      </c>
    </row>
    <row r="5947" spans="23:24" x14ac:dyDescent="0.25">
      <c r="W5947" s="574">
        <f t="shared" si="117"/>
        <v>5938</v>
      </c>
      <c r="X5947" s="564">
        <v>51</v>
      </c>
    </row>
    <row r="5948" spans="23:24" x14ac:dyDescent="0.25">
      <c r="W5948" s="574">
        <f t="shared" si="117"/>
        <v>5939</v>
      </c>
      <c r="X5948" s="564">
        <v>51</v>
      </c>
    </row>
    <row r="5949" spans="23:24" x14ac:dyDescent="0.25">
      <c r="W5949" s="574">
        <f t="shared" si="117"/>
        <v>5940</v>
      </c>
      <c r="X5949" s="564">
        <v>51</v>
      </c>
    </row>
    <row r="5950" spans="23:24" x14ac:dyDescent="0.25">
      <c r="W5950" s="574">
        <f t="shared" si="117"/>
        <v>5941</v>
      </c>
      <c r="X5950" s="564">
        <v>51</v>
      </c>
    </row>
    <row r="5951" spans="23:24" x14ac:dyDescent="0.25">
      <c r="W5951" s="574">
        <f t="shared" si="117"/>
        <v>5942</v>
      </c>
      <c r="X5951" s="564">
        <v>51</v>
      </c>
    </row>
    <row r="5952" spans="23:24" x14ac:dyDescent="0.25">
      <c r="W5952" s="574">
        <f t="shared" si="117"/>
        <v>5943</v>
      </c>
      <c r="X5952" s="564">
        <v>51</v>
      </c>
    </row>
    <row r="5953" spans="23:24" x14ac:dyDescent="0.25">
      <c r="W5953" s="574">
        <f t="shared" si="117"/>
        <v>5944</v>
      </c>
      <c r="X5953" s="564">
        <v>51</v>
      </c>
    </row>
    <row r="5954" spans="23:24" x14ac:dyDescent="0.25">
      <c r="W5954" s="574">
        <f t="shared" si="117"/>
        <v>5945</v>
      </c>
      <c r="X5954" s="564">
        <v>51</v>
      </c>
    </row>
    <row r="5955" spans="23:24" x14ac:dyDescent="0.25">
      <c r="W5955" s="574">
        <f t="shared" si="117"/>
        <v>5946</v>
      </c>
      <c r="X5955" s="564">
        <v>51</v>
      </c>
    </row>
    <row r="5956" spans="23:24" x14ac:dyDescent="0.25">
      <c r="W5956" s="574">
        <f t="shared" si="117"/>
        <v>5947</v>
      </c>
      <c r="X5956" s="564">
        <v>51</v>
      </c>
    </row>
    <row r="5957" spans="23:24" x14ac:dyDescent="0.25">
      <c r="W5957" s="574">
        <f t="shared" si="117"/>
        <v>5948</v>
      </c>
      <c r="X5957" s="564">
        <v>51</v>
      </c>
    </row>
    <row r="5958" spans="23:24" x14ac:dyDescent="0.25">
      <c r="W5958" s="574">
        <f t="shared" si="117"/>
        <v>5949</v>
      </c>
      <c r="X5958" s="564">
        <v>51</v>
      </c>
    </row>
    <row r="5959" spans="23:24" x14ac:dyDescent="0.25">
      <c r="W5959" s="574">
        <f t="shared" si="117"/>
        <v>5950</v>
      </c>
      <c r="X5959" s="564">
        <v>51</v>
      </c>
    </row>
    <row r="5960" spans="23:24" x14ac:dyDescent="0.25">
      <c r="W5960" s="574">
        <f t="shared" si="117"/>
        <v>5951</v>
      </c>
      <c r="X5960" s="564">
        <v>51</v>
      </c>
    </row>
    <row r="5961" spans="23:24" x14ac:dyDescent="0.25">
      <c r="W5961" s="574">
        <f t="shared" si="117"/>
        <v>5952</v>
      </c>
      <c r="X5961" s="564">
        <v>51</v>
      </c>
    </row>
    <row r="5962" spans="23:24" x14ac:dyDescent="0.25">
      <c r="W5962" s="574">
        <f t="shared" si="117"/>
        <v>5953</v>
      </c>
      <c r="X5962" s="564">
        <v>51</v>
      </c>
    </row>
    <row r="5963" spans="23:24" x14ac:dyDescent="0.25">
      <c r="W5963" s="574">
        <f t="shared" si="117"/>
        <v>5954</v>
      </c>
      <c r="X5963" s="564">
        <v>51</v>
      </c>
    </row>
    <row r="5964" spans="23:24" x14ac:dyDescent="0.25">
      <c r="W5964" s="574">
        <f t="shared" si="117"/>
        <v>5955</v>
      </c>
      <c r="X5964" s="564">
        <v>51</v>
      </c>
    </row>
    <row r="5965" spans="23:24" x14ac:dyDescent="0.25">
      <c r="W5965" s="574">
        <f t="shared" si="117"/>
        <v>5956</v>
      </c>
      <c r="X5965" s="564">
        <v>51</v>
      </c>
    </row>
    <row r="5966" spans="23:24" x14ac:dyDescent="0.25">
      <c r="W5966" s="574">
        <f t="shared" si="117"/>
        <v>5957</v>
      </c>
      <c r="X5966" s="564">
        <v>51</v>
      </c>
    </row>
    <row r="5967" spans="23:24" x14ac:dyDescent="0.25">
      <c r="W5967" s="574">
        <f t="shared" si="117"/>
        <v>5958</v>
      </c>
      <c r="X5967" s="564">
        <v>51</v>
      </c>
    </row>
    <row r="5968" spans="23:24" x14ac:dyDescent="0.25">
      <c r="W5968" s="574">
        <f t="shared" si="117"/>
        <v>5959</v>
      </c>
      <c r="X5968" s="564">
        <v>51</v>
      </c>
    </row>
    <row r="5969" spans="23:24" x14ac:dyDescent="0.25">
      <c r="W5969" s="574">
        <f t="shared" si="117"/>
        <v>5960</v>
      </c>
      <c r="X5969" s="564">
        <v>51</v>
      </c>
    </row>
    <row r="5970" spans="23:24" x14ac:dyDescent="0.25">
      <c r="W5970" s="574">
        <f t="shared" si="117"/>
        <v>5961</v>
      </c>
      <c r="X5970" s="564">
        <v>51</v>
      </c>
    </row>
    <row r="5971" spans="23:24" x14ac:dyDescent="0.25">
      <c r="W5971" s="574">
        <f t="shared" si="117"/>
        <v>5962</v>
      </c>
      <c r="X5971" s="564">
        <v>51</v>
      </c>
    </row>
    <row r="5972" spans="23:24" x14ac:dyDescent="0.25">
      <c r="W5972" s="574">
        <f t="shared" si="117"/>
        <v>5963</v>
      </c>
      <c r="X5972" s="564">
        <v>51</v>
      </c>
    </row>
    <row r="5973" spans="23:24" x14ac:dyDescent="0.25">
      <c r="W5973" s="574">
        <f t="shared" si="117"/>
        <v>5964</v>
      </c>
      <c r="X5973" s="564">
        <v>51</v>
      </c>
    </row>
    <row r="5974" spans="23:24" x14ac:dyDescent="0.25">
      <c r="W5974" s="574">
        <f t="shared" si="117"/>
        <v>5965</v>
      </c>
      <c r="X5974" s="564">
        <v>51</v>
      </c>
    </row>
    <row r="5975" spans="23:24" x14ac:dyDescent="0.25">
      <c r="W5975" s="574">
        <f t="shared" si="117"/>
        <v>5966</v>
      </c>
      <c r="X5975" s="564">
        <v>51</v>
      </c>
    </row>
    <row r="5976" spans="23:24" x14ac:dyDescent="0.25">
      <c r="W5976" s="574">
        <f t="shared" si="117"/>
        <v>5967</v>
      </c>
      <c r="X5976" s="564">
        <v>51</v>
      </c>
    </row>
    <row r="5977" spans="23:24" x14ac:dyDescent="0.25">
      <c r="W5977" s="574">
        <f t="shared" si="117"/>
        <v>5968</v>
      </c>
      <c r="X5977" s="564">
        <v>51</v>
      </c>
    </row>
    <row r="5978" spans="23:24" x14ac:dyDescent="0.25">
      <c r="W5978" s="574">
        <f t="shared" si="117"/>
        <v>5969</v>
      </c>
      <c r="X5978" s="564">
        <v>51</v>
      </c>
    </row>
    <row r="5979" spans="23:24" x14ac:dyDescent="0.25">
      <c r="W5979" s="574">
        <f t="shared" si="117"/>
        <v>5970</v>
      </c>
      <c r="X5979" s="564">
        <v>51</v>
      </c>
    </row>
    <row r="5980" spans="23:24" x14ac:dyDescent="0.25">
      <c r="W5980" s="574">
        <f t="shared" si="117"/>
        <v>5971</v>
      </c>
      <c r="X5980" s="564">
        <v>51</v>
      </c>
    </row>
    <row r="5981" spans="23:24" x14ac:dyDescent="0.25">
      <c r="W5981" s="574">
        <f t="shared" si="117"/>
        <v>5972</v>
      </c>
      <c r="X5981" s="564">
        <v>51</v>
      </c>
    </row>
    <row r="5982" spans="23:24" x14ac:dyDescent="0.25">
      <c r="W5982" s="574">
        <f t="shared" si="117"/>
        <v>5973</v>
      </c>
      <c r="X5982" s="564">
        <v>51</v>
      </c>
    </row>
    <row r="5983" spans="23:24" x14ac:dyDescent="0.25">
      <c r="W5983" s="574">
        <f t="shared" si="117"/>
        <v>5974</v>
      </c>
      <c r="X5983" s="564">
        <v>51</v>
      </c>
    </row>
    <row r="5984" spans="23:24" x14ac:dyDescent="0.25">
      <c r="W5984" s="574">
        <f t="shared" si="117"/>
        <v>5975</v>
      </c>
      <c r="X5984" s="564">
        <v>51</v>
      </c>
    </row>
    <row r="5985" spans="23:24" x14ac:dyDescent="0.25">
      <c r="W5985" s="574">
        <f t="shared" si="117"/>
        <v>5976</v>
      </c>
      <c r="X5985" s="564">
        <v>51</v>
      </c>
    </row>
    <row r="5986" spans="23:24" x14ac:dyDescent="0.25">
      <c r="W5986" s="574">
        <f t="shared" si="117"/>
        <v>5977</v>
      </c>
      <c r="X5986" s="564">
        <v>51</v>
      </c>
    </row>
    <row r="5987" spans="23:24" x14ac:dyDescent="0.25">
      <c r="W5987" s="574">
        <f t="shared" si="117"/>
        <v>5978</v>
      </c>
      <c r="X5987" s="564">
        <v>51</v>
      </c>
    </row>
    <row r="5988" spans="23:24" x14ac:dyDescent="0.25">
      <c r="W5988" s="574">
        <f t="shared" si="117"/>
        <v>5979</v>
      </c>
      <c r="X5988" s="564">
        <v>51</v>
      </c>
    </row>
    <row r="5989" spans="23:24" x14ac:dyDescent="0.25">
      <c r="W5989" s="574">
        <f t="shared" si="117"/>
        <v>5980</v>
      </c>
      <c r="X5989" s="564">
        <v>51</v>
      </c>
    </row>
    <row r="5990" spans="23:24" x14ac:dyDescent="0.25">
      <c r="W5990" s="574">
        <f t="shared" si="117"/>
        <v>5981</v>
      </c>
      <c r="X5990" s="564">
        <v>51</v>
      </c>
    </row>
    <row r="5991" spans="23:24" x14ac:dyDescent="0.25">
      <c r="W5991" s="574">
        <f t="shared" si="117"/>
        <v>5982</v>
      </c>
      <c r="X5991" s="564">
        <v>51</v>
      </c>
    </row>
    <row r="5992" spans="23:24" x14ac:dyDescent="0.25">
      <c r="W5992" s="574">
        <f t="shared" si="117"/>
        <v>5983</v>
      </c>
      <c r="X5992" s="564">
        <v>51</v>
      </c>
    </row>
    <row r="5993" spans="23:24" x14ac:dyDescent="0.25">
      <c r="W5993" s="574">
        <f t="shared" si="117"/>
        <v>5984</v>
      </c>
      <c r="X5993" s="564">
        <v>51</v>
      </c>
    </row>
    <row r="5994" spans="23:24" x14ac:dyDescent="0.25">
      <c r="W5994" s="574">
        <f t="shared" si="117"/>
        <v>5985</v>
      </c>
      <c r="X5994" s="564">
        <v>51</v>
      </c>
    </row>
    <row r="5995" spans="23:24" x14ac:dyDescent="0.25">
      <c r="W5995" s="574">
        <f t="shared" si="117"/>
        <v>5986</v>
      </c>
      <c r="X5995" s="564">
        <v>51</v>
      </c>
    </row>
    <row r="5996" spans="23:24" x14ac:dyDescent="0.25">
      <c r="W5996" s="574">
        <f t="shared" si="117"/>
        <v>5987</v>
      </c>
      <c r="X5996" s="564">
        <v>51</v>
      </c>
    </row>
    <row r="5997" spans="23:24" x14ac:dyDescent="0.25">
      <c r="W5997" s="574">
        <f t="shared" si="117"/>
        <v>5988</v>
      </c>
      <c r="X5997" s="564">
        <v>51</v>
      </c>
    </row>
    <row r="5998" spans="23:24" x14ac:dyDescent="0.25">
      <c r="W5998" s="574">
        <f t="shared" si="117"/>
        <v>5989</v>
      </c>
      <c r="X5998" s="564">
        <v>51</v>
      </c>
    </row>
    <row r="5999" spans="23:24" x14ac:dyDescent="0.25">
      <c r="W5999" s="574">
        <f t="shared" si="117"/>
        <v>5990</v>
      </c>
      <c r="X5999" s="564">
        <v>51</v>
      </c>
    </row>
    <row r="6000" spans="23:24" x14ac:dyDescent="0.25">
      <c r="W6000" s="574">
        <f t="shared" si="117"/>
        <v>5991</v>
      </c>
      <c r="X6000" s="564">
        <v>51</v>
      </c>
    </row>
    <row r="6001" spans="23:24" x14ac:dyDescent="0.25">
      <c r="W6001" s="574">
        <f t="shared" si="117"/>
        <v>5992</v>
      </c>
      <c r="X6001" s="564">
        <v>51</v>
      </c>
    </row>
    <row r="6002" spans="23:24" x14ac:dyDescent="0.25">
      <c r="W6002" s="574">
        <f t="shared" si="117"/>
        <v>5993</v>
      </c>
      <c r="X6002" s="564">
        <v>51</v>
      </c>
    </row>
    <row r="6003" spans="23:24" x14ac:dyDescent="0.25">
      <c r="W6003" s="574">
        <f t="shared" si="117"/>
        <v>5994</v>
      </c>
      <c r="X6003" s="564">
        <v>51</v>
      </c>
    </row>
    <row r="6004" spans="23:24" x14ac:dyDescent="0.25">
      <c r="W6004" s="574">
        <f t="shared" si="117"/>
        <v>5995</v>
      </c>
      <c r="X6004" s="564">
        <v>51</v>
      </c>
    </row>
    <row r="6005" spans="23:24" x14ac:dyDescent="0.25">
      <c r="W6005" s="574">
        <f t="shared" si="117"/>
        <v>5996</v>
      </c>
      <c r="X6005" s="564">
        <v>51</v>
      </c>
    </row>
    <row r="6006" spans="23:24" x14ac:dyDescent="0.25">
      <c r="W6006" s="574">
        <f t="shared" ref="W6006:W6069" si="118">W6005+1</f>
        <v>5997</v>
      </c>
      <c r="X6006" s="564">
        <v>51</v>
      </c>
    </row>
    <row r="6007" spans="23:24" x14ac:dyDescent="0.25">
      <c r="W6007" s="574">
        <f t="shared" si="118"/>
        <v>5998</v>
      </c>
      <c r="X6007" s="564">
        <v>51</v>
      </c>
    </row>
    <row r="6008" spans="23:24" x14ac:dyDescent="0.25">
      <c r="W6008" s="574">
        <f t="shared" si="118"/>
        <v>5999</v>
      </c>
      <c r="X6008" s="564">
        <v>51</v>
      </c>
    </row>
    <row r="6009" spans="23:24" x14ac:dyDescent="0.25">
      <c r="W6009" s="574">
        <f t="shared" si="118"/>
        <v>6000</v>
      </c>
      <c r="X6009" s="564">
        <v>52</v>
      </c>
    </row>
    <row r="6010" spans="23:24" x14ac:dyDescent="0.25">
      <c r="W6010" s="574">
        <f t="shared" si="118"/>
        <v>6001</v>
      </c>
      <c r="X6010" s="564">
        <v>52</v>
      </c>
    </row>
    <row r="6011" spans="23:24" x14ac:dyDescent="0.25">
      <c r="W6011" s="574">
        <f t="shared" si="118"/>
        <v>6002</v>
      </c>
      <c r="X6011" s="564">
        <v>52</v>
      </c>
    </row>
    <row r="6012" spans="23:24" x14ac:dyDescent="0.25">
      <c r="W6012" s="574">
        <f t="shared" si="118"/>
        <v>6003</v>
      </c>
      <c r="X6012" s="564">
        <v>52</v>
      </c>
    </row>
    <row r="6013" spans="23:24" x14ac:dyDescent="0.25">
      <c r="W6013" s="574">
        <f t="shared" si="118"/>
        <v>6004</v>
      </c>
      <c r="X6013" s="564">
        <v>52</v>
      </c>
    </row>
    <row r="6014" spans="23:24" x14ac:dyDescent="0.25">
      <c r="W6014" s="574">
        <f t="shared" si="118"/>
        <v>6005</v>
      </c>
      <c r="X6014" s="564">
        <v>52</v>
      </c>
    </row>
    <row r="6015" spans="23:24" x14ac:dyDescent="0.25">
      <c r="W6015" s="574">
        <f t="shared" si="118"/>
        <v>6006</v>
      </c>
      <c r="X6015" s="564">
        <v>52</v>
      </c>
    </row>
    <row r="6016" spans="23:24" x14ac:dyDescent="0.25">
      <c r="W6016" s="574">
        <f t="shared" si="118"/>
        <v>6007</v>
      </c>
      <c r="X6016" s="564">
        <v>52</v>
      </c>
    </row>
    <row r="6017" spans="23:24" x14ac:dyDescent="0.25">
      <c r="W6017" s="574">
        <f t="shared" si="118"/>
        <v>6008</v>
      </c>
      <c r="X6017" s="564">
        <v>52</v>
      </c>
    </row>
    <row r="6018" spans="23:24" x14ac:dyDescent="0.25">
      <c r="W6018" s="574">
        <f t="shared" si="118"/>
        <v>6009</v>
      </c>
      <c r="X6018" s="564">
        <v>52</v>
      </c>
    </row>
    <row r="6019" spans="23:24" x14ac:dyDescent="0.25">
      <c r="W6019" s="574">
        <f t="shared" si="118"/>
        <v>6010</v>
      </c>
      <c r="X6019" s="564">
        <v>52</v>
      </c>
    </row>
    <row r="6020" spans="23:24" x14ac:dyDescent="0.25">
      <c r="W6020" s="574">
        <f t="shared" si="118"/>
        <v>6011</v>
      </c>
      <c r="X6020" s="564">
        <v>52</v>
      </c>
    </row>
    <row r="6021" spans="23:24" x14ac:dyDescent="0.25">
      <c r="W6021" s="574">
        <f t="shared" si="118"/>
        <v>6012</v>
      </c>
      <c r="X6021" s="564">
        <v>52</v>
      </c>
    </row>
    <row r="6022" spans="23:24" x14ac:dyDescent="0.25">
      <c r="W6022" s="574">
        <f t="shared" si="118"/>
        <v>6013</v>
      </c>
      <c r="X6022" s="564">
        <v>52</v>
      </c>
    </row>
    <row r="6023" spans="23:24" x14ac:dyDescent="0.25">
      <c r="W6023" s="574">
        <f t="shared" si="118"/>
        <v>6014</v>
      </c>
      <c r="X6023" s="564">
        <v>52</v>
      </c>
    </row>
    <row r="6024" spans="23:24" x14ac:dyDescent="0.25">
      <c r="W6024" s="574">
        <f t="shared" si="118"/>
        <v>6015</v>
      </c>
      <c r="X6024" s="564">
        <v>52</v>
      </c>
    </row>
    <row r="6025" spans="23:24" x14ac:dyDescent="0.25">
      <c r="W6025" s="574">
        <f t="shared" si="118"/>
        <v>6016</v>
      </c>
      <c r="X6025" s="564">
        <v>52</v>
      </c>
    </row>
    <row r="6026" spans="23:24" x14ac:dyDescent="0.25">
      <c r="W6026" s="574">
        <f t="shared" si="118"/>
        <v>6017</v>
      </c>
      <c r="X6026" s="564">
        <v>52</v>
      </c>
    </row>
    <row r="6027" spans="23:24" x14ac:dyDescent="0.25">
      <c r="W6027" s="574">
        <f t="shared" si="118"/>
        <v>6018</v>
      </c>
      <c r="X6027" s="564">
        <v>52</v>
      </c>
    </row>
    <row r="6028" spans="23:24" x14ac:dyDescent="0.25">
      <c r="W6028" s="574">
        <f t="shared" si="118"/>
        <v>6019</v>
      </c>
      <c r="X6028" s="564">
        <v>52</v>
      </c>
    </row>
    <row r="6029" spans="23:24" x14ac:dyDescent="0.25">
      <c r="W6029" s="574">
        <f t="shared" si="118"/>
        <v>6020</v>
      </c>
      <c r="X6029" s="564">
        <v>52</v>
      </c>
    </row>
    <row r="6030" spans="23:24" x14ac:dyDescent="0.25">
      <c r="W6030" s="574">
        <f t="shared" si="118"/>
        <v>6021</v>
      </c>
      <c r="X6030" s="564">
        <v>52</v>
      </c>
    </row>
    <row r="6031" spans="23:24" x14ac:dyDescent="0.25">
      <c r="W6031" s="574">
        <f t="shared" si="118"/>
        <v>6022</v>
      </c>
      <c r="X6031" s="564">
        <v>52</v>
      </c>
    </row>
    <row r="6032" spans="23:24" x14ac:dyDescent="0.25">
      <c r="W6032" s="574">
        <f t="shared" si="118"/>
        <v>6023</v>
      </c>
      <c r="X6032" s="564">
        <v>52</v>
      </c>
    </row>
    <row r="6033" spans="23:24" x14ac:dyDescent="0.25">
      <c r="W6033" s="574">
        <f t="shared" si="118"/>
        <v>6024</v>
      </c>
      <c r="X6033" s="564">
        <v>52</v>
      </c>
    </row>
    <row r="6034" spans="23:24" x14ac:dyDescent="0.25">
      <c r="W6034" s="574">
        <f t="shared" si="118"/>
        <v>6025</v>
      </c>
      <c r="X6034" s="564">
        <v>52</v>
      </c>
    </row>
    <row r="6035" spans="23:24" x14ac:dyDescent="0.25">
      <c r="W6035" s="574">
        <f t="shared" si="118"/>
        <v>6026</v>
      </c>
      <c r="X6035" s="564">
        <v>52</v>
      </c>
    </row>
    <row r="6036" spans="23:24" x14ac:dyDescent="0.25">
      <c r="W6036" s="574">
        <f t="shared" si="118"/>
        <v>6027</v>
      </c>
      <c r="X6036" s="564">
        <v>52</v>
      </c>
    </row>
    <row r="6037" spans="23:24" x14ac:dyDescent="0.25">
      <c r="W6037" s="574">
        <f t="shared" si="118"/>
        <v>6028</v>
      </c>
      <c r="X6037" s="564">
        <v>52</v>
      </c>
    </row>
    <row r="6038" spans="23:24" x14ac:dyDescent="0.25">
      <c r="W6038" s="574">
        <f t="shared" si="118"/>
        <v>6029</v>
      </c>
      <c r="X6038" s="564">
        <v>52</v>
      </c>
    </row>
    <row r="6039" spans="23:24" x14ac:dyDescent="0.25">
      <c r="W6039" s="574">
        <f t="shared" si="118"/>
        <v>6030</v>
      </c>
      <c r="X6039" s="564">
        <v>52</v>
      </c>
    </row>
    <row r="6040" spans="23:24" x14ac:dyDescent="0.25">
      <c r="W6040" s="574">
        <f t="shared" si="118"/>
        <v>6031</v>
      </c>
      <c r="X6040" s="564">
        <v>52</v>
      </c>
    </row>
    <row r="6041" spans="23:24" x14ac:dyDescent="0.25">
      <c r="W6041" s="574">
        <f t="shared" si="118"/>
        <v>6032</v>
      </c>
      <c r="X6041" s="564">
        <v>52</v>
      </c>
    </row>
    <row r="6042" spans="23:24" x14ac:dyDescent="0.25">
      <c r="W6042" s="574">
        <f t="shared" si="118"/>
        <v>6033</v>
      </c>
      <c r="X6042" s="564">
        <v>52</v>
      </c>
    </row>
    <row r="6043" spans="23:24" x14ac:dyDescent="0.25">
      <c r="W6043" s="574">
        <f t="shared" si="118"/>
        <v>6034</v>
      </c>
      <c r="X6043" s="564">
        <v>52</v>
      </c>
    </row>
    <row r="6044" spans="23:24" x14ac:dyDescent="0.25">
      <c r="W6044" s="574">
        <f t="shared" si="118"/>
        <v>6035</v>
      </c>
      <c r="X6044" s="564">
        <v>52</v>
      </c>
    </row>
    <row r="6045" spans="23:24" x14ac:dyDescent="0.25">
      <c r="W6045" s="574">
        <f t="shared" si="118"/>
        <v>6036</v>
      </c>
      <c r="X6045" s="564">
        <v>52</v>
      </c>
    </row>
    <row r="6046" spans="23:24" x14ac:dyDescent="0.25">
      <c r="W6046" s="574">
        <f t="shared" si="118"/>
        <v>6037</v>
      </c>
      <c r="X6046" s="564">
        <v>52</v>
      </c>
    </row>
    <row r="6047" spans="23:24" x14ac:dyDescent="0.25">
      <c r="W6047" s="574">
        <f t="shared" si="118"/>
        <v>6038</v>
      </c>
      <c r="X6047" s="564">
        <v>52</v>
      </c>
    </row>
    <row r="6048" spans="23:24" x14ac:dyDescent="0.25">
      <c r="W6048" s="574">
        <f t="shared" si="118"/>
        <v>6039</v>
      </c>
      <c r="X6048" s="564">
        <v>52</v>
      </c>
    </row>
    <row r="6049" spans="23:24" x14ac:dyDescent="0.25">
      <c r="W6049" s="574">
        <f t="shared" si="118"/>
        <v>6040</v>
      </c>
      <c r="X6049" s="564">
        <v>52</v>
      </c>
    </row>
    <row r="6050" spans="23:24" x14ac:dyDescent="0.25">
      <c r="W6050" s="574">
        <f t="shared" si="118"/>
        <v>6041</v>
      </c>
      <c r="X6050" s="564">
        <v>52</v>
      </c>
    </row>
    <row r="6051" spans="23:24" x14ac:dyDescent="0.25">
      <c r="W6051" s="574">
        <f t="shared" si="118"/>
        <v>6042</v>
      </c>
      <c r="X6051" s="564">
        <v>52</v>
      </c>
    </row>
    <row r="6052" spans="23:24" x14ac:dyDescent="0.25">
      <c r="W6052" s="574">
        <f t="shared" si="118"/>
        <v>6043</v>
      </c>
      <c r="X6052" s="564">
        <v>52</v>
      </c>
    </row>
    <row r="6053" spans="23:24" x14ac:dyDescent="0.25">
      <c r="W6053" s="574">
        <f t="shared" si="118"/>
        <v>6044</v>
      </c>
      <c r="X6053" s="564">
        <v>52</v>
      </c>
    </row>
    <row r="6054" spans="23:24" x14ac:dyDescent="0.25">
      <c r="W6054" s="574">
        <f t="shared" si="118"/>
        <v>6045</v>
      </c>
      <c r="X6054" s="564">
        <v>52</v>
      </c>
    </row>
    <row r="6055" spans="23:24" x14ac:dyDescent="0.25">
      <c r="W6055" s="574">
        <f t="shared" si="118"/>
        <v>6046</v>
      </c>
      <c r="X6055" s="564">
        <v>52</v>
      </c>
    </row>
    <row r="6056" spans="23:24" x14ac:dyDescent="0.25">
      <c r="W6056" s="574">
        <f t="shared" si="118"/>
        <v>6047</v>
      </c>
      <c r="X6056" s="564">
        <v>52</v>
      </c>
    </row>
    <row r="6057" spans="23:24" x14ac:dyDescent="0.25">
      <c r="W6057" s="574">
        <f t="shared" si="118"/>
        <v>6048</v>
      </c>
      <c r="X6057" s="564">
        <v>52</v>
      </c>
    </row>
    <row r="6058" spans="23:24" x14ac:dyDescent="0.25">
      <c r="W6058" s="574">
        <f t="shared" si="118"/>
        <v>6049</v>
      </c>
      <c r="X6058" s="564">
        <v>52</v>
      </c>
    </row>
    <row r="6059" spans="23:24" x14ac:dyDescent="0.25">
      <c r="W6059" s="574">
        <f t="shared" si="118"/>
        <v>6050</v>
      </c>
      <c r="X6059" s="564">
        <v>52</v>
      </c>
    </row>
    <row r="6060" spans="23:24" x14ac:dyDescent="0.25">
      <c r="W6060" s="574">
        <f t="shared" si="118"/>
        <v>6051</v>
      </c>
      <c r="X6060" s="564">
        <v>52</v>
      </c>
    </row>
    <row r="6061" spans="23:24" x14ac:dyDescent="0.25">
      <c r="W6061" s="574">
        <f t="shared" si="118"/>
        <v>6052</v>
      </c>
      <c r="X6061" s="564">
        <v>52</v>
      </c>
    </row>
    <row r="6062" spans="23:24" x14ac:dyDescent="0.25">
      <c r="W6062" s="574">
        <f t="shared" si="118"/>
        <v>6053</v>
      </c>
      <c r="X6062" s="564">
        <v>52</v>
      </c>
    </row>
    <row r="6063" spans="23:24" x14ac:dyDescent="0.25">
      <c r="W6063" s="574">
        <f t="shared" si="118"/>
        <v>6054</v>
      </c>
      <c r="X6063" s="564">
        <v>52</v>
      </c>
    </row>
    <row r="6064" spans="23:24" x14ac:dyDescent="0.25">
      <c r="W6064" s="574">
        <f t="shared" si="118"/>
        <v>6055</v>
      </c>
      <c r="X6064" s="564">
        <v>52</v>
      </c>
    </row>
    <row r="6065" spans="23:24" x14ac:dyDescent="0.25">
      <c r="W6065" s="574">
        <f t="shared" si="118"/>
        <v>6056</v>
      </c>
      <c r="X6065" s="564">
        <v>52</v>
      </c>
    </row>
    <row r="6066" spans="23:24" x14ac:dyDescent="0.25">
      <c r="W6066" s="574">
        <f t="shared" si="118"/>
        <v>6057</v>
      </c>
      <c r="X6066" s="564">
        <v>52</v>
      </c>
    </row>
    <row r="6067" spans="23:24" x14ac:dyDescent="0.25">
      <c r="W6067" s="574">
        <f t="shared" si="118"/>
        <v>6058</v>
      </c>
      <c r="X6067" s="564">
        <v>52</v>
      </c>
    </row>
    <row r="6068" spans="23:24" x14ac:dyDescent="0.25">
      <c r="W6068" s="574">
        <f t="shared" si="118"/>
        <v>6059</v>
      </c>
      <c r="X6068" s="564">
        <v>52</v>
      </c>
    </row>
    <row r="6069" spans="23:24" x14ac:dyDescent="0.25">
      <c r="W6069" s="574">
        <f t="shared" si="118"/>
        <v>6060</v>
      </c>
      <c r="X6069" s="564">
        <v>52</v>
      </c>
    </row>
    <row r="6070" spans="23:24" x14ac:dyDescent="0.25">
      <c r="W6070" s="574">
        <f t="shared" ref="W6070:W6133" si="119">W6069+1</f>
        <v>6061</v>
      </c>
      <c r="X6070" s="564">
        <v>52</v>
      </c>
    </row>
    <row r="6071" spans="23:24" x14ac:dyDescent="0.25">
      <c r="W6071" s="574">
        <f t="shared" si="119"/>
        <v>6062</v>
      </c>
      <c r="X6071" s="564">
        <v>52</v>
      </c>
    </row>
    <row r="6072" spans="23:24" x14ac:dyDescent="0.25">
      <c r="W6072" s="574">
        <f t="shared" si="119"/>
        <v>6063</v>
      </c>
      <c r="X6072" s="564">
        <v>52</v>
      </c>
    </row>
    <row r="6073" spans="23:24" x14ac:dyDescent="0.25">
      <c r="W6073" s="574">
        <f t="shared" si="119"/>
        <v>6064</v>
      </c>
      <c r="X6073" s="564">
        <v>52</v>
      </c>
    </row>
    <row r="6074" spans="23:24" x14ac:dyDescent="0.25">
      <c r="W6074" s="574">
        <f t="shared" si="119"/>
        <v>6065</v>
      </c>
      <c r="X6074" s="564">
        <v>52</v>
      </c>
    </row>
    <row r="6075" spans="23:24" x14ac:dyDescent="0.25">
      <c r="W6075" s="574">
        <f t="shared" si="119"/>
        <v>6066</v>
      </c>
      <c r="X6075" s="564">
        <v>52</v>
      </c>
    </row>
    <row r="6076" spans="23:24" x14ac:dyDescent="0.25">
      <c r="W6076" s="574">
        <f t="shared" si="119"/>
        <v>6067</v>
      </c>
      <c r="X6076" s="564">
        <v>52</v>
      </c>
    </row>
    <row r="6077" spans="23:24" x14ac:dyDescent="0.25">
      <c r="W6077" s="574">
        <f t="shared" si="119"/>
        <v>6068</v>
      </c>
      <c r="X6077" s="564">
        <v>52</v>
      </c>
    </row>
    <row r="6078" spans="23:24" x14ac:dyDescent="0.25">
      <c r="W6078" s="574">
        <f t="shared" si="119"/>
        <v>6069</v>
      </c>
      <c r="X6078" s="564">
        <v>52</v>
      </c>
    </row>
    <row r="6079" spans="23:24" x14ac:dyDescent="0.25">
      <c r="W6079" s="574">
        <f t="shared" si="119"/>
        <v>6070</v>
      </c>
      <c r="X6079" s="564">
        <v>52</v>
      </c>
    </row>
    <row r="6080" spans="23:24" x14ac:dyDescent="0.25">
      <c r="W6080" s="574">
        <f t="shared" si="119"/>
        <v>6071</v>
      </c>
      <c r="X6080" s="564">
        <v>52</v>
      </c>
    </row>
    <row r="6081" spans="23:24" x14ac:dyDescent="0.25">
      <c r="W6081" s="574">
        <f t="shared" si="119"/>
        <v>6072</v>
      </c>
      <c r="X6081" s="564">
        <v>52</v>
      </c>
    </row>
    <row r="6082" spans="23:24" x14ac:dyDescent="0.25">
      <c r="W6082" s="574">
        <f t="shared" si="119"/>
        <v>6073</v>
      </c>
      <c r="X6082" s="564">
        <v>52</v>
      </c>
    </row>
    <row r="6083" spans="23:24" x14ac:dyDescent="0.25">
      <c r="W6083" s="574">
        <f t="shared" si="119"/>
        <v>6074</v>
      </c>
      <c r="X6083" s="564">
        <v>52</v>
      </c>
    </row>
    <row r="6084" spans="23:24" x14ac:dyDescent="0.25">
      <c r="W6084" s="574">
        <f t="shared" si="119"/>
        <v>6075</v>
      </c>
      <c r="X6084" s="564">
        <v>52</v>
      </c>
    </row>
    <row r="6085" spans="23:24" x14ac:dyDescent="0.25">
      <c r="W6085" s="574">
        <f t="shared" si="119"/>
        <v>6076</v>
      </c>
      <c r="X6085" s="564">
        <v>52</v>
      </c>
    </row>
    <row r="6086" spans="23:24" x14ac:dyDescent="0.25">
      <c r="W6086" s="574">
        <f t="shared" si="119"/>
        <v>6077</v>
      </c>
      <c r="X6086" s="564">
        <v>52</v>
      </c>
    </row>
    <row r="6087" spans="23:24" x14ac:dyDescent="0.25">
      <c r="W6087" s="574">
        <f t="shared" si="119"/>
        <v>6078</v>
      </c>
      <c r="X6087" s="564">
        <v>52</v>
      </c>
    </row>
    <row r="6088" spans="23:24" x14ac:dyDescent="0.25">
      <c r="W6088" s="574">
        <f t="shared" si="119"/>
        <v>6079</v>
      </c>
      <c r="X6088" s="564">
        <v>52</v>
      </c>
    </row>
    <row r="6089" spans="23:24" x14ac:dyDescent="0.25">
      <c r="W6089" s="574">
        <f t="shared" si="119"/>
        <v>6080</v>
      </c>
      <c r="X6089" s="564">
        <v>52</v>
      </c>
    </row>
    <row r="6090" spans="23:24" x14ac:dyDescent="0.25">
      <c r="W6090" s="574">
        <f t="shared" si="119"/>
        <v>6081</v>
      </c>
      <c r="X6090" s="564">
        <v>52</v>
      </c>
    </row>
    <row r="6091" spans="23:24" x14ac:dyDescent="0.25">
      <c r="W6091" s="574">
        <f t="shared" si="119"/>
        <v>6082</v>
      </c>
      <c r="X6091" s="564">
        <v>52</v>
      </c>
    </row>
    <row r="6092" spans="23:24" x14ac:dyDescent="0.25">
      <c r="W6092" s="574">
        <f t="shared" si="119"/>
        <v>6083</v>
      </c>
      <c r="X6092" s="564">
        <v>52</v>
      </c>
    </row>
    <row r="6093" spans="23:24" x14ac:dyDescent="0.25">
      <c r="W6093" s="574">
        <f t="shared" si="119"/>
        <v>6084</v>
      </c>
      <c r="X6093" s="564">
        <v>52</v>
      </c>
    </row>
    <row r="6094" spans="23:24" x14ac:dyDescent="0.25">
      <c r="W6094" s="574">
        <f t="shared" si="119"/>
        <v>6085</v>
      </c>
      <c r="X6094" s="564">
        <v>52</v>
      </c>
    </row>
    <row r="6095" spans="23:24" x14ac:dyDescent="0.25">
      <c r="W6095" s="574">
        <f t="shared" si="119"/>
        <v>6086</v>
      </c>
      <c r="X6095" s="564">
        <v>52</v>
      </c>
    </row>
    <row r="6096" spans="23:24" x14ac:dyDescent="0.25">
      <c r="W6096" s="574">
        <f t="shared" si="119"/>
        <v>6087</v>
      </c>
      <c r="X6096" s="564">
        <v>52</v>
      </c>
    </row>
    <row r="6097" spans="23:24" x14ac:dyDescent="0.25">
      <c r="W6097" s="574">
        <f t="shared" si="119"/>
        <v>6088</v>
      </c>
      <c r="X6097" s="564">
        <v>52</v>
      </c>
    </row>
    <row r="6098" spans="23:24" x14ac:dyDescent="0.25">
      <c r="W6098" s="574">
        <f t="shared" si="119"/>
        <v>6089</v>
      </c>
      <c r="X6098" s="564">
        <v>52</v>
      </c>
    </row>
    <row r="6099" spans="23:24" x14ac:dyDescent="0.25">
      <c r="W6099" s="574">
        <f t="shared" si="119"/>
        <v>6090</v>
      </c>
      <c r="X6099" s="564">
        <v>52</v>
      </c>
    </row>
    <row r="6100" spans="23:24" x14ac:dyDescent="0.25">
      <c r="W6100" s="574">
        <f t="shared" si="119"/>
        <v>6091</v>
      </c>
      <c r="X6100" s="564">
        <v>52</v>
      </c>
    </row>
    <row r="6101" spans="23:24" x14ac:dyDescent="0.25">
      <c r="W6101" s="574">
        <f t="shared" si="119"/>
        <v>6092</v>
      </c>
      <c r="X6101" s="564">
        <v>52</v>
      </c>
    </row>
    <row r="6102" spans="23:24" x14ac:dyDescent="0.25">
      <c r="W6102" s="574">
        <f t="shared" si="119"/>
        <v>6093</v>
      </c>
      <c r="X6102" s="564">
        <v>52</v>
      </c>
    </row>
    <row r="6103" spans="23:24" x14ac:dyDescent="0.25">
      <c r="W6103" s="574">
        <f t="shared" si="119"/>
        <v>6094</v>
      </c>
      <c r="X6103" s="564">
        <v>52</v>
      </c>
    </row>
    <row r="6104" spans="23:24" x14ac:dyDescent="0.25">
      <c r="W6104" s="574">
        <f t="shared" si="119"/>
        <v>6095</v>
      </c>
      <c r="X6104" s="564">
        <v>52</v>
      </c>
    </row>
    <row r="6105" spans="23:24" x14ac:dyDescent="0.25">
      <c r="W6105" s="574">
        <f t="shared" si="119"/>
        <v>6096</v>
      </c>
      <c r="X6105" s="564">
        <v>52</v>
      </c>
    </row>
    <row r="6106" spans="23:24" x14ac:dyDescent="0.25">
      <c r="W6106" s="574">
        <f t="shared" si="119"/>
        <v>6097</v>
      </c>
      <c r="X6106" s="564">
        <v>52</v>
      </c>
    </row>
    <row r="6107" spans="23:24" x14ac:dyDescent="0.25">
      <c r="W6107" s="574">
        <f t="shared" si="119"/>
        <v>6098</v>
      </c>
      <c r="X6107" s="564">
        <v>52</v>
      </c>
    </row>
    <row r="6108" spans="23:24" x14ac:dyDescent="0.25">
      <c r="W6108" s="574">
        <f t="shared" si="119"/>
        <v>6099</v>
      </c>
      <c r="X6108" s="564">
        <v>52</v>
      </c>
    </row>
    <row r="6109" spans="23:24" x14ac:dyDescent="0.25">
      <c r="W6109" s="574">
        <f t="shared" si="119"/>
        <v>6100</v>
      </c>
      <c r="X6109" s="564">
        <v>52</v>
      </c>
    </row>
    <row r="6110" spans="23:24" x14ac:dyDescent="0.25">
      <c r="W6110" s="574">
        <f t="shared" si="119"/>
        <v>6101</v>
      </c>
      <c r="X6110" s="564">
        <v>52</v>
      </c>
    </row>
    <row r="6111" spans="23:24" x14ac:dyDescent="0.25">
      <c r="W6111" s="574">
        <f t="shared" si="119"/>
        <v>6102</v>
      </c>
      <c r="X6111" s="564">
        <v>52</v>
      </c>
    </row>
    <row r="6112" spans="23:24" x14ac:dyDescent="0.25">
      <c r="W6112" s="574">
        <f t="shared" si="119"/>
        <v>6103</v>
      </c>
      <c r="X6112" s="564">
        <v>52</v>
      </c>
    </row>
    <row r="6113" spans="23:24" x14ac:dyDescent="0.25">
      <c r="W6113" s="574">
        <f t="shared" si="119"/>
        <v>6104</v>
      </c>
      <c r="X6113" s="564">
        <v>52</v>
      </c>
    </row>
    <row r="6114" spans="23:24" x14ac:dyDescent="0.25">
      <c r="W6114" s="574">
        <f t="shared" si="119"/>
        <v>6105</v>
      </c>
      <c r="X6114" s="564">
        <v>52</v>
      </c>
    </row>
    <row r="6115" spans="23:24" x14ac:dyDescent="0.25">
      <c r="W6115" s="574">
        <f t="shared" si="119"/>
        <v>6106</v>
      </c>
      <c r="X6115" s="564">
        <v>52</v>
      </c>
    </row>
    <row r="6116" spans="23:24" x14ac:dyDescent="0.25">
      <c r="W6116" s="574">
        <f t="shared" si="119"/>
        <v>6107</v>
      </c>
      <c r="X6116" s="564">
        <v>52</v>
      </c>
    </row>
    <row r="6117" spans="23:24" x14ac:dyDescent="0.25">
      <c r="W6117" s="574">
        <f t="shared" si="119"/>
        <v>6108</v>
      </c>
      <c r="X6117" s="564">
        <v>52</v>
      </c>
    </row>
    <row r="6118" spans="23:24" x14ac:dyDescent="0.25">
      <c r="W6118" s="574">
        <f t="shared" si="119"/>
        <v>6109</v>
      </c>
      <c r="X6118" s="564">
        <v>52</v>
      </c>
    </row>
    <row r="6119" spans="23:24" x14ac:dyDescent="0.25">
      <c r="W6119" s="574">
        <f t="shared" si="119"/>
        <v>6110</v>
      </c>
      <c r="X6119" s="564">
        <v>52</v>
      </c>
    </row>
    <row r="6120" spans="23:24" x14ac:dyDescent="0.25">
      <c r="W6120" s="574">
        <f t="shared" si="119"/>
        <v>6111</v>
      </c>
      <c r="X6120" s="564">
        <v>52</v>
      </c>
    </row>
    <row r="6121" spans="23:24" x14ac:dyDescent="0.25">
      <c r="W6121" s="574">
        <f t="shared" si="119"/>
        <v>6112</v>
      </c>
      <c r="X6121" s="564">
        <v>52</v>
      </c>
    </row>
    <row r="6122" spans="23:24" x14ac:dyDescent="0.25">
      <c r="W6122" s="574">
        <f t="shared" si="119"/>
        <v>6113</v>
      </c>
      <c r="X6122" s="564">
        <v>52</v>
      </c>
    </row>
    <row r="6123" spans="23:24" x14ac:dyDescent="0.25">
      <c r="W6123" s="574">
        <f t="shared" si="119"/>
        <v>6114</v>
      </c>
      <c r="X6123" s="564">
        <v>52</v>
      </c>
    </row>
    <row r="6124" spans="23:24" x14ac:dyDescent="0.25">
      <c r="W6124" s="574">
        <f t="shared" si="119"/>
        <v>6115</v>
      </c>
      <c r="X6124" s="564">
        <v>52</v>
      </c>
    </row>
    <row r="6125" spans="23:24" x14ac:dyDescent="0.25">
      <c r="W6125" s="574">
        <f t="shared" si="119"/>
        <v>6116</v>
      </c>
      <c r="X6125" s="564">
        <v>52</v>
      </c>
    </row>
    <row r="6126" spans="23:24" x14ac:dyDescent="0.25">
      <c r="W6126" s="574">
        <f t="shared" si="119"/>
        <v>6117</v>
      </c>
      <c r="X6126" s="564">
        <v>52</v>
      </c>
    </row>
    <row r="6127" spans="23:24" x14ac:dyDescent="0.25">
      <c r="W6127" s="574">
        <f t="shared" si="119"/>
        <v>6118</v>
      </c>
      <c r="X6127" s="564">
        <v>52</v>
      </c>
    </row>
    <row r="6128" spans="23:24" x14ac:dyDescent="0.25">
      <c r="W6128" s="574">
        <f t="shared" si="119"/>
        <v>6119</v>
      </c>
      <c r="X6128" s="564">
        <v>52</v>
      </c>
    </row>
    <row r="6129" spans="23:24" x14ac:dyDescent="0.25">
      <c r="W6129" s="574">
        <f t="shared" si="119"/>
        <v>6120</v>
      </c>
      <c r="X6129" s="564">
        <v>52</v>
      </c>
    </row>
    <row r="6130" spans="23:24" x14ac:dyDescent="0.25">
      <c r="W6130" s="574">
        <f t="shared" si="119"/>
        <v>6121</v>
      </c>
      <c r="X6130" s="564">
        <v>52</v>
      </c>
    </row>
    <row r="6131" spans="23:24" x14ac:dyDescent="0.25">
      <c r="W6131" s="574">
        <f t="shared" si="119"/>
        <v>6122</v>
      </c>
      <c r="X6131" s="564">
        <v>52</v>
      </c>
    </row>
    <row r="6132" spans="23:24" x14ac:dyDescent="0.25">
      <c r="W6132" s="574">
        <f t="shared" si="119"/>
        <v>6123</v>
      </c>
      <c r="X6132" s="564">
        <v>52</v>
      </c>
    </row>
    <row r="6133" spans="23:24" x14ac:dyDescent="0.25">
      <c r="W6133" s="574">
        <f t="shared" si="119"/>
        <v>6124</v>
      </c>
      <c r="X6133" s="564">
        <v>52</v>
      </c>
    </row>
    <row r="6134" spans="23:24" x14ac:dyDescent="0.25">
      <c r="W6134" s="574">
        <f t="shared" ref="W6134:W6197" si="120">W6133+1</f>
        <v>6125</v>
      </c>
      <c r="X6134" s="564">
        <v>52</v>
      </c>
    </row>
    <row r="6135" spans="23:24" x14ac:dyDescent="0.25">
      <c r="W6135" s="574">
        <f t="shared" si="120"/>
        <v>6126</v>
      </c>
      <c r="X6135" s="564">
        <v>52</v>
      </c>
    </row>
    <row r="6136" spans="23:24" x14ac:dyDescent="0.25">
      <c r="W6136" s="574">
        <f t="shared" si="120"/>
        <v>6127</v>
      </c>
      <c r="X6136" s="564">
        <v>52</v>
      </c>
    </row>
    <row r="6137" spans="23:24" x14ac:dyDescent="0.25">
      <c r="W6137" s="574">
        <f t="shared" si="120"/>
        <v>6128</v>
      </c>
      <c r="X6137" s="564">
        <v>52</v>
      </c>
    </row>
    <row r="6138" spans="23:24" x14ac:dyDescent="0.25">
      <c r="W6138" s="574">
        <f t="shared" si="120"/>
        <v>6129</v>
      </c>
      <c r="X6138" s="564">
        <v>52</v>
      </c>
    </row>
    <row r="6139" spans="23:24" x14ac:dyDescent="0.25">
      <c r="W6139" s="574">
        <f t="shared" si="120"/>
        <v>6130</v>
      </c>
      <c r="X6139" s="564">
        <v>52</v>
      </c>
    </row>
    <row r="6140" spans="23:24" x14ac:dyDescent="0.25">
      <c r="W6140" s="574">
        <f t="shared" si="120"/>
        <v>6131</v>
      </c>
      <c r="X6140" s="564">
        <v>52</v>
      </c>
    </row>
    <row r="6141" spans="23:24" x14ac:dyDescent="0.25">
      <c r="W6141" s="574">
        <f t="shared" si="120"/>
        <v>6132</v>
      </c>
      <c r="X6141" s="564">
        <v>52</v>
      </c>
    </row>
    <row r="6142" spans="23:24" x14ac:dyDescent="0.25">
      <c r="W6142" s="574">
        <f t="shared" si="120"/>
        <v>6133</v>
      </c>
      <c r="X6142" s="564">
        <v>52</v>
      </c>
    </row>
    <row r="6143" spans="23:24" x14ac:dyDescent="0.25">
      <c r="W6143" s="574">
        <f t="shared" si="120"/>
        <v>6134</v>
      </c>
      <c r="X6143" s="564">
        <v>52</v>
      </c>
    </row>
    <row r="6144" spans="23:24" x14ac:dyDescent="0.25">
      <c r="W6144" s="574">
        <f t="shared" si="120"/>
        <v>6135</v>
      </c>
      <c r="X6144" s="564">
        <v>52</v>
      </c>
    </row>
    <row r="6145" spans="23:24" x14ac:dyDescent="0.25">
      <c r="W6145" s="574">
        <f t="shared" si="120"/>
        <v>6136</v>
      </c>
      <c r="X6145" s="564">
        <v>52</v>
      </c>
    </row>
    <row r="6146" spans="23:24" x14ac:dyDescent="0.25">
      <c r="W6146" s="574">
        <f t="shared" si="120"/>
        <v>6137</v>
      </c>
      <c r="X6146" s="564">
        <v>52</v>
      </c>
    </row>
    <row r="6147" spans="23:24" x14ac:dyDescent="0.25">
      <c r="W6147" s="574">
        <f t="shared" si="120"/>
        <v>6138</v>
      </c>
      <c r="X6147" s="564">
        <v>52</v>
      </c>
    </row>
    <row r="6148" spans="23:24" x14ac:dyDescent="0.25">
      <c r="W6148" s="574">
        <f t="shared" si="120"/>
        <v>6139</v>
      </c>
      <c r="X6148" s="564">
        <v>52</v>
      </c>
    </row>
    <row r="6149" spans="23:24" x14ac:dyDescent="0.25">
      <c r="W6149" s="574">
        <f t="shared" si="120"/>
        <v>6140</v>
      </c>
      <c r="X6149" s="564">
        <v>52</v>
      </c>
    </row>
    <row r="6150" spans="23:24" x14ac:dyDescent="0.25">
      <c r="W6150" s="574">
        <f t="shared" si="120"/>
        <v>6141</v>
      </c>
      <c r="X6150" s="564">
        <v>52</v>
      </c>
    </row>
    <row r="6151" spans="23:24" x14ac:dyDescent="0.25">
      <c r="W6151" s="574">
        <f t="shared" si="120"/>
        <v>6142</v>
      </c>
      <c r="X6151" s="564">
        <v>52</v>
      </c>
    </row>
    <row r="6152" spans="23:24" x14ac:dyDescent="0.25">
      <c r="W6152" s="574">
        <f t="shared" si="120"/>
        <v>6143</v>
      </c>
      <c r="X6152" s="564">
        <v>52</v>
      </c>
    </row>
    <row r="6153" spans="23:24" x14ac:dyDescent="0.25">
      <c r="W6153" s="574">
        <f t="shared" si="120"/>
        <v>6144</v>
      </c>
      <c r="X6153" s="564">
        <v>52</v>
      </c>
    </row>
    <row r="6154" spans="23:24" x14ac:dyDescent="0.25">
      <c r="W6154" s="574">
        <f t="shared" si="120"/>
        <v>6145</v>
      </c>
      <c r="X6154" s="564">
        <v>52</v>
      </c>
    </row>
    <row r="6155" spans="23:24" x14ac:dyDescent="0.25">
      <c r="W6155" s="574">
        <f t="shared" si="120"/>
        <v>6146</v>
      </c>
      <c r="X6155" s="564">
        <v>52</v>
      </c>
    </row>
    <row r="6156" spans="23:24" x14ac:dyDescent="0.25">
      <c r="W6156" s="574">
        <f t="shared" si="120"/>
        <v>6147</v>
      </c>
      <c r="X6156" s="564">
        <v>52</v>
      </c>
    </row>
    <row r="6157" spans="23:24" x14ac:dyDescent="0.25">
      <c r="W6157" s="574">
        <f t="shared" si="120"/>
        <v>6148</v>
      </c>
      <c r="X6157" s="564">
        <v>52</v>
      </c>
    </row>
    <row r="6158" spans="23:24" x14ac:dyDescent="0.25">
      <c r="W6158" s="574">
        <f t="shared" si="120"/>
        <v>6149</v>
      </c>
      <c r="X6158" s="564">
        <v>52</v>
      </c>
    </row>
    <row r="6159" spans="23:24" x14ac:dyDescent="0.25">
      <c r="W6159" s="574">
        <f t="shared" si="120"/>
        <v>6150</v>
      </c>
      <c r="X6159" s="564">
        <v>52</v>
      </c>
    </row>
    <row r="6160" spans="23:24" x14ac:dyDescent="0.25">
      <c r="W6160" s="574">
        <f t="shared" si="120"/>
        <v>6151</v>
      </c>
      <c r="X6160" s="564">
        <v>52</v>
      </c>
    </row>
    <row r="6161" spans="23:24" x14ac:dyDescent="0.25">
      <c r="W6161" s="574">
        <f t="shared" si="120"/>
        <v>6152</v>
      </c>
      <c r="X6161" s="564">
        <v>52</v>
      </c>
    </row>
    <row r="6162" spans="23:24" x14ac:dyDescent="0.25">
      <c r="W6162" s="574">
        <f t="shared" si="120"/>
        <v>6153</v>
      </c>
      <c r="X6162" s="564">
        <v>52</v>
      </c>
    </row>
    <row r="6163" spans="23:24" x14ac:dyDescent="0.25">
      <c r="W6163" s="574">
        <f t="shared" si="120"/>
        <v>6154</v>
      </c>
      <c r="X6163" s="564">
        <v>52</v>
      </c>
    </row>
    <row r="6164" spans="23:24" x14ac:dyDescent="0.25">
      <c r="W6164" s="574">
        <f t="shared" si="120"/>
        <v>6155</v>
      </c>
      <c r="X6164" s="564">
        <v>52</v>
      </c>
    </row>
    <row r="6165" spans="23:24" x14ac:dyDescent="0.25">
      <c r="W6165" s="574">
        <f t="shared" si="120"/>
        <v>6156</v>
      </c>
      <c r="X6165" s="564">
        <v>52</v>
      </c>
    </row>
    <row r="6166" spans="23:24" x14ac:dyDescent="0.25">
      <c r="W6166" s="574">
        <f t="shared" si="120"/>
        <v>6157</v>
      </c>
      <c r="X6166" s="564">
        <v>52</v>
      </c>
    </row>
    <row r="6167" spans="23:24" x14ac:dyDescent="0.25">
      <c r="W6167" s="574">
        <f t="shared" si="120"/>
        <v>6158</v>
      </c>
      <c r="X6167" s="564">
        <v>52</v>
      </c>
    </row>
    <row r="6168" spans="23:24" x14ac:dyDescent="0.25">
      <c r="W6168" s="574">
        <f t="shared" si="120"/>
        <v>6159</v>
      </c>
      <c r="X6168" s="564">
        <v>52</v>
      </c>
    </row>
    <row r="6169" spans="23:24" x14ac:dyDescent="0.25">
      <c r="W6169" s="574">
        <f t="shared" si="120"/>
        <v>6160</v>
      </c>
      <c r="X6169" s="564">
        <v>52</v>
      </c>
    </row>
    <row r="6170" spans="23:24" x14ac:dyDescent="0.25">
      <c r="W6170" s="574">
        <f t="shared" si="120"/>
        <v>6161</v>
      </c>
      <c r="X6170" s="564">
        <v>52</v>
      </c>
    </row>
    <row r="6171" spans="23:24" x14ac:dyDescent="0.25">
      <c r="W6171" s="574">
        <f t="shared" si="120"/>
        <v>6162</v>
      </c>
      <c r="X6171" s="564">
        <v>52</v>
      </c>
    </row>
    <row r="6172" spans="23:24" x14ac:dyDescent="0.25">
      <c r="W6172" s="574">
        <f t="shared" si="120"/>
        <v>6163</v>
      </c>
      <c r="X6172" s="564">
        <v>52</v>
      </c>
    </row>
    <row r="6173" spans="23:24" x14ac:dyDescent="0.25">
      <c r="W6173" s="574">
        <f t="shared" si="120"/>
        <v>6164</v>
      </c>
      <c r="X6173" s="564">
        <v>52</v>
      </c>
    </row>
    <row r="6174" spans="23:24" x14ac:dyDescent="0.25">
      <c r="W6174" s="574">
        <f t="shared" si="120"/>
        <v>6165</v>
      </c>
      <c r="X6174" s="564">
        <v>52</v>
      </c>
    </row>
    <row r="6175" spans="23:24" x14ac:dyDescent="0.25">
      <c r="W6175" s="574">
        <f t="shared" si="120"/>
        <v>6166</v>
      </c>
      <c r="X6175" s="564">
        <v>52</v>
      </c>
    </row>
    <row r="6176" spans="23:24" x14ac:dyDescent="0.25">
      <c r="W6176" s="574">
        <f t="shared" si="120"/>
        <v>6167</v>
      </c>
      <c r="X6176" s="564">
        <v>52</v>
      </c>
    </row>
    <row r="6177" spans="23:24" x14ac:dyDescent="0.25">
      <c r="W6177" s="574">
        <f t="shared" si="120"/>
        <v>6168</v>
      </c>
      <c r="X6177" s="564">
        <v>52</v>
      </c>
    </row>
    <row r="6178" spans="23:24" x14ac:dyDescent="0.25">
      <c r="W6178" s="574">
        <f t="shared" si="120"/>
        <v>6169</v>
      </c>
      <c r="X6178" s="564">
        <v>52</v>
      </c>
    </row>
    <row r="6179" spans="23:24" x14ac:dyDescent="0.25">
      <c r="W6179" s="574">
        <f t="shared" si="120"/>
        <v>6170</v>
      </c>
      <c r="X6179" s="564">
        <v>52</v>
      </c>
    </row>
    <row r="6180" spans="23:24" x14ac:dyDescent="0.25">
      <c r="W6180" s="574">
        <f t="shared" si="120"/>
        <v>6171</v>
      </c>
      <c r="X6180" s="564">
        <v>52</v>
      </c>
    </row>
    <row r="6181" spans="23:24" x14ac:dyDescent="0.25">
      <c r="W6181" s="574">
        <f t="shared" si="120"/>
        <v>6172</v>
      </c>
      <c r="X6181" s="564">
        <v>52</v>
      </c>
    </row>
    <row r="6182" spans="23:24" x14ac:dyDescent="0.25">
      <c r="W6182" s="574">
        <f t="shared" si="120"/>
        <v>6173</v>
      </c>
      <c r="X6182" s="564">
        <v>52</v>
      </c>
    </row>
    <row r="6183" spans="23:24" x14ac:dyDescent="0.25">
      <c r="W6183" s="574">
        <f t="shared" si="120"/>
        <v>6174</v>
      </c>
      <c r="X6183" s="564">
        <v>52</v>
      </c>
    </row>
    <row r="6184" spans="23:24" x14ac:dyDescent="0.25">
      <c r="W6184" s="574">
        <f t="shared" si="120"/>
        <v>6175</v>
      </c>
      <c r="X6184" s="564">
        <v>52</v>
      </c>
    </row>
    <row r="6185" spans="23:24" x14ac:dyDescent="0.25">
      <c r="W6185" s="574">
        <f t="shared" si="120"/>
        <v>6176</v>
      </c>
      <c r="X6185" s="564">
        <v>52</v>
      </c>
    </row>
    <row r="6186" spans="23:24" x14ac:dyDescent="0.25">
      <c r="W6186" s="574">
        <f t="shared" si="120"/>
        <v>6177</v>
      </c>
      <c r="X6186" s="564">
        <v>52</v>
      </c>
    </row>
    <row r="6187" spans="23:24" x14ac:dyDescent="0.25">
      <c r="W6187" s="574">
        <f t="shared" si="120"/>
        <v>6178</v>
      </c>
      <c r="X6187" s="564">
        <v>52</v>
      </c>
    </row>
    <row r="6188" spans="23:24" x14ac:dyDescent="0.25">
      <c r="W6188" s="574">
        <f t="shared" si="120"/>
        <v>6179</v>
      </c>
      <c r="X6188" s="564">
        <v>52</v>
      </c>
    </row>
    <row r="6189" spans="23:24" x14ac:dyDescent="0.25">
      <c r="W6189" s="574">
        <f t="shared" si="120"/>
        <v>6180</v>
      </c>
      <c r="X6189" s="564">
        <v>52</v>
      </c>
    </row>
    <row r="6190" spans="23:24" x14ac:dyDescent="0.25">
      <c r="W6190" s="574">
        <f t="shared" si="120"/>
        <v>6181</v>
      </c>
      <c r="X6190" s="564">
        <v>52</v>
      </c>
    </row>
    <row r="6191" spans="23:24" x14ac:dyDescent="0.25">
      <c r="W6191" s="574">
        <f t="shared" si="120"/>
        <v>6182</v>
      </c>
      <c r="X6191" s="564">
        <v>52</v>
      </c>
    </row>
    <row r="6192" spans="23:24" x14ac:dyDescent="0.25">
      <c r="W6192" s="574">
        <f t="shared" si="120"/>
        <v>6183</v>
      </c>
      <c r="X6192" s="564">
        <v>52</v>
      </c>
    </row>
    <row r="6193" spans="23:24" x14ac:dyDescent="0.25">
      <c r="W6193" s="574">
        <f t="shared" si="120"/>
        <v>6184</v>
      </c>
      <c r="X6193" s="564">
        <v>52</v>
      </c>
    </row>
    <row r="6194" spans="23:24" x14ac:dyDescent="0.25">
      <c r="W6194" s="574">
        <f t="shared" si="120"/>
        <v>6185</v>
      </c>
      <c r="X6194" s="564">
        <v>52</v>
      </c>
    </row>
    <row r="6195" spans="23:24" x14ac:dyDescent="0.25">
      <c r="W6195" s="574">
        <f t="shared" si="120"/>
        <v>6186</v>
      </c>
      <c r="X6195" s="564">
        <v>52</v>
      </c>
    </row>
    <row r="6196" spans="23:24" x14ac:dyDescent="0.25">
      <c r="W6196" s="574">
        <f t="shared" si="120"/>
        <v>6187</v>
      </c>
      <c r="X6196" s="564">
        <v>52</v>
      </c>
    </row>
    <row r="6197" spans="23:24" x14ac:dyDescent="0.25">
      <c r="W6197" s="574">
        <f t="shared" si="120"/>
        <v>6188</v>
      </c>
      <c r="X6197" s="564">
        <v>52</v>
      </c>
    </row>
    <row r="6198" spans="23:24" x14ac:dyDescent="0.25">
      <c r="W6198" s="574">
        <f t="shared" ref="W6198:W6261" si="121">W6197+1</f>
        <v>6189</v>
      </c>
      <c r="X6198" s="564">
        <v>52</v>
      </c>
    </row>
    <row r="6199" spans="23:24" x14ac:dyDescent="0.25">
      <c r="W6199" s="574">
        <f t="shared" si="121"/>
        <v>6190</v>
      </c>
      <c r="X6199" s="564">
        <v>52</v>
      </c>
    </row>
    <row r="6200" spans="23:24" x14ac:dyDescent="0.25">
      <c r="W6200" s="574">
        <f t="shared" si="121"/>
        <v>6191</v>
      </c>
      <c r="X6200" s="564">
        <v>52</v>
      </c>
    </row>
    <row r="6201" spans="23:24" x14ac:dyDescent="0.25">
      <c r="W6201" s="574">
        <f t="shared" si="121"/>
        <v>6192</v>
      </c>
      <c r="X6201" s="564">
        <v>52</v>
      </c>
    </row>
    <row r="6202" spans="23:24" x14ac:dyDescent="0.25">
      <c r="W6202" s="574">
        <f t="shared" si="121"/>
        <v>6193</v>
      </c>
      <c r="X6202" s="564">
        <v>52</v>
      </c>
    </row>
    <row r="6203" spans="23:24" x14ac:dyDescent="0.25">
      <c r="W6203" s="574">
        <f t="shared" si="121"/>
        <v>6194</v>
      </c>
      <c r="X6203" s="564">
        <v>52</v>
      </c>
    </row>
    <row r="6204" spans="23:24" x14ac:dyDescent="0.25">
      <c r="W6204" s="574">
        <f t="shared" si="121"/>
        <v>6195</v>
      </c>
      <c r="X6204" s="564">
        <v>52</v>
      </c>
    </row>
    <row r="6205" spans="23:24" x14ac:dyDescent="0.25">
      <c r="W6205" s="574">
        <f t="shared" si="121"/>
        <v>6196</v>
      </c>
      <c r="X6205" s="564">
        <v>52</v>
      </c>
    </row>
    <row r="6206" spans="23:24" x14ac:dyDescent="0.25">
      <c r="W6206" s="574">
        <f t="shared" si="121"/>
        <v>6197</v>
      </c>
      <c r="X6206" s="564">
        <v>52</v>
      </c>
    </row>
    <row r="6207" spans="23:24" x14ac:dyDescent="0.25">
      <c r="W6207" s="574">
        <f t="shared" si="121"/>
        <v>6198</v>
      </c>
      <c r="X6207" s="564">
        <v>52</v>
      </c>
    </row>
    <row r="6208" spans="23:24" x14ac:dyDescent="0.25">
      <c r="W6208" s="574">
        <f t="shared" si="121"/>
        <v>6199</v>
      </c>
      <c r="X6208" s="564">
        <v>52</v>
      </c>
    </row>
    <row r="6209" spans="23:24" x14ac:dyDescent="0.25">
      <c r="W6209" s="574">
        <f t="shared" si="121"/>
        <v>6200</v>
      </c>
      <c r="X6209" s="564">
        <v>52</v>
      </c>
    </row>
    <row r="6210" spans="23:24" x14ac:dyDescent="0.25">
      <c r="W6210" s="574">
        <f t="shared" si="121"/>
        <v>6201</v>
      </c>
      <c r="X6210" s="564">
        <v>52</v>
      </c>
    </row>
    <row r="6211" spans="23:24" x14ac:dyDescent="0.25">
      <c r="W6211" s="574">
        <f t="shared" si="121"/>
        <v>6202</v>
      </c>
      <c r="X6211" s="564">
        <v>52</v>
      </c>
    </row>
    <row r="6212" spans="23:24" x14ac:dyDescent="0.25">
      <c r="W6212" s="574">
        <f t="shared" si="121"/>
        <v>6203</v>
      </c>
      <c r="X6212" s="564">
        <v>52</v>
      </c>
    </row>
    <row r="6213" spans="23:24" x14ac:dyDescent="0.25">
      <c r="W6213" s="574">
        <f t="shared" si="121"/>
        <v>6204</v>
      </c>
      <c r="X6213" s="564">
        <v>52</v>
      </c>
    </row>
    <row r="6214" spans="23:24" x14ac:dyDescent="0.25">
      <c r="W6214" s="574">
        <f t="shared" si="121"/>
        <v>6205</v>
      </c>
      <c r="X6214" s="564">
        <v>52</v>
      </c>
    </row>
    <row r="6215" spans="23:24" x14ac:dyDescent="0.25">
      <c r="W6215" s="574">
        <f t="shared" si="121"/>
        <v>6206</v>
      </c>
      <c r="X6215" s="564">
        <v>52</v>
      </c>
    </row>
    <row r="6216" spans="23:24" x14ac:dyDescent="0.25">
      <c r="W6216" s="574">
        <f t="shared" si="121"/>
        <v>6207</v>
      </c>
      <c r="X6216" s="564">
        <v>52</v>
      </c>
    </row>
    <row r="6217" spans="23:24" x14ac:dyDescent="0.25">
      <c r="W6217" s="574">
        <f t="shared" si="121"/>
        <v>6208</v>
      </c>
      <c r="X6217" s="564">
        <v>52</v>
      </c>
    </row>
    <row r="6218" spans="23:24" x14ac:dyDescent="0.25">
      <c r="W6218" s="574">
        <f t="shared" si="121"/>
        <v>6209</v>
      </c>
      <c r="X6218" s="564">
        <v>52</v>
      </c>
    </row>
    <row r="6219" spans="23:24" x14ac:dyDescent="0.25">
      <c r="W6219" s="574">
        <f t="shared" si="121"/>
        <v>6210</v>
      </c>
      <c r="X6219" s="564">
        <v>52</v>
      </c>
    </row>
    <row r="6220" spans="23:24" x14ac:dyDescent="0.25">
      <c r="W6220" s="574">
        <f t="shared" si="121"/>
        <v>6211</v>
      </c>
      <c r="X6220" s="564">
        <v>52</v>
      </c>
    </row>
    <row r="6221" spans="23:24" x14ac:dyDescent="0.25">
      <c r="W6221" s="574">
        <f t="shared" si="121"/>
        <v>6212</v>
      </c>
      <c r="X6221" s="564">
        <v>52</v>
      </c>
    </row>
    <row r="6222" spans="23:24" x14ac:dyDescent="0.25">
      <c r="W6222" s="574">
        <f t="shared" si="121"/>
        <v>6213</v>
      </c>
      <c r="X6222" s="564">
        <v>52</v>
      </c>
    </row>
    <row r="6223" spans="23:24" x14ac:dyDescent="0.25">
      <c r="W6223" s="574">
        <f t="shared" si="121"/>
        <v>6214</v>
      </c>
      <c r="X6223" s="564">
        <v>52</v>
      </c>
    </row>
    <row r="6224" spans="23:24" x14ac:dyDescent="0.25">
      <c r="W6224" s="574">
        <f t="shared" si="121"/>
        <v>6215</v>
      </c>
      <c r="X6224" s="564">
        <v>52</v>
      </c>
    </row>
    <row r="6225" spans="23:24" x14ac:dyDescent="0.25">
      <c r="W6225" s="574">
        <f t="shared" si="121"/>
        <v>6216</v>
      </c>
      <c r="X6225" s="564">
        <v>52</v>
      </c>
    </row>
    <row r="6226" spans="23:24" x14ac:dyDescent="0.25">
      <c r="W6226" s="574">
        <f t="shared" si="121"/>
        <v>6217</v>
      </c>
      <c r="X6226" s="564">
        <v>52</v>
      </c>
    </row>
    <row r="6227" spans="23:24" x14ac:dyDescent="0.25">
      <c r="W6227" s="574">
        <f t="shared" si="121"/>
        <v>6218</v>
      </c>
      <c r="X6227" s="564">
        <v>52</v>
      </c>
    </row>
    <row r="6228" spans="23:24" x14ac:dyDescent="0.25">
      <c r="W6228" s="574">
        <f t="shared" si="121"/>
        <v>6219</v>
      </c>
      <c r="X6228" s="564">
        <v>52</v>
      </c>
    </row>
    <row r="6229" spans="23:24" x14ac:dyDescent="0.25">
      <c r="W6229" s="574">
        <f t="shared" si="121"/>
        <v>6220</v>
      </c>
      <c r="X6229" s="564">
        <v>52</v>
      </c>
    </row>
    <row r="6230" spans="23:24" x14ac:dyDescent="0.25">
      <c r="W6230" s="574">
        <f t="shared" si="121"/>
        <v>6221</v>
      </c>
      <c r="X6230" s="564">
        <v>52</v>
      </c>
    </row>
    <row r="6231" spans="23:24" x14ac:dyDescent="0.25">
      <c r="W6231" s="574">
        <f t="shared" si="121"/>
        <v>6222</v>
      </c>
      <c r="X6231" s="564">
        <v>52</v>
      </c>
    </row>
    <row r="6232" spans="23:24" x14ac:dyDescent="0.25">
      <c r="W6232" s="574">
        <f t="shared" si="121"/>
        <v>6223</v>
      </c>
      <c r="X6232" s="564">
        <v>52</v>
      </c>
    </row>
    <row r="6233" spans="23:24" x14ac:dyDescent="0.25">
      <c r="W6233" s="574">
        <f t="shared" si="121"/>
        <v>6224</v>
      </c>
      <c r="X6233" s="564">
        <v>52</v>
      </c>
    </row>
    <row r="6234" spans="23:24" x14ac:dyDescent="0.25">
      <c r="W6234" s="574">
        <f t="shared" si="121"/>
        <v>6225</v>
      </c>
      <c r="X6234" s="564">
        <v>52</v>
      </c>
    </row>
    <row r="6235" spans="23:24" x14ac:dyDescent="0.25">
      <c r="W6235" s="574">
        <f t="shared" si="121"/>
        <v>6226</v>
      </c>
      <c r="X6235" s="564">
        <v>52</v>
      </c>
    </row>
    <row r="6236" spans="23:24" x14ac:dyDescent="0.25">
      <c r="W6236" s="574">
        <f t="shared" si="121"/>
        <v>6227</v>
      </c>
      <c r="X6236" s="564">
        <v>52</v>
      </c>
    </row>
    <row r="6237" spans="23:24" x14ac:dyDescent="0.25">
      <c r="W6237" s="574">
        <f t="shared" si="121"/>
        <v>6228</v>
      </c>
      <c r="X6237" s="564">
        <v>52</v>
      </c>
    </row>
    <row r="6238" spans="23:24" x14ac:dyDescent="0.25">
      <c r="W6238" s="574">
        <f t="shared" si="121"/>
        <v>6229</v>
      </c>
      <c r="X6238" s="564">
        <v>52</v>
      </c>
    </row>
    <row r="6239" spans="23:24" x14ac:dyDescent="0.25">
      <c r="W6239" s="574">
        <f t="shared" si="121"/>
        <v>6230</v>
      </c>
      <c r="X6239" s="564">
        <v>52</v>
      </c>
    </row>
    <row r="6240" spans="23:24" x14ac:dyDescent="0.25">
      <c r="W6240" s="574">
        <f t="shared" si="121"/>
        <v>6231</v>
      </c>
      <c r="X6240" s="564">
        <v>52</v>
      </c>
    </row>
    <row r="6241" spans="23:24" x14ac:dyDescent="0.25">
      <c r="W6241" s="574">
        <f t="shared" si="121"/>
        <v>6232</v>
      </c>
      <c r="X6241" s="564">
        <v>52</v>
      </c>
    </row>
    <row r="6242" spans="23:24" x14ac:dyDescent="0.25">
      <c r="W6242" s="574">
        <f t="shared" si="121"/>
        <v>6233</v>
      </c>
      <c r="X6242" s="564">
        <v>52</v>
      </c>
    </row>
    <row r="6243" spans="23:24" x14ac:dyDescent="0.25">
      <c r="W6243" s="574">
        <f t="shared" si="121"/>
        <v>6234</v>
      </c>
      <c r="X6243" s="564">
        <v>52</v>
      </c>
    </row>
    <row r="6244" spans="23:24" x14ac:dyDescent="0.25">
      <c r="W6244" s="574">
        <f t="shared" si="121"/>
        <v>6235</v>
      </c>
      <c r="X6244" s="564">
        <v>52</v>
      </c>
    </row>
    <row r="6245" spans="23:24" x14ac:dyDescent="0.25">
      <c r="W6245" s="574">
        <f t="shared" si="121"/>
        <v>6236</v>
      </c>
      <c r="X6245" s="564">
        <v>52</v>
      </c>
    </row>
    <row r="6246" spans="23:24" x14ac:dyDescent="0.25">
      <c r="W6246" s="574">
        <f t="shared" si="121"/>
        <v>6237</v>
      </c>
      <c r="X6246" s="564">
        <v>52</v>
      </c>
    </row>
    <row r="6247" spans="23:24" x14ac:dyDescent="0.25">
      <c r="W6247" s="574">
        <f t="shared" si="121"/>
        <v>6238</v>
      </c>
      <c r="X6247" s="564">
        <v>52</v>
      </c>
    </row>
    <row r="6248" spans="23:24" x14ac:dyDescent="0.25">
      <c r="W6248" s="574">
        <f t="shared" si="121"/>
        <v>6239</v>
      </c>
      <c r="X6248" s="564">
        <v>52</v>
      </c>
    </row>
    <row r="6249" spans="23:24" x14ac:dyDescent="0.25">
      <c r="W6249" s="574">
        <f t="shared" si="121"/>
        <v>6240</v>
      </c>
      <c r="X6249" s="564">
        <v>52</v>
      </c>
    </row>
    <row r="6250" spans="23:24" x14ac:dyDescent="0.25">
      <c r="W6250" s="574">
        <f t="shared" si="121"/>
        <v>6241</v>
      </c>
      <c r="X6250" s="564">
        <v>52</v>
      </c>
    </row>
    <row r="6251" spans="23:24" x14ac:dyDescent="0.25">
      <c r="W6251" s="574">
        <f t="shared" si="121"/>
        <v>6242</v>
      </c>
      <c r="X6251" s="564">
        <v>52</v>
      </c>
    </row>
    <row r="6252" spans="23:24" x14ac:dyDescent="0.25">
      <c r="W6252" s="574">
        <f t="shared" si="121"/>
        <v>6243</v>
      </c>
      <c r="X6252" s="564">
        <v>52</v>
      </c>
    </row>
    <row r="6253" spans="23:24" x14ac:dyDescent="0.25">
      <c r="W6253" s="574">
        <f t="shared" si="121"/>
        <v>6244</v>
      </c>
      <c r="X6253" s="564">
        <v>52</v>
      </c>
    </row>
    <row r="6254" spans="23:24" x14ac:dyDescent="0.25">
      <c r="W6254" s="574">
        <f t="shared" si="121"/>
        <v>6245</v>
      </c>
      <c r="X6254" s="564">
        <v>52</v>
      </c>
    </row>
    <row r="6255" spans="23:24" x14ac:dyDescent="0.25">
      <c r="W6255" s="574">
        <f t="shared" si="121"/>
        <v>6246</v>
      </c>
      <c r="X6255" s="564">
        <v>52</v>
      </c>
    </row>
    <row r="6256" spans="23:24" x14ac:dyDescent="0.25">
      <c r="W6256" s="574">
        <f t="shared" si="121"/>
        <v>6247</v>
      </c>
      <c r="X6256" s="564">
        <v>52</v>
      </c>
    </row>
    <row r="6257" spans="23:24" x14ac:dyDescent="0.25">
      <c r="W6257" s="574">
        <f t="shared" si="121"/>
        <v>6248</v>
      </c>
      <c r="X6257" s="564">
        <v>52</v>
      </c>
    </row>
    <row r="6258" spans="23:24" x14ac:dyDescent="0.25">
      <c r="W6258" s="574">
        <f t="shared" si="121"/>
        <v>6249</v>
      </c>
      <c r="X6258" s="564">
        <v>52</v>
      </c>
    </row>
    <row r="6259" spans="23:24" x14ac:dyDescent="0.25">
      <c r="W6259" s="574">
        <f t="shared" si="121"/>
        <v>6250</v>
      </c>
      <c r="X6259" s="564">
        <v>53</v>
      </c>
    </row>
    <row r="6260" spans="23:24" x14ac:dyDescent="0.25">
      <c r="W6260" s="574">
        <f t="shared" si="121"/>
        <v>6251</v>
      </c>
      <c r="X6260" s="564">
        <v>53</v>
      </c>
    </row>
    <row r="6261" spans="23:24" x14ac:dyDescent="0.25">
      <c r="W6261" s="574">
        <f t="shared" si="121"/>
        <v>6252</v>
      </c>
      <c r="X6261" s="564">
        <v>53</v>
      </c>
    </row>
    <row r="6262" spans="23:24" x14ac:dyDescent="0.25">
      <c r="W6262" s="574">
        <f t="shared" ref="W6262:W6325" si="122">W6261+1</f>
        <v>6253</v>
      </c>
      <c r="X6262" s="564">
        <v>53</v>
      </c>
    </row>
    <row r="6263" spans="23:24" x14ac:dyDescent="0.25">
      <c r="W6263" s="574">
        <f t="shared" si="122"/>
        <v>6254</v>
      </c>
      <c r="X6263" s="564">
        <v>53</v>
      </c>
    </row>
    <row r="6264" spans="23:24" x14ac:dyDescent="0.25">
      <c r="W6264" s="574">
        <f t="shared" si="122"/>
        <v>6255</v>
      </c>
      <c r="X6264" s="564">
        <v>53</v>
      </c>
    </row>
    <row r="6265" spans="23:24" x14ac:dyDescent="0.25">
      <c r="W6265" s="574">
        <f t="shared" si="122"/>
        <v>6256</v>
      </c>
      <c r="X6265" s="564">
        <v>53</v>
      </c>
    </row>
    <row r="6266" spans="23:24" x14ac:dyDescent="0.25">
      <c r="W6266" s="574">
        <f t="shared" si="122"/>
        <v>6257</v>
      </c>
      <c r="X6266" s="564">
        <v>53</v>
      </c>
    </row>
    <row r="6267" spans="23:24" x14ac:dyDescent="0.25">
      <c r="W6267" s="574">
        <f t="shared" si="122"/>
        <v>6258</v>
      </c>
      <c r="X6267" s="564">
        <v>53</v>
      </c>
    </row>
    <row r="6268" spans="23:24" x14ac:dyDescent="0.25">
      <c r="W6268" s="574">
        <f t="shared" si="122"/>
        <v>6259</v>
      </c>
      <c r="X6268" s="564">
        <v>53</v>
      </c>
    </row>
    <row r="6269" spans="23:24" x14ac:dyDescent="0.25">
      <c r="W6269" s="574">
        <f t="shared" si="122"/>
        <v>6260</v>
      </c>
      <c r="X6269" s="564">
        <v>53</v>
      </c>
    </row>
    <row r="6270" spans="23:24" x14ac:dyDescent="0.25">
      <c r="W6270" s="574">
        <f t="shared" si="122"/>
        <v>6261</v>
      </c>
      <c r="X6270" s="564">
        <v>53</v>
      </c>
    </row>
    <row r="6271" spans="23:24" x14ac:dyDescent="0.25">
      <c r="W6271" s="574">
        <f t="shared" si="122"/>
        <v>6262</v>
      </c>
      <c r="X6271" s="564">
        <v>53</v>
      </c>
    </row>
    <row r="6272" spans="23:24" x14ac:dyDescent="0.25">
      <c r="W6272" s="574">
        <f t="shared" si="122"/>
        <v>6263</v>
      </c>
      <c r="X6272" s="564">
        <v>53</v>
      </c>
    </row>
    <row r="6273" spans="23:24" x14ac:dyDescent="0.25">
      <c r="W6273" s="574">
        <f t="shared" si="122"/>
        <v>6264</v>
      </c>
      <c r="X6273" s="564">
        <v>53</v>
      </c>
    </row>
    <row r="6274" spans="23:24" x14ac:dyDescent="0.25">
      <c r="W6274" s="574">
        <f t="shared" si="122"/>
        <v>6265</v>
      </c>
      <c r="X6274" s="564">
        <v>53</v>
      </c>
    </row>
    <row r="6275" spans="23:24" x14ac:dyDescent="0.25">
      <c r="W6275" s="574">
        <f t="shared" si="122"/>
        <v>6266</v>
      </c>
      <c r="X6275" s="564">
        <v>53</v>
      </c>
    </row>
    <row r="6276" spans="23:24" x14ac:dyDescent="0.25">
      <c r="W6276" s="574">
        <f t="shared" si="122"/>
        <v>6267</v>
      </c>
      <c r="X6276" s="564">
        <v>53</v>
      </c>
    </row>
    <row r="6277" spans="23:24" x14ac:dyDescent="0.25">
      <c r="W6277" s="574">
        <f t="shared" si="122"/>
        <v>6268</v>
      </c>
      <c r="X6277" s="564">
        <v>53</v>
      </c>
    </row>
    <row r="6278" spans="23:24" x14ac:dyDescent="0.25">
      <c r="W6278" s="574">
        <f t="shared" si="122"/>
        <v>6269</v>
      </c>
      <c r="X6278" s="564">
        <v>53</v>
      </c>
    </row>
    <row r="6279" spans="23:24" x14ac:dyDescent="0.25">
      <c r="W6279" s="574">
        <f t="shared" si="122"/>
        <v>6270</v>
      </c>
      <c r="X6279" s="564">
        <v>53</v>
      </c>
    </row>
    <row r="6280" spans="23:24" x14ac:dyDescent="0.25">
      <c r="W6280" s="574">
        <f t="shared" si="122"/>
        <v>6271</v>
      </c>
      <c r="X6280" s="564">
        <v>53</v>
      </c>
    </row>
    <row r="6281" spans="23:24" x14ac:dyDescent="0.25">
      <c r="W6281" s="574">
        <f t="shared" si="122"/>
        <v>6272</v>
      </c>
      <c r="X6281" s="564">
        <v>53</v>
      </c>
    </row>
    <row r="6282" spans="23:24" x14ac:dyDescent="0.25">
      <c r="W6282" s="574">
        <f t="shared" si="122"/>
        <v>6273</v>
      </c>
      <c r="X6282" s="564">
        <v>53</v>
      </c>
    </row>
    <row r="6283" spans="23:24" x14ac:dyDescent="0.25">
      <c r="W6283" s="574">
        <f t="shared" si="122"/>
        <v>6274</v>
      </c>
      <c r="X6283" s="564">
        <v>53</v>
      </c>
    </row>
    <row r="6284" spans="23:24" x14ac:dyDescent="0.25">
      <c r="W6284" s="574">
        <f t="shared" si="122"/>
        <v>6275</v>
      </c>
      <c r="X6284" s="564">
        <v>53</v>
      </c>
    </row>
    <row r="6285" spans="23:24" x14ac:dyDescent="0.25">
      <c r="W6285" s="574">
        <f t="shared" si="122"/>
        <v>6276</v>
      </c>
      <c r="X6285" s="564">
        <v>53</v>
      </c>
    </row>
    <row r="6286" spans="23:24" x14ac:dyDescent="0.25">
      <c r="W6286" s="574">
        <f t="shared" si="122"/>
        <v>6277</v>
      </c>
      <c r="X6286" s="564">
        <v>53</v>
      </c>
    </row>
    <row r="6287" spans="23:24" x14ac:dyDescent="0.25">
      <c r="W6287" s="574">
        <f t="shared" si="122"/>
        <v>6278</v>
      </c>
      <c r="X6287" s="564">
        <v>53</v>
      </c>
    </row>
    <row r="6288" spans="23:24" x14ac:dyDescent="0.25">
      <c r="W6288" s="574">
        <f t="shared" si="122"/>
        <v>6279</v>
      </c>
      <c r="X6288" s="564">
        <v>53</v>
      </c>
    </row>
    <row r="6289" spans="23:24" x14ac:dyDescent="0.25">
      <c r="W6289" s="574">
        <f t="shared" si="122"/>
        <v>6280</v>
      </c>
      <c r="X6289" s="564">
        <v>53</v>
      </c>
    </row>
    <row r="6290" spans="23:24" x14ac:dyDescent="0.25">
      <c r="W6290" s="574">
        <f t="shared" si="122"/>
        <v>6281</v>
      </c>
      <c r="X6290" s="564">
        <v>53</v>
      </c>
    </row>
    <row r="6291" spans="23:24" x14ac:dyDescent="0.25">
      <c r="W6291" s="574">
        <f t="shared" si="122"/>
        <v>6282</v>
      </c>
      <c r="X6291" s="564">
        <v>53</v>
      </c>
    </row>
    <row r="6292" spans="23:24" x14ac:dyDescent="0.25">
      <c r="W6292" s="574">
        <f t="shared" si="122"/>
        <v>6283</v>
      </c>
      <c r="X6292" s="564">
        <v>53</v>
      </c>
    </row>
    <row r="6293" spans="23:24" x14ac:dyDescent="0.25">
      <c r="W6293" s="574">
        <f t="shared" si="122"/>
        <v>6284</v>
      </c>
      <c r="X6293" s="564">
        <v>53</v>
      </c>
    </row>
    <row r="6294" spans="23:24" x14ac:dyDescent="0.25">
      <c r="W6294" s="574">
        <f t="shared" si="122"/>
        <v>6285</v>
      </c>
      <c r="X6294" s="564">
        <v>53</v>
      </c>
    </row>
    <row r="6295" spans="23:24" x14ac:dyDescent="0.25">
      <c r="W6295" s="574">
        <f t="shared" si="122"/>
        <v>6286</v>
      </c>
      <c r="X6295" s="564">
        <v>53</v>
      </c>
    </row>
    <row r="6296" spans="23:24" x14ac:dyDescent="0.25">
      <c r="W6296" s="574">
        <f t="shared" si="122"/>
        <v>6287</v>
      </c>
      <c r="X6296" s="564">
        <v>53</v>
      </c>
    </row>
    <row r="6297" spans="23:24" x14ac:dyDescent="0.25">
      <c r="W6297" s="574">
        <f t="shared" si="122"/>
        <v>6288</v>
      </c>
      <c r="X6297" s="564">
        <v>53</v>
      </c>
    </row>
    <row r="6298" spans="23:24" x14ac:dyDescent="0.25">
      <c r="W6298" s="574">
        <f t="shared" si="122"/>
        <v>6289</v>
      </c>
      <c r="X6298" s="564">
        <v>53</v>
      </c>
    </row>
    <row r="6299" spans="23:24" x14ac:dyDescent="0.25">
      <c r="W6299" s="574">
        <f t="shared" si="122"/>
        <v>6290</v>
      </c>
      <c r="X6299" s="564">
        <v>53</v>
      </c>
    </row>
    <row r="6300" spans="23:24" x14ac:dyDescent="0.25">
      <c r="W6300" s="574">
        <f t="shared" si="122"/>
        <v>6291</v>
      </c>
      <c r="X6300" s="564">
        <v>53</v>
      </c>
    </row>
    <row r="6301" spans="23:24" x14ac:dyDescent="0.25">
      <c r="W6301" s="574">
        <f t="shared" si="122"/>
        <v>6292</v>
      </c>
      <c r="X6301" s="564">
        <v>53</v>
      </c>
    </row>
    <row r="6302" spans="23:24" x14ac:dyDescent="0.25">
      <c r="W6302" s="574">
        <f t="shared" si="122"/>
        <v>6293</v>
      </c>
      <c r="X6302" s="564">
        <v>53</v>
      </c>
    </row>
    <row r="6303" spans="23:24" x14ac:dyDescent="0.25">
      <c r="W6303" s="574">
        <f t="shared" si="122"/>
        <v>6294</v>
      </c>
      <c r="X6303" s="564">
        <v>53</v>
      </c>
    </row>
    <row r="6304" spans="23:24" x14ac:dyDescent="0.25">
      <c r="W6304" s="574">
        <f t="shared" si="122"/>
        <v>6295</v>
      </c>
      <c r="X6304" s="564">
        <v>53</v>
      </c>
    </row>
    <row r="6305" spans="23:24" x14ac:dyDescent="0.25">
      <c r="W6305" s="574">
        <f t="shared" si="122"/>
        <v>6296</v>
      </c>
      <c r="X6305" s="564">
        <v>53</v>
      </c>
    </row>
    <row r="6306" spans="23:24" x14ac:dyDescent="0.25">
      <c r="W6306" s="574">
        <f t="shared" si="122"/>
        <v>6297</v>
      </c>
      <c r="X6306" s="564">
        <v>53</v>
      </c>
    </row>
    <row r="6307" spans="23:24" x14ac:dyDescent="0.25">
      <c r="W6307" s="574">
        <f t="shared" si="122"/>
        <v>6298</v>
      </c>
      <c r="X6307" s="564">
        <v>53</v>
      </c>
    </row>
    <row r="6308" spans="23:24" x14ac:dyDescent="0.25">
      <c r="W6308" s="574">
        <f t="shared" si="122"/>
        <v>6299</v>
      </c>
      <c r="X6308" s="564">
        <v>53</v>
      </c>
    </row>
    <row r="6309" spans="23:24" x14ac:dyDescent="0.25">
      <c r="W6309" s="574">
        <f t="shared" si="122"/>
        <v>6300</v>
      </c>
      <c r="X6309" s="564">
        <v>53</v>
      </c>
    </row>
    <row r="6310" spans="23:24" x14ac:dyDescent="0.25">
      <c r="W6310" s="574">
        <f t="shared" si="122"/>
        <v>6301</v>
      </c>
      <c r="X6310" s="564">
        <v>53</v>
      </c>
    </row>
    <row r="6311" spans="23:24" x14ac:dyDescent="0.25">
      <c r="W6311" s="574">
        <f t="shared" si="122"/>
        <v>6302</v>
      </c>
      <c r="X6311" s="564">
        <v>53</v>
      </c>
    </row>
    <row r="6312" spans="23:24" x14ac:dyDescent="0.25">
      <c r="W6312" s="574">
        <f t="shared" si="122"/>
        <v>6303</v>
      </c>
      <c r="X6312" s="564">
        <v>53</v>
      </c>
    </row>
    <row r="6313" spans="23:24" x14ac:dyDescent="0.25">
      <c r="W6313" s="574">
        <f t="shared" si="122"/>
        <v>6304</v>
      </c>
      <c r="X6313" s="564">
        <v>53</v>
      </c>
    </row>
    <row r="6314" spans="23:24" x14ac:dyDescent="0.25">
      <c r="W6314" s="574">
        <f t="shared" si="122"/>
        <v>6305</v>
      </c>
      <c r="X6314" s="564">
        <v>53</v>
      </c>
    </row>
    <row r="6315" spans="23:24" x14ac:dyDescent="0.25">
      <c r="W6315" s="574">
        <f t="shared" si="122"/>
        <v>6306</v>
      </c>
      <c r="X6315" s="564">
        <v>53</v>
      </c>
    </row>
    <row r="6316" spans="23:24" x14ac:dyDescent="0.25">
      <c r="W6316" s="574">
        <f t="shared" si="122"/>
        <v>6307</v>
      </c>
      <c r="X6316" s="564">
        <v>53</v>
      </c>
    </row>
    <row r="6317" spans="23:24" x14ac:dyDescent="0.25">
      <c r="W6317" s="574">
        <f t="shared" si="122"/>
        <v>6308</v>
      </c>
      <c r="X6317" s="564">
        <v>53</v>
      </c>
    </row>
    <row r="6318" spans="23:24" x14ac:dyDescent="0.25">
      <c r="W6318" s="574">
        <f t="shared" si="122"/>
        <v>6309</v>
      </c>
      <c r="X6318" s="564">
        <v>53</v>
      </c>
    </row>
    <row r="6319" spans="23:24" x14ac:dyDescent="0.25">
      <c r="W6319" s="574">
        <f t="shared" si="122"/>
        <v>6310</v>
      </c>
      <c r="X6319" s="564">
        <v>53</v>
      </c>
    </row>
    <row r="6320" spans="23:24" x14ac:dyDescent="0.25">
      <c r="W6320" s="574">
        <f t="shared" si="122"/>
        <v>6311</v>
      </c>
      <c r="X6320" s="564">
        <v>53</v>
      </c>
    </row>
    <row r="6321" spans="23:24" x14ac:dyDescent="0.25">
      <c r="W6321" s="574">
        <f t="shared" si="122"/>
        <v>6312</v>
      </c>
      <c r="X6321" s="564">
        <v>53</v>
      </c>
    </row>
    <row r="6322" spans="23:24" x14ac:dyDescent="0.25">
      <c r="W6322" s="574">
        <f t="shared" si="122"/>
        <v>6313</v>
      </c>
      <c r="X6322" s="564">
        <v>53</v>
      </c>
    </row>
    <row r="6323" spans="23:24" x14ac:dyDescent="0.25">
      <c r="W6323" s="574">
        <f t="shared" si="122"/>
        <v>6314</v>
      </c>
      <c r="X6323" s="564">
        <v>53</v>
      </c>
    </row>
    <row r="6324" spans="23:24" x14ac:dyDescent="0.25">
      <c r="W6324" s="574">
        <f t="shared" si="122"/>
        <v>6315</v>
      </c>
      <c r="X6324" s="564">
        <v>53</v>
      </c>
    </row>
    <row r="6325" spans="23:24" x14ac:dyDescent="0.25">
      <c r="W6325" s="574">
        <f t="shared" si="122"/>
        <v>6316</v>
      </c>
      <c r="X6325" s="564">
        <v>53</v>
      </c>
    </row>
    <row r="6326" spans="23:24" x14ac:dyDescent="0.25">
      <c r="W6326" s="574">
        <f t="shared" ref="W6326:W6389" si="123">W6325+1</f>
        <v>6317</v>
      </c>
      <c r="X6326" s="564">
        <v>53</v>
      </c>
    </row>
    <row r="6327" spans="23:24" x14ac:dyDescent="0.25">
      <c r="W6327" s="574">
        <f t="shared" si="123"/>
        <v>6318</v>
      </c>
      <c r="X6327" s="564">
        <v>53</v>
      </c>
    </row>
    <row r="6328" spans="23:24" x14ac:dyDescent="0.25">
      <c r="W6328" s="574">
        <f t="shared" si="123"/>
        <v>6319</v>
      </c>
      <c r="X6328" s="564">
        <v>53</v>
      </c>
    </row>
    <row r="6329" spans="23:24" x14ac:dyDescent="0.25">
      <c r="W6329" s="574">
        <f t="shared" si="123"/>
        <v>6320</v>
      </c>
      <c r="X6329" s="564">
        <v>53</v>
      </c>
    </row>
    <row r="6330" spans="23:24" x14ac:dyDescent="0.25">
      <c r="W6330" s="574">
        <f t="shared" si="123"/>
        <v>6321</v>
      </c>
      <c r="X6330" s="564">
        <v>53</v>
      </c>
    </row>
    <row r="6331" spans="23:24" x14ac:dyDescent="0.25">
      <c r="W6331" s="574">
        <f t="shared" si="123"/>
        <v>6322</v>
      </c>
      <c r="X6331" s="564">
        <v>53</v>
      </c>
    </row>
    <row r="6332" spans="23:24" x14ac:dyDescent="0.25">
      <c r="W6332" s="574">
        <f t="shared" si="123"/>
        <v>6323</v>
      </c>
      <c r="X6332" s="564">
        <v>53</v>
      </c>
    </row>
    <row r="6333" spans="23:24" x14ac:dyDescent="0.25">
      <c r="W6333" s="574">
        <f t="shared" si="123"/>
        <v>6324</v>
      </c>
      <c r="X6333" s="564">
        <v>53</v>
      </c>
    </row>
    <row r="6334" spans="23:24" x14ac:dyDescent="0.25">
      <c r="W6334" s="574">
        <f t="shared" si="123"/>
        <v>6325</v>
      </c>
      <c r="X6334" s="564">
        <v>53</v>
      </c>
    </row>
    <row r="6335" spans="23:24" x14ac:dyDescent="0.25">
      <c r="W6335" s="574">
        <f t="shared" si="123"/>
        <v>6326</v>
      </c>
      <c r="X6335" s="564">
        <v>53</v>
      </c>
    </row>
    <row r="6336" spans="23:24" x14ac:dyDescent="0.25">
      <c r="W6336" s="574">
        <f t="shared" si="123"/>
        <v>6327</v>
      </c>
      <c r="X6336" s="564">
        <v>53</v>
      </c>
    </row>
    <row r="6337" spans="23:24" x14ac:dyDescent="0.25">
      <c r="W6337" s="574">
        <f t="shared" si="123"/>
        <v>6328</v>
      </c>
      <c r="X6337" s="564">
        <v>53</v>
      </c>
    </row>
    <row r="6338" spans="23:24" x14ac:dyDescent="0.25">
      <c r="W6338" s="574">
        <f t="shared" si="123"/>
        <v>6329</v>
      </c>
      <c r="X6338" s="564">
        <v>53</v>
      </c>
    </row>
    <row r="6339" spans="23:24" x14ac:dyDescent="0.25">
      <c r="W6339" s="574">
        <f t="shared" si="123"/>
        <v>6330</v>
      </c>
      <c r="X6339" s="564">
        <v>53</v>
      </c>
    </row>
    <row r="6340" spans="23:24" x14ac:dyDescent="0.25">
      <c r="W6340" s="574">
        <f t="shared" si="123"/>
        <v>6331</v>
      </c>
      <c r="X6340" s="564">
        <v>53</v>
      </c>
    </row>
    <row r="6341" spans="23:24" x14ac:dyDescent="0.25">
      <c r="W6341" s="574">
        <f t="shared" si="123"/>
        <v>6332</v>
      </c>
      <c r="X6341" s="564">
        <v>53</v>
      </c>
    </row>
    <row r="6342" spans="23:24" x14ac:dyDescent="0.25">
      <c r="W6342" s="574">
        <f t="shared" si="123"/>
        <v>6333</v>
      </c>
      <c r="X6342" s="564">
        <v>53</v>
      </c>
    </row>
    <row r="6343" spans="23:24" x14ac:dyDescent="0.25">
      <c r="W6343" s="574">
        <f t="shared" si="123"/>
        <v>6334</v>
      </c>
      <c r="X6343" s="564">
        <v>53</v>
      </c>
    </row>
    <row r="6344" spans="23:24" x14ac:dyDescent="0.25">
      <c r="W6344" s="574">
        <f t="shared" si="123"/>
        <v>6335</v>
      </c>
      <c r="X6344" s="564">
        <v>53</v>
      </c>
    </row>
    <row r="6345" spans="23:24" x14ac:dyDescent="0.25">
      <c r="W6345" s="574">
        <f t="shared" si="123"/>
        <v>6336</v>
      </c>
      <c r="X6345" s="564">
        <v>53</v>
      </c>
    </row>
    <row r="6346" spans="23:24" x14ac:dyDescent="0.25">
      <c r="W6346" s="574">
        <f t="shared" si="123"/>
        <v>6337</v>
      </c>
      <c r="X6346" s="564">
        <v>53</v>
      </c>
    </row>
    <row r="6347" spans="23:24" x14ac:dyDescent="0.25">
      <c r="W6347" s="574">
        <f t="shared" si="123"/>
        <v>6338</v>
      </c>
      <c r="X6347" s="564">
        <v>53</v>
      </c>
    </row>
    <row r="6348" spans="23:24" x14ac:dyDescent="0.25">
      <c r="W6348" s="574">
        <f t="shared" si="123"/>
        <v>6339</v>
      </c>
      <c r="X6348" s="564">
        <v>53</v>
      </c>
    </row>
    <row r="6349" spans="23:24" x14ac:dyDescent="0.25">
      <c r="W6349" s="574">
        <f t="shared" si="123"/>
        <v>6340</v>
      </c>
      <c r="X6349" s="564">
        <v>53</v>
      </c>
    </row>
    <row r="6350" spans="23:24" x14ac:dyDescent="0.25">
      <c r="W6350" s="574">
        <f t="shared" si="123"/>
        <v>6341</v>
      </c>
      <c r="X6350" s="564">
        <v>53</v>
      </c>
    </row>
    <row r="6351" spans="23:24" x14ac:dyDescent="0.25">
      <c r="W6351" s="574">
        <f t="shared" si="123"/>
        <v>6342</v>
      </c>
      <c r="X6351" s="564">
        <v>53</v>
      </c>
    </row>
    <row r="6352" spans="23:24" x14ac:dyDescent="0.25">
      <c r="W6352" s="574">
        <f t="shared" si="123"/>
        <v>6343</v>
      </c>
      <c r="X6352" s="564">
        <v>53</v>
      </c>
    </row>
    <row r="6353" spans="23:24" x14ac:dyDescent="0.25">
      <c r="W6353" s="574">
        <f t="shared" si="123"/>
        <v>6344</v>
      </c>
      <c r="X6353" s="564">
        <v>53</v>
      </c>
    </row>
    <row r="6354" spans="23:24" x14ac:dyDescent="0.25">
      <c r="W6354" s="574">
        <f t="shared" si="123"/>
        <v>6345</v>
      </c>
      <c r="X6354" s="564">
        <v>53</v>
      </c>
    </row>
    <row r="6355" spans="23:24" x14ac:dyDescent="0.25">
      <c r="W6355" s="574">
        <f t="shared" si="123"/>
        <v>6346</v>
      </c>
      <c r="X6355" s="564">
        <v>53</v>
      </c>
    </row>
    <row r="6356" spans="23:24" x14ac:dyDescent="0.25">
      <c r="W6356" s="574">
        <f t="shared" si="123"/>
        <v>6347</v>
      </c>
      <c r="X6356" s="564">
        <v>53</v>
      </c>
    </row>
    <row r="6357" spans="23:24" x14ac:dyDescent="0.25">
      <c r="W6357" s="574">
        <f t="shared" si="123"/>
        <v>6348</v>
      </c>
      <c r="X6357" s="564">
        <v>53</v>
      </c>
    </row>
    <row r="6358" spans="23:24" x14ac:dyDescent="0.25">
      <c r="W6358" s="574">
        <f t="shared" si="123"/>
        <v>6349</v>
      </c>
      <c r="X6358" s="564">
        <v>53</v>
      </c>
    </row>
    <row r="6359" spans="23:24" x14ac:dyDescent="0.25">
      <c r="W6359" s="574">
        <f t="shared" si="123"/>
        <v>6350</v>
      </c>
      <c r="X6359" s="564">
        <v>53</v>
      </c>
    </row>
    <row r="6360" spans="23:24" x14ac:dyDescent="0.25">
      <c r="W6360" s="574">
        <f t="shared" si="123"/>
        <v>6351</v>
      </c>
      <c r="X6360" s="564">
        <v>53</v>
      </c>
    </row>
    <row r="6361" spans="23:24" x14ac:dyDescent="0.25">
      <c r="W6361" s="574">
        <f t="shared" si="123"/>
        <v>6352</v>
      </c>
      <c r="X6361" s="564">
        <v>53</v>
      </c>
    </row>
    <row r="6362" spans="23:24" x14ac:dyDescent="0.25">
      <c r="W6362" s="574">
        <f t="shared" si="123"/>
        <v>6353</v>
      </c>
      <c r="X6362" s="564">
        <v>53</v>
      </c>
    </row>
    <row r="6363" spans="23:24" x14ac:dyDescent="0.25">
      <c r="W6363" s="574">
        <f t="shared" si="123"/>
        <v>6354</v>
      </c>
      <c r="X6363" s="564">
        <v>53</v>
      </c>
    </row>
    <row r="6364" spans="23:24" x14ac:dyDescent="0.25">
      <c r="W6364" s="574">
        <f t="shared" si="123"/>
        <v>6355</v>
      </c>
      <c r="X6364" s="564">
        <v>53</v>
      </c>
    </row>
    <row r="6365" spans="23:24" x14ac:dyDescent="0.25">
      <c r="W6365" s="574">
        <f t="shared" si="123"/>
        <v>6356</v>
      </c>
      <c r="X6365" s="564">
        <v>53</v>
      </c>
    </row>
    <row r="6366" spans="23:24" x14ac:dyDescent="0.25">
      <c r="W6366" s="574">
        <f t="shared" si="123"/>
        <v>6357</v>
      </c>
      <c r="X6366" s="564">
        <v>53</v>
      </c>
    </row>
    <row r="6367" spans="23:24" x14ac:dyDescent="0.25">
      <c r="W6367" s="574">
        <f t="shared" si="123"/>
        <v>6358</v>
      </c>
      <c r="X6367" s="564">
        <v>53</v>
      </c>
    </row>
    <row r="6368" spans="23:24" x14ac:dyDescent="0.25">
      <c r="W6368" s="574">
        <f t="shared" si="123"/>
        <v>6359</v>
      </c>
      <c r="X6368" s="564">
        <v>53</v>
      </c>
    </row>
    <row r="6369" spans="23:24" x14ac:dyDescent="0.25">
      <c r="W6369" s="574">
        <f t="shared" si="123"/>
        <v>6360</v>
      </c>
      <c r="X6369" s="564">
        <v>53</v>
      </c>
    </row>
    <row r="6370" spans="23:24" x14ac:dyDescent="0.25">
      <c r="W6370" s="574">
        <f t="shared" si="123"/>
        <v>6361</v>
      </c>
      <c r="X6370" s="564">
        <v>53</v>
      </c>
    </row>
    <row r="6371" spans="23:24" x14ac:dyDescent="0.25">
      <c r="W6371" s="574">
        <f t="shared" si="123"/>
        <v>6362</v>
      </c>
      <c r="X6371" s="564">
        <v>53</v>
      </c>
    </row>
    <row r="6372" spans="23:24" x14ac:dyDescent="0.25">
      <c r="W6372" s="574">
        <f t="shared" si="123"/>
        <v>6363</v>
      </c>
      <c r="X6372" s="564">
        <v>53</v>
      </c>
    </row>
    <row r="6373" spans="23:24" x14ac:dyDescent="0.25">
      <c r="W6373" s="574">
        <f t="shared" si="123"/>
        <v>6364</v>
      </c>
      <c r="X6373" s="564">
        <v>53</v>
      </c>
    </row>
    <row r="6374" spans="23:24" x14ac:dyDescent="0.25">
      <c r="W6374" s="574">
        <f t="shared" si="123"/>
        <v>6365</v>
      </c>
      <c r="X6374" s="564">
        <v>53</v>
      </c>
    </row>
    <row r="6375" spans="23:24" x14ac:dyDescent="0.25">
      <c r="W6375" s="574">
        <f t="shared" si="123"/>
        <v>6366</v>
      </c>
      <c r="X6375" s="564">
        <v>53</v>
      </c>
    </row>
    <row r="6376" spans="23:24" x14ac:dyDescent="0.25">
      <c r="W6376" s="574">
        <f t="shared" si="123"/>
        <v>6367</v>
      </c>
      <c r="X6376" s="564">
        <v>53</v>
      </c>
    </row>
    <row r="6377" spans="23:24" x14ac:dyDescent="0.25">
      <c r="W6377" s="574">
        <f t="shared" si="123"/>
        <v>6368</v>
      </c>
      <c r="X6377" s="564">
        <v>53</v>
      </c>
    </row>
    <row r="6378" spans="23:24" x14ac:dyDescent="0.25">
      <c r="W6378" s="574">
        <f t="shared" si="123"/>
        <v>6369</v>
      </c>
      <c r="X6378" s="564">
        <v>53</v>
      </c>
    </row>
    <row r="6379" spans="23:24" x14ac:dyDescent="0.25">
      <c r="W6379" s="574">
        <f t="shared" si="123"/>
        <v>6370</v>
      </c>
      <c r="X6379" s="564">
        <v>53</v>
      </c>
    </row>
    <row r="6380" spans="23:24" x14ac:dyDescent="0.25">
      <c r="W6380" s="574">
        <f t="shared" si="123"/>
        <v>6371</v>
      </c>
      <c r="X6380" s="564">
        <v>53</v>
      </c>
    </row>
    <row r="6381" spans="23:24" x14ac:dyDescent="0.25">
      <c r="W6381" s="574">
        <f t="shared" si="123"/>
        <v>6372</v>
      </c>
      <c r="X6381" s="564">
        <v>53</v>
      </c>
    </row>
    <row r="6382" spans="23:24" x14ac:dyDescent="0.25">
      <c r="W6382" s="574">
        <f t="shared" si="123"/>
        <v>6373</v>
      </c>
      <c r="X6382" s="564">
        <v>53</v>
      </c>
    </row>
    <row r="6383" spans="23:24" x14ac:dyDescent="0.25">
      <c r="W6383" s="574">
        <f t="shared" si="123"/>
        <v>6374</v>
      </c>
      <c r="X6383" s="564">
        <v>53</v>
      </c>
    </row>
    <row r="6384" spans="23:24" x14ac:dyDescent="0.25">
      <c r="W6384" s="574">
        <f t="shared" si="123"/>
        <v>6375</v>
      </c>
      <c r="X6384" s="564">
        <v>53</v>
      </c>
    </row>
    <row r="6385" spans="23:24" x14ac:dyDescent="0.25">
      <c r="W6385" s="574">
        <f t="shared" si="123"/>
        <v>6376</v>
      </c>
      <c r="X6385" s="564">
        <v>53</v>
      </c>
    </row>
    <row r="6386" spans="23:24" x14ac:dyDescent="0.25">
      <c r="W6386" s="574">
        <f t="shared" si="123"/>
        <v>6377</v>
      </c>
      <c r="X6386" s="564">
        <v>53</v>
      </c>
    </row>
    <row r="6387" spans="23:24" x14ac:dyDescent="0.25">
      <c r="W6387" s="574">
        <f t="shared" si="123"/>
        <v>6378</v>
      </c>
      <c r="X6387" s="564">
        <v>53</v>
      </c>
    </row>
    <row r="6388" spans="23:24" x14ac:dyDescent="0.25">
      <c r="W6388" s="574">
        <f t="shared" si="123"/>
        <v>6379</v>
      </c>
      <c r="X6388" s="564">
        <v>53</v>
      </c>
    </row>
    <row r="6389" spans="23:24" x14ac:dyDescent="0.25">
      <c r="W6389" s="574">
        <f t="shared" si="123"/>
        <v>6380</v>
      </c>
      <c r="X6389" s="564">
        <v>53</v>
      </c>
    </row>
    <row r="6390" spans="23:24" x14ac:dyDescent="0.25">
      <c r="W6390" s="574">
        <f t="shared" ref="W6390:W6453" si="124">W6389+1</f>
        <v>6381</v>
      </c>
      <c r="X6390" s="564">
        <v>53</v>
      </c>
    </row>
    <row r="6391" spans="23:24" x14ac:dyDescent="0.25">
      <c r="W6391" s="574">
        <f t="shared" si="124"/>
        <v>6382</v>
      </c>
      <c r="X6391" s="564">
        <v>53</v>
      </c>
    </row>
    <row r="6392" spans="23:24" x14ac:dyDescent="0.25">
      <c r="W6392" s="574">
        <f t="shared" si="124"/>
        <v>6383</v>
      </c>
      <c r="X6392" s="564">
        <v>53</v>
      </c>
    </row>
    <row r="6393" spans="23:24" x14ac:dyDescent="0.25">
      <c r="W6393" s="574">
        <f t="shared" si="124"/>
        <v>6384</v>
      </c>
      <c r="X6393" s="564">
        <v>53</v>
      </c>
    </row>
    <row r="6394" spans="23:24" x14ac:dyDescent="0.25">
      <c r="W6394" s="574">
        <f t="shared" si="124"/>
        <v>6385</v>
      </c>
      <c r="X6394" s="564">
        <v>53</v>
      </c>
    </row>
    <row r="6395" spans="23:24" x14ac:dyDescent="0.25">
      <c r="W6395" s="574">
        <f t="shared" si="124"/>
        <v>6386</v>
      </c>
      <c r="X6395" s="564">
        <v>53</v>
      </c>
    </row>
    <row r="6396" spans="23:24" x14ac:dyDescent="0.25">
      <c r="W6396" s="574">
        <f t="shared" si="124"/>
        <v>6387</v>
      </c>
      <c r="X6396" s="564">
        <v>53</v>
      </c>
    </row>
    <row r="6397" spans="23:24" x14ac:dyDescent="0.25">
      <c r="W6397" s="574">
        <f t="shared" si="124"/>
        <v>6388</v>
      </c>
      <c r="X6397" s="564">
        <v>53</v>
      </c>
    </row>
    <row r="6398" spans="23:24" x14ac:dyDescent="0.25">
      <c r="W6398" s="574">
        <f t="shared" si="124"/>
        <v>6389</v>
      </c>
      <c r="X6398" s="564">
        <v>53</v>
      </c>
    </row>
    <row r="6399" spans="23:24" x14ac:dyDescent="0.25">
      <c r="W6399" s="574">
        <f t="shared" si="124"/>
        <v>6390</v>
      </c>
      <c r="X6399" s="564">
        <v>53</v>
      </c>
    </row>
    <row r="6400" spans="23:24" x14ac:dyDescent="0.25">
      <c r="W6400" s="574">
        <f t="shared" si="124"/>
        <v>6391</v>
      </c>
      <c r="X6400" s="564">
        <v>53</v>
      </c>
    </row>
    <row r="6401" spans="23:24" x14ac:dyDescent="0.25">
      <c r="W6401" s="574">
        <f t="shared" si="124"/>
        <v>6392</v>
      </c>
      <c r="X6401" s="564">
        <v>53</v>
      </c>
    </row>
    <row r="6402" spans="23:24" x14ac:dyDescent="0.25">
      <c r="W6402" s="574">
        <f t="shared" si="124"/>
        <v>6393</v>
      </c>
      <c r="X6402" s="564">
        <v>53</v>
      </c>
    </row>
    <row r="6403" spans="23:24" x14ac:dyDescent="0.25">
      <c r="W6403" s="574">
        <f t="shared" si="124"/>
        <v>6394</v>
      </c>
      <c r="X6403" s="564">
        <v>53</v>
      </c>
    </row>
    <row r="6404" spans="23:24" x14ac:dyDescent="0.25">
      <c r="W6404" s="574">
        <f t="shared" si="124"/>
        <v>6395</v>
      </c>
      <c r="X6404" s="564">
        <v>53</v>
      </c>
    </row>
    <row r="6405" spans="23:24" x14ac:dyDescent="0.25">
      <c r="W6405" s="574">
        <f t="shared" si="124"/>
        <v>6396</v>
      </c>
      <c r="X6405" s="564">
        <v>53</v>
      </c>
    </row>
    <row r="6406" spans="23:24" x14ac:dyDescent="0.25">
      <c r="W6406" s="574">
        <f t="shared" si="124"/>
        <v>6397</v>
      </c>
      <c r="X6406" s="564">
        <v>53</v>
      </c>
    </row>
    <row r="6407" spans="23:24" x14ac:dyDescent="0.25">
      <c r="W6407" s="574">
        <f t="shared" si="124"/>
        <v>6398</v>
      </c>
      <c r="X6407" s="564">
        <v>53</v>
      </c>
    </row>
    <row r="6408" spans="23:24" x14ac:dyDescent="0.25">
      <c r="W6408" s="574">
        <f t="shared" si="124"/>
        <v>6399</v>
      </c>
      <c r="X6408" s="564">
        <v>53</v>
      </c>
    </row>
    <row r="6409" spans="23:24" x14ac:dyDescent="0.25">
      <c r="W6409" s="574">
        <f t="shared" si="124"/>
        <v>6400</v>
      </c>
      <c r="X6409" s="564">
        <v>53</v>
      </c>
    </row>
    <row r="6410" spans="23:24" x14ac:dyDescent="0.25">
      <c r="W6410" s="574">
        <f t="shared" si="124"/>
        <v>6401</v>
      </c>
      <c r="X6410" s="564">
        <v>53</v>
      </c>
    </row>
    <row r="6411" spans="23:24" x14ac:dyDescent="0.25">
      <c r="W6411" s="574">
        <f t="shared" si="124"/>
        <v>6402</v>
      </c>
      <c r="X6411" s="564">
        <v>53</v>
      </c>
    </row>
    <row r="6412" spans="23:24" x14ac:dyDescent="0.25">
      <c r="W6412" s="574">
        <f t="shared" si="124"/>
        <v>6403</v>
      </c>
      <c r="X6412" s="564">
        <v>53</v>
      </c>
    </row>
    <row r="6413" spans="23:24" x14ac:dyDescent="0.25">
      <c r="W6413" s="574">
        <f t="shared" si="124"/>
        <v>6404</v>
      </c>
      <c r="X6413" s="564">
        <v>53</v>
      </c>
    </row>
    <row r="6414" spans="23:24" x14ac:dyDescent="0.25">
      <c r="W6414" s="574">
        <f t="shared" si="124"/>
        <v>6405</v>
      </c>
      <c r="X6414" s="564">
        <v>53</v>
      </c>
    </row>
    <row r="6415" spans="23:24" x14ac:dyDescent="0.25">
      <c r="W6415" s="574">
        <f t="shared" si="124"/>
        <v>6406</v>
      </c>
      <c r="X6415" s="564">
        <v>53</v>
      </c>
    </row>
    <row r="6416" spans="23:24" x14ac:dyDescent="0.25">
      <c r="W6416" s="574">
        <f t="shared" si="124"/>
        <v>6407</v>
      </c>
      <c r="X6416" s="564">
        <v>53</v>
      </c>
    </row>
    <row r="6417" spans="23:24" x14ac:dyDescent="0.25">
      <c r="W6417" s="574">
        <f t="shared" si="124"/>
        <v>6408</v>
      </c>
      <c r="X6417" s="564">
        <v>53</v>
      </c>
    </row>
    <row r="6418" spans="23:24" x14ac:dyDescent="0.25">
      <c r="W6418" s="574">
        <f t="shared" si="124"/>
        <v>6409</v>
      </c>
      <c r="X6418" s="564">
        <v>53</v>
      </c>
    </row>
    <row r="6419" spans="23:24" x14ac:dyDescent="0.25">
      <c r="W6419" s="574">
        <f t="shared" si="124"/>
        <v>6410</v>
      </c>
      <c r="X6419" s="564">
        <v>53</v>
      </c>
    </row>
    <row r="6420" spans="23:24" x14ac:dyDescent="0.25">
      <c r="W6420" s="574">
        <f t="shared" si="124"/>
        <v>6411</v>
      </c>
      <c r="X6420" s="564">
        <v>53</v>
      </c>
    </row>
    <row r="6421" spans="23:24" x14ac:dyDescent="0.25">
      <c r="W6421" s="574">
        <f t="shared" si="124"/>
        <v>6412</v>
      </c>
      <c r="X6421" s="564">
        <v>53</v>
      </c>
    </row>
    <row r="6422" spans="23:24" x14ac:dyDescent="0.25">
      <c r="W6422" s="574">
        <f t="shared" si="124"/>
        <v>6413</v>
      </c>
      <c r="X6422" s="564">
        <v>53</v>
      </c>
    </row>
    <row r="6423" spans="23:24" x14ac:dyDescent="0.25">
      <c r="W6423" s="574">
        <f t="shared" si="124"/>
        <v>6414</v>
      </c>
      <c r="X6423" s="564">
        <v>53</v>
      </c>
    </row>
    <row r="6424" spans="23:24" x14ac:dyDescent="0.25">
      <c r="W6424" s="574">
        <f t="shared" si="124"/>
        <v>6415</v>
      </c>
      <c r="X6424" s="564">
        <v>53</v>
      </c>
    </row>
    <row r="6425" spans="23:24" x14ac:dyDescent="0.25">
      <c r="W6425" s="574">
        <f t="shared" si="124"/>
        <v>6416</v>
      </c>
      <c r="X6425" s="564">
        <v>53</v>
      </c>
    </row>
    <row r="6426" spans="23:24" x14ac:dyDescent="0.25">
      <c r="W6426" s="574">
        <f t="shared" si="124"/>
        <v>6417</v>
      </c>
      <c r="X6426" s="564">
        <v>53</v>
      </c>
    </row>
    <row r="6427" spans="23:24" x14ac:dyDescent="0.25">
      <c r="W6427" s="574">
        <f t="shared" si="124"/>
        <v>6418</v>
      </c>
      <c r="X6427" s="564">
        <v>53</v>
      </c>
    </row>
    <row r="6428" spans="23:24" x14ac:dyDescent="0.25">
      <c r="W6428" s="574">
        <f t="shared" si="124"/>
        <v>6419</v>
      </c>
      <c r="X6428" s="564">
        <v>53</v>
      </c>
    </row>
    <row r="6429" spans="23:24" x14ac:dyDescent="0.25">
      <c r="W6429" s="574">
        <f t="shared" si="124"/>
        <v>6420</v>
      </c>
      <c r="X6429" s="564">
        <v>53</v>
      </c>
    </row>
    <row r="6430" spans="23:24" x14ac:dyDescent="0.25">
      <c r="W6430" s="574">
        <f t="shared" si="124"/>
        <v>6421</v>
      </c>
      <c r="X6430" s="564">
        <v>53</v>
      </c>
    </row>
    <row r="6431" spans="23:24" x14ac:dyDescent="0.25">
      <c r="W6431" s="574">
        <f t="shared" si="124"/>
        <v>6422</v>
      </c>
      <c r="X6431" s="564">
        <v>53</v>
      </c>
    </row>
    <row r="6432" spans="23:24" x14ac:dyDescent="0.25">
      <c r="W6432" s="574">
        <f t="shared" si="124"/>
        <v>6423</v>
      </c>
      <c r="X6432" s="564">
        <v>53</v>
      </c>
    </row>
    <row r="6433" spans="23:24" x14ac:dyDescent="0.25">
      <c r="W6433" s="574">
        <f t="shared" si="124"/>
        <v>6424</v>
      </c>
      <c r="X6433" s="564">
        <v>53</v>
      </c>
    </row>
    <row r="6434" spans="23:24" x14ac:dyDescent="0.25">
      <c r="W6434" s="574">
        <f t="shared" si="124"/>
        <v>6425</v>
      </c>
      <c r="X6434" s="564">
        <v>53</v>
      </c>
    </row>
    <row r="6435" spans="23:24" x14ac:dyDescent="0.25">
      <c r="W6435" s="574">
        <f t="shared" si="124"/>
        <v>6426</v>
      </c>
      <c r="X6435" s="564">
        <v>53</v>
      </c>
    </row>
    <row r="6436" spans="23:24" x14ac:dyDescent="0.25">
      <c r="W6436" s="574">
        <f t="shared" si="124"/>
        <v>6427</v>
      </c>
      <c r="X6436" s="564">
        <v>53</v>
      </c>
    </row>
    <row r="6437" spans="23:24" x14ac:dyDescent="0.25">
      <c r="W6437" s="574">
        <f t="shared" si="124"/>
        <v>6428</v>
      </c>
      <c r="X6437" s="564">
        <v>53</v>
      </c>
    </row>
    <row r="6438" spans="23:24" x14ac:dyDescent="0.25">
      <c r="W6438" s="574">
        <f t="shared" si="124"/>
        <v>6429</v>
      </c>
      <c r="X6438" s="564">
        <v>53</v>
      </c>
    </row>
    <row r="6439" spans="23:24" x14ac:dyDescent="0.25">
      <c r="W6439" s="574">
        <f t="shared" si="124"/>
        <v>6430</v>
      </c>
      <c r="X6439" s="564">
        <v>53</v>
      </c>
    </row>
    <row r="6440" spans="23:24" x14ac:dyDescent="0.25">
      <c r="W6440" s="574">
        <f t="shared" si="124"/>
        <v>6431</v>
      </c>
      <c r="X6440" s="564">
        <v>53</v>
      </c>
    </row>
    <row r="6441" spans="23:24" x14ac:dyDescent="0.25">
      <c r="W6441" s="574">
        <f t="shared" si="124"/>
        <v>6432</v>
      </c>
      <c r="X6441" s="564">
        <v>53</v>
      </c>
    </row>
    <row r="6442" spans="23:24" x14ac:dyDescent="0.25">
      <c r="W6442" s="574">
        <f t="shared" si="124"/>
        <v>6433</v>
      </c>
      <c r="X6442" s="564">
        <v>53</v>
      </c>
    </row>
    <row r="6443" spans="23:24" x14ac:dyDescent="0.25">
      <c r="W6443" s="574">
        <f t="shared" si="124"/>
        <v>6434</v>
      </c>
      <c r="X6443" s="564">
        <v>53</v>
      </c>
    </row>
    <row r="6444" spans="23:24" x14ac:dyDescent="0.25">
      <c r="W6444" s="574">
        <f t="shared" si="124"/>
        <v>6435</v>
      </c>
      <c r="X6444" s="564">
        <v>53</v>
      </c>
    </row>
    <row r="6445" spans="23:24" x14ac:dyDescent="0.25">
      <c r="W6445" s="574">
        <f t="shared" si="124"/>
        <v>6436</v>
      </c>
      <c r="X6445" s="564">
        <v>53</v>
      </c>
    </row>
    <row r="6446" spans="23:24" x14ac:dyDescent="0.25">
      <c r="W6446" s="574">
        <f t="shared" si="124"/>
        <v>6437</v>
      </c>
      <c r="X6446" s="564">
        <v>53</v>
      </c>
    </row>
    <row r="6447" spans="23:24" x14ac:dyDescent="0.25">
      <c r="W6447" s="574">
        <f t="shared" si="124"/>
        <v>6438</v>
      </c>
      <c r="X6447" s="564">
        <v>53</v>
      </c>
    </row>
    <row r="6448" spans="23:24" x14ac:dyDescent="0.25">
      <c r="W6448" s="574">
        <f t="shared" si="124"/>
        <v>6439</v>
      </c>
      <c r="X6448" s="564">
        <v>53</v>
      </c>
    </row>
    <row r="6449" spans="23:24" x14ac:dyDescent="0.25">
      <c r="W6449" s="574">
        <f t="shared" si="124"/>
        <v>6440</v>
      </c>
      <c r="X6449" s="564">
        <v>53</v>
      </c>
    </row>
    <row r="6450" spans="23:24" x14ac:dyDescent="0.25">
      <c r="W6450" s="574">
        <f t="shared" si="124"/>
        <v>6441</v>
      </c>
      <c r="X6450" s="564">
        <v>53</v>
      </c>
    </row>
    <row r="6451" spans="23:24" x14ac:dyDescent="0.25">
      <c r="W6451" s="574">
        <f t="shared" si="124"/>
        <v>6442</v>
      </c>
      <c r="X6451" s="564">
        <v>53</v>
      </c>
    </row>
    <row r="6452" spans="23:24" x14ac:dyDescent="0.25">
      <c r="W6452" s="574">
        <f t="shared" si="124"/>
        <v>6443</v>
      </c>
      <c r="X6452" s="564">
        <v>53</v>
      </c>
    </row>
    <row r="6453" spans="23:24" x14ac:dyDescent="0.25">
      <c r="W6453" s="574">
        <f t="shared" si="124"/>
        <v>6444</v>
      </c>
      <c r="X6453" s="564">
        <v>53</v>
      </c>
    </row>
    <row r="6454" spans="23:24" x14ac:dyDescent="0.25">
      <c r="W6454" s="574">
        <f t="shared" ref="W6454:W6509" si="125">W6453+1</f>
        <v>6445</v>
      </c>
      <c r="X6454" s="564">
        <v>53</v>
      </c>
    </row>
    <row r="6455" spans="23:24" x14ac:dyDescent="0.25">
      <c r="W6455" s="574">
        <f t="shared" si="125"/>
        <v>6446</v>
      </c>
      <c r="X6455" s="564">
        <v>53</v>
      </c>
    </row>
    <row r="6456" spans="23:24" x14ac:dyDescent="0.25">
      <c r="W6456" s="574">
        <f t="shared" si="125"/>
        <v>6447</v>
      </c>
      <c r="X6456" s="564">
        <v>53</v>
      </c>
    </row>
    <row r="6457" spans="23:24" x14ac:dyDescent="0.25">
      <c r="W6457" s="574">
        <f t="shared" si="125"/>
        <v>6448</v>
      </c>
      <c r="X6457" s="564">
        <v>53</v>
      </c>
    </row>
    <row r="6458" spans="23:24" x14ac:dyDescent="0.25">
      <c r="W6458" s="574">
        <f t="shared" si="125"/>
        <v>6449</v>
      </c>
      <c r="X6458" s="564">
        <v>53</v>
      </c>
    </row>
    <row r="6459" spans="23:24" x14ac:dyDescent="0.25">
      <c r="W6459" s="574">
        <f t="shared" si="125"/>
        <v>6450</v>
      </c>
      <c r="X6459" s="564">
        <v>53</v>
      </c>
    </row>
    <row r="6460" spans="23:24" x14ac:dyDescent="0.25">
      <c r="W6460" s="574">
        <f t="shared" si="125"/>
        <v>6451</v>
      </c>
      <c r="X6460" s="564">
        <v>53</v>
      </c>
    </row>
    <row r="6461" spans="23:24" x14ac:dyDescent="0.25">
      <c r="W6461" s="574">
        <f t="shared" si="125"/>
        <v>6452</v>
      </c>
      <c r="X6461" s="564">
        <v>53</v>
      </c>
    </row>
    <row r="6462" spans="23:24" x14ac:dyDescent="0.25">
      <c r="W6462" s="574">
        <f t="shared" si="125"/>
        <v>6453</v>
      </c>
      <c r="X6462" s="564">
        <v>53</v>
      </c>
    </row>
    <row r="6463" spans="23:24" x14ac:dyDescent="0.25">
      <c r="W6463" s="574">
        <f t="shared" si="125"/>
        <v>6454</v>
      </c>
      <c r="X6463" s="564">
        <v>53</v>
      </c>
    </row>
    <row r="6464" spans="23:24" x14ac:dyDescent="0.25">
      <c r="W6464" s="574">
        <f t="shared" si="125"/>
        <v>6455</v>
      </c>
      <c r="X6464" s="564">
        <v>53</v>
      </c>
    </row>
    <row r="6465" spans="23:24" x14ac:dyDescent="0.25">
      <c r="W6465" s="574">
        <f t="shared" si="125"/>
        <v>6456</v>
      </c>
      <c r="X6465" s="564">
        <v>53</v>
      </c>
    </row>
    <row r="6466" spans="23:24" x14ac:dyDescent="0.25">
      <c r="W6466" s="574">
        <f t="shared" si="125"/>
        <v>6457</v>
      </c>
      <c r="X6466" s="564">
        <v>53</v>
      </c>
    </row>
    <row r="6467" spans="23:24" x14ac:dyDescent="0.25">
      <c r="W6467" s="574">
        <f t="shared" si="125"/>
        <v>6458</v>
      </c>
      <c r="X6467" s="564">
        <v>53</v>
      </c>
    </row>
    <row r="6468" spans="23:24" x14ac:dyDescent="0.25">
      <c r="W6468" s="574">
        <f t="shared" si="125"/>
        <v>6459</v>
      </c>
      <c r="X6468" s="564">
        <v>53</v>
      </c>
    </row>
    <row r="6469" spans="23:24" x14ac:dyDescent="0.25">
      <c r="W6469" s="574">
        <f t="shared" si="125"/>
        <v>6460</v>
      </c>
      <c r="X6469" s="564">
        <v>53</v>
      </c>
    </row>
    <row r="6470" spans="23:24" x14ac:dyDescent="0.25">
      <c r="W6470" s="574">
        <f t="shared" si="125"/>
        <v>6461</v>
      </c>
      <c r="X6470" s="564">
        <v>53</v>
      </c>
    </row>
    <row r="6471" spans="23:24" x14ac:dyDescent="0.25">
      <c r="W6471" s="574">
        <f t="shared" si="125"/>
        <v>6462</v>
      </c>
      <c r="X6471" s="564">
        <v>53</v>
      </c>
    </row>
    <row r="6472" spans="23:24" x14ac:dyDescent="0.25">
      <c r="W6472" s="574">
        <f t="shared" si="125"/>
        <v>6463</v>
      </c>
      <c r="X6472" s="564">
        <v>53</v>
      </c>
    </row>
    <row r="6473" spans="23:24" x14ac:dyDescent="0.25">
      <c r="W6473" s="574">
        <f t="shared" si="125"/>
        <v>6464</v>
      </c>
      <c r="X6473" s="564">
        <v>53</v>
      </c>
    </row>
    <row r="6474" spans="23:24" x14ac:dyDescent="0.25">
      <c r="W6474" s="574">
        <f t="shared" si="125"/>
        <v>6465</v>
      </c>
      <c r="X6474" s="564">
        <v>53</v>
      </c>
    </row>
    <row r="6475" spans="23:24" x14ac:dyDescent="0.25">
      <c r="W6475" s="574">
        <f t="shared" si="125"/>
        <v>6466</v>
      </c>
      <c r="X6475" s="564">
        <v>53</v>
      </c>
    </row>
    <row r="6476" spans="23:24" x14ac:dyDescent="0.25">
      <c r="W6476" s="574">
        <f t="shared" si="125"/>
        <v>6467</v>
      </c>
      <c r="X6476" s="564">
        <v>53</v>
      </c>
    </row>
    <row r="6477" spans="23:24" x14ac:dyDescent="0.25">
      <c r="W6477" s="574">
        <f t="shared" si="125"/>
        <v>6468</v>
      </c>
      <c r="X6477" s="564">
        <v>53</v>
      </c>
    </row>
    <row r="6478" spans="23:24" x14ac:dyDescent="0.25">
      <c r="W6478" s="574">
        <f t="shared" si="125"/>
        <v>6469</v>
      </c>
      <c r="X6478" s="564">
        <v>53</v>
      </c>
    </row>
    <row r="6479" spans="23:24" x14ac:dyDescent="0.25">
      <c r="W6479" s="574">
        <f t="shared" si="125"/>
        <v>6470</v>
      </c>
      <c r="X6479" s="564">
        <v>53</v>
      </c>
    </row>
    <row r="6480" spans="23:24" x14ac:dyDescent="0.25">
      <c r="W6480" s="574">
        <f t="shared" si="125"/>
        <v>6471</v>
      </c>
      <c r="X6480" s="564">
        <v>53</v>
      </c>
    </row>
    <row r="6481" spans="23:24" x14ac:dyDescent="0.25">
      <c r="W6481" s="574">
        <f t="shared" si="125"/>
        <v>6472</v>
      </c>
      <c r="X6481" s="564">
        <v>53</v>
      </c>
    </row>
    <row r="6482" spans="23:24" x14ac:dyDescent="0.25">
      <c r="W6482" s="574">
        <f t="shared" si="125"/>
        <v>6473</v>
      </c>
      <c r="X6482" s="564">
        <v>53</v>
      </c>
    </row>
    <row r="6483" spans="23:24" x14ac:dyDescent="0.25">
      <c r="W6483" s="574">
        <f t="shared" si="125"/>
        <v>6474</v>
      </c>
      <c r="X6483" s="564">
        <v>53</v>
      </c>
    </row>
    <row r="6484" spans="23:24" x14ac:dyDescent="0.25">
      <c r="W6484" s="574">
        <f t="shared" si="125"/>
        <v>6475</v>
      </c>
      <c r="X6484" s="564">
        <v>53</v>
      </c>
    </row>
    <row r="6485" spans="23:24" x14ac:dyDescent="0.25">
      <c r="W6485" s="574">
        <f t="shared" si="125"/>
        <v>6476</v>
      </c>
      <c r="X6485" s="564">
        <v>53</v>
      </c>
    </row>
    <row r="6486" spans="23:24" x14ac:dyDescent="0.25">
      <c r="W6486" s="574">
        <f t="shared" si="125"/>
        <v>6477</v>
      </c>
      <c r="X6486" s="564">
        <v>53</v>
      </c>
    </row>
    <row r="6487" spans="23:24" x14ac:dyDescent="0.25">
      <c r="W6487" s="574">
        <f t="shared" si="125"/>
        <v>6478</v>
      </c>
      <c r="X6487" s="564">
        <v>53</v>
      </c>
    </row>
    <row r="6488" spans="23:24" x14ac:dyDescent="0.25">
      <c r="W6488" s="574">
        <f t="shared" si="125"/>
        <v>6479</v>
      </c>
      <c r="X6488" s="564">
        <v>53</v>
      </c>
    </row>
    <row r="6489" spans="23:24" x14ac:dyDescent="0.25">
      <c r="W6489" s="574">
        <f t="shared" si="125"/>
        <v>6480</v>
      </c>
      <c r="X6489" s="564">
        <v>53</v>
      </c>
    </row>
    <row r="6490" spans="23:24" x14ac:dyDescent="0.25">
      <c r="W6490" s="574">
        <f t="shared" si="125"/>
        <v>6481</v>
      </c>
      <c r="X6490" s="564">
        <v>53</v>
      </c>
    </row>
    <row r="6491" spans="23:24" x14ac:dyDescent="0.25">
      <c r="W6491" s="574">
        <f t="shared" si="125"/>
        <v>6482</v>
      </c>
      <c r="X6491" s="564">
        <v>53</v>
      </c>
    </row>
    <row r="6492" spans="23:24" x14ac:dyDescent="0.25">
      <c r="W6492" s="574">
        <f t="shared" si="125"/>
        <v>6483</v>
      </c>
      <c r="X6492" s="564">
        <v>53</v>
      </c>
    </row>
    <row r="6493" spans="23:24" x14ac:dyDescent="0.25">
      <c r="W6493" s="574">
        <f t="shared" si="125"/>
        <v>6484</v>
      </c>
      <c r="X6493" s="564">
        <v>53</v>
      </c>
    </row>
    <row r="6494" spans="23:24" x14ac:dyDescent="0.25">
      <c r="W6494" s="574">
        <f t="shared" si="125"/>
        <v>6485</v>
      </c>
      <c r="X6494" s="564">
        <v>53</v>
      </c>
    </row>
    <row r="6495" spans="23:24" x14ac:dyDescent="0.25">
      <c r="W6495" s="574">
        <f t="shared" si="125"/>
        <v>6486</v>
      </c>
      <c r="X6495" s="564">
        <v>53</v>
      </c>
    </row>
    <row r="6496" spans="23:24" x14ac:dyDescent="0.25">
      <c r="W6496" s="574">
        <f t="shared" si="125"/>
        <v>6487</v>
      </c>
      <c r="X6496" s="564">
        <v>53</v>
      </c>
    </row>
    <row r="6497" spans="23:24" x14ac:dyDescent="0.25">
      <c r="W6497" s="574">
        <f t="shared" si="125"/>
        <v>6488</v>
      </c>
      <c r="X6497" s="564">
        <v>53</v>
      </c>
    </row>
    <row r="6498" spans="23:24" x14ac:dyDescent="0.25">
      <c r="W6498" s="574">
        <f t="shared" si="125"/>
        <v>6489</v>
      </c>
      <c r="X6498" s="564">
        <v>53</v>
      </c>
    </row>
    <row r="6499" spans="23:24" x14ac:dyDescent="0.25">
      <c r="W6499" s="574">
        <f t="shared" si="125"/>
        <v>6490</v>
      </c>
      <c r="X6499" s="564">
        <v>53</v>
      </c>
    </row>
    <row r="6500" spans="23:24" x14ac:dyDescent="0.25">
      <c r="W6500" s="574">
        <f t="shared" si="125"/>
        <v>6491</v>
      </c>
      <c r="X6500" s="564">
        <v>53</v>
      </c>
    </row>
    <row r="6501" spans="23:24" x14ac:dyDescent="0.25">
      <c r="W6501" s="574">
        <f t="shared" si="125"/>
        <v>6492</v>
      </c>
      <c r="X6501" s="564">
        <v>53</v>
      </c>
    </row>
    <row r="6502" spans="23:24" x14ac:dyDescent="0.25">
      <c r="W6502" s="574">
        <f t="shared" si="125"/>
        <v>6493</v>
      </c>
      <c r="X6502" s="564">
        <v>53</v>
      </c>
    </row>
    <row r="6503" spans="23:24" x14ac:dyDescent="0.25">
      <c r="W6503" s="574">
        <f t="shared" si="125"/>
        <v>6494</v>
      </c>
      <c r="X6503" s="564">
        <v>53</v>
      </c>
    </row>
    <row r="6504" spans="23:24" x14ac:dyDescent="0.25">
      <c r="W6504" s="574">
        <f t="shared" si="125"/>
        <v>6495</v>
      </c>
      <c r="X6504" s="564">
        <v>53</v>
      </c>
    </row>
    <row r="6505" spans="23:24" x14ac:dyDescent="0.25">
      <c r="W6505" s="574">
        <f t="shared" si="125"/>
        <v>6496</v>
      </c>
      <c r="X6505" s="564">
        <v>53</v>
      </c>
    </row>
    <row r="6506" spans="23:24" x14ac:dyDescent="0.25">
      <c r="W6506" s="574">
        <f t="shared" si="125"/>
        <v>6497</v>
      </c>
      <c r="X6506" s="564">
        <v>53</v>
      </c>
    </row>
    <row r="6507" spans="23:24" x14ac:dyDescent="0.25">
      <c r="W6507" s="574">
        <f t="shared" si="125"/>
        <v>6498</v>
      </c>
      <c r="X6507" s="564">
        <v>53</v>
      </c>
    </row>
    <row r="6508" spans="23:24" x14ac:dyDescent="0.25">
      <c r="W6508" s="574">
        <f t="shared" si="125"/>
        <v>6499</v>
      </c>
      <c r="X6508" s="564">
        <v>53</v>
      </c>
    </row>
    <row r="6509" spans="23:24" x14ac:dyDescent="0.25">
      <c r="W6509" s="574">
        <f t="shared" si="125"/>
        <v>6500</v>
      </c>
      <c r="X6509" s="564">
        <v>53</v>
      </c>
    </row>
  </sheetData>
  <conditionalFormatting sqref="B4:B14 C6:J10 K4:P10 C11:C14 W5:X18 D11:P18 B25:P58 R5:U18 U20:U60 W21:X82 X20 R20:T59">
    <cfRule type="cellIs" dxfId="33" priority="23" operator="lessThan">
      <formula>0</formula>
    </cfRule>
  </conditionalFormatting>
  <conditionalFormatting sqref="W84:X6509">
    <cfRule type="cellIs" dxfId="32" priority="21" operator="lessThan">
      <formula>0</formula>
    </cfRule>
  </conditionalFormatting>
  <conditionalFormatting sqref="W83:X83">
    <cfRule type="cellIs" dxfId="31" priority="19" operator="lessThan">
      <formula>0</formula>
    </cfRule>
  </conditionalFormatting>
  <conditionalFormatting sqref="B59:P65">
    <cfRule type="cellIs" dxfId="30" priority="16" operator="lessThan">
      <formula>0</formula>
    </cfRule>
  </conditionalFormatting>
  <conditionalFormatting sqref="B59:B65 D59:P65">
    <cfRule type="cellIs" dxfId="29" priority="15" operator="lessThan">
      <formula>0</formula>
    </cfRule>
  </conditionalFormatting>
  <conditionalFormatting sqref="B67:B112 C69:C112 B113:C114 K67:P68 D69:P117">
    <cfRule type="cellIs" dxfId="28" priority="14" operator="lessThan">
      <formula>0</formula>
    </cfRule>
  </conditionalFormatting>
  <conditionalFormatting sqref="B89:B114">
    <cfRule type="cellIs" dxfId="27" priority="13" operator="lessThan">
      <formula>0</formula>
    </cfRule>
  </conditionalFormatting>
  <conditionalFormatting sqref="B115:C117">
    <cfRule type="cellIs" dxfId="26" priority="12" operator="lessThan">
      <formula>0</formula>
    </cfRule>
  </conditionalFormatting>
  <conditionalFormatting sqref="B115:B117">
    <cfRule type="cellIs" dxfId="25" priority="11" operator="lessThan">
      <formula>0</formula>
    </cfRule>
  </conditionalFormatting>
  <conditionalFormatting sqref="B15:C17">
    <cfRule type="cellIs" dxfId="24" priority="10" operator="lessThan">
      <formula>0</formula>
    </cfRule>
  </conditionalFormatting>
  <conditionalFormatting sqref="B33:B58">
    <cfRule type="cellIs" dxfId="23" priority="9" operator="lessThan">
      <formula>0</formula>
    </cfRule>
  </conditionalFormatting>
  <conditionalFormatting sqref="K211:P212 D213:P236 B211:B236">
    <cfRule type="cellIs" dxfId="22" priority="5" operator="lessThan">
      <formula>0</formula>
    </cfRule>
  </conditionalFormatting>
  <conditionalFormatting sqref="K138:P179 D140:J179 B138:B183 C140:C183 B184:C185 D180:P185 D187">
    <cfRule type="cellIs" dxfId="21" priority="8" operator="lessThan">
      <formula>0</formula>
    </cfRule>
  </conditionalFormatting>
  <conditionalFormatting sqref="K160:P161 D162:P185 B160:B185 D187">
    <cfRule type="cellIs" dxfId="20" priority="7" operator="lessThan">
      <formula>0</formula>
    </cfRule>
  </conditionalFormatting>
  <conditionalFormatting sqref="K189:P190 B189:B234 C191:C234 B235:C236 D191:P236">
    <cfRule type="cellIs" dxfId="19" priority="6" operator="lessThan">
      <formula>0</formula>
    </cfRule>
  </conditionalFormatting>
  <conditionalFormatting sqref="K33:P34 D35:P58">
    <cfRule type="cellIs" dxfId="18" priority="3" operator="lessThan">
      <formula>0</formula>
    </cfRule>
  </conditionalFormatting>
  <conditionalFormatting sqref="B19:P24">
    <cfRule type="cellIs" dxfId="17" priority="2" operator="lessThan">
      <formula>0</formula>
    </cfRule>
  </conditionalFormatting>
  <conditionalFormatting sqref="W19:X19 R19:U19 W20">
    <cfRule type="cellIs" dxfId="16" priority="1" operator="lessThan">
      <formula>0</formula>
    </cfRule>
  </conditionalFormatting>
  <pageMargins left="0.7" right="0.7" top="0.75" bottom="0.75" header="0.3" footer="0.3"/>
  <pageSetup paperSize="9" scale="10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XFD164"/>
  <sheetViews>
    <sheetView zoomScale="68" zoomScaleNormal="68" zoomScalePageLayoutView="85" workbookViewId="0">
      <pane xSplit="3" ySplit="3" topLeftCell="S10" activePane="bottomRight" state="frozen"/>
      <selection activeCell="T18" sqref="T18"/>
      <selection pane="topRight" activeCell="T18" sqref="T18"/>
      <selection pane="bottomLeft" activeCell="T18" sqref="T18"/>
      <selection pane="bottomRight" activeCell="J156" sqref="J156"/>
    </sheetView>
  </sheetViews>
  <sheetFormatPr defaultColWidth="11.7109375" defaultRowHeight="12.75" x14ac:dyDescent="0.2"/>
  <cols>
    <col min="1" max="1" width="2.42578125" style="2" customWidth="1"/>
    <col min="2" max="2" width="31.7109375" style="2" customWidth="1"/>
    <col min="3" max="3" width="6.7109375" style="2" customWidth="1"/>
    <col min="4" max="4" width="1.28515625" style="2" customWidth="1"/>
    <col min="5" max="18" width="11.7109375" style="2"/>
    <col min="19" max="19" width="12.85546875" style="2" bestFit="1" customWidth="1"/>
    <col min="20" max="20" width="12.5703125" style="2" bestFit="1" customWidth="1"/>
    <col min="21" max="22" width="11.7109375" style="2"/>
    <col min="23" max="23" width="12.5703125" style="2" bestFit="1" customWidth="1"/>
    <col min="24" max="30" width="11.7109375" style="2"/>
    <col min="31" max="31" width="12.85546875" style="2" bestFit="1" customWidth="1"/>
    <col min="32" max="42" width="11.7109375" style="2"/>
    <col min="43" max="43" width="13.42578125" style="2" customWidth="1"/>
    <col min="44" max="16384" width="11.7109375" style="2"/>
  </cols>
  <sheetData>
    <row r="1" spans="1:125" ht="12.75" customHeight="1" x14ac:dyDescent="0.2">
      <c r="A1" s="1425" t="s">
        <v>300</v>
      </c>
      <c r="B1" s="1425"/>
      <c r="C1" s="1425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500"/>
      <c r="Q1" s="788"/>
      <c r="R1" s="3"/>
      <c r="S1" s="3"/>
      <c r="T1" s="3"/>
      <c r="U1" s="3"/>
      <c r="V1" s="3"/>
      <c r="W1" s="3"/>
      <c r="X1" s="3"/>
      <c r="Y1" s="3"/>
      <c r="Z1" s="3"/>
      <c r="AA1" s="3"/>
      <c r="AB1" s="500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500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500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0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500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00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500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500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500"/>
      <c r="DU1" s="3"/>
    </row>
    <row r="2" spans="1:125" ht="39" customHeight="1" x14ac:dyDescent="0.2">
      <c r="A2" s="1425"/>
      <c r="B2" s="1425"/>
      <c r="C2" s="1425"/>
      <c r="D2" s="14"/>
      <c r="E2" s="1420" t="s">
        <v>507</v>
      </c>
      <c r="F2" s="1420"/>
      <c r="G2" s="1420"/>
      <c r="H2" s="1420"/>
      <c r="I2" s="1420"/>
      <c r="J2" s="1420"/>
      <c r="K2" s="1420"/>
      <c r="L2" s="1420"/>
      <c r="M2" s="1420"/>
      <c r="N2" s="1420"/>
      <c r="O2" s="1420"/>
      <c r="P2" s="1421"/>
      <c r="Q2" s="1418" t="s">
        <v>508</v>
      </c>
      <c r="R2" s="1415"/>
      <c r="S2" s="1415"/>
      <c r="T2" s="1415"/>
      <c r="U2" s="1415"/>
      <c r="V2" s="1415"/>
      <c r="W2" s="1415"/>
      <c r="X2" s="1415"/>
      <c r="Y2" s="1415"/>
      <c r="Z2" s="1415"/>
      <c r="AA2" s="1415"/>
      <c r="AB2" s="1416"/>
      <c r="AC2" s="1415" t="s">
        <v>509</v>
      </c>
      <c r="AD2" s="1415"/>
      <c r="AE2" s="1415"/>
      <c r="AF2" s="1415"/>
      <c r="AG2" s="1415"/>
      <c r="AH2" s="1415"/>
      <c r="AI2" s="1415"/>
      <c r="AJ2" s="1415"/>
      <c r="AK2" s="1415"/>
      <c r="AL2" s="1415"/>
      <c r="AM2" s="1415"/>
      <c r="AN2" s="1416"/>
      <c r="AO2" s="1415" t="s">
        <v>510</v>
      </c>
      <c r="AP2" s="1415"/>
      <c r="AQ2" s="1415"/>
      <c r="AR2" s="1415"/>
      <c r="AS2" s="1415"/>
      <c r="AT2" s="1415"/>
      <c r="AU2" s="1415"/>
      <c r="AV2" s="1415"/>
      <c r="AW2" s="1415"/>
      <c r="AX2" s="1415"/>
      <c r="AY2" s="1415"/>
      <c r="AZ2" s="1416"/>
      <c r="BA2" s="1415" t="s">
        <v>511</v>
      </c>
      <c r="BB2" s="1415"/>
      <c r="BC2" s="1415"/>
      <c r="BD2" s="1415"/>
      <c r="BE2" s="1415"/>
      <c r="BF2" s="1415"/>
      <c r="BG2" s="1415"/>
      <c r="BH2" s="1415"/>
      <c r="BI2" s="1415"/>
      <c r="BJ2" s="1415"/>
      <c r="BK2" s="1415"/>
      <c r="BL2" s="1416"/>
      <c r="BM2" s="1415" t="s">
        <v>512</v>
      </c>
      <c r="BN2" s="1415"/>
      <c r="BO2" s="1415"/>
      <c r="BP2" s="1415"/>
      <c r="BQ2" s="1415"/>
      <c r="BR2" s="1415"/>
      <c r="BS2" s="1415"/>
      <c r="BT2" s="1415"/>
      <c r="BU2" s="1415"/>
      <c r="BV2" s="1415"/>
      <c r="BW2" s="1415"/>
      <c r="BX2" s="1416"/>
      <c r="BY2" s="1415" t="s">
        <v>513</v>
      </c>
      <c r="BZ2" s="1415"/>
      <c r="CA2" s="1415"/>
      <c r="CB2" s="1415"/>
      <c r="CC2" s="1415"/>
      <c r="CD2" s="1415"/>
      <c r="CE2" s="1415"/>
      <c r="CF2" s="1415"/>
      <c r="CG2" s="1415"/>
      <c r="CH2" s="1415"/>
      <c r="CI2" s="1415"/>
      <c r="CJ2" s="1416"/>
      <c r="CK2" s="1415" t="s">
        <v>514</v>
      </c>
      <c r="CL2" s="1415"/>
      <c r="CM2" s="1415"/>
      <c r="CN2" s="1415"/>
      <c r="CO2" s="1415"/>
      <c r="CP2" s="1415"/>
      <c r="CQ2" s="1415"/>
      <c r="CR2" s="1415"/>
      <c r="CS2" s="1415"/>
      <c r="CT2" s="1415"/>
      <c r="CU2" s="1415"/>
      <c r="CV2" s="1416"/>
      <c r="CW2" s="1415" t="s">
        <v>515</v>
      </c>
      <c r="CX2" s="1415"/>
      <c r="CY2" s="1415"/>
      <c r="CZ2" s="1415"/>
      <c r="DA2" s="1415"/>
      <c r="DB2" s="1415"/>
      <c r="DC2" s="1415"/>
      <c r="DD2" s="1415"/>
      <c r="DE2" s="1415"/>
      <c r="DF2" s="1415"/>
      <c r="DG2" s="1415"/>
      <c r="DH2" s="1416"/>
      <c r="DI2" s="1415" t="s">
        <v>516</v>
      </c>
      <c r="DJ2" s="1415"/>
      <c r="DK2" s="1415"/>
      <c r="DL2" s="1415"/>
      <c r="DM2" s="1415"/>
      <c r="DN2" s="1415"/>
      <c r="DO2" s="1415"/>
      <c r="DP2" s="1415"/>
      <c r="DQ2" s="1415"/>
      <c r="DR2" s="1415"/>
      <c r="DS2" s="1415"/>
      <c r="DT2" s="1416"/>
      <c r="DU2" s="3"/>
    </row>
    <row r="3" spans="1:125" ht="18.75" customHeight="1" x14ac:dyDescent="0.25">
      <c r="A3" s="1425"/>
      <c r="B3" s="1425"/>
      <c r="C3" s="1425"/>
      <c r="D3" s="7"/>
      <c r="E3" s="484" t="s">
        <v>175</v>
      </c>
      <c r="F3" s="484" t="s">
        <v>176</v>
      </c>
      <c r="G3" s="484" t="s">
        <v>177</v>
      </c>
      <c r="H3" s="484" t="s">
        <v>178</v>
      </c>
      <c r="I3" s="484" t="s">
        <v>167</v>
      </c>
      <c r="J3" s="484" t="s">
        <v>168</v>
      </c>
      <c r="K3" s="484" t="s">
        <v>169</v>
      </c>
      <c r="L3" s="484" t="s">
        <v>170</v>
      </c>
      <c r="M3" s="484" t="s">
        <v>171</v>
      </c>
      <c r="N3" s="484" t="s">
        <v>172</v>
      </c>
      <c r="O3" s="484" t="s">
        <v>173</v>
      </c>
      <c r="P3" s="694" t="s">
        <v>174</v>
      </c>
      <c r="Q3" s="541" t="s">
        <v>175</v>
      </c>
      <c r="R3" s="272" t="s">
        <v>176</v>
      </c>
      <c r="S3" s="272" t="s">
        <v>177</v>
      </c>
      <c r="T3" s="272" t="s">
        <v>178</v>
      </c>
      <c r="U3" s="272" t="s">
        <v>167</v>
      </c>
      <c r="V3" s="272" t="s">
        <v>168</v>
      </c>
      <c r="W3" s="272" t="s">
        <v>169</v>
      </c>
      <c r="X3" s="272" t="s">
        <v>170</v>
      </c>
      <c r="Y3" s="272" t="s">
        <v>171</v>
      </c>
      <c r="Z3" s="272" t="s">
        <v>172</v>
      </c>
      <c r="AA3" s="272" t="s">
        <v>173</v>
      </c>
      <c r="AB3" s="603" t="s">
        <v>174</v>
      </c>
      <c r="AC3" s="272" t="s">
        <v>175</v>
      </c>
      <c r="AD3" s="272" t="s">
        <v>176</v>
      </c>
      <c r="AE3" s="272" t="s">
        <v>177</v>
      </c>
      <c r="AF3" s="272" t="s">
        <v>178</v>
      </c>
      <c r="AG3" s="272" t="s">
        <v>167</v>
      </c>
      <c r="AH3" s="272" t="s">
        <v>168</v>
      </c>
      <c r="AI3" s="272" t="s">
        <v>169</v>
      </c>
      <c r="AJ3" s="272" t="s">
        <v>170</v>
      </c>
      <c r="AK3" s="272" t="s">
        <v>171</v>
      </c>
      <c r="AL3" s="272" t="s">
        <v>172</v>
      </c>
      <c r="AM3" s="272" t="s">
        <v>173</v>
      </c>
      <c r="AN3" s="603" t="s">
        <v>174</v>
      </c>
      <c r="AO3" s="272" t="s">
        <v>175</v>
      </c>
      <c r="AP3" s="272" t="s">
        <v>176</v>
      </c>
      <c r="AQ3" s="272" t="s">
        <v>177</v>
      </c>
      <c r="AR3" s="272" t="s">
        <v>178</v>
      </c>
      <c r="AS3" s="272" t="s">
        <v>167</v>
      </c>
      <c r="AT3" s="272" t="s">
        <v>168</v>
      </c>
      <c r="AU3" s="272" t="s">
        <v>169</v>
      </c>
      <c r="AV3" s="272" t="s">
        <v>170</v>
      </c>
      <c r="AW3" s="272" t="s">
        <v>171</v>
      </c>
      <c r="AX3" s="272" t="s">
        <v>172</v>
      </c>
      <c r="AY3" s="272" t="s">
        <v>173</v>
      </c>
      <c r="AZ3" s="603" t="s">
        <v>174</v>
      </c>
      <c r="BA3" s="272" t="s">
        <v>175</v>
      </c>
      <c r="BB3" s="272" t="s">
        <v>176</v>
      </c>
      <c r="BC3" s="272" t="s">
        <v>177</v>
      </c>
      <c r="BD3" s="272" t="s">
        <v>178</v>
      </c>
      <c r="BE3" s="272" t="s">
        <v>167</v>
      </c>
      <c r="BF3" s="272" t="s">
        <v>168</v>
      </c>
      <c r="BG3" s="272" t="s">
        <v>169</v>
      </c>
      <c r="BH3" s="272" t="s">
        <v>170</v>
      </c>
      <c r="BI3" s="272" t="s">
        <v>171</v>
      </c>
      <c r="BJ3" s="272" t="s">
        <v>172</v>
      </c>
      <c r="BK3" s="272" t="s">
        <v>173</v>
      </c>
      <c r="BL3" s="603" t="s">
        <v>174</v>
      </c>
      <c r="BM3" s="272" t="s">
        <v>175</v>
      </c>
      <c r="BN3" s="272" t="s">
        <v>176</v>
      </c>
      <c r="BO3" s="272" t="s">
        <v>177</v>
      </c>
      <c r="BP3" s="272" t="s">
        <v>178</v>
      </c>
      <c r="BQ3" s="272" t="s">
        <v>167</v>
      </c>
      <c r="BR3" s="272" t="s">
        <v>168</v>
      </c>
      <c r="BS3" s="272" t="s">
        <v>169</v>
      </c>
      <c r="BT3" s="272" t="s">
        <v>170</v>
      </c>
      <c r="BU3" s="272" t="s">
        <v>171</v>
      </c>
      <c r="BV3" s="272" t="s">
        <v>172</v>
      </c>
      <c r="BW3" s="272" t="s">
        <v>173</v>
      </c>
      <c r="BX3" s="603" t="s">
        <v>174</v>
      </c>
      <c r="BY3" s="272" t="s">
        <v>175</v>
      </c>
      <c r="BZ3" s="272" t="s">
        <v>176</v>
      </c>
      <c r="CA3" s="272" t="s">
        <v>177</v>
      </c>
      <c r="CB3" s="272" t="s">
        <v>178</v>
      </c>
      <c r="CC3" s="272" t="s">
        <v>167</v>
      </c>
      <c r="CD3" s="272" t="s">
        <v>168</v>
      </c>
      <c r="CE3" s="272" t="s">
        <v>169</v>
      </c>
      <c r="CF3" s="272" t="s">
        <v>170</v>
      </c>
      <c r="CG3" s="272" t="s">
        <v>171</v>
      </c>
      <c r="CH3" s="272" t="s">
        <v>172</v>
      </c>
      <c r="CI3" s="272" t="s">
        <v>173</v>
      </c>
      <c r="CJ3" s="603" t="s">
        <v>174</v>
      </c>
      <c r="CK3" s="272" t="s">
        <v>175</v>
      </c>
      <c r="CL3" s="272" t="s">
        <v>176</v>
      </c>
      <c r="CM3" s="272" t="s">
        <v>177</v>
      </c>
      <c r="CN3" s="272" t="s">
        <v>178</v>
      </c>
      <c r="CO3" s="272" t="s">
        <v>167</v>
      </c>
      <c r="CP3" s="272" t="s">
        <v>168</v>
      </c>
      <c r="CQ3" s="272" t="s">
        <v>169</v>
      </c>
      <c r="CR3" s="272" t="s">
        <v>170</v>
      </c>
      <c r="CS3" s="272" t="s">
        <v>171</v>
      </c>
      <c r="CT3" s="272" t="s">
        <v>172</v>
      </c>
      <c r="CU3" s="272" t="s">
        <v>173</v>
      </c>
      <c r="CV3" s="603" t="s">
        <v>174</v>
      </c>
      <c r="CW3" s="272" t="s">
        <v>175</v>
      </c>
      <c r="CX3" s="272" t="s">
        <v>176</v>
      </c>
      <c r="CY3" s="272" t="s">
        <v>177</v>
      </c>
      <c r="CZ3" s="272" t="s">
        <v>178</v>
      </c>
      <c r="DA3" s="272" t="s">
        <v>167</v>
      </c>
      <c r="DB3" s="272" t="s">
        <v>168</v>
      </c>
      <c r="DC3" s="272" t="s">
        <v>169</v>
      </c>
      <c r="DD3" s="272" t="s">
        <v>170</v>
      </c>
      <c r="DE3" s="272" t="s">
        <v>171</v>
      </c>
      <c r="DF3" s="272" t="s">
        <v>172</v>
      </c>
      <c r="DG3" s="272" t="s">
        <v>173</v>
      </c>
      <c r="DH3" s="603" t="s">
        <v>174</v>
      </c>
      <c r="DI3" s="272" t="s">
        <v>175</v>
      </c>
      <c r="DJ3" s="272" t="s">
        <v>176</v>
      </c>
      <c r="DK3" s="272" t="s">
        <v>177</v>
      </c>
      <c r="DL3" s="272" t="s">
        <v>178</v>
      </c>
      <c r="DM3" s="272" t="s">
        <v>167</v>
      </c>
      <c r="DN3" s="272" t="s">
        <v>168</v>
      </c>
      <c r="DO3" s="272" t="s">
        <v>169</v>
      </c>
      <c r="DP3" s="272" t="s">
        <v>170</v>
      </c>
      <c r="DQ3" s="272" t="s">
        <v>171</v>
      </c>
      <c r="DR3" s="272" t="s">
        <v>172</v>
      </c>
      <c r="DS3" s="272" t="s">
        <v>173</v>
      </c>
      <c r="DT3" s="603" t="s">
        <v>174</v>
      </c>
      <c r="DU3" s="3"/>
    </row>
    <row r="4" spans="1:125" ht="18.75" customHeight="1" x14ac:dyDescent="0.3">
      <c r="A4" s="511"/>
      <c r="B4" s="161" t="s">
        <v>598</v>
      </c>
      <c r="C4" s="511"/>
      <c r="D4" s="7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513"/>
      <c r="Q4" s="789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739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739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739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739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739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739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739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739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739"/>
      <c r="DU4" s="3"/>
    </row>
    <row r="5" spans="1:125" ht="15" customHeight="1" x14ac:dyDescent="0.25">
      <c r="A5" s="810"/>
      <c r="B5" s="514" t="s">
        <v>631</v>
      </c>
      <c r="C5" s="810"/>
      <c r="D5" s="7"/>
      <c r="E5" s="517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518"/>
      <c r="Q5" s="790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756"/>
      <c r="AC5" s="522"/>
      <c r="AD5" s="522"/>
      <c r="AE5" s="522">
        <f>S4</f>
        <v>0</v>
      </c>
      <c r="AF5" s="522"/>
      <c r="AG5" s="522"/>
      <c r="AH5" s="310"/>
      <c r="AI5" s="310"/>
      <c r="AJ5" s="310"/>
      <c r="AK5" s="310"/>
      <c r="AL5" s="310"/>
      <c r="AM5" s="310"/>
      <c r="AN5" s="311"/>
      <c r="AO5" s="28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1"/>
      <c r="BA5" s="28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1"/>
      <c r="BM5" s="28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1"/>
      <c r="BY5" s="28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1"/>
      <c r="CK5" s="28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1"/>
      <c r="CW5" s="28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1"/>
      <c r="DI5" s="280"/>
      <c r="DJ5" s="310"/>
      <c r="DK5" s="310"/>
      <c r="DL5" s="310"/>
      <c r="DM5" s="310"/>
      <c r="DN5" s="310"/>
      <c r="DO5" s="310"/>
      <c r="DP5" s="310"/>
      <c r="DQ5" s="310"/>
      <c r="DR5" s="310"/>
      <c r="DS5" s="310"/>
      <c r="DT5" s="311"/>
      <c r="DU5" s="3"/>
    </row>
    <row r="6" spans="1:125" ht="15" customHeight="1" x14ac:dyDescent="0.25">
      <c r="A6" s="810"/>
      <c r="B6" s="514" t="s">
        <v>632</v>
      </c>
      <c r="C6" s="810"/>
      <c r="D6" s="7"/>
      <c r="E6" s="517"/>
      <c r="F6" s="348"/>
      <c r="G6" s="348"/>
      <c r="H6" s="348"/>
      <c r="I6" s="348"/>
      <c r="J6" s="348"/>
      <c r="K6" s="348"/>
      <c r="L6" s="348"/>
      <c r="M6" s="348"/>
      <c r="N6" s="348"/>
      <c r="O6" s="348"/>
      <c r="P6" s="518"/>
      <c r="Q6" s="790"/>
      <c r="R6" s="522"/>
      <c r="S6" s="522">
        <f>'Smolt Production'!D51*1.5</f>
        <v>1250000</v>
      </c>
      <c r="T6" s="522"/>
      <c r="U6" s="522"/>
      <c r="V6" s="522"/>
      <c r="W6" s="522"/>
      <c r="X6" s="522"/>
      <c r="Y6" s="522"/>
      <c r="Z6" s="522"/>
      <c r="AA6" s="522"/>
      <c r="AB6" s="756"/>
      <c r="AC6" s="522"/>
      <c r="AD6" s="522"/>
      <c r="AE6" s="522"/>
      <c r="AF6" s="522"/>
      <c r="AG6" s="522"/>
      <c r="AH6" s="522"/>
      <c r="AI6" s="522"/>
      <c r="AJ6" s="522"/>
      <c r="AK6" s="522"/>
      <c r="AL6" s="522"/>
      <c r="AM6" s="522"/>
      <c r="AN6" s="756"/>
      <c r="AO6" s="522"/>
      <c r="AP6" s="522"/>
      <c r="AQ6" s="522"/>
      <c r="AR6" s="522"/>
      <c r="AS6" s="522"/>
      <c r="AT6" s="522"/>
      <c r="AU6" s="522"/>
      <c r="AV6" s="522"/>
      <c r="AW6" s="522"/>
      <c r="AX6" s="522"/>
      <c r="AY6" s="522"/>
      <c r="AZ6" s="756"/>
      <c r="BA6" s="522"/>
      <c r="BB6" s="522"/>
      <c r="BC6" s="522"/>
      <c r="BD6" s="522"/>
      <c r="BE6" s="522"/>
      <c r="BF6" s="522"/>
      <c r="BG6" s="522"/>
      <c r="BH6" s="522"/>
      <c r="BI6" s="522"/>
      <c r="BJ6" s="522"/>
      <c r="BK6" s="522"/>
      <c r="BL6" s="756"/>
      <c r="BM6" s="522"/>
      <c r="BN6" s="522"/>
      <c r="BO6" s="522"/>
      <c r="BP6" s="522"/>
      <c r="BQ6" s="522"/>
      <c r="BR6" s="522"/>
      <c r="BS6" s="522"/>
      <c r="BT6" s="522"/>
      <c r="BU6" s="522"/>
      <c r="BV6" s="522"/>
      <c r="BW6" s="522"/>
      <c r="BX6" s="756"/>
      <c r="BY6" s="522"/>
      <c r="BZ6" s="522"/>
      <c r="CA6" s="522"/>
      <c r="CB6" s="522"/>
      <c r="CC6" s="522"/>
      <c r="CD6" s="522"/>
      <c r="CE6" s="522"/>
      <c r="CF6" s="522"/>
      <c r="CG6" s="522"/>
      <c r="CH6" s="522"/>
      <c r="CI6" s="522"/>
      <c r="CJ6" s="756"/>
      <c r="CK6" s="522"/>
      <c r="CL6" s="522"/>
      <c r="CM6" s="522"/>
      <c r="CN6" s="522"/>
      <c r="CO6" s="522"/>
      <c r="CP6" s="522"/>
      <c r="CQ6" s="522"/>
      <c r="CR6" s="522"/>
      <c r="CS6" s="522"/>
      <c r="CT6" s="522"/>
      <c r="CU6" s="522"/>
      <c r="CV6" s="756"/>
      <c r="CW6" s="522"/>
      <c r="CX6" s="522"/>
      <c r="CY6" s="522"/>
      <c r="CZ6" s="522"/>
      <c r="DA6" s="522"/>
      <c r="DB6" s="522"/>
      <c r="DC6" s="522"/>
      <c r="DD6" s="522"/>
      <c r="DE6" s="522"/>
      <c r="DF6" s="522"/>
      <c r="DG6" s="522"/>
      <c r="DH6" s="756"/>
      <c r="DI6" s="522"/>
      <c r="DJ6" s="522"/>
      <c r="DK6" s="522"/>
      <c r="DL6" s="522"/>
      <c r="DM6" s="522"/>
      <c r="DN6" s="522"/>
      <c r="DO6" s="522"/>
      <c r="DP6" s="522"/>
      <c r="DQ6" s="522"/>
      <c r="DR6" s="522"/>
      <c r="DS6" s="522"/>
      <c r="DT6" s="756"/>
      <c r="DU6" s="3"/>
    </row>
    <row r="7" spans="1:125" ht="15" customHeight="1" x14ac:dyDescent="0.25">
      <c r="A7" s="810"/>
      <c r="B7" s="514" t="s">
        <v>633</v>
      </c>
      <c r="C7" s="810"/>
      <c r="D7" s="7"/>
      <c r="E7" s="517"/>
      <c r="F7" s="348"/>
      <c r="G7" s="348"/>
      <c r="H7" s="348"/>
      <c r="I7" s="348"/>
      <c r="J7" s="348"/>
      <c r="K7" s="348"/>
      <c r="L7" s="348"/>
      <c r="M7" s="348"/>
      <c r="N7" s="348"/>
      <c r="O7" s="348"/>
      <c r="P7" s="518"/>
      <c r="Q7" s="790"/>
      <c r="R7" s="522"/>
      <c r="S7" s="522"/>
      <c r="T7" s="522"/>
      <c r="U7" s="522"/>
      <c r="V7" s="522"/>
      <c r="W7" s="522"/>
      <c r="X7" s="522"/>
      <c r="Y7" s="522"/>
      <c r="Z7" s="522"/>
      <c r="AA7" s="522"/>
      <c r="AB7" s="756"/>
      <c r="AC7" s="522"/>
      <c r="AD7" s="522"/>
      <c r="AE7" s="522">
        <f>S6</f>
        <v>1250000</v>
      </c>
      <c r="AF7" s="522"/>
      <c r="AG7" s="522"/>
      <c r="AH7" s="522"/>
      <c r="AI7" s="522"/>
      <c r="AJ7" s="522"/>
      <c r="AK7" s="522"/>
      <c r="AL7" s="522"/>
      <c r="AM7" s="522"/>
      <c r="AN7" s="756"/>
      <c r="AO7" s="522"/>
      <c r="AP7" s="522"/>
      <c r="AQ7" s="522"/>
      <c r="AR7" s="522"/>
      <c r="AS7" s="522"/>
      <c r="AT7" s="522"/>
      <c r="AU7" s="522"/>
      <c r="AV7" s="522"/>
      <c r="AW7" s="522"/>
      <c r="AX7" s="522"/>
      <c r="AY7" s="522"/>
      <c r="AZ7" s="756"/>
      <c r="BA7" s="522"/>
      <c r="BB7" s="522"/>
      <c r="BC7" s="522"/>
      <c r="BD7" s="522"/>
      <c r="BE7" s="522"/>
      <c r="BF7" s="522"/>
      <c r="BG7" s="522"/>
      <c r="BH7" s="522"/>
      <c r="BI7" s="522"/>
      <c r="BJ7" s="522"/>
      <c r="BK7" s="522"/>
      <c r="BL7" s="756"/>
      <c r="BM7" s="522"/>
      <c r="BN7" s="522"/>
      <c r="BO7" s="522"/>
      <c r="BP7" s="522"/>
      <c r="BQ7" s="522"/>
      <c r="BR7" s="522"/>
      <c r="BS7" s="522"/>
      <c r="BT7" s="522"/>
      <c r="BU7" s="522"/>
      <c r="BV7" s="522"/>
      <c r="BW7" s="522"/>
      <c r="BX7" s="756"/>
      <c r="BY7" s="522"/>
      <c r="BZ7" s="522"/>
      <c r="CA7" s="522"/>
      <c r="CB7" s="522"/>
      <c r="CC7" s="522"/>
      <c r="CD7" s="522"/>
      <c r="CE7" s="522"/>
      <c r="CF7" s="522"/>
      <c r="CG7" s="522"/>
      <c r="CH7" s="522"/>
      <c r="CI7" s="522"/>
      <c r="CJ7" s="756"/>
      <c r="CK7" s="522"/>
      <c r="CL7" s="522"/>
      <c r="CM7" s="522"/>
      <c r="CN7" s="522"/>
      <c r="CO7" s="522"/>
      <c r="CP7" s="522"/>
      <c r="CQ7" s="522"/>
      <c r="CR7" s="522"/>
      <c r="CS7" s="522"/>
      <c r="CT7" s="522"/>
      <c r="CU7" s="522"/>
      <c r="CV7" s="756"/>
      <c r="CW7" s="522"/>
      <c r="CX7" s="522"/>
      <c r="CY7" s="522"/>
      <c r="CZ7" s="522"/>
      <c r="DA7" s="522"/>
      <c r="DB7" s="522"/>
      <c r="DC7" s="522"/>
      <c r="DD7" s="522"/>
      <c r="DE7" s="522"/>
      <c r="DF7" s="522"/>
      <c r="DG7" s="522"/>
      <c r="DH7" s="756"/>
      <c r="DI7" s="522"/>
      <c r="DJ7" s="522"/>
      <c r="DK7" s="522"/>
      <c r="DL7" s="522"/>
      <c r="DM7" s="522"/>
      <c r="DN7" s="522"/>
      <c r="DO7" s="522"/>
      <c r="DP7" s="522"/>
      <c r="DQ7" s="522"/>
      <c r="DR7" s="522"/>
      <c r="DS7" s="522"/>
      <c r="DT7" s="756"/>
      <c r="DU7" s="3"/>
    </row>
    <row r="8" spans="1:125" ht="15" customHeight="1" x14ac:dyDescent="0.25">
      <c r="A8" s="810"/>
      <c r="B8" s="514" t="s">
        <v>634</v>
      </c>
      <c r="C8" s="810"/>
      <c r="D8" s="7"/>
      <c r="E8" s="517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518"/>
      <c r="Q8" s="790"/>
      <c r="R8" s="522"/>
      <c r="S8" s="522"/>
      <c r="T8" s="522"/>
      <c r="U8" s="522"/>
      <c r="V8" s="522"/>
      <c r="W8" s="522"/>
      <c r="X8" s="522"/>
      <c r="Y8" s="522"/>
      <c r="Z8" s="522"/>
      <c r="AA8" s="522"/>
      <c r="AB8" s="756"/>
      <c r="AC8" s="522"/>
      <c r="AD8" s="522"/>
      <c r="AE8" s="522">
        <f>S7</f>
        <v>0</v>
      </c>
      <c r="AF8" s="522"/>
      <c r="AG8" s="522"/>
      <c r="AH8" s="310"/>
      <c r="AI8" s="310"/>
      <c r="AJ8" s="310"/>
      <c r="AK8" s="310"/>
      <c r="AL8" s="310"/>
      <c r="AM8" s="310"/>
      <c r="AN8" s="311"/>
      <c r="AO8" s="280"/>
      <c r="AP8" s="310"/>
      <c r="AQ8" s="310">
        <f>AE7</f>
        <v>1250000</v>
      </c>
      <c r="AR8" s="310"/>
      <c r="AS8" s="310"/>
      <c r="AT8" s="310"/>
      <c r="AU8" s="310"/>
      <c r="AV8" s="310"/>
      <c r="AW8" s="310"/>
      <c r="AX8" s="310"/>
      <c r="AY8" s="310"/>
      <c r="AZ8" s="311"/>
      <c r="BA8" s="280"/>
      <c r="BB8" s="310"/>
      <c r="BC8" s="310"/>
      <c r="BD8" s="310"/>
      <c r="BE8" s="310"/>
      <c r="BF8" s="310"/>
      <c r="BG8" s="310"/>
      <c r="BH8" s="310"/>
      <c r="BI8" s="310"/>
      <c r="BJ8" s="310"/>
      <c r="BK8" s="310"/>
      <c r="BL8" s="311"/>
      <c r="BM8" s="280"/>
      <c r="BN8" s="310"/>
      <c r="BO8" s="310"/>
      <c r="BP8" s="310"/>
      <c r="BQ8" s="310"/>
      <c r="BR8" s="310"/>
      <c r="BS8" s="310"/>
      <c r="BT8" s="310"/>
      <c r="BU8" s="310"/>
      <c r="BV8" s="310"/>
      <c r="BW8" s="310"/>
      <c r="BX8" s="311"/>
      <c r="BY8" s="280"/>
      <c r="BZ8" s="310"/>
      <c r="CA8" s="310"/>
      <c r="CB8" s="310"/>
      <c r="CC8" s="310"/>
      <c r="CD8" s="310"/>
      <c r="CE8" s="310"/>
      <c r="CF8" s="310"/>
      <c r="CG8" s="310"/>
      <c r="CH8" s="310"/>
      <c r="CI8" s="310"/>
      <c r="CJ8" s="311"/>
      <c r="CK8" s="280"/>
      <c r="CL8" s="310"/>
      <c r="CM8" s="310"/>
      <c r="CN8" s="310"/>
      <c r="CO8" s="310"/>
      <c r="CP8" s="310"/>
      <c r="CQ8" s="310"/>
      <c r="CR8" s="310"/>
      <c r="CS8" s="310"/>
      <c r="CT8" s="310"/>
      <c r="CU8" s="310"/>
      <c r="CV8" s="311"/>
      <c r="CW8" s="280"/>
      <c r="CX8" s="310"/>
      <c r="CY8" s="310"/>
      <c r="CZ8" s="310"/>
      <c r="DA8" s="310"/>
      <c r="DB8" s="310"/>
      <c r="DC8" s="310"/>
      <c r="DD8" s="310"/>
      <c r="DE8" s="310"/>
      <c r="DF8" s="310"/>
      <c r="DG8" s="310"/>
      <c r="DH8" s="311"/>
      <c r="DI8" s="280"/>
      <c r="DJ8" s="310"/>
      <c r="DK8" s="310"/>
      <c r="DL8" s="310"/>
      <c r="DM8" s="310"/>
      <c r="DN8" s="310"/>
      <c r="DO8" s="310"/>
      <c r="DP8" s="310"/>
      <c r="DQ8" s="310"/>
      <c r="DR8" s="310"/>
      <c r="DS8" s="310"/>
      <c r="DT8" s="311"/>
      <c r="DU8" s="3"/>
    </row>
    <row r="9" spans="1:125" ht="15" customHeight="1" x14ac:dyDescent="0.25">
      <c r="A9" s="810"/>
      <c r="B9" s="514" t="s">
        <v>635</v>
      </c>
      <c r="C9" s="810"/>
      <c r="D9" s="7"/>
      <c r="E9" s="517"/>
      <c r="F9" s="348"/>
      <c r="G9" s="348"/>
      <c r="H9" s="348"/>
      <c r="I9" s="348"/>
      <c r="J9" s="348"/>
      <c r="K9" s="348"/>
      <c r="L9" s="348"/>
      <c r="M9" s="348"/>
      <c r="N9" s="348"/>
      <c r="O9" s="348"/>
      <c r="P9" s="518"/>
      <c r="Q9" s="790"/>
      <c r="R9" s="522"/>
      <c r="S9" s="522"/>
      <c r="T9" s="522"/>
      <c r="U9" s="522"/>
      <c r="V9" s="522"/>
      <c r="W9" s="522"/>
      <c r="X9" s="522"/>
      <c r="Y9" s="522"/>
      <c r="Z9" s="522"/>
      <c r="AA9" s="522"/>
      <c r="AB9" s="756"/>
      <c r="AC9" s="522"/>
      <c r="AD9" s="522"/>
      <c r="AE9" s="522"/>
      <c r="AF9" s="522"/>
      <c r="AG9" s="522"/>
      <c r="AH9" s="522"/>
      <c r="AI9" s="522"/>
      <c r="AJ9" s="522"/>
      <c r="AK9" s="522"/>
      <c r="AL9" s="522"/>
      <c r="AM9" s="522"/>
      <c r="AN9" s="756"/>
      <c r="AO9" s="522"/>
      <c r="AP9" s="522"/>
      <c r="AQ9" s="522"/>
      <c r="AR9" s="522"/>
      <c r="AS9" s="522"/>
      <c r="AT9" s="522"/>
      <c r="AU9" s="522"/>
      <c r="AV9" s="522"/>
      <c r="AW9" s="522"/>
      <c r="AX9" s="522"/>
      <c r="AY9" s="522"/>
      <c r="AZ9" s="756"/>
      <c r="BA9" s="522"/>
      <c r="BB9" s="522"/>
      <c r="BC9" s="522">
        <f>AQ8</f>
        <v>1250000</v>
      </c>
      <c r="BD9" s="522"/>
      <c r="BE9" s="522"/>
      <c r="BF9" s="522"/>
      <c r="BG9" s="522"/>
      <c r="BH9" s="522"/>
      <c r="BI9" s="522"/>
      <c r="BJ9" s="522"/>
      <c r="BK9" s="522"/>
      <c r="BL9" s="756"/>
      <c r="BM9" s="522"/>
      <c r="BN9" s="522"/>
      <c r="BO9" s="522"/>
      <c r="BP9" s="522"/>
      <c r="BQ9" s="522"/>
      <c r="BR9" s="522"/>
      <c r="BS9" s="522"/>
      <c r="BT9" s="522"/>
      <c r="BU9" s="522"/>
      <c r="BV9" s="522"/>
      <c r="BW9" s="522"/>
      <c r="BX9" s="756"/>
      <c r="BY9" s="522"/>
      <c r="BZ9" s="522"/>
      <c r="CA9" s="522"/>
      <c r="CB9" s="522"/>
      <c r="CC9" s="522"/>
      <c r="CD9" s="522"/>
      <c r="CE9" s="522"/>
      <c r="CF9" s="522"/>
      <c r="CG9" s="522"/>
      <c r="CH9" s="522"/>
      <c r="CI9" s="522"/>
      <c r="CJ9" s="756"/>
      <c r="CK9" s="522"/>
      <c r="CL9" s="522"/>
      <c r="CM9" s="522"/>
      <c r="CN9" s="522"/>
      <c r="CO9" s="522"/>
      <c r="CP9" s="522"/>
      <c r="CQ9" s="522"/>
      <c r="CR9" s="522"/>
      <c r="CS9" s="522"/>
      <c r="CT9" s="522"/>
      <c r="CU9" s="522"/>
      <c r="CV9" s="756"/>
      <c r="CW9" s="522"/>
      <c r="CX9" s="522"/>
      <c r="CY9" s="522"/>
      <c r="CZ9" s="522"/>
      <c r="DA9" s="522"/>
      <c r="DB9" s="522"/>
      <c r="DC9" s="522"/>
      <c r="DD9" s="522"/>
      <c r="DE9" s="522"/>
      <c r="DF9" s="522"/>
      <c r="DG9" s="522"/>
      <c r="DH9" s="756"/>
      <c r="DI9" s="522"/>
      <c r="DJ9" s="522"/>
      <c r="DK9" s="522"/>
      <c r="DL9" s="522"/>
      <c r="DM9" s="522"/>
      <c r="DN9" s="522"/>
      <c r="DO9" s="522"/>
      <c r="DP9" s="522"/>
      <c r="DQ9" s="522"/>
      <c r="DR9" s="522"/>
      <c r="DS9" s="522"/>
      <c r="DT9" s="756"/>
      <c r="DU9" s="3"/>
    </row>
    <row r="10" spans="1:125" ht="15" customHeight="1" x14ac:dyDescent="0.25">
      <c r="A10" s="810"/>
      <c r="B10" s="514" t="s">
        <v>636</v>
      </c>
      <c r="C10" s="810"/>
      <c r="D10" s="7"/>
      <c r="E10" s="517"/>
      <c r="F10" s="348"/>
      <c r="G10" s="348"/>
      <c r="H10" s="348"/>
      <c r="I10" s="348"/>
      <c r="J10" s="348"/>
      <c r="K10" s="348"/>
      <c r="L10" s="348"/>
      <c r="M10" s="348"/>
      <c r="N10" s="348"/>
      <c r="O10" s="348"/>
      <c r="P10" s="518"/>
      <c r="Q10" s="790"/>
      <c r="R10" s="522"/>
      <c r="S10" s="522"/>
      <c r="T10" s="522"/>
      <c r="U10" s="522"/>
      <c r="V10" s="522"/>
      <c r="W10" s="522"/>
      <c r="X10" s="522"/>
      <c r="Y10" s="522"/>
      <c r="Z10" s="522"/>
      <c r="AA10" s="522"/>
      <c r="AB10" s="756"/>
      <c r="AC10" s="522"/>
      <c r="AD10" s="522"/>
      <c r="AE10" s="522">
        <f>S9</f>
        <v>0</v>
      </c>
      <c r="AF10" s="522"/>
      <c r="AG10" s="522"/>
      <c r="AH10" s="522"/>
      <c r="AI10" s="522"/>
      <c r="AJ10" s="522"/>
      <c r="AK10" s="522"/>
      <c r="AL10" s="522"/>
      <c r="AM10" s="522"/>
      <c r="AN10" s="756"/>
      <c r="AO10" s="522"/>
      <c r="AP10" s="522"/>
      <c r="AQ10" s="522"/>
      <c r="AR10" s="522"/>
      <c r="AS10" s="522"/>
      <c r="AT10" s="522"/>
      <c r="AU10" s="522"/>
      <c r="AV10" s="522"/>
      <c r="AW10" s="522"/>
      <c r="AX10" s="522"/>
      <c r="AY10" s="522"/>
      <c r="AZ10" s="756"/>
      <c r="BA10" s="522"/>
      <c r="BB10" s="522"/>
      <c r="BC10" s="522"/>
      <c r="BD10" s="522"/>
      <c r="BE10" s="522"/>
      <c r="BF10" s="522"/>
      <c r="BG10" s="522"/>
      <c r="BH10" s="522"/>
      <c r="BI10" s="522"/>
      <c r="BJ10" s="522"/>
      <c r="BK10" s="522"/>
      <c r="BL10" s="756"/>
      <c r="BM10" s="522"/>
      <c r="BN10" s="522"/>
      <c r="BO10" s="522">
        <f>BC9</f>
        <v>1250000</v>
      </c>
      <c r="BP10" s="522"/>
      <c r="BQ10" s="522"/>
      <c r="BR10" s="522"/>
      <c r="BS10" s="522"/>
      <c r="BT10" s="522"/>
      <c r="BU10" s="522"/>
      <c r="BV10" s="522"/>
      <c r="BW10" s="522"/>
      <c r="BX10" s="756"/>
      <c r="BY10" s="522"/>
      <c r="BZ10" s="522"/>
      <c r="CA10" s="522"/>
      <c r="CB10" s="522"/>
      <c r="CC10" s="522"/>
      <c r="CD10" s="522"/>
      <c r="CE10" s="522"/>
      <c r="CF10" s="522"/>
      <c r="CG10" s="522"/>
      <c r="CH10" s="522"/>
      <c r="CI10" s="522"/>
      <c r="CJ10" s="756"/>
      <c r="CK10" s="522"/>
      <c r="CL10" s="522"/>
      <c r="CM10" s="522"/>
      <c r="CN10" s="522"/>
      <c r="CO10" s="522"/>
      <c r="CP10" s="522"/>
      <c r="CQ10" s="522"/>
      <c r="CR10" s="522"/>
      <c r="CS10" s="522"/>
      <c r="CT10" s="522"/>
      <c r="CU10" s="522"/>
      <c r="CV10" s="756"/>
      <c r="CW10" s="522"/>
      <c r="CX10" s="522"/>
      <c r="CY10" s="522"/>
      <c r="CZ10" s="522"/>
      <c r="DA10" s="522"/>
      <c r="DB10" s="522"/>
      <c r="DC10" s="522"/>
      <c r="DD10" s="522"/>
      <c r="DE10" s="522"/>
      <c r="DF10" s="522"/>
      <c r="DG10" s="522"/>
      <c r="DH10" s="756"/>
      <c r="DI10" s="522"/>
      <c r="DJ10" s="522"/>
      <c r="DK10" s="522"/>
      <c r="DL10" s="522"/>
      <c r="DM10" s="522"/>
      <c r="DN10" s="522"/>
      <c r="DO10" s="522"/>
      <c r="DP10" s="522"/>
      <c r="DQ10" s="522"/>
      <c r="DR10" s="522"/>
      <c r="DS10" s="522"/>
      <c r="DT10" s="756"/>
      <c r="DU10" s="3"/>
    </row>
    <row r="11" spans="1:125" ht="15" customHeight="1" x14ac:dyDescent="0.25">
      <c r="A11" s="842"/>
      <c r="B11" s="514" t="s">
        <v>637</v>
      </c>
      <c r="C11" s="842"/>
      <c r="D11" s="7"/>
      <c r="E11" s="517"/>
      <c r="F11" s="348"/>
      <c r="G11" s="348"/>
      <c r="H11" s="348"/>
      <c r="I11" s="348"/>
      <c r="J11" s="348"/>
      <c r="K11" s="348"/>
      <c r="L11" s="348"/>
      <c r="M11" s="348"/>
      <c r="N11" s="348"/>
      <c r="O11" s="348"/>
      <c r="P11" s="518"/>
      <c r="Q11" s="790"/>
      <c r="R11" s="522"/>
      <c r="S11" s="522"/>
      <c r="T11" s="522"/>
      <c r="U11" s="522"/>
      <c r="V11" s="522"/>
      <c r="W11" s="522"/>
      <c r="X11" s="522"/>
      <c r="Y11" s="522"/>
      <c r="Z11" s="522"/>
      <c r="AA11" s="522"/>
      <c r="AB11" s="756"/>
      <c r="AC11" s="522"/>
      <c r="AD11" s="522"/>
      <c r="AE11" s="522">
        <f>S10</f>
        <v>0</v>
      </c>
      <c r="AF11" s="522"/>
      <c r="AG11" s="522"/>
      <c r="AH11" s="310"/>
      <c r="AI11" s="310"/>
      <c r="AJ11" s="310"/>
      <c r="AK11" s="310"/>
      <c r="AL11" s="310"/>
      <c r="AM11" s="310"/>
      <c r="AN11" s="311"/>
      <c r="AO11" s="280"/>
      <c r="AP11" s="310"/>
      <c r="AQ11" s="310"/>
      <c r="AR11" s="310"/>
      <c r="AS11" s="310"/>
      <c r="AT11" s="310"/>
      <c r="AU11" s="310"/>
      <c r="AV11" s="310"/>
      <c r="AW11" s="310"/>
      <c r="AX11" s="310"/>
      <c r="AY11" s="310"/>
      <c r="AZ11" s="311"/>
      <c r="BA11" s="280"/>
      <c r="BB11" s="310"/>
      <c r="BC11" s="310"/>
      <c r="BD11" s="310"/>
      <c r="BE11" s="310"/>
      <c r="BF11" s="310"/>
      <c r="BG11" s="310"/>
      <c r="BH11" s="310"/>
      <c r="BI11" s="310"/>
      <c r="BJ11" s="310"/>
      <c r="BK11" s="310"/>
      <c r="BL11" s="311"/>
      <c r="BM11" s="280"/>
      <c r="BN11" s="310"/>
      <c r="BO11" s="310"/>
      <c r="BP11" s="310"/>
      <c r="BQ11" s="310"/>
      <c r="BR11" s="310"/>
      <c r="BS11" s="310"/>
      <c r="BT11" s="310"/>
      <c r="BU11" s="310"/>
      <c r="BV11" s="310"/>
      <c r="BW11" s="310"/>
      <c r="BX11" s="311"/>
      <c r="BY11" s="280"/>
      <c r="BZ11" s="310"/>
      <c r="CA11" s="310">
        <f>BO10</f>
        <v>1250000</v>
      </c>
      <c r="CB11" s="310"/>
      <c r="CC11" s="310"/>
      <c r="CD11" s="310"/>
      <c r="CE11" s="310"/>
      <c r="CF11" s="310"/>
      <c r="CG11" s="310"/>
      <c r="CH11" s="310"/>
      <c r="CI11" s="310"/>
      <c r="CJ11" s="311"/>
      <c r="CK11" s="280"/>
      <c r="CL11" s="310"/>
      <c r="CM11" s="310"/>
      <c r="CN11" s="310"/>
      <c r="CO11" s="310"/>
      <c r="CP11" s="310"/>
      <c r="CQ11" s="310"/>
      <c r="CR11" s="310"/>
      <c r="CS11" s="310"/>
      <c r="CT11" s="310"/>
      <c r="CU11" s="310"/>
      <c r="CV11" s="311"/>
      <c r="CW11" s="280"/>
      <c r="CX11" s="310"/>
      <c r="CY11" s="310"/>
      <c r="CZ11" s="310"/>
      <c r="DA11" s="310"/>
      <c r="DB11" s="310"/>
      <c r="DC11" s="310"/>
      <c r="DD11" s="310"/>
      <c r="DE11" s="310"/>
      <c r="DF11" s="310"/>
      <c r="DG11" s="310"/>
      <c r="DH11" s="311"/>
      <c r="DI11" s="280"/>
      <c r="DJ11" s="310"/>
      <c r="DK11" s="310"/>
      <c r="DL11" s="310"/>
      <c r="DM11" s="310"/>
      <c r="DN11" s="310"/>
      <c r="DO11" s="310"/>
      <c r="DP11" s="310"/>
      <c r="DQ11" s="310"/>
      <c r="DR11" s="310"/>
      <c r="DS11" s="310"/>
      <c r="DT11" s="311"/>
      <c r="DU11" s="3"/>
    </row>
    <row r="12" spans="1:125" ht="15" customHeight="1" x14ac:dyDescent="0.25">
      <c r="A12" s="842"/>
      <c r="B12" s="514" t="s">
        <v>638</v>
      </c>
      <c r="C12" s="842"/>
      <c r="D12" s="7"/>
      <c r="E12" s="517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518"/>
      <c r="Q12" s="790"/>
      <c r="R12" s="522"/>
      <c r="S12" s="522"/>
      <c r="T12" s="522"/>
      <c r="U12" s="522"/>
      <c r="V12" s="522"/>
      <c r="W12" s="522"/>
      <c r="X12" s="522"/>
      <c r="Y12" s="522"/>
      <c r="Z12" s="522"/>
      <c r="AA12" s="522"/>
      <c r="AB12" s="756"/>
      <c r="AC12" s="522"/>
      <c r="AD12" s="522"/>
      <c r="AE12" s="522"/>
      <c r="AF12" s="522"/>
      <c r="AG12" s="522"/>
      <c r="AH12" s="522"/>
      <c r="AI12" s="522"/>
      <c r="AJ12" s="522"/>
      <c r="AK12" s="522"/>
      <c r="AL12" s="522"/>
      <c r="AM12" s="522"/>
      <c r="AN12" s="756"/>
      <c r="AO12" s="522"/>
      <c r="AP12" s="522"/>
      <c r="AQ12" s="522"/>
      <c r="AR12" s="522"/>
      <c r="AS12" s="522"/>
      <c r="AT12" s="522"/>
      <c r="AU12" s="522"/>
      <c r="AV12" s="522"/>
      <c r="AW12" s="522"/>
      <c r="AX12" s="522"/>
      <c r="AY12" s="522"/>
      <c r="AZ12" s="756"/>
      <c r="BA12" s="522"/>
      <c r="BB12" s="522"/>
      <c r="BC12" s="522"/>
      <c r="BD12" s="522"/>
      <c r="BE12" s="522"/>
      <c r="BF12" s="522"/>
      <c r="BG12" s="522"/>
      <c r="BH12" s="522"/>
      <c r="BI12" s="522"/>
      <c r="BJ12" s="522"/>
      <c r="BK12" s="522"/>
      <c r="BL12" s="756"/>
      <c r="BM12" s="522"/>
      <c r="BN12" s="522"/>
      <c r="BO12" s="522"/>
      <c r="BP12" s="522"/>
      <c r="BQ12" s="522"/>
      <c r="BR12" s="522"/>
      <c r="BS12" s="522"/>
      <c r="BT12" s="522"/>
      <c r="BU12" s="522"/>
      <c r="BV12" s="522"/>
      <c r="BW12" s="522"/>
      <c r="BX12" s="756"/>
      <c r="BY12" s="522"/>
      <c r="BZ12" s="522"/>
      <c r="CA12" s="522"/>
      <c r="CB12" s="522"/>
      <c r="CC12" s="522"/>
      <c r="CD12" s="522"/>
      <c r="CE12" s="522"/>
      <c r="CF12" s="522"/>
      <c r="CG12" s="522"/>
      <c r="CH12" s="522"/>
      <c r="CI12" s="522"/>
      <c r="CJ12" s="756"/>
      <c r="CK12" s="522"/>
      <c r="CL12" s="522"/>
      <c r="CM12" s="522">
        <f>CA11</f>
        <v>1250000</v>
      </c>
      <c r="CN12" s="522"/>
      <c r="CO12" s="522"/>
      <c r="CP12" s="522"/>
      <c r="CQ12" s="522"/>
      <c r="CR12" s="522"/>
      <c r="CS12" s="522"/>
      <c r="CT12" s="522"/>
      <c r="CU12" s="522"/>
      <c r="CV12" s="756"/>
      <c r="CW12" s="522"/>
      <c r="CX12" s="522"/>
      <c r="CY12" s="522"/>
      <c r="CZ12" s="522"/>
      <c r="DA12" s="522"/>
      <c r="DB12" s="522"/>
      <c r="DC12" s="522"/>
      <c r="DD12" s="522"/>
      <c r="DE12" s="522"/>
      <c r="DF12" s="522"/>
      <c r="DG12" s="522"/>
      <c r="DH12" s="756"/>
      <c r="DI12" s="522"/>
      <c r="DJ12" s="522"/>
      <c r="DK12" s="522"/>
      <c r="DL12" s="522"/>
      <c r="DM12" s="522"/>
      <c r="DN12" s="522"/>
      <c r="DO12" s="522"/>
      <c r="DP12" s="522"/>
      <c r="DQ12" s="522"/>
      <c r="DR12" s="522"/>
      <c r="DS12" s="522"/>
      <c r="DT12" s="756"/>
      <c r="DU12" s="3"/>
    </row>
    <row r="13" spans="1:125" ht="15" customHeight="1" x14ac:dyDescent="0.25">
      <c r="A13" s="842"/>
      <c r="B13" s="514" t="s">
        <v>639</v>
      </c>
      <c r="C13" s="842"/>
      <c r="D13" s="7"/>
      <c r="E13" s="517"/>
      <c r="F13" s="348"/>
      <c r="G13" s="348"/>
      <c r="H13" s="348"/>
      <c r="I13" s="348"/>
      <c r="J13" s="348"/>
      <c r="K13" s="348"/>
      <c r="L13" s="348"/>
      <c r="M13" s="348"/>
      <c r="N13" s="348"/>
      <c r="O13" s="348"/>
      <c r="P13" s="518"/>
      <c r="Q13" s="790"/>
      <c r="R13" s="522"/>
      <c r="S13" s="522"/>
      <c r="T13" s="522"/>
      <c r="U13" s="522"/>
      <c r="V13" s="522"/>
      <c r="W13" s="522"/>
      <c r="X13" s="522"/>
      <c r="Y13" s="522"/>
      <c r="Z13" s="522"/>
      <c r="AA13" s="522"/>
      <c r="AB13" s="756"/>
      <c r="AC13" s="522"/>
      <c r="AD13" s="522"/>
      <c r="AE13" s="522">
        <f>S12</f>
        <v>0</v>
      </c>
      <c r="AF13" s="522"/>
      <c r="AG13" s="522"/>
      <c r="AH13" s="522"/>
      <c r="AI13" s="522"/>
      <c r="AJ13" s="522"/>
      <c r="AK13" s="522"/>
      <c r="AL13" s="522"/>
      <c r="AM13" s="522"/>
      <c r="AN13" s="756"/>
      <c r="AO13" s="522"/>
      <c r="AP13" s="522"/>
      <c r="AQ13" s="522"/>
      <c r="AR13" s="522"/>
      <c r="AS13" s="522"/>
      <c r="AT13" s="522"/>
      <c r="AU13" s="522"/>
      <c r="AV13" s="522"/>
      <c r="AW13" s="522"/>
      <c r="AX13" s="522"/>
      <c r="AY13" s="522"/>
      <c r="AZ13" s="756"/>
      <c r="BA13" s="522"/>
      <c r="BB13" s="522"/>
      <c r="BC13" s="522"/>
      <c r="BD13" s="522"/>
      <c r="BE13" s="522"/>
      <c r="BF13" s="522"/>
      <c r="BG13" s="522"/>
      <c r="BH13" s="522"/>
      <c r="BI13" s="522"/>
      <c r="BJ13" s="522"/>
      <c r="BK13" s="522"/>
      <c r="BL13" s="756"/>
      <c r="BM13" s="522"/>
      <c r="BN13" s="522"/>
      <c r="BO13" s="522"/>
      <c r="BP13" s="522"/>
      <c r="BQ13" s="522"/>
      <c r="BR13" s="522"/>
      <c r="BS13" s="522"/>
      <c r="BT13" s="522"/>
      <c r="BU13" s="522"/>
      <c r="BV13" s="522"/>
      <c r="BW13" s="522"/>
      <c r="BX13" s="756"/>
      <c r="BY13" s="522"/>
      <c r="BZ13" s="522"/>
      <c r="CA13" s="522"/>
      <c r="CB13" s="522"/>
      <c r="CC13" s="522"/>
      <c r="CD13" s="522"/>
      <c r="CE13" s="522"/>
      <c r="CF13" s="522"/>
      <c r="CG13" s="522"/>
      <c r="CH13" s="522"/>
      <c r="CI13" s="522"/>
      <c r="CJ13" s="756"/>
      <c r="CK13" s="522"/>
      <c r="CL13" s="522"/>
      <c r="CM13" s="522"/>
      <c r="CN13" s="522"/>
      <c r="CO13" s="522"/>
      <c r="CP13" s="522"/>
      <c r="CQ13" s="522"/>
      <c r="CR13" s="522"/>
      <c r="CS13" s="522"/>
      <c r="CT13" s="522"/>
      <c r="CU13" s="522"/>
      <c r="CV13" s="756"/>
      <c r="CW13" s="522"/>
      <c r="CX13" s="522"/>
      <c r="CY13" s="522">
        <f>CM12</f>
        <v>1250000</v>
      </c>
      <c r="CZ13" s="522"/>
      <c r="DA13" s="522"/>
      <c r="DB13" s="522"/>
      <c r="DC13" s="522"/>
      <c r="DD13" s="522"/>
      <c r="DE13" s="522"/>
      <c r="DF13" s="522"/>
      <c r="DG13" s="522"/>
      <c r="DH13" s="756"/>
      <c r="DI13" s="522"/>
      <c r="DJ13" s="522"/>
      <c r="DK13" s="522"/>
      <c r="DL13" s="522"/>
      <c r="DM13" s="522"/>
      <c r="DN13" s="522"/>
      <c r="DO13" s="522"/>
      <c r="DP13" s="522"/>
      <c r="DQ13" s="522"/>
      <c r="DR13" s="522"/>
      <c r="DS13" s="522"/>
      <c r="DT13" s="756"/>
      <c r="DU13" s="3"/>
    </row>
    <row r="14" spans="1:125" ht="15" customHeight="1" x14ac:dyDescent="0.25">
      <c r="A14" s="842"/>
      <c r="B14" s="514" t="s">
        <v>640</v>
      </c>
      <c r="C14" s="842"/>
      <c r="D14" s="7"/>
      <c r="E14" s="517"/>
      <c r="F14" s="348"/>
      <c r="G14" s="348"/>
      <c r="H14" s="348"/>
      <c r="I14" s="348"/>
      <c r="J14" s="348"/>
      <c r="K14" s="348"/>
      <c r="L14" s="348"/>
      <c r="M14" s="348"/>
      <c r="N14" s="348"/>
      <c r="O14" s="348"/>
      <c r="P14" s="518"/>
      <c r="Q14" s="790"/>
      <c r="R14" s="522"/>
      <c r="S14" s="522"/>
      <c r="T14" s="522"/>
      <c r="U14" s="522"/>
      <c r="V14" s="522"/>
      <c r="W14" s="522"/>
      <c r="X14" s="522"/>
      <c r="Y14" s="522"/>
      <c r="Z14" s="522"/>
      <c r="AA14" s="522"/>
      <c r="AB14" s="756"/>
      <c r="AC14" s="522"/>
      <c r="AD14" s="522"/>
      <c r="AE14" s="522">
        <f>S13</f>
        <v>0</v>
      </c>
      <c r="AF14" s="522"/>
      <c r="AG14" s="522"/>
      <c r="AH14" s="310"/>
      <c r="AI14" s="310"/>
      <c r="AJ14" s="310"/>
      <c r="AK14" s="310"/>
      <c r="AL14" s="310"/>
      <c r="AM14" s="310"/>
      <c r="AN14" s="311"/>
      <c r="AO14" s="28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1"/>
      <c r="BA14" s="28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1"/>
      <c r="BM14" s="280"/>
      <c r="BN14" s="310"/>
      <c r="BO14" s="310"/>
      <c r="BP14" s="310"/>
      <c r="BQ14" s="310"/>
      <c r="BR14" s="310"/>
      <c r="BS14" s="310"/>
      <c r="BT14" s="310"/>
      <c r="BU14" s="310"/>
      <c r="BV14" s="310"/>
      <c r="BW14" s="310"/>
      <c r="BX14" s="311"/>
      <c r="BY14" s="280"/>
      <c r="BZ14" s="310"/>
      <c r="CA14" s="310"/>
      <c r="CB14" s="310"/>
      <c r="CC14" s="310"/>
      <c r="CD14" s="310"/>
      <c r="CE14" s="310"/>
      <c r="CF14" s="310"/>
      <c r="CG14" s="310"/>
      <c r="CH14" s="310"/>
      <c r="CI14" s="310"/>
      <c r="CJ14" s="311"/>
      <c r="CK14" s="280"/>
      <c r="CL14" s="310"/>
      <c r="CM14" s="310"/>
      <c r="CN14" s="310"/>
      <c r="CO14" s="310"/>
      <c r="CP14" s="310"/>
      <c r="CQ14" s="310"/>
      <c r="CR14" s="310"/>
      <c r="CS14" s="310"/>
      <c r="CT14" s="310"/>
      <c r="CU14" s="310"/>
      <c r="CV14" s="311"/>
      <c r="CW14" s="280"/>
      <c r="CX14" s="310"/>
      <c r="CY14" s="310"/>
      <c r="CZ14" s="310"/>
      <c r="DA14" s="310"/>
      <c r="DB14" s="310"/>
      <c r="DC14" s="310"/>
      <c r="DD14" s="310"/>
      <c r="DE14" s="310"/>
      <c r="DF14" s="310"/>
      <c r="DG14" s="310"/>
      <c r="DH14" s="311"/>
      <c r="DI14" s="280"/>
      <c r="DJ14" s="310"/>
      <c r="DK14" s="310">
        <f>CY13</f>
        <v>1250000</v>
      </c>
      <c r="DL14" s="310"/>
      <c r="DM14" s="310"/>
      <c r="DN14" s="310"/>
      <c r="DO14" s="310"/>
      <c r="DP14" s="310"/>
      <c r="DQ14" s="310"/>
      <c r="DR14" s="310"/>
      <c r="DS14" s="310"/>
      <c r="DT14" s="311"/>
      <c r="DU14" s="3"/>
    </row>
    <row r="15" spans="1:125" ht="18.75" customHeight="1" thickBot="1" x14ac:dyDescent="0.35">
      <c r="A15" s="842"/>
      <c r="B15" s="161" t="s">
        <v>642</v>
      </c>
      <c r="C15" s="85"/>
      <c r="D15" s="7"/>
      <c r="E15" s="527"/>
      <c r="F15" s="527"/>
      <c r="G15" s="527"/>
      <c r="H15" s="527"/>
      <c r="I15" s="527"/>
      <c r="J15" s="527"/>
      <c r="K15" s="527"/>
      <c r="L15" s="527"/>
      <c r="M15" s="527"/>
      <c r="N15" s="527"/>
      <c r="O15" s="527"/>
      <c r="P15" s="752"/>
      <c r="Q15" s="793"/>
      <c r="R15" s="391"/>
      <c r="S15" s="391">
        <f>SUM(S4:S14)</f>
        <v>1250000</v>
      </c>
      <c r="T15" s="391">
        <f t="shared" ref="T15:CE15" si="0">SUM(T4:T14)</f>
        <v>0</v>
      </c>
      <c r="U15" s="391">
        <f t="shared" si="0"/>
        <v>0</v>
      </c>
      <c r="V15" s="391">
        <f t="shared" si="0"/>
        <v>0</v>
      </c>
      <c r="W15" s="391">
        <f t="shared" si="0"/>
        <v>0</v>
      </c>
      <c r="X15" s="391">
        <f t="shared" si="0"/>
        <v>0</v>
      </c>
      <c r="Y15" s="391">
        <f t="shared" si="0"/>
        <v>0</v>
      </c>
      <c r="Z15" s="391">
        <f t="shared" si="0"/>
        <v>0</v>
      </c>
      <c r="AA15" s="391">
        <f t="shared" si="0"/>
        <v>0</v>
      </c>
      <c r="AB15" s="757">
        <f t="shared" si="0"/>
        <v>0</v>
      </c>
      <c r="AC15" s="391">
        <f t="shared" si="0"/>
        <v>0</v>
      </c>
      <c r="AD15" s="391">
        <f t="shared" si="0"/>
        <v>0</v>
      </c>
      <c r="AE15" s="391">
        <f t="shared" si="0"/>
        <v>1250000</v>
      </c>
      <c r="AF15" s="391">
        <f t="shared" si="0"/>
        <v>0</v>
      </c>
      <c r="AG15" s="391">
        <f t="shared" si="0"/>
        <v>0</v>
      </c>
      <c r="AH15" s="391">
        <f t="shared" si="0"/>
        <v>0</v>
      </c>
      <c r="AI15" s="391">
        <f t="shared" si="0"/>
        <v>0</v>
      </c>
      <c r="AJ15" s="391">
        <f t="shared" si="0"/>
        <v>0</v>
      </c>
      <c r="AK15" s="391">
        <f t="shared" si="0"/>
        <v>0</v>
      </c>
      <c r="AL15" s="391">
        <f t="shared" si="0"/>
        <v>0</v>
      </c>
      <c r="AM15" s="391">
        <f t="shared" si="0"/>
        <v>0</v>
      </c>
      <c r="AN15" s="757">
        <f t="shared" si="0"/>
        <v>0</v>
      </c>
      <c r="AO15" s="391">
        <f t="shared" si="0"/>
        <v>0</v>
      </c>
      <c r="AP15" s="391">
        <f t="shared" si="0"/>
        <v>0</v>
      </c>
      <c r="AQ15" s="391">
        <f t="shared" si="0"/>
        <v>1250000</v>
      </c>
      <c r="AR15" s="391">
        <f t="shared" si="0"/>
        <v>0</v>
      </c>
      <c r="AS15" s="391">
        <f t="shared" si="0"/>
        <v>0</v>
      </c>
      <c r="AT15" s="391">
        <f t="shared" si="0"/>
        <v>0</v>
      </c>
      <c r="AU15" s="391">
        <f t="shared" si="0"/>
        <v>0</v>
      </c>
      <c r="AV15" s="391">
        <f t="shared" si="0"/>
        <v>0</v>
      </c>
      <c r="AW15" s="391">
        <f t="shared" si="0"/>
        <v>0</v>
      </c>
      <c r="AX15" s="391">
        <f t="shared" si="0"/>
        <v>0</v>
      </c>
      <c r="AY15" s="391">
        <f t="shared" si="0"/>
        <v>0</v>
      </c>
      <c r="AZ15" s="757">
        <f t="shared" si="0"/>
        <v>0</v>
      </c>
      <c r="BA15" s="391">
        <f t="shared" si="0"/>
        <v>0</v>
      </c>
      <c r="BB15" s="391">
        <f t="shared" si="0"/>
        <v>0</v>
      </c>
      <c r="BC15" s="391">
        <f t="shared" si="0"/>
        <v>1250000</v>
      </c>
      <c r="BD15" s="391">
        <f t="shared" si="0"/>
        <v>0</v>
      </c>
      <c r="BE15" s="391">
        <f t="shared" si="0"/>
        <v>0</v>
      </c>
      <c r="BF15" s="391">
        <f t="shared" si="0"/>
        <v>0</v>
      </c>
      <c r="BG15" s="391">
        <f t="shared" si="0"/>
        <v>0</v>
      </c>
      <c r="BH15" s="391">
        <f t="shared" si="0"/>
        <v>0</v>
      </c>
      <c r="BI15" s="391">
        <f t="shared" si="0"/>
        <v>0</v>
      </c>
      <c r="BJ15" s="391">
        <f t="shared" si="0"/>
        <v>0</v>
      </c>
      <c r="BK15" s="391">
        <f t="shared" si="0"/>
        <v>0</v>
      </c>
      <c r="BL15" s="757">
        <f t="shared" si="0"/>
        <v>0</v>
      </c>
      <c r="BM15" s="391">
        <f t="shared" si="0"/>
        <v>0</v>
      </c>
      <c r="BN15" s="391">
        <f t="shared" si="0"/>
        <v>0</v>
      </c>
      <c r="BO15" s="391">
        <f t="shared" si="0"/>
        <v>1250000</v>
      </c>
      <c r="BP15" s="391">
        <f t="shared" si="0"/>
        <v>0</v>
      </c>
      <c r="BQ15" s="391">
        <f t="shared" si="0"/>
        <v>0</v>
      </c>
      <c r="BR15" s="391">
        <f t="shared" si="0"/>
        <v>0</v>
      </c>
      <c r="BS15" s="391">
        <f t="shared" si="0"/>
        <v>0</v>
      </c>
      <c r="BT15" s="391">
        <f t="shared" si="0"/>
        <v>0</v>
      </c>
      <c r="BU15" s="391">
        <f t="shared" si="0"/>
        <v>0</v>
      </c>
      <c r="BV15" s="391">
        <f t="shared" si="0"/>
        <v>0</v>
      </c>
      <c r="BW15" s="391">
        <f t="shared" si="0"/>
        <v>0</v>
      </c>
      <c r="BX15" s="757">
        <f t="shared" si="0"/>
        <v>0</v>
      </c>
      <c r="BY15" s="391">
        <f t="shared" si="0"/>
        <v>0</v>
      </c>
      <c r="BZ15" s="391">
        <f t="shared" si="0"/>
        <v>0</v>
      </c>
      <c r="CA15" s="391">
        <f t="shared" si="0"/>
        <v>1250000</v>
      </c>
      <c r="CB15" s="391">
        <f t="shared" si="0"/>
        <v>0</v>
      </c>
      <c r="CC15" s="391">
        <f t="shared" si="0"/>
        <v>0</v>
      </c>
      <c r="CD15" s="391">
        <f t="shared" si="0"/>
        <v>0</v>
      </c>
      <c r="CE15" s="391">
        <f t="shared" si="0"/>
        <v>0</v>
      </c>
      <c r="CF15" s="391">
        <f t="shared" ref="CF15:DS15" si="1">SUM(CF4:CF14)</f>
        <v>0</v>
      </c>
      <c r="CG15" s="391">
        <f t="shared" si="1"/>
        <v>0</v>
      </c>
      <c r="CH15" s="391">
        <f t="shared" si="1"/>
        <v>0</v>
      </c>
      <c r="CI15" s="391">
        <f t="shared" si="1"/>
        <v>0</v>
      </c>
      <c r="CJ15" s="757">
        <f t="shared" si="1"/>
        <v>0</v>
      </c>
      <c r="CK15" s="391">
        <f t="shared" si="1"/>
        <v>0</v>
      </c>
      <c r="CL15" s="391">
        <f t="shared" si="1"/>
        <v>0</v>
      </c>
      <c r="CM15" s="391">
        <f t="shared" si="1"/>
        <v>1250000</v>
      </c>
      <c r="CN15" s="391">
        <f t="shared" si="1"/>
        <v>0</v>
      </c>
      <c r="CO15" s="391">
        <f t="shared" si="1"/>
        <v>0</v>
      </c>
      <c r="CP15" s="391">
        <f t="shared" si="1"/>
        <v>0</v>
      </c>
      <c r="CQ15" s="391">
        <f t="shared" si="1"/>
        <v>0</v>
      </c>
      <c r="CR15" s="391">
        <f t="shared" si="1"/>
        <v>0</v>
      </c>
      <c r="CS15" s="391">
        <f t="shared" si="1"/>
        <v>0</v>
      </c>
      <c r="CT15" s="391">
        <f t="shared" si="1"/>
        <v>0</v>
      </c>
      <c r="CU15" s="391">
        <f t="shared" si="1"/>
        <v>0</v>
      </c>
      <c r="CV15" s="757">
        <f t="shared" si="1"/>
        <v>0</v>
      </c>
      <c r="CW15" s="391">
        <f t="shared" si="1"/>
        <v>0</v>
      </c>
      <c r="CX15" s="391">
        <f t="shared" si="1"/>
        <v>0</v>
      </c>
      <c r="CY15" s="391">
        <f t="shared" si="1"/>
        <v>1250000</v>
      </c>
      <c r="CZ15" s="391">
        <f t="shared" si="1"/>
        <v>0</v>
      </c>
      <c r="DA15" s="391">
        <f t="shared" si="1"/>
        <v>0</v>
      </c>
      <c r="DB15" s="391">
        <f t="shared" si="1"/>
        <v>0</v>
      </c>
      <c r="DC15" s="391">
        <f t="shared" si="1"/>
        <v>0</v>
      </c>
      <c r="DD15" s="391">
        <f t="shared" si="1"/>
        <v>0</v>
      </c>
      <c r="DE15" s="391">
        <f t="shared" si="1"/>
        <v>0</v>
      </c>
      <c r="DF15" s="391">
        <f t="shared" si="1"/>
        <v>0</v>
      </c>
      <c r="DG15" s="391">
        <f t="shared" si="1"/>
        <v>0</v>
      </c>
      <c r="DH15" s="757">
        <f t="shared" si="1"/>
        <v>0</v>
      </c>
      <c r="DI15" s="391">
        <f t="shared" si="1"/>
        <v>0</v>
      </c>
      <c r="DJ15" s="391">
        <f t="shared" si="1"/>
        <v>0</v>
      </c>
      <c r="DK15" s="391">
        <f t="shared" si="1"/>
        <v>1250000</v>
      </c>
      <c r="DL15" s="391">
        <f t="shared" si="1"/>
        <v>0</v>
      </c>
      <c r="DM15" s="391">
        <f t="shared" si="1"/>
        <v>0</v>
      </c>
      <c r="DN15" s="391">
        <f t="shared" si="1"/>
        <v>0</v>
      </c>
      <c r="DO15" s="391">
        <f t="shared" si="1"/>
        <v>0</v>
      </c>
      <c r="DP15" s="391">
        <f t="shared" si="1"/>
        <v>0</v>
      </c>
      <c r="DQ15" s="391">
        <f t="shared" si="1"/>
        <v>0</v>
      </c>
      <c r="DR15" s="391">
        <f t="shared" si="1"/>
        <v>0</v>
      </c>
      <c r="DS15" s="391">
        <f t="shared" si="1"/>
        <v>0</v>
      </c>
      <c r="DT15" s="757">
        <f>SUM(DT4:DT14)</f>
        <v>0</v>
      </c>
      <c r="DU15" s="3"/>
    </row>
    <row r="16" spans="1:125" ht="18.75" customHeight="1" x14ac:dyDescent="0.25">
      <c r="A16" s="842"/>
      <c r="B16" s="514"/>
      <c r="C16" s="842"/>
      <c r="D16" s="7"/>
      <c r="E16" s="814"/>
      <c r="F16" s="815"/>
      <c r="G16" s="815"/>
      <c r="H16" s="815"/>
      <c r="I16" s="815"/>
      <c r="J16" s="815"/>
      <c r="K16" s="815"/>
      <c r="L16" s="815"/>
      <c r="M16" s="815"/>
      <c r="N16" s="815"/>
      <c r="O16" s="815"/>
      <c r="P16" s="816"/>
      <c r="Q16" s="817"/>
      <c r="R16" s="818"/>
      <c r="S16" s="818"/>
      <c r="T16" s="818"/>
      <c r="U16" s="818"/>
      <c r="V16" s="818"/>
      <c r="W16" s="818"/>
      <c r="X16" s="818"/>
      <c r="Y16" s="818"/>
      <c r="Z16" s="818"/>
      <c r="AA16" s="818"/>
      <c r="AB16" s="819"/>
      <c r="AC16" s="818"/>
      <c r="AD16" s="818"/>
      <c r="AE16" s="818"/>
      <c r="AF16" s="818"/>
      <c r="AG16" s="818"/>
      <c r="AH16" s="408"/>
      <c r="AI16" s="408"/>
      <c r="AJ16" s="408"/>
      <c r="AK16" s="408"/>
      <c r="AL16" s="408"/>
      <c r="AM16" s="408"/>
      <c r="AN16" s="820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820"/>
      <c r="BA16" s="408"/>
      <c r="BB16" s="408"/>
      <c r="BC16" s="408"/>
      <c r="BD16" s="408"/>
      <c r="BE16" s="408"/>
      <c r="BF16" s="408"/>
      <c r="BG16" s="408"/>
      <c r="BH16" s="408"/>
      <c r="BI16" s="408"/>
      <c r="BJ16" s="408"/>
      <c r="BK16" s="408"/>
      <c r="BL16" s="820"/>
      <c r="BM16" s="408"/>
      <c r="BN16" s="408"/>
      <c r="BO16" s="408"/>
      <c r="BP16" s="408"/>
      <c r="BQ16" s="408"/>
      <c r="BR16" s="408"/>
      <c r="BS16" s="408"/>
      <c r="BT16" s="408"/>
      <c r="BU16" s="408"/>
      <c r="BV16" s="408"/>
      <c r="BW16" s="408"/>
      <c r="BX16" s="820"/>
      <c r="BY16" s="408"/>
      <c r="BZ16" s="408"/>
      <c r="CA16" s="408"/>
      <c r="CB16" s="408"/>
      <c r="CC16" s="408"/>
      <c r="CD16" s="408"/>
      <c r="CE16" s="408"/>
      <c r="CF16" s="408"/>
      <c r="CG16" s="408"/>
      <c r="CH16" s="408"/>
      <c r="CI16" s="408"/>
      <c r="CJ16" s="820"/>
      <c r="CK16" s="408"/>
      <c r="CL16" s="408"/>
      <c r="CM16" s="408"/>
      <c r="CN16" s="408"/>
      <c r="CO16" s="408"/>
      <c r="CP16" s="408"/>
      <c r="CQ16" s="408"/>
      <c r="CR16" s="408"/>
      <c r="CS16" s="408"/>
      <c r="CT16" s="408"/>
      <c r="CU16" s="408"/>
      <c r="CV16" s="820"/>
      <c r="CW16" s="408"/>
      <c r="CX16" s="408"/>
      <c r="CY16" s="408"/>
      <c r="CZ16" s="408"/>
      <c r="DA16" s="408"/>
      <c r="DB16" s="408"/>
      <c r="DC16" s="408"/>
      <c r="DD16" s="408"/>
      <c r="DE16" s="408"/>
      <c r="DF16" s="408"/>
      <c r="DG16" s="408"/>
      <c r="DH16" s="820"/>
      <c r="DI16" s="408"/>
      <c r="DJ16" s="408"/>
      <c r="DK16" s="408"/>
      <c r="DL16" s="408"/>
      <c r="DM16" s="408"/>
      <c r="DN16" s="408"/>
      <c r="DO16" s="408"/>
      <c r="DP16" s="408"/>
      <c r="DQ16" s="408"/>
      <c r="DR16" s="408"/>
      <c r="DS16" s="408"/>
      <c r="DT16" s="820"/>
      <c r="DU16" s="3"/>
    </row>
    <row r="17" spans="1:125" ht="18.75" customHeight="1" x14ac:dyDescent="0.3">
      <c r="A17" s="810"/>
      <c r="B17" s="161" t="s">
        <v>643</v>
      </c>
      <c r="C17" s="810"/>
      <c r="D17" s="7"/>
      <c r="E17" s="814"/>
      <c r="F17" s="815"/>
      <c r="G17" s="815"/>
      <c r="H17" s="815"/>
      <c r="I17" s="815"/>
      <c r="J17" s="815"/>
      <c r="K17" s="815"/>
      <c r="L17" s="815"/>
      <c r="M17" s="815"/>
      <c r="N17" s="815"/>
      <c r="O17" s="815"/>
      <c r="P17" s="816"/>
      <c r="Q17" s="817"/>
      <c r="R17" s="818"/>
      <c r="S17" s="818"/>
      <c r="T17" s="818"/>
      <c r="U17" s="818"/>
      <c r="V17" s="818"/>
      <c r="W17" s="818"/>
      <c r="X17" s="818"/>
      <c r="Y17" s="818"/>
      <c r="Z17" s="818"/>
      <c r="AA17" s="818"/>
      <c r="AB17" s="819"/>
      <c r="AC17" s="818"/>
      <c r="AD17" s="818"/>
      <c r="AE17" s="818"/>
      <c r="AF17" s="818"/>
      <c r="AG17" s="818"/>
      <c r="AH17" s="408"/>
      <c r="AI17" s="408"/>
      <c r="AJ17" s="408"/>
      <c r="AK17" s="408"/>
      <c r="AL17" s="408"/>
      <c r="AM17" s="408"/>
      <c r="AN17" s="820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820"/>
      <c r="BA17" s="408"/>
      <c r="BB17" s="408"/>
      <c r="BC17" s="408"/>
      <c r="BD17" s="408"/>
      <c r="BE17" s="408"/>
      <c r="BF17" s="408"/>
      <c r="BG17" s="408"/>
      <c r="BH17" s="408"/>
      <c r="BI17" s="408"/>
      <c r="BJ17" s="408"/>
      <c r="BK17" s="408"/>
      <c r="BL17" s="820"/>
      <c r="BM17" s="408"/>
      <c r="BN17" s="408"/>
      <c r="BO17" s="408"/>
      <c r="BP17" s="408"/>
      <c r="BQ17" s="408"/>
      <c r="BR17" s="408"/>
      <c r="BS17" s="408"/>
      <c r="BT17" s="408"/>
      <c r="BU17" s="408"/>
      <c r="BV17" s="408"/>
      <c r="BW17" s="408"/>
      <c r="BX17" s="820"/>
      <c r="BY17" s="408"/>
      <c r="BZ17" s="408"/>
      <c r="CA17" s="408"/>
      <c r="CB17" s="408"/>
      <c r="CC17" s="408"/>
      <c r="CD17" s="408"/>
      <c r="CE17" s="408"/>
      <c r="CF17" s="408"/>
      <c r="CG17" s="408"/>
      <c r="CH17" s="408"/>
      <c r="CI17" s="408"/>
      <c r="CJ17" s="820"/>
      <c r="CK17" s="408"/>
      <c r="CL17" s="408"/>
      <c r="CM17" s="408"/>
      <c r="CN17" s="408"/>
      <c r="CO17" s="408"/>
      <c r="CP17" s="408"/>
      <c r="CQ17" s="408"/>
      <c r="CR17" s="408"/>
      <c r="CS17" s="408"/>
      <c r="CT17" s="408"/>
      <c r="CU17" s="408"/>
      <c r="CV17" s="820"/>
      <c r="CW17" s="408"/>
      <c r="CX17" s="408"/>
      <c r="CY17" s="408"/>
      <c r="CZ17" s="408"/>
      <c r="DA17" s="408"/>
      <c r="DB17" s="408"/>
      <c r="DC17" s="408"/>
      <c r="DD17" s="408"/>
      <c r="DE17" s="408"/>
      <c r="DF17" s="408"/>
      <c r="DG17" s="408"/>
      <c r="DH17" s="820"/>
      <c r="DI17" s="408"/>
      <c r="DJ17" s="408"/>
      <c r="DK17" s="408"/>
      <c r="DL17" s="408"/>
      <c r="DM17" s="408"/>
      <c r="DN17" s="408"/>
      <c r="DO17" s="408"/>
      <c r="DP17" s="408"/>
      <c r="DQ17" s="408"/>
      <c r="DR17" s="408"/>
      <c r="DS17" s="408"/>
      <c r="DT17" s="820"/>
      <c r="DU17" s="3"/>
    </row>
    <row r="18" spans="1:125" ht="15" customHeight="1" x14ac:dyDescent="0.25">
      <c r="A18" s="810"/>
      <c r="B18" s="514" t="s">
        <v>631</v>
      </c>
      <c r="C18" s="842"/>
      <c r="D18" s="7"/>
      <c r="E18" s="517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518"/>
      <c r="Q18" s="790"/>
      <c r="R18" s="522"/>
      <c r="S18" s="522"/>
      <c r="T18" s="522"/>
      <c r="U18" s="522"/>
      <c r="V18" s="522">
        <f>'Smolt Production'!D69</f>
        <v>1663.7599525949101</v>
      </c>
      <c r="W18" s="522">
        <f>'Smolt Production'!E69</f>
        <v>3246.8681552135977</v>
      </c>
      <c r="X18" s="522">
        <f>'Smolt Production'!F69</f>
        <v>6786.0133349401731</v>
      </c>
      <c r="Y18" s="522">
        <f>'Smolt Production'!G69</f>
        <v>10780.692064473094</v>
      </c>
      <c r="Z18" s="522">
        <f>'Smolt Production'!H69</f>
        <v>16521.372969045762</v>
      </c>
      <c r="AA18" s="522">
        <f>'Smolt Production'!I69</f>
        <v>23622.019154122598</v>
      </c>
      <c r="AB18" s="756">
        <f>'Smolt Production'!J69</f>
        <v>32442.18661687764</v>
      </c>
      <c r="AC18" s="522">
        <f>'Smolt Production'!K69</f>
        <v>50586.105145123031</v>
      </c>
      <c r="AD18" s="522">
        <f>'Smolt Production'!L69</f>
        <v>39444.488205776579</v>
      </c>
      <c r="AE18" s="522">
        <f>'Smolt Production'!M69</f>
        <v>43389.232662951581</v>
      </c>
      <c r="AF18" s="522">
        <f>'Smolt Production'!N69</f>
        <v>47694.240575872238</v>
      </c>
      <c r="AG18" s="522">
        <f>'Smolt Production'!O69</f>
        <v>27075.451512998068</v>
      </c>
      <c r="AH18" s="522">
        <f>'Smolt Production'!P69</f>
        <v>29740.936656981052</v>
      </c>
      <c r="AI18" s="522">
        <f>'Smolt Production'!Q69</f>
        <v>36358.519113576622</v>
      </c>
      <c r="AJ18" s="522">
        <f>'Smolt Production'!R69</f>
        <v>0</v>
      </c>
      <c r="AK18" s="522">
        <f>'Smolt Production'!S69</f>
        <v>0</v>
      </c>
      <c r="AL18" s="522">
        <f>'Smolt Production'!T69</f>
        <v>0</v>
      </c>
      <c r="AM18" s="310"/>
      <c r="AN18" s="311"/>
      <c r="AO18" s="280"/>
      <c r="AP18" s="310"/>
      <c r="AQ18" s="310"/>
      <c r="AR18" s="310"/>
      <c r="AS18" s="310"/>
      <c r="AT18" s="310"/>
      <c r="AU18" s="310"/>
      <c r="AV18" s="310"/>
      <c r="AW18" s="310"/>
      <c r="AX18" s="310"/>
      <c r="AY18" s="310"/>
      <c r="AZ18" s="311"/>
      <c r="BA18" s="280"/>
      <c r="BB18" s="310"/>
      <c r="BC18" s="310"/>
      <c r="BD18" s="310"/>
      <c r="BE18" s="310"/>
      <c r="BF18" s="310"/>
      <c r="BG18" s="310"/>
      <c r="BH18" s="310"/>
      <c r="BI18" s="310"/>
      <c r="BJ18" s="310"/>
      <c r="BK18" s="310"/>
      <c r="BL18" s="311"/>
      <c r="BM18" s="280"/>
      <c r="BN18" s="310"/>
      <c r="BO18" s="310"/>
      <c r="BP18" s="310"/>
      <c r="BQ18" s="310"/>
      <c r="BR18" s="310"/>
      <c r="BS18" s="310"/>
      <c r="BT18" s="310"/>
      <c r="BU18" s="310"/>
      <c r="BV18" s="310"/>
      <c r="BW18" s="310"/>
      <c r="BX18" s="311"/>
      <c r="BY18" s="280"/>
      <c r="BZ18" s="310"/>
      <c r="CA18" s="310"/>
      <c r="CB18" s="310"/>
      <c r="CC18" s="310"/>
      <c r="CD18" s="310"/>
      <c r="CE18" s="310"/>
      <c r="CF18" s="310"/>
      <c r="CG18" s="310"/>
      <c r="CH18" s="310"/>
      <c r="CI18" s="310"/>
      <c r="CJ18" s="311"/>
      <c r="CK18" s="280"/>
      <c r="CL18" s="310"/>
      <c r="CM18" s="310"/>
      <c r="CN18" s="310"/>
      <c r="CO18" s="310"/>
      <c r="CP18" s="310"/>
      <c r="CQ18" s="310"/>
      <c r="CR18" s="310"/>
      <c r="CS18" s="310"/>
      <c r="CT18" s="310"/>
      <c r="CU18" s="310"/>
      <c r="CV18" s="311"/>
      <c r="CW18" s="280"/>
      <c r="CX18" s="310"/>
      <c r="CY18" s="310"/>
      <c r="CZ18" s="310"/>
      <c r="DA18" s="310"/>
      <c r="DB18" s="310"/>
      <c r="DC18" s="310"/>
      <c r="DD18" s="310"/>
      <c r="DE18" s="310"/>
      <c r="DF18" s="310"/>
      <c r="DG18" s="310"/>
      <c r="DH18" s="311"/>
      <c r="DI18" s="280"/>
      <c r="DJ18" s="310"/>
      <c r="DK18" s="310"/>
      <c r="DL18" s="310"/>
      <c r="DM18" s="310"/>
      <c r="DN18" s="310"/>
      <c r="DO18" s="310"/>
      <c r="DP18" s="310"/>
      <c r="DQ18" s="310"/>
      <c r="DR18" s="310"/>
      <c r="DS18" s="310"/>
      <c r="DT18" s="311"/>
      <c r="DU18" s="3"/>
    </row>
    <row r="19" spans="1:125" ht="15" customHeight="1" x14ac:dyDescent="0.25">
      <c r="A19" s="810"/>
      <c r="B19" s="514" t="s">
        <v>632</v>
      </c>
      <c r="C19" s="842"/>
      <c r="D19" s="7"/>
      <c r="E19" s="517"/>
      <c r="F19" s="348"/>
      <c r="G19" s="348"/>
      <c r="H19" s="348"/>
      <c r="I19" s="348"/>
      <c r="J19" s="348"/>
      <c r="K19" s="348"/>
      <c r="L19" s="348"/>
      <c r="M19" s="348"/>
      <c r="N19" s="348"/>
      <c r="O19" s="348"/>
      <c r="P19" s="518"/>
      <c r="Q19" s="790"/>
      <c r="R19" s="522"/>
      <c r="S19" s="522">
        <f>G18</f>
        <v>0</v>
      </c>
      <c r="T19" s="522"/>
      <c r="U19" s="522"/>
      <c r="V19" s="522"/>
      <c r="W19" s="522"/>
      <c r="X19" s="522"/>
      <c r="Y19" s="522"/>
      <c r="Z19" s="522"/>
      <c r="AA19" s="522"/>
      <c r="AB19" s="756"/>
      <c r="AC19" s="522"/>
      <c r="AD19" s="522"/>
      <c r="AE19" s="522"/>
      <c r="AF19" s="522"/>
      <c r="AG19" s="522"/>
      <c r="AH19" s="522">
        <f>V18</f>
        <v>1663.7599525949101</v>
      </c>
      <c r="AI19" s="522">
        <f t="shared" ref="AI19:AZ20" si="2">W18</f>
        <v>3246.8681552135977</v>
      </c>
      <c r="AJ19" s="522">
        <f t="shared" si="2"/>
        <v>6786.0133349401731</v>
      </c>
      <c r="AK19" s="522">
        <f t="shared" si="2"/>
        <v>10780.692064473094</v>
      </c>
      <c r="AL19" s="522">
        <f t="shared" si="2"/>
        <v>16521.372969045762</v>
      </c>
      <c r="AM19" s="522">
        <f t="shared" si="2"/>
        <v>23622.019154122598</v>
      </c>
      <c r="AN19" s="756">
        <f t="shared" si="2"/>
        <v>32442.18661687764</v>
      </c>
      <c r="AO19" s="522">
        <f t="shared" si="2"/>
        <v>50586.105145123031</v>
      </c>
      <c r="AP19" s="522">
        <f t="shared" si="2"/>
        <v>39444.488205776579</v>
      </c>
      <c r="AQ19" s="522">
        <f t="shared" si="2"/>
        <v>43389.232662951581</v>
      </c>
      <c r="AR19" s="522">
        <f t="shared" si="2"/>
        <v>47694.240575872238</v>
      </c>
      <c r="AS19" s="522">
        <f t="shared" si="2"/>
        <v>27075.451512998068</v>
      </c>
      <c r="AT19" s="522">
        <f t="shared" si="2"/>
        <v>29740.936656981052</v>
      </c>
      <c r="AU19" s="522">
        <f t="shared" si="2"/>
        <v>36358.519113576622</v>
      </c>
      <c r="AV19" s="522">
        <f t="shared" si="2"/>
        <v>0</v>
      </c>
      <c r="AW19" s="522">
        <f t="shared" si="2"/>
        <v>0</v>
      </c>
      <c r="AX19" s="522">
        <f t="shared" si="2"/>
        <v>0</v>
      </c>
      <c r="AY19" s="522">
        <f t="shared" si="2"/>
        <v>0</v>
      </c>
      <c r="AZ19" s="756">
        <f t="shared" si="2"/>
        <v>0</v>
      </c>
      <c r="BA19" s="522"/>
      <c r="BB19" s="522"/>
      <c r="BC19" s="522"/>
      <c r="BD19" s="522"/>
      <c r="BE19" s="522"/>
      <c r="BF19" s="522"/>
      <c r="BG19" s="522"/>
      <c r="BH19" s="522"/>
      <c r="BI19" s="522"/>
      <c r="BJ19" s="522"/>
      <c r="BK19" s="522"/>
      <c r="BL19" s="756"/>
      <c r="BM19" s="522"/>
      <c r="BN19" s="522"/>
      <c r="BO19" s="522"/>
      <c r="BP19" s="522"/>
      <c r="BQ19" s="522"/>
      <c r="BR19" s="522"/>
      <c r="BS19" s="522"/>
      <c r="BT19" s="522"/>
      <c r="BU19" s="522"/>
      <c r="BV19" s="522"/>
      <c r="BW19" s="522"/>
      <c r="BX19" s="756"/>
      <c r="BY19" s="522"/>
      <c r="BZ19" s="522"/>
      <c r="CA19" s="522"/>
      <c r="CB19" s="522"/>
      <c r="CC19" s="522"/>
      <c r="CD19" s="522"/>
      <c r="CE19" s="522"/>
      <c r="CF19" s="522"/>
      <c r="CG19" s="522"/>
      <c r="CH19" s="522"/>
      <c r="CI19" s="522"/>
      <c r="CJ19" s="756"/>
      <c r="CK19" s="522"/>
      <c r="CL19" s="522"/>
      <c r="CM19" s="522"/>
      <c r="CN19" s="522"/>
      <c r="CO19" s="522"/>
      <c r="CP19" s="522"/>
      <c r="CQ19" s="522"/>
      <c r="CR19" s="522"/>
      <c r="CS19" s="522"/>
      <c r="CT19" s="522"/>
      <c r="CU19" s="522"/>
      <c r="CV19" s="756"/>
      <c r="CW19" s="522"/>
      <c r="CX19" s="522"/>
      <c r="CY19" s="522"/>
      <c r="CZ19" s="522"/>
      <c r="DA19" s="522"/>
      <c r="DB19" s="522"/>
      <c r="DC19" s="522"/>
      <c r="DD19" s="522"/>
      <c r="DE19" s="522"/>
      <c r="DF19" s="522"/>
      <c r="DG19" s="522"/>
      <c r="DH19" s="756"/>
      <c r="DI19" s="522"/>
      <c r="DJ19" s="522"/>
      <c r="DK19" s="522"/>
      <c r="DL19" s="522"/>
      <c r="DM19" s="522"/>
      <c r="DN19" s="522"/>
      <c r="DO19" s="522"/>
      <c r="DP19" s="522"/>
      <c r="DQ19" s="522"/>
      <c r="DR19" s="522"/>
      <c r="DS19" s="522"/>
      <c r="DT19" s="756"/>
      <c r="DU19" s="3"/>
    </row>
    <row r="20" spans="1:125" ht="15" customHeight="1" x14ac:dyDescent="0.25">
      <c r="B20" s="514" t="s">
        <v>633</v>
      </c>
      <c r="C20" s="842"/>
      <c r="D20" s="7"/>
      <c r="E20" s="517"/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518"/>
      <c r="Q20" s="790"/>
      <c r="R20" s="522"/>
      <c r="S20" s="522"/>
      <c r="T20" s="522"/>
      <c r="U20" s="522"/>
      <c r="V20" s="522"/>
      <c r="W20" s="522"/>
      <c r="X20" s="522"/>
      <c r="Y20" s="522"/>
      <c r="Z20" s="522"/>
      <c r="AA20" s="522"/>
      <c r="AB20" s="756"/>
      <c r="AC20" s="522"/>
      <c r="AD20" s="522"/>
      <c r="AE20" s="522">
        <f>S19</f>
        <v>0</v>
      </c>
      <c r="AF20" s="522"/>
      <c r="AG20" s="522"/>
      <c r="AH20" s="522"/>
      <c r="AI20" s="522"/>
      <c r="AJ20" s="522"/>
      <c r="AK20" s="522"/>
      <c r="AL20" s="522"/>
      <c r="AM20" s="522"/>
      <c r="AN20" s="756"/>
      <c r="AO20" s="522"/>
      <c r="AP20" s="522"/>
      <c r="AQ20" s="522"/>
      <c r="AR20" s="522"/>
      <c r="AS20" s="522"/>
      <c r="AT20" s="522">
        <f>AH19</f>
        <v>1663.7599525949101</v>
      </c>
      <c r="AU20" s="522">
        <f t="shared" si="2"/>
        <v>3246.8681552135977</v>
      </c>
      <c r="AV20" s="522">
        <f t="shared" si="2"/>
        <v>6786.0133349401731</v>
      </c>
      <c r="AW20" s="522">
        <f t="shared" si="2"/>
        <v>10780.692064473094</v>
      </c>
      <c r="AX20" s="522">
        <f t="shared" si="2"/>
        <v>16521.372969045762</v>
      </c>
      <c r="AY20" s="522">
        <f t="shared" si="2"/>
        <v>23622.019154122598</v>
      </c>
      <c r="AZ20" s="756">
        <f t="shared" si="2"/>
        <v>32442.18661687764</v>
      </c>
      <c r="BA20" s="522">
        <f t="shared" ref="BA20:BG21" si="3">AO19</f>
        <v>50586.105145123031</v>
      </c>
      <c r="BB20" s="522">
        <f t="shared" si="3"/>
        <v>39444.488205776579</v>
      </c>
      <c r="BC20" s="522">
        <f t="shared" si="3"/>
        <v>43389.232662951581</v>
      </c>
      <c r="BD20" s="522">
        <f t="shared" si="3"/>
        <v>47694.240575872238</v>
      </c>
      <c r="BE20" s="522">
        <f t="shared" si="3"/>
        <v>27075.451512998068</v>
      </c>
      <c r="BF20" s="522">
        <f t="shared" si="3"/>
        <v>29740.936656981052</v>
      </c>
      <c r="BG20" s="522">
        <f t="shared" si="3"/>
        <v>36358.519113576622</v>
      </c>
      <c r="BH20" s="522">
        <f>AV19</f>
        <v>0</v>
      </c>
      <c r="BI20" s="522"/>
      <c r="BJ20" s="522"/>
      <c r="BK20" s="522"/>
      <c r="BL20" s="756"/>
      <c r="BM20" s="522"/>
      <c r="BN20" s="522"/>
      <c r="BO20" s="522"/>
      <c r="BP20" s="522"/>
      <c r="BQ20" s="522"/>
      <c r="BR20" s="522"/>
      <c r="BS20" s="522"/>
      <c r="BT20" s="522"/>
      <c r="BU20" s="522"/>
      <c r="BV20" s="522"/>
      <c r="BW20" s="522"/>
      <c r="BX20" s="756"/>
      <c r="BY20" s="522"/>
      <c r="BZ20" s="522"/>
      <c r="CA20" s="522"/>
      <c r="CB20" s="522"/>
      <c r="CC20" s="522"/>
      <c r="CD20" s="522"/>
      <c r="CE20" s="522"/>
      <c r="CF20" s="522"/>
      <c r="CG20" s="522"/>
      <c r="CH20" s="522"/>
      <c r="CI20" s="522"/>
      <c r="CJ20" s="756"/>
      <c r="CK20" s="522"/>
      <c r="CL20" s="522"/>
      <c r="CM20" s="522"/>
      <c r="CN20" s="522"/>
      <c r="CO20" s="522"/>
      <c r="CP20" s="522"/>
      <c r="CQ20" s="522"/>
      <c r="CR20" s="522"/>
      <c r="CS20" s="522"/>
      <c r="CT20" s="522"/>
      <c r="CU20" s="522"/>
      <c r="CV20" s="756"/>
      <c r="CW20" s="522"/>
      <c r="CX20" s="522"/>
      <c r="CY20" s="522"/>
      <c r="CZ20" s="522"/>
      <c r="DA20" s="522"/>
      <c r="DB20" s="522"/>
      <c r="DC20" s="522"/>
      <c r="DD20" s="522"/>
      <c r="DE20" s="522"/>
      <c r="DF20" s="522"/>
      <c r="DG20" s="522"/>
      <c r="DH20" s="756"/>
      <c r="DI20" s="522"/>
      <c r="DJ20" s="522"/>
      <c r="DK20" s="522"/>
      <c r="DL20" s="522"/>
      <c r="DM20" s="522"/>
      <c r="DN20" s="522"/>
      <c r="DO20" s="522"/>
      <c r="DP20" s="522"/>
      <c r="DQ20" s="522"/>
      <c r="DR20" s="522"/>
      <c r="DS20" s="522"/>
      <c r="DT20" s="756"/>
      <c r="DU20" s="3"/>
    </row>
    <row r="21" spans="1:125" s="268" customFormat="1" ht="15" customHeight="1" x14ac:dyDescent="0.25">
      <c r="B21" s="514" t="s">
        <v>634</v>
      </c>
      <c r="C21" s="842"/>
      <c r="D21" s="7"/>
      <c r="E21" s="517"/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518"/>
      <c r="Q21" s="790"/>
      <c r="R21" s="522"/>
      <c r="S21" s="522"/>
      <c r="T21" s="522"/>
      <c r="U21" s="522"/>
      <c r="V21" s="522"/>
      <c r="W21" s="522"/>
      <c r="X21" s="522"/>
      <c r="Y21" s="522"/>
      <c r="Z21" s="522"/>
      <c r="AA21" s="522"/>
      <c r="AB21" s="756"/>
      <c r="AC21" s="522"/>
      <c r="AD21" s="522"/>
      <c r="AE21" s="522">
        <f>S20</f>
        <v>0</v>
      </c>
      <c r="AF21" s="522"/>
      <c r="AG21" s="522"/>
      <c r="AH21" s="310"/>
      <c r="AI21" s="310"/>
      <c r="AJ21" s="310"/>
      <c r="AK21" s="310"/>
      <c r="AL21" s="310"/>
      <c r="AM21" s="310"/>
      <c r="AN21" s="311"/>
      <c r="AO21" s="280"/>
      <c r="AP21" s="310"/>
      <c r="AQ21" s="310">
        <f>AE20</f>
        <v>0</v>
      </c>
      <c r="AR21" s="310"/>
      <c r="AS21" s="310"/>
      <c r="AT21" s="310"/>
      <c r="AU21" s="310"/>
      <c r="AV21" s="310"/>
      <c r="AW21" s="310"/>
      <c r="AX21" s="310"/>
      <c r="AY21" s="310"/>
      <c r="AZ21" s="311"/>
      <c r="BA21" s="280"/>
      <c r="BB21" s="310"/>
      <c r="BC21" s="310"/>
      <c r="BD21" s="310"/>
      <c r="BE21" s="310"/>
      <c r="BF21" s="310">
        <f>AT20</f>
        <v>1663.7599525949101</v>
      </c>
      <c r="BG21" s="310">
        <f t="shared" si="3"/>
        <v>3246.8681552135977</v>
      </c>
      <c r="BH21" s="310">
        <f t="shared" ref="BH21:BV22" si="4">AV20</f>
        <v>6786.0133349401731</v>
      </c>
      <c r="BI21" s="310">
        <f t="shared" si="4"/>
        <v>10780.692064473094</v>
      </c>
      <c r="BJ21" s="310">
        <f t="shared" si="4"/>
        <v>16521.372969045762</v>
      </c>
      <c r="BK21" s="310">
        <f t="shared" si="4"/>
        <v>23622.019154122598</v>
      </c>
      <c r="BL21" s="311">
        <f t="shared" si="4"/>
        <v>32442.18661687764</v>
      </c>
      <c r="BM21" s="280">
        <f t="shared" si="4"/>
        <v>50586.105145123031</v>
      </c>
      <c r="BN21" s="310">
        <f t="shared" si="4"/>
        <v>39444.488205776579</v>
      </c>
      <c r="BO21" s="310">
        <f t="shared" si="4"/>
        <v>43389.232662951581</v>
      </c>
      <c r="BP21" s="310">
        <f t="shared" si="4"/>
        <v>47694.240575872238</v>
      </c>
      <c r="BQ21" s="310">
        <f t="shared" si="4"/>
        <v>27075.451512998068</v>
      </c>
      <c r="BR21" s="310">
        <f t="shared" si="4"/>
        <v>29740.936656981052</v>
      </c>
      <c r="BS21" s="310">
        <f t="shared" si="4"/>
        <v>36358.519113576622</v>
      </c>
      <c r="BT21" s="310">
        <f t="shared" si="4"/>
        <v>0</v>
      </c>
      <c r="BU21" s="310">
        <f t="shared" si="4"/>
        <v>0</v>
      </c>
      <c r="BV21" s="310">
        <f t="shared" si="4"/>
        <v>0</v>
      </c>
      <c r="BW21" s="310"/>
      <c r="BX21" s="311"/>
      <c r="BY21" s="28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1"/>
      <c r="CK21" s="28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1"/>
      <c r="CW21" s="280"/>
      <c r="CX21" s="310"/>
      <c r="CY21" s="310"/>
      <c r="CZ21" s="310"/>
      <c r="DA21" s="310"/>
      <c r="DB21" s="310"/>
      <c r="DC21" s="310"/>
      <c r="DD21" s="310"/>
      <c r="DE21" s="310"/>
      <c r="DF21" s="310"/>
      <c r="DG21" s="310"/>
      <c r="DH21" s="311"/>
      <c r="DI21" s="280"/>
      <c r="DJ21" s="310"/>
      <c r="DK21" s="310"/>
      <c r="DL21" s="310"/>
      <c r="DM21" s="310"/>
      <c r="DN21" s="310"/>
      <c r="DO21" s="310"/>
      <c r="DP21" s="310"/>
      <c r="DQ21" s="310"/>
      <c r="DR21" s="310"/>
      <c r="DS21" s="310"/>
      <c r="DT21" s="311"/>
      <c r="DU21" s="200"/>
    </row>
    <row r="22" spans="1:125" s="268" customFormat="1" ht="15" customHeight="1" x14ac:dyDescent="0.25">
      <c r="B22" s="514" t="s">
        <v>635</v>
      </c>
      <c r="C22" s="842"/>
      <c r="D22" s="7"/>
      <c r="E22" s="517"/>
      <c r="F22" s="348"/>
      <c r="G22" s="348"/>
      <c r="H22" s="348"/>
      <c r="I22" s="348"/>
      <c r="J22" s="348"/>
      <c r="K22" s="348"/>
      <c r="L22" s="348"/>
      <c r="M22" s="348"/>
      <c r="N22" s="348"/>
      <c r="O22" s="348"/>
      <c r="P22" s="518"/>
      <c r="Q22" s="790"/>
      <c r="R22" s="522"/>
      <c r="S22" s="522"/>
      <c r="T22" s="522"/>
      <c r="U22" s="522"/>
      <c r="V22" s="522"/>
      <c r="W22" s="522"/>
      <c r="X22" s="522"/>
      <c r="Y22" s="522"/>
      <c r="Z22" s="522"/>
      <c r="AA22" s="522"/>
      <c r="AB22" s="756"/>
      <c r="AC22" s="522"/>
      <c r="AD22" s="522"/>
      <c r="AE22" s="522"/>
      <c r="AF22" s="522"/>
      <c r="AG22" s="522"/>
      <c r="AH22" s="522"/>
      <c r="AI22" s="522"/>
      <c r="AJ22" s="522"/>
      <c r="AK22" s="522"/>
      <c r="AL22" s="522"/>
      <c r="AM22" s="522"/>
      <c r="AN22" s="756"/>
      <c r="AO22" s="522"/>
      <c r="AP22" s="522"/>
      <c r="AQ22" s="522"/>
      <c r="AR22" s="522"/>
      <c r="AS22" s="522"/>
      <c r="AT22" s="522"/>
      <c r="AU22" s="522"/>
      <c r="AV22" s="522"/>
      <c r="AW22" s="522"/>
      <c r="AX22" s="522"/>
      <c r="AY22" s="522"/>
      <c r="AZ22" s="756"/>
      <c r="BA22" s="522"/>
      <c r="BB22" s="522"/>
      <c r="BC22" s="522">
        <f>AQ21</f>
        <v>0</v>
      </c>
      <c r="BD22" s="522"/>
      <c r="BE22" s="522"/>
      <c r="BF22" s="522"/>
      <c r="BG22" s="522"/>
      <c r="BH22" s="522"/>
      <c r="BI22" s="522"/>
      <c r="BJ22" s="522"/>
      <c r="BK22" s="522"/>
      <c r="BL22" s="756"/>
      <c r="BM22" s="522"/>
      <c r="BN22" s="522"/>
      <c r="BO22" s="522"/>
      <c r="BP22" s="522"/>
      <c r="BQ22" s="522"/>
      <c r="BR22" s="522">
        <f>BF21</f>
        <v>1663.7599525949101</v>
      </c>
      <c r="BS22" s="522">
        <f t="shared" si="4"/>
        <v>3246.8681552135977</v>
      </c>
      <c r="BT22" s="522">
        <f t="shared" si="4"/>
        <v>6786.0133349401731</v>
      </c>
      <c r="BU22" s="522">
        <f t="shared" si="4"/>
        <v>10780.692064473094</v>
      </c>
      <c r="BV22" s="522">
        <f t="shared" si="4"/>
        <v>16521.372969045762</v>
      </c>
      <c r="BW22" s="522">
        <f t="shared" ref="BW22:CE23" si="5">BK21</f>
        <v>23622.019154122598</v>
      </c>
      <c r="BX22" s="756">
        <f t="shared" si="5"/>
        <v>32442.18661687764</v>
      </c>
      <c r="BY22" s="522">
        <f t="shared" si="5"/>
        <v>50586.105145123031</v>
      </c>
      <c r="BZ22" s="522">
        <f t="shared" si="5"/>
        <v>39444.488205776579</v>
      </c>
      <c r="CA22" s="522">
        <f t="shared" si="5"/>
        <v>43389.232662951581</v>
      </c>
      <c r="CB22" s="522">
        <f t="shared" si="5"/>
        <v>47694.240575872238</v>
      </c>
      <c r="CC22" s="522">
        <f t="shared" si="5"/>
        <v>27075.451512998068</v>
      </c>
      <c r="CD22" s="522">
        <f t="shared" si="5"/>
        <v>29740.936656981052</v>
      </c>
      <c r="CE22" s="522">
        <f t="shared" si="5"/>
        <v>36358.519113576622</v>
      </c>
      <c r="CF22" s="522">
        <f>BT21</f>
        <v>0</v>
      </c>
      <c r="CG22" s="522"/>
      <c r="CH22" s="522"/>
      <c r="CI22" s="522"/>
      <c r="CJ22" s="756"/>
      <c r="CK22" s="522"/>
      <c r="CL22" s="522"/>
      <c r="CM22" s="522"/>
      <c r="CN22" s="522"/>
      <c r="CO22" s="522"/>
      <c r="CP22" s="522"/>
      <c r="CQ22" s="522"/>
      <c r="CR22" s="522"/>
      <c r="CS22" s="522"/>
      <c r="CT22" s="522"/>
      <c r="CU22" s="522"/>
      <c r="CV22" s="756"/>
      <c r="CW22" s="522"/>
      <c r="CX22" s="522"/>
      <c r="CY22" s="522"/>
      <c r="CZ22" s="522"/>
      <c r="DA22" s="522"/>
      <c r="DB22" s="522"/>
      <c r="DC22" s="522"/>
      <c r="DD22" s="522"/>
      <c r="DE22" s="522"/>
      <c r="DF22" s="522"/>
      <c r="DG22" s="522"/>
      <c r="DH22" s="756"/>
      <c r="DI22" s="522"/>
      <c r="DJ22" s="522"/>
      <c r="DK22" s="522"/>
      <c r="DL22" s="522"/>
      <c r="DM22" s="522"/>
      <c r="DN22" s="522"/>
      <c r="DO22" s="522"/>
      <c r="DP22" s="522"/>
      <c r="DQ22" s="522"/>
      <c r="DR22" s="522"/>
      <c r="DS22" s="522"/>
      <c r="DT22" s="756"/>
      <c r="DU22" s="200"/>
    </row>
    <row r="23" spans="1:125" s="268" customFormat="1" ht="15" customHeight="1" x14ac:dyDescent="0.25">
      <c r="B23" s="514" t="s">
        <v>636</v>
      </c>
      <c r="C23" s="842"/>
      <c r="D23" s="7"/>
      <c r="E23" s="517"/>
      <c r="F23" s="348"/>
      <c r="G23" s="348"/>
      <c r="H23" s="348"/>
      <c r="I23" s="348"/>
      <c r="J23" s="348"/>
      <c r="K23" s="348"/>
      <c r="L23" s="348"/>
      <c r="M23" s="348"/>
      <c r="N23" s="348"/>
      <c r="O23" s="348"/>
      <c r="P23" s="518"/>
      <c r="Q23" s="790"/>
      <c r="R23" s="522"/>
      <c r="S23" s="522"/>
      <c r="T23" s="522"/>
      <c r="U23" s="522"/>
      <c r="V23" s="522"/>
      <c r="W23" s="522"/>
      <c r="X23" s="522"/>
      <c r="Y23" s="522"/>
      <c r="Z23" s="522"/>
      <c r="AA23" s="522"/>
      <c r="AB23" s="756"/>
      <c r="AC23" s="522"/>
      <c r="AD23" s="522"/>
      <c r="AE23" s="522">
        <f>S22</f>
        <v>0</v>
      </c>
      <c r="AF23" s="522"/>
      <c r="AG23" s="522"/>
      <c r="AH23" s="522"/>
      <c r="AI23" s="522"/>
      <c r="AJ23" s="522"/>
      <c r="AK23" s="522"/>
      <c r="AL23" s="522"/>
      <c r="AM23" s="522"/>
      <c r="AN23" s="756"/>
      <c r="AO23" s="522"/>
      <c r="AP23" s="522"/>
      <c r="AQ23" s="522"/>
      <c r="AR23" s="522"/>
      <c r="AS23" s="522"/>
      <c r="AT23" s="522"/>
      <c r="AU23" s="522"/>
      <c r="AV23" s="522"/>
      <c r="AW23" s="522"/>
      <c r="AX23" s="522"/>
      <c r="AY23" s="522"/>
      <c r="AZ23" s="756"/>
      <c r="BA23" s="522"/>
      <c r="BB23" s="522"/>
      <c r="BC23" s="522"/>
      <c r="BD23" s="522"/>
      <c r="BE23" s="522"/>
      <c r="BF23" s="522"/>
      <c r="BG23" s="522"/>
      <c r="BH23" s="522"/>
      <c r="BI23" s="522"/>
      <c r="BJ23" s="522"/>
      <c r="BK23" s="522"/>
      <c r="BL23" s="756"/>
      <c r="BM23" s="522"/>
      <c r="BN23" s="522"/>
      <c r="BO23" s="522">
        <f>BC22</f>
        <v>0</v>
      </c>
      <c r="BP23" s="522"/>
      <c r="BQ23" s="522"/>
      <c r="BR23" s="522"/>
      <c r="BS23" s="522"/>
      <c r="BT23" s="522"/>
      <c r="BU23" s="522"/>
      <c r="BV23" s="522"/>
      <c r="BW23" s="522"/>
      <c r="BX23" s="756"/>
      <c r="BY23" s="522"/>
      <c r="BZ23" s="522"/>
      <c r="CA23" s="522"/>
      <c r="CB23" s="522"/>
      <c r="CC23" s="522"/>
      <c r="CD23" s="522">
        <f>BR22</f>
        <v>1663.7599525949101</v>
      </c>
      <c r="CE23" s="522">
        <f t="shared" si="5"/>
        <v>3246.8681552135977</v>
      </c>
      <c r="CF23" s="522">
        <f t="shared" ref="CF23:CQ24" si="6">BT22</f>
        <v>6786.0133349401731</v>
      </c>
      <c r="CG23" s="522">
        <f t="shared" si="6"/>
        <v>10780.692064473094</v>
      </c>
      <c r="CH23" s="522">
        <f t="shared" si="6"/>
        <v>16521.372969045762</v>
      </c>
      <c r="CI23" s="522">
        <f t="shared" si="6"/>
        <v>23622.019154122598</v>
      </c>
      <c r="CJ23" s="756">
        <f t="shared" si="6"/>
        <v>32442.18661687764</v>
      </c>
      <c r="CK23" s="522">
        <f t="shared" si="6"/>
        <v>50586.105145123031</v>
      </c>
      <c r="CL23" s="522">
        <f t="shared" si="6"/>
        <v>39444.488205776579</v>
      </c>
      <c r="CM23" s="522">
        <f t="shared" si="6"/>
        <v>43389.232662951581</v>
      </c>
      <c r="CN23" s="522">
        <f t="shared" si="6"/>
        <v>47694.240575872238</v>
      </c>
      <c r="CO23" s="522">
        <f t="shared" si="6"/>
        <v>27075.451512998068</v>
      </c>
      <c r="CP23" s="522">
        <f t="shared" si="6"/>
        <v>29740.936656981052</v>
      </c>
      <c r="CQ23" s="522">
        <f t="shared" si="6"/>
        <v>36358.519113576622</v>
      </c>
      <c r="CR23" s="522">
        <f>CF22</f>
        <v>0</v>
      </c>
      <c r="CS23" s="522"/>
      <c r="CT23" s="522"/>
      <c r="CU23" s="522"/>
      <c r="CV23" s="756"/>
      <c r="CW23" s="522"/>
      <c r="CX23" s="522"/>
      <c r="CY23" s="522"/>
      <c r="CZ23" s="522"/>
      <c r="DA23" s="522"/>
      <c r="DB23" s="522"/>
      <c r="DC23" s="522"/>
      <c r="DD23" s="522"/>
      <c r="DE23" s="522"/>
      <c r="DF23" s="522"/>
      <c r="DG23" s="522"/>
      <c r="DH23" s="756"/>
      <c r="DI23" s="522"/>
      <c r="DJ23" s="522"/>
      <c r="DK23" s="522"/>
      <c r="DL23" s="522"/>
      <c r="DM23" s="522"/>
      <c r="DN23" s="522"/>
      <c r="DO23" s="522"/>
      <c r="DP23" s="522"/>
      <c r="DQ23" s="522"/>
      <c r="DR23" s="522"/>
      <c r="DS23" s="522"/>
      <c r="DT23" s="756"/>
      <c r="DU23" s="200"/>
    </row>
    <row r="24" spans="1:125" s="268" customFormat="1" ht="15" customHeight="1" x14ac:dyDescent="0.25">
      <c r="B24" s="514" t="s">
        <v>637</v>
      </c>
      <c r="C24" s="842"/>
      <c r="D24" s="7"/>
      <c r="E24" s="517"/>
      <c r="F24" s="348"/>
      <c r="G24" s="348"/>
      <c r="H24" s="348"/>
      <c r="I24" s="348"/>
      <c r="J24" s="348"/>
      <c r="K24" s="348"/>
      <c r="L24" s="348"/>
      <c r="M24" s="348"/>
      <c r="N24" s="348"/>
      <c r="O24" s="348"/>
      <c r="P24" s="518"/>
      <c r="Q24" s="790"/>
      <c r="R24" s="522"/>
      <c r="S24" s="522"/>
      <c r="T24" s="522"/>
      <c r="U24" s="522"/>
      <c r="V24" s="522"/>
      <c r="W24" s="522"/>
      <c r="X24" s="522"/>
      <c r="Y24" s="522"/>
      <c r="Z24" s="522"/>
      <c r="AA24" s="522"/>
      <c r="AB24" s="756"/>
      <c r="AC24" s="522"/>
      <c r="AD24" s="522"/>
      <c r="AE24" s="522">
        <f>S23</f>
        <v>0</v>
      </c>
      <c r="AF24" s="522"/>
      <c r="AG24" s="522"/>
      <c r="AH24" s="310"/>
      <c r="AI24" s="310"/>
      <c r="AJ24" s="310"/>
      <c r="AK24" s="310"/>
      <c r="AL24" s="310"/>
      <c r="AM24" s="310"/>
      <c r="AN24" s="311"/>
      <c r="AO24" s="280"/>
      <c r="AP24" s="310"/>
      <c r="AQ24" s="310"/>
      <c r="AR24" s="310"/>
      <c r="AS24" s="310"/>
      <c r="AT24" s="310"/>
      <c r="AU24" s="310"/>
      <c r="AV24" s="310"/>
      <c r="AW24" s="310"/>
      <c r="AX24" s="310"/>
      <c r="AY24" s="310"/>
      <c r="AZ24" s="311"/>
      <c r="BA24" s="280"/>
      <c r="BB24" s="310"/>
      <c r="BC24" s="310"/>
      <c r="BD24" s="310"/>
      <c r="BE24" s="310"/>
      <c r="BF24" s="310"/>
      <c r="BG24" s="310"/>
      <c r="BH24" s="310"/>
      <c r="BI24" s="310"/>
      <c r="BJ24" s="310"/>
      <c r="BK24" s="310"/>
      <c r="BL24" s="311"/>
      <c r="BM24" s="280"/>
      <c r="BN24" s="310"/>
      <c r="BO24" s="310"/>
      <c r="BP24" s="310"/>
      <c r="BQ24" s="310"/>
      <c r="BR24" s="310"/>
      <c r="BS24" s="310"/>
      <c r="BT24" s="310"/>
      <c r="BU24" s="310"/>
      <c r="BV24" s="310"/>
      <c r="BW24" s="310"/>
      <c r="BX24" s="311"/>
      <c r="BY24" s="280"/>
      <c r="BZ24" s="310"/>
      <c r="CA24" s="310">
        <f>BO23</f>
        <v>0</v>
      </c>
      <c r="CB24" s="310"/>
      <c r="CC24" s="310"/>
      <c r="CD24" s="310"/>
      <c r="CE24" s="310"/>
      <c r="CF24" s="310"/>
      <c r="CG24" s="310"/>
      <c r="CH24" s="310"/>
      <c r="CI24" s="310"/>
      <c r="CJ24" s="311"/>
      <c r="CK24" s="280"/>
      <c r="CL24" s="310"/>
      <c r="CM24" s="310"/>
      <c r="CN24" s="310"/>
      <c r="CO24" s="310"/>
      <c r="CP24" s="310">
        <f>CD23</f>
        <v>1663.7599525949101</v>
      </c>
      <c r="CQ24" s="310">
        <f t="shared" si="6"/>
        <v>3246.8681552135977</v>
      </c>
      <c r="CR24" s="310">
        <f t="shared" ref="CR24:DD25" si="7">CF23</f>
        <v>6786.0133349401731</v>
      </c>
      <c r="CS24" s="310">
        <f t="shared" si="7"/>
        <v>10780.692064473094</v>
      </c>
      <c r="CT24" s="310">
        <f t="shared" si="7"/>
        <v>16521.372969045762</v>
      </c>
      <c r="CU24" s="310">
        <f t="shared" si="7"/>
        <v>23622.019154122598</v>
      </c>
      <c r="CV24" s="311">
        <f t="shared" si="7"/>
        <v>32442.18661687764</v>
      </c>
      <c r="CW24" s="280">
        <f t="shared" si="7"/>
        <v>50586.105145123031</v>
      </c>
      <c r="CX24" s="310">
        <f t="shared" si="7"/>
        <v>39444.488205776579</v>
      </c>
      <c r="CY24" s="310">
        <f t="shared" si="7"/>
        <v>43389.232662951581</v>
      </c>
      <c r="CZ24" s="310">
        <f t="shared" si="7"/>
        <v>47694.240575872238</v>
      </c>
      <c r="DA24" s="310">
        <f t="shared" si="7"/>
        <v>27075.451512998068</v>
      </c>
      <c r="DB24" s="310">
        <f t="shared" si="7"/>
        <v>29740.936656981052</v>
      </c>
      <c r="DC24" s="310">
        <f t="shared" si="7"/>
        <v>36358.519113576622</v>
      </c>
      <c r="DD24" s="310">
        <f t="shared" si="7"/>
        <v>0</v>
      </c>
      <c r="DE24" s="310"/>
      <c r="DF24" s="310"/>
      <c r="DG24" s="310"/>
      <c r="DH24" s="311"/>
      <c r="DI24" s="280"/>
      <c r="DJ24" s="310"/>
      <c r="DK24" s="310"/>
      <c r="DL24" s="310"/>
      <c r="DM24" s="310"/>
      <c r="DN24" s="310"/>
      <c r="DO24" s="310"/>
      <c r="DP24" s="310"/>
      <c r="DQ24" s="310"/>
      <c r="DR24" s="310"/>
      <c r="DS24" s="310"/>
      <c r="DT24" s="311"/>
      <c r="DU24" s="200"/>
    </row>
    <row r="25" spans="1:125" s="268" customFormat="1" ht="15" customHeight="1" x14ac:dyDescent="0.25">
      <c r="B25" s="514" t="s">
        <v>638</v>
      </c>
      <c r="C25" s="842"/>
      <c r="D25" s="7"/>
      <c r="E25" s="517"/>
      <c r="F25" s="348"/>
      <c r="G25" s="348"/>
      <c r="H25" s="348"/>
      <c r="I25" s="348"/>
      <c r="J25" s="348"/>
      <c r="K25" s="348"/>
      <c r="L25" s="348"/>
      <c r="M25" s="348"/>
      <c r="N25" s="348"/>
      <c r="O25" s="348"/>
      <c r="P25" s="518"/>
      <c r="Q25" s="790"/>
      <c r="R25" s="522"/>
      <c r="S25" s="522"/>
      <c r="T25" s="522"/>
      <c r="U25" s="522"/>
      <c r="V25" s="522"/>
      <c r="W25" s="522"/>
      <c r="X25" s="522"/>
      <c r="Y25" s="522"/>
      <c r="Z25" s="522"/>
      <c r="AA25" s="522"/>
      <c r="AB25" s="756"/>
      <c r="AC25" s="522"/>
      <c r="AD25" s="522"/>
      <c r="AE25" s="522"/>
      <c r="AF25" s="522"/>
      <c r="AG25" s="522"/>
      <c r="AH25" s="522"/>
      <c r="AI25" s="522"/>
      <c r="AJ25" s="522"/>
      <c r="AK25" s="522"/>
      <c r="AL25" s="522"/>
      <c r="AM25" s="522"/>
      <c r="AN25" s="756"/>
      <c r="AO25" s="522"/>
      <c r="AP25" s="522"/>
      <c r="AQ25" s="522"/>
      <c r="AR25" s="522"/>
      <c r="AS25" s="522"/>
      <c r="AT25" s="522"/>
      <c r="AU25" s="522"/>
      <c r="AV25" s="522"/>
      <c r="AW25" s="522"/>
      <c r="AX25" s="522"/>
      <c r="AY25" s="522"/>
      <c r="AZ25" s="756"/>
      <c r="BA25" s="522"/>
      <c r="BB25" s="522"/>
      <c r="BC25" s="522"/>
      <c r="BD25" s="522"/>
      <c r="BE25" s="522"/>
      <c r="BF25" s="522"/>
      <c r="BG25" s="522"/>
      <c r="BH25" s="522"/>
      <c r="BI25" s="522"/>
      <c r="BJ25" s="522"/>
      <c r="BK25" s="522"/>
      <c r="BL25" s="756"/>
      <c r="BM25" s="522"/>
      <c r="BN25" s="522"/>
      <c r="BO25" s="522"/>
      <c r="BP25" s="522"/>
      <c r="BQ25" s="522"/>
      <c r="BR25" s="522"/>
      <c r="BS25" s="522"/>
      <c r="BT25" s="522"/>
      <c r="BU25" s="522"/>
      <c r="BV25" s="522"/>
      <c r="BW25" s="522"/>
      <c r="BX25" s="756"/>
      <c r="BY25" s="522"/>
      <c r="BZ25" s="522"/>
      <c r="CA25" s="522"/>
      <c r="CB25" s="522"/>
      <c r="CC25" s="522"/>
      <c r="CD25" s="522"/>
      <c r="CE25" s="522"/>
      <c r="CF25" s="522"/>
      <c r="CG25" s="522"/>
      <c r="CH25" s="522"/>
      <c r="CI25" s="522"/>
      <c r="CJ25" s="756"/>
      <c r="CK25" s="522"/>
      <c r="CL25" s="522"/>
      <c r="CM25" s="522">
        <f>CA24</f>
        <v>0</v>
      </c>
      <c r="CN25" s="522"/>
      <c r="CO25" s="522"/>
      <c r="CP25" s="522"/>
      <c r="CQ25" s="522"/>
      <c r="CR25" s="522"/>
      <c r="CS25" s="522"/>
      <c r="CT25" s="522"/>
      <c r="CU25" s="522"/>
      <c r="CV25" s="756"/>
      <c r="CW25" s="522"/>
      <c r="CX25" s="522"/>
      <c r="CY25" s="522"/>
      <c r="CZ25" s="522"/>
      <c r="DA25" s="522"/>
      <c r="DB25" s="522">
        <f>CP24</f>
        <v>1663.7599525949101</v>
      </c>
      <c r="DC25" s="522">
        <f t="shared" si="7"/>
        <v>3246.8681552135977</v>
      </c>
      <c r="DD25" s="522">
        <f t="shared" si="7"/>
        <v>6786.0133349401731</v>
      </c>
      <c r="DE25" s="522">
        <f t="shared" ref="DE25:DQ26" si="8">CS24</f>
        <v>10780.692064473094</v>
      </c>
      <c r="DF25" s="522">
        <f t="shared" si="8"/>
        <v>16521.372969045762</v>
      </c>
      <c r="DG25" s="522">
        <f t="shared" si="8"/>
        <v>23622.019154122598</v>
      </c>
      <c r="DH25" s="756">
        <f t="shared" si="8"/>
        <v>32442.18661687764</v>
      </c>
      <c r="DI25" s="522">
        <f t="shared" si="8"/>
        <v>50586.105145123031</v>
      </c>
      <c r="DJ25" s="522">
        <f t="shared" si="8"/>
        <v>39444.488205776579</v>
      </c>
      <c r="DK25" s="522">
        <f t="shared" si="8"/>
        <v>43389.232662951581</v>
      </c>
      <c r="DL25" s="522">
        <f t="shared" si="8"/>
        <v>47694.240575872238</v>
      </c>
      <c r="DM25" s="522">
        <f t="shared" si="8"/>
        <v>27075.451512998068</v>
      </c>
      <c r="DN25" s="522">
        <f t="shared" si="8"/>
        <v>29740.936656981052</v>
      </c>
      <c r="DO25" s="522">
        <f t="shared" si="8"/>
        <v>36358.519113576622</v>
      </c>
      <c r="DP25" s="522">
        <f t="shared" si="8"/>
        <v>0</v>
      </c>
      <c r="DQ25" s="522">
        <f t="shared" si="8"/>
        <v>0</v>
      </c>
      <c r="DR25" s="522"/>
      <c r="DS25" s="522"/>
      <c r="DT25" s="756"/>
      <c r="DU25" s="200"/>
    </row>
    <row r="26" spans="1:125" s="268" customFormat="1" ht="15" customHeight="1" x14ac:dyDescent="0.25">
      <c r="B26" s="514" t="s">
        <v>639</v>
      </c>
      <c r="C26" s="842"/>
      <c r="D26" s="7"/>
      <c r="E26" s="517"/>
      <c r="F26" s="348"/>
      <c r="G26" s="348"/>
      <c r="H26" s="348"/>
      <c r="I26" s="348"/>
      <c r="J26" s="348"/>
      <c r="K26" s="348"/>
      <c r="L26" s="348"/>
      <c r="M26" s="348"/>
      <c r="N26" s="348"/>
      <c r="O26" s="348"/>
      <c r="P26" s="518"/>
      <c r="Q26" s="790"/>
      <c r="R26" s="522"/>
      <c r="S26" s="522"/>
      <c r="T26" s="522"/>
      <c r="U26" s="522"/>
      <c r="V26" s="522"/>
      <c r="W26" s="522"/>
      <c r="X26" s="522"/>
      <c r="Y26" s="522"/>
      <c r="Z26" s="522"/>
      <c r="AA26" s="522"/>
      <c r="AB26" s="756"/>
      <c r="AC26" s="522"/>
      <c r="AD26" s="522"/>
      <c r="AE26" s="522">
        <f>S25</f>
        <v>0</v>
      </c>
      <c r="AF26" s="522"/>
      <c r="AG26" s="522"/>
      <c r="AH26" s="522"/>
      <c r="AI26" s="522"/>
      <c r="AJ26" s="522"/>
      <c r="AK26" s="522"/>
      <c r="AL26" s="522"/>
      <c r="AM26" s="522"/>
      <c r="AN26" s="756"/>
      <c r="AO26" s="522"/>
      <c r="AP26" s="522"/>
      <c r="AQ26" s="522"/>
      <c r="AR26" s="522"/>
      <c r="AS26" s="522"/>
      <c r="AT26" s="522"/>
      <c r="AU26" s="522"/>
      <c r="AV26" s="522"/>
      <c r="AW26" s="522"/>
      <c r="AX26" s="522"/>
      <c r="AY26" s="522"/>
      <c r="AZ26" s="756"/>
      <c r="BA26" s="522"/>
      <c r="BB26" s="522"/>
      <c r="BC26" s="522"/>
      <c r="BD26" s="522"/>
      <c r="BE26" s="522"/>
      <c r="BF26" s="522"/>
      <c r="BG26" s="522"/>
      <c r="BH26" s="522"/>
      <c r="BI26" s="522"/>
      <c r="BJ26" s="522"/>
      <c r="BK26" s="522"/>
      <c r="BL26" s="756"/>
      <c r="BM26" s="522"/>
      <c r="BN26" s="522"/>
      <c r="BO26" s="522"/>
      <c r="BP26" s="522"/>
      <c r="BQ26" s="522"/>
      <c r="BR26" s="522"/>
      <c r="BS26" s="522"/>
      <c r="BT26" s="522"/>
      <c r="BU26" s="522"/>
      <c r="BV26" s="522"/>
      <c r="BW26" s="522"/>
      <c r="BX26" s="756"/>
      <c r="BY26" s="522"/>
      <c r="BZ26" s="522"/>
      <c r="CA26" s="522"/>
      <c r="CB26" s="522"/>
      <c r="CC26" s="522"/>
      <c r="CD26" s="522"/>
      <c r="CE26" s="522"/>
      <c r="CF26" s="522"/>
      <c r="CG26" s="522"/>
      <c r="CH26" s="522"/>
      <c r="CI26" s="522"/>
      <c r="CJ26" s="756"/>
      <c r="CK26" s="522"/>
      <c r="CL26" s="522"/>
      <c r="CM26" s="522"/>
      <c r="CN26" s="522"/>
      <c r="CO26" s="522"/>
      <c r="CP26" s="522"/>
      <c r="CQ26" s="522"/>
      <c r="CR26" s="522"/>
      <c r="CS26" s="522"/>
      <c r="CT26" s="522"/>
      <c r="CU26" s="522"/>
      <c r="CV26" s="756"/>
      <c r="CW26" s="522"/>
      <c r="CX26" s="522"/>
      <c r="CY26" s="522">
        <f>CM25</f>
        <v>0</v>
      </c>
      <c r="CZ26" s="522"/>
      <c r="DA26" s="522"/>
      <c r="DB26" s="522"/>
      <c r="DC26" s="522"/>
      <c r="DD26" s="522"/>
      <c r="DE26" s="522"/>
      <c r="DF26" s="522"/>
      <c r="DG26" s="522"/>
      <c r="DH26" s="756"/>
      <c r="DI26" s="522"/>
      <c r="DJ26" s="522"/>
      <c r="DK26" s="522"/>
      <c r="DL26" s="522"/>
      <c r="DM26" s="522"/>
      <c r="DN26" s="522">
        <f>DB25</f>
        <v>1663.7599525949101</v>
      </c>
      <c r="DO26" s="522">
        <f t="shared" si="8"/>
        <v>3246.8681552135977</v>
      </c>
      <c r="DP26" s="522">
        <f t="shared" si="8"/>
        <v>6786.0133349401731</v>
      </c>
      <c r="DQ26" s="522">
        <f t="shared" si="8"/>
        <v>10780.692064473094</v>
      </c>
      <c r="DR26" s="522">
        <f>DF25</f>
        <v>16521.372969045762</v>
      </c>
      <c r="DS26" s="522">
        <f>DG25</f>
        <v>23622.019154122598</v>
      </c>
      <c r="DT26" s="756">
        <f>DH25</f>
        <v>32442.18661687764</v>
      </c>
      <c r="DU26" s="200"/>
    </row>
    <row r="27" spans="1:125" s="268" customFormat="1" ht="15" customHeight="1" x14ac:dyDescent="0.25">
      <c r="B27" s="514" t="s">
        <v>640</v>
      </c>
      <c r="C27" s="842"/>
      <c r="D27" s="7"/>
      <c r="E27" s="517"/>
      <c r="F27" s="348"/>
      <c r="G27" s="348"/>
      <c r="H27" s="348"/>
      <c r="I27" s="348"/>
      <c r="J27" s="348"/>
      <c r="K27" s="348"/>
      <c r="L27" s="348"/>
      <c r="M27" s="348"/>
      <c r="N27" s="348"/>
      <c r="O27" s="348"/>
      <c r="P27" s="518"/>
      <c r="Q27" s="790"/>
      <c r="R27" s="522"/>
      <c r="S27" s="522"/>
      <c r="T27" s="522"/>
      <c r="U27" s="522"/>
      <c r="V27" s="522"/>
      <c r="W27" s="522"/>
      <c r="X27" s="522"/>
      <c r="Y27" s="522"/>
      <c r="Z27" s="522"/>
      <c r="AA27" s="522"/>
      <c r="AB27" s="756"/>
      <c r="AC27" s="522"/>
      <c r="AD27" s="522"/>
      <c r="AE27" s="522">
        <f>S26</f>
        <v>0</v>
      </c>
      <c r="AF27" s="522"/>
      <c r="AG27" s="522"/>
      <c r="AH27" s="310"/>
      <c r="AI27" s="310"/>
      <c r="AJ27" s="310"/>
      <c r="AK27" s="310"/>
      <c r="AL27" s="310"/>
      <c r="AM27" s="310"/>
      <c r="AN27" s="311"/>
      <c r="AO27" s="280"/>
      <c r="AP27" s="310"/>
      <c r="AQ27" s="310"/>
      <c r="AR27" s="310"/>
      <c r="AS27" s="310"/>
      <c r="AT27" s="310"/>
      <c r="AU27" s="310"/>
      <c r="AV27" s="310"/>
      <c r="AW27" s="310"/>
      <c r="AX27" s="310"/>
      <c r="AY27" s="310"/>
      <c r="AZ27" s="311"/>
      <c r="BA27" s="280"/>
      <c r="BB27" s="310"/>
      <c r="BC27" s="310"/>
      <c r="BD27" s="310"/>
      <c r="BE27" s="310"/>
      <c r="BF27" s="310"/>
      <c r="BG27" s="310"/>
      <c r="BH27" s="310"/>
      <c r="BI27" s="310"/>
      <c r="BJ27" s="310"/>
      <c r="BK27" s="310"/>
      <c r="BL27" s="311"/>
      <c r="BM27" s="280"/>
      <c r="BN27" s="310"/>
      <c r="BO27" s="310"/>
      <c r="BP27" s="310"/>
      <c r="BQ27" s="310"/>
      <c r="BR27" s="310"/>
      <c r="BS27" s="310"/>
      <c r="BT27" s="310"/>
      <c r="BU27" s="310"/>
      <c r="BV27" s="310"/>
      <c r="BW27" s="310"/>
      <c r="BX27" s="311"/>
      <c r="BY27" s="280"/>
      <c r="BZ27" s="310"/>
      <c r="CA27" s="310"/>
      <c r="CB27" s="310"/>
      <c r="CC27" s="310"/>
      <c r="CD27" s="310"/>
      <c r="CE27" s="310"/>
      <c r="CF27" s="310"/>
      <c r="CG27" s="310"/>
      <c r="CH27" s="310"/>
      <c r="CI27" s="310"/>
      <c r="CJ27" s="311"/>
      <c r="CK27" s="280"/>
      <c r="CL27" s="310"/>
      <c r="CM27" s="310"/>
      <c r="CN27" s="310"/>
      <c r="CO27" s="310"/>
      <c r="CP27" s="310"/>
      <c r="CQ27" s="310"/>
      <c r="CR27" s="310"/>
      <c r="CS27" s="310"/>
      <c r="CT27" s="310"/>
      <c r="CU27" s="310"/>
      <c r="CV27" s="311"/>
      <c r="CW27" s="280"/>
      <c r="CX27" s="310"/>
      <c r="CY27" s="310"/>
      <c r="CZ27" s="310"/>
      <c r="DA27" s="310"/>
      <c r="DB27" s="310"/>
      <c r="DC27" s="310"/>
      <c r="DD27" s="310"/>
      <c r="DE27" s="310"/>
      <c r="DF27" s="310"/>
      <c r="DG27" s="310"/>
      <c r="DH27" s="311"/>
      <c r="DI27" s="280"/>
      <c r="DJ27" s="310"/>
      <c r="DK27" s="310">
        <f>CY26</f>
        <v>0</v>
      </c>
      <c r="DL27" s="310"/>
      <c r="DM27" s="310"/>
      <c r="DN27" s="310"/>
      <c r="DO27" s="310"/>
      <c r="DP27" s="310"/>
      <c r="DQ27" s="310"/>
      <c r="DR27" s="310"/>
      <c r="DS27" s="310"/>
      <c r="DT27" s="311"/>
      <c r="DU27" s="200"/>
    </row>
    <row r="28" spans="1:125" s="268" customFormat="1" ht="19.5" thickBot="1" x14ac:dyDescent="0.35">
      <c r="B28" s="161" t="s">
        <v>641</v>
      </c>
      <c r="C28" s="85"/>
      <c r="D28" s="7"/>
      <c r="E28" s="527"/>
      <c r="F28" s="527"/>
      <c r="G28" s="527"/>
      <c r="H28" s="527"/>
      <c r="I28" s="527"/>
      <c r="J28" s="527"/>
      <c r="K28" s="527">
        <f t="shared" ref="K28:P28" si="9">SUM(K13:K27)</f>
        <v>0</v>
      </c>
      <c r="L28" s="527">
        <f t="shared" si="9"/>
        <v>0</v>
      </c>
      <c r="M28" s="527">
        <f t="shared" si="9"/>
        <v>0</v>
      </c>
      <c r="N28" s="527">
        <f t="shared" si="9"/>
        <v>0</v>
      </c>
      <c r="O28" s="527">
        <f t="shared" si="9"/>
        <v>0</v>
      </c>
      <c r="P28" s="752">
        <f t="shared" si="9"/>
        <v>0</v>
      </c>
      <c r="Q28" s="793">
        <f>SUM(Q17:Q27)</f>
        <v>0</v>
      </c>
      <c r="R28" s="391">
        <f t="shared" ref="R28:CC28" si="10">SUM(R17:R27)</f>
        <v>0</v>
      </c>
      <c r="S28" s="391">
        <f t="shared" si="10"/>
        <v>0</v>
      </c>
      <c r="T28" s="391">
        <f t="shared" si="10"/>
        <v>0</v>
      </c>
      <c r="U28" s="391">
        <f t="shared" si="10"/>
        <v>0</v>
      </c>
      <c r="V28" s="391">
        <f t="shared" si="10"/>
        <v>1663.7599525949101</v>
      </c>
      <c r="W28" s="391">
        <f t="shared" si="10"/>
        <v>3246.8681552135977</v>
      </c>
      <c r="X28" s="391">
        <f t="shared" si="10"/>
        <v>6786.0133349401731</v>
      </c>
      <c r="Y28" s="391">
        <f t="shared" si="10"/>
        <v>10780.692064473094</v>
      </c>
      <c r="Z28" s="391">
        <f t="shared" si="10"/>
        <v>16521.372969045762</v>
      </c>
      <c r="AA28" s="391">
        <f t="shared" si="10"/>
        <v>23622.019154122598</v>
      </c>
      <c r="AB28" s="757">
        <f t="shared" si="10"/>
        <v>32442.18661687764</v>
      </c>
      <c r="AC28" s="391">
        <f t="shared" si="10"/>
        <v>50586.105145123031</v>
      </c>
      <c r="AD28" s="391">
        <f t="shared" si="10"/>
        <v>39444.488205776579</v>
      </c>
      <c r="AE28" s="391">
        <f t="shared" si="10"/>
        <v>43389.232662951581</v>
      </c>
      <c r="AF28" s="391">
        <f t="shared" si="10"/>
        <v>47694.240575872238</v>
      </c>
      <c r="AG28" s="391">
        <f t="shared" si="10"/>
        <v>27075.451512998068</v>
      </c>
      <c r="AH28" s="391">
        <f t="shared" si="10"/>
        <v>31404.696609575964</v>
      </c>
      <c r="AI28" s="391">
        <f t="shared" si="10"/>
        <v>39605.387268790219</v>
      </c>
      <c r="AJ28" s="391">
        <f t="shared" si="10"/>
        <v>6786.0133349401731</v>
      </c>
      <c r="AK28" s="391">
        <f t="shared" si="10"/>
        <v>10780.692064473094</v>
      </c>
      <c r="AL28" s="391">
        <f t="shared" si="10"/>
        <v>16521.372969045762</v>
      </c>
      <c r="AM28" s="391">
        <f t="shared" si="10"/>
        <v>23622.019154122598</v>
      </c>
      <c r="AN28" s="757">
        <f t="shared" si="10"/>
        <v>32442.18661687764</v>
      </c>
      <c r="AO28" s="391">
        <f t="shared" si="10"/>
        <v>50586.105145123031</v>
      </c>
      <c r="AP28" s="391">
        <f t="shared" si="10"/>
        <v>39444.488205776579</v>
      </c>
      <c r="AQ28" s="391">
        <f t="shared" si="10"/>
        <v>43389.232662951581</v>
      </c>
      <c r="AR28" s="391">
        <f t="shared" si="10"/>
        <v>47694.240575872238</v>
      </c>
      <c r="AS28" s="391">
        <f t="shared" si="10"/>
        <v>27075.451512998068</v>
      </c>
      <c r="AT28" s="391">
        <f t="shared" si="10"/>
        <v>31404.696609575964</v>
      </c>
      <c r="AU28" s="391">
        <f t="shared" si="10"/>
        <v>39605.387268790219</v>
      </c>
      <c r="AV28" s="391">
        <f t="shared" si="10"/>
        <v>6786.0133349401731</v>
      </c>
      <c r="AW28" s="391">
        <f t="shared" si="10"/>
        <v>10780.692064473094</v>
      </c>
      <c r="AX28" s="391">
        <f t="shared" si="10"/>
        <v>16521.372969045762</v>
      </c>
      <c r="AY28" s="391">
        <f t="shared" si="10"/>
        <v>23622.019154122598</v>
      </c>
      <c r="AZ28" s="757">
        <f t="shared" si="10"/>
        <v>32442.18661687764</v>
      </c>
      <c r="BA28" s="391">
        <f t="shared" si="10"/>
        <v>50586.105145123031</v>
      </c>
      <c r="BB28" s="391">
        <f t="shared" si="10"/>
        <v>39444.488205776579</v>
      </c>
      <c r="BC28" s="391">
        <f t="shared" si="10"/>
        <v>43389.232662951581</v>
      </c>
      <c r="BD28" s="391">
        <f t="shared" si="10"/>
        <v>47694.240575872238</v>
      </c>
      <c r="BE28" s="391">
        <f t="shared" si="10"/>
        <v>27075.451512998068</v>
      </c>
      <c r="BF28" s="391">
        <f t="shared" si="10"/>
        <v>31404.696609575964</v>
      </c>
      <c r="BG28" s="391">
        <f t="shared" si="10"/>
        <v>39605.387268790219</v>
      </c>
      <c r="BH28" s="391">
        <f t="shared" si="10"/>
        <v>6786.0133349401731</v>
      </c>
      <c r="BI28" s="391">
        <f t="shared" si="10"/>
        <v>10780.692064473094</v>
      </c>
      <c r="BJ28" s="391">
        <f t="shared" si="10"/>
        <v>16521.372969045762</v>
      </c>
      <c r="BK28" s="391">
        <f t="shared" si="10"/>
        <v>23622.019154122598</v>
      </c>
      <c r="BL28" s="757">
        <f t="shared" si="10"/>
        <v>32442.18661687764</v>
      </c>
      <c r="BM28" s="391">
        <f t="shared" si="10"/>
        <v>50586.105145123031</v>
      </c>
      <c r="BN28" s="391">
        <f t="shared" si="10"/>
        <v>39444.488205776579</v>
      </c>
      <c r="BO28" s="391">
        <f t="shared" si="10"/>
        <v>43389.232662951581</v>
      </c>
      <c r="BP28" s="391">
        <f t="shared" si="10"/>
        <v>47694.240575872238</v>
      </c>
      <c r="BQ28" s="391">
        <f t="shared" si="10"/>
        <v>27075.451512998068</v>
      </c>
      <c r="BR28" s="391">
        <f t="shared" si="10"/>
        <v>31404.696609575964</v>
      </c>
      <c r="BS28" s="391">
        <f t="shared" si="10"/>
        <v>39605.387268790219</v>
      </c>
      <c r="BT28" s="391">
        <f t="shared" si="10"/>
        <v>6786.0133349401731</v>
      </c>
      <c r="BU28" s="391">
        <f t="shared" si="10"/>
        <v>10780.692064473094</v>
      </c>
      <c r="BV28" s="391">
        <f t="shared" si="10"/>
        <v>16521.372969045762</v>
      </c>
      <c r="BW28" s="391">
        <f t="shared" si="10"/>
        <v>23622.019154122598</v>
      </c>
      <c r="BX28" s="757">
        <f t="shared" si="10"/>
        <v>32442.18661687764</v>
      </c>
      <c r="BY28" s="391">
        <f t="shared" si="10"/>
        <v>50586.105145123031</v>
      </c>
      <c r="BZ28" s="391">
        <f t="shared" si="10"/>
        <v>39444.488205776579</v>
      </c>
      <c r="CA28" s="391">
        <f t="shared" si="10"/>
        <v>43389.232662951581</v>
      </c>
      <c r="CB28" s="391">
        <f t="shared" si="10"/>
        <v>47694.240575872238</v>
      </c>
      <c r="CC28" s="391">
        <f t="shared" si="10"/>
        <v>27075.451512998068</v>
      </c>
      <c r="CD28" s="391">
        <f t="shared" ref="CD28:DT28" si="11">SUM(CD17:CD27)</f>
        <v>31404.696609575964</v>
      </c>
      <c r="CE28" s="391">
        <f t="shared" si="11"/>
        <v>39605.387268790219</v>
      </c>
      <c r="CF28" s="391">
        <f t="shared" si="11"/>
        <v>6786.0133349401731</v>
      </c>
      <c r="CG28" s="391">
        <f t="shared" si="11"/>
        <v>10780.692064473094</v>
      </c>
      <c r="CH28" s="391">
        <f t="shared" si="11"/>
        <v>16521.372969045762</v>
      </c>
      <c r="CI28" s="391">
        <f t="shared" si="11"/>
        <v>23622.019154122598</v>
      </c>
      <c r="CJ28" s="757">
        <f t="shared" si="11"/>
        <v>32442.18661687764</v>
      </c>
      <c r="CK28" s="391">
        <f t="shared" si="11"/>
        <v>50586.105145123031</v>
      </c>
      <c r="CL28" s="391">
        <f t="shared" si="11"/>
        <v>39444.488205776579</v>
      </c>
      <c r="CM28" s="391">
        <f t="shared" si="11"/>
        <v>43389.232662951581</v>
      </c>
      <c r="CN28" s="391">
        <f t="shared" si="11"/>
        <v>47694.240575872238</v>
      </c>
      <c r="CO28" s="391">
        <f t="shared" si="11"/>
        <v>27075.451512998068</v>
      </c>
      <c r="CP28" s="391">
        <f t="shared" si="11"/>
        <v>31404.696609575964</v>
      </c>
      <c r="CQ28" s="391">
        <f t="shared" si="11"/>
        <v>39605.387268790219</v>
      </c>
      <c r="CR28" s="391">
        <f t="shared" si="11"/>
        <v>6786.0133349401731</v>
      </c>
      <c r="CS28" s="391">
        <f t="shared" si="11"/>
        <v>10780.692064473094</v>
      </c>
      <c r="CT28" s="391">
        <f t="shared" si="11"/>
        <v>16521.372969045762</v>
      </c>
      <c r="CU28" s="391">
        <f t="shared" si="11"/>
        <v>23622.019154122598</v>
      </c>
      <c r="CV28" s="757">
        <f t="shared" si="11"/>
        <v>32442.18661687764</v>
      </c>
      <c r="CW28" s="391">
        <f t="shared" si="11"/>
        <v>50586.105145123031</v>
      </c>
      <c r="CX28" s="391">
        <f t="shared" si="11"/>
        <v>39444.488205776579</v>
      </c>
      <c r="CY28" s="391">
        <f t="shared" si="11"/>
        <v>43389.232662951581</v>
      </c>
      <c r="CZ28" s="391">
        <f t="shared" si="11"/>
        <v>47694.240575872238</v>
      </c>
      <c r="DA28" s="391">
        <f t="shared" si="11"/>
        <v>27075.451512998068</v>
      </c>
      <c r="DB28" s="391">
        <f t="shared" si="11"/>
        <v>31404.696609575964</v>
      </c>
      <c r="DC28" s="391">
        <f t="shared" si="11"/>
        <v>39605.387268790219</v>
      </c>
      <c r="DD28" s="391">
        <f t="shared" si="11"/>
        <v>6786.0133349401731</v>
      </c>
      <c r="DE28" s="391">
        <f t="shared" si="11"/>
        <v>10780.692064473094</v>
      </c>
      <c r="DF28" s="391">
        <f t="shared" si="11"/>
        <v>16521.372969045762</v>
      </c>
      <c r="DG28" s="391">
        <f t="shared" si="11"/>
        <v>23622.019154122598</v>
      </c>
      <c r="DH28" s="757">
        <f t="shared" si="11"/>
        <v>32442.18661687764</v>
      </c>
      <c r="DI28" s="391">
        <f t="shared" si="11"/>
        <v>50586.105145123031</v>
      </c>
      <c r="DJ28" s="391">
        <f t="shared" si="11"/>
        <v>39444.488205776579</v>
      </c>
      <c r="DK28" s="391">
        <f t="shared" si="11"/>
        <v>43389.232662951581</v>
      </c>
      <c r="DL28" s="391">
        <f t="shared" si="11"/>
        <v>47694.240575872238</v>
      </c>
      <c r="DM28" s="391">
        <f t="shared" si="11"/>
        <v>27075.451512998068</v>
      </c>
      <c r="DN28" s="391">
        <f t="shared" si="11"/>
        <v>31404.696609575964</v>
      </c>
      <c r="DO28" s="391">
        <f t="shared" si="11"/>
        <v>39605.387268790219</v>
      </c>
      <c r="DP28" s="391">
        <f t="shared" si="11"/>
        <v>6786.0133349401731</v>
      </c>
      <c r="DQ28" s="391">
        <f t="shared" si="11"/>
        <v>10780.692064473094</v>
      </c>
      <c r="DR28" s="391">
        <f t="shared" si="11"/>
        <v>16521.372969045762</v>
      </c>
      <c r="DS28" s="391">
        <f t="shared" si="11"/>
        <v>23622.019154122598</v>
      </c>
      <c r="DT28" s="757">
        <f t="shared" si="11"/>
        <v>32442.18661687764</v>
      </c>
      <c r="DU28" s="200"/>
    </row>
    <row r="29" spans="1:125" s="268" customFormat="1" ht="33" x14ac:dyDescent="0.25">
      <c r="B29" s="514"/>
      <c r="C29" s="810"/>
      <c r="D29" s="7"/>
      <c r="E29" s="814"/>
      <c r="F29" s="815"/>
      <c r="G29" s="815"/>
      <c r="H29" s="815"/>
      <c r="I29" s="815"/>
      <c r="J29" s="815"/>
      <c r="K29" s="815"/>
      <c r="L29" s="815"/>
      <c r="M29" s="815"/>
      <c r="N29" s="815"/>
      <c r="O29" s="815"/>
      <c r="P29" s="816"/>
      <c r="Q29" s="817"/>
      <c r="R29" s="818"/>
      <c r="S29" s="818"/>
      <c r="T29" s="818"/>
      <c r="U29" s="818"/>
      <c r="V29" s="818"/>
      <c r="W29" s="818"/>
      <c r="X29" s="818"/>
      <c r="Y29" s="818"/>
      <c r="Z29" s="818"/>
      <c r="AA29" s="818"/>
      <c r="AB29" s="819"/>
      <c r="AC29" s="818"/>
      <c r="AD29" s="818"/>
      <c r="AE29" s="818"/>
      <c r="AF29" s="818"/>
      <c r="AG29" s="818"/>
      <c r="AH29" s="408"/>
      <c r="AI29" s="408"/>
      <c r="AJ29" s="408"/>
      <c r="AK29" s="408"/>
      <c r="AL29" s="408"/>
      <c r="AM29" s="408"/>
      <c r="AN29" s="820"/>
      <c r="AO29" s="408"/>
      <c r="AP29" s="408"/>
      <c r="AQ29" s="408"/>
      <c r="AR29" s="408"/>
      <c r="AS29" s="408"/>
      <c r="AT29" s="408"/>
      <c r="AU29" s="408"/>
      <c r="AV29" s="408"/>
      <c r="AW29" s="408"/>
      <c r="AX29" s="408"/>
      <c r="AY29" s="408"/>
      <c r="AZ29" s="820"/>
      <c r="BA29" s="408"/>
      <c r="BB29" s="408"/>
      <c r="BC29" s="408"/>
      <c r="BD29" s="408"/>
      <c r="BE29" s="408"/>
      <c r="BF29" s="408"/>
      <c r="BG29" s="408"/>
      <c r="BH29" s="408"/>
      <c r="BI29" s="408"/>
      <c r="BJ29" s="408"/>
      <c r="BK29" s="408"/>
      <c r="BL29" s="820"/>
      <c r="BM29" s="408"/>
      <c r="BN29" s="408"/>
      <c r="BO29" s="408"/>
      <c r="BP29" s="408"/>
      <c r="BQ29" s="408"/>
      <c r="BR29" s="408"/>
      <c r="BS29" s="408"/>
      <c r="BT29" s="408"/>
      <c r="BU29" s="408"/>
      <c r="BV29" s="408"/>
      <c r="BW29" s="408"/>
      <c r="BX29" s="820"/>
      <c r="BY29" s="408"/>
      <c r="BZ29" s="408"/>
      <c r="CA29" s="408"/>
      <c r="CB29" s="408"/>
      <c r="CC29" s="408"/>
      <c r="CD29" s="408"/>
      <c r="CE29" s="408"/>
      <c r="CF29" s="408"/>
      <c r="CG29" s="408"/>
      <c r="CH29" s="408"/>
      <c r="CI29" s="408"/>
      <c r="CJ29" s="820"/>
      <c r="CK29" s="408"/>
      <c r="CL29" s="408"/>
      <c r="CM29" s="408"/>
      <c r="CN29" s="408"/>
      <c r="CO29" s="408"/>
      <c r="CP29" s="408"/>
      <c r="CQ29" s="408"/>
      <c r="CR29" s="408"/>
      <c r="CS29" s="408"/>
      <c r="CT29" s="408"/>
      <c r="CU29" s="408"/>
      <c r="CV29" s="820"/>
      <c r="CW29" s="408"/>
      <c r="CX29" s="408"/>
      <c r="CY29" s="408"/>
      <c r="CZ29" s="408"/>
      <c r="DA29" s="408"/>
      <c r="DB29" s="408"/>
      <c r="DC29" s="408"/>
      <c r="DD29" s="408"/>
      <c r="DE29" s="408"/>
      <c r="DF29" s="408"/>
      <c r="DG29" s="408"/>
      <c r="DH29" s="820"/>
      <c r="DI29" s="408"/>
      <c r="DJ29" s="408"/>
      <c r="DK29" s="408"/>
      <c r="DL29" s="408"/>
      <c r="DM29" s="408"/>
      <c r="DN29" s="408"/>
      <c r="DO29" s="408"/>
      <c r="DP29" s="408"/>
      <c r="DQ29" s="408"/>
      <c r="DR29" s="408"/>
      <c r="DS29" s="408"/>
      <c r="DT29" s="820"/>
      <c r="DU29" s="200"/>
    </row>
    <row r="30" spans="1:125" s="268" customFormat="1" ht="18.75" x14ac:dyDescent="0.3">
      <c r="B30" s="161" t="s">
        <v>644</v>
      </c>
      <c r="C30" s="125"/>
      <c r="D30" s="7"/>
      <c r="E30" s="485"/>
      <c r="F30" s="485"/>
      <c r="G30" s="485"/>
      <c r="H30" s="485"/>
      <c r="I30" s="485"/>
      <c r="J30" s="485"/>
      <c r="K30" s="485"/>
      <c r="L30" s="485"/>
      <c r="M30" s="485"/>
      <c r="N30" s="485"/>
      <c r="O30" s="485"/>
      <c r="P30" s="513"/>
      <c r="Q30" s="789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739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739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739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739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739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739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739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739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739"/>
      <c r="DU30" s="200"/>
    </row>
    <row r="31" spans="1:125" s="268" customFormat="1" ht="15" x14ac:dyDescent="0.25">
      <c r="B31" s="514" t="s">
        <v>384</v>
      </c>
      <c r="C31" s="515"/>
      <c r="D31" s="516"/>
      <c r="E31" s="517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518"/>
      <c r="Q31" s="790"/>
      <c r="R31" s="522"/>
      <c r="S31" s="522"/>
      <c r="T31" s="522"/>
      <c r="U31" s="522"/>
      <c r="V31" s="522"/>
      <c r="W31" s="522"/>
      <c r="X31" s="522"/>
      <c r="Y31" s="522"/>
      <c r="Z31" s="522"/>
      <c r="AA31" s="522"/>
      <c r="AB31" s="756"/>
      <c r="AC31" s="522"/>
      <c r="AD31" s="522">
        <f>'Batch1 - S0 Smolts'!D66</f>
        <v>24863.666469951357</v>
      </c>
      <c r="AE31" s="522">
        <f>'Batch1 - S0 Smolts'!E66</f>
        <v>41725.369605776345</v>
      </c>
      <c r="AF31" s="522">
        <f>'Batch1 - S0 Smolts'!F66</f>
        <v>65306.692487260196</v>
      </c>
      <c r="AG31" s="522">
        <f>'Batch1 - S0 Smolts'!G66</f>
        <v>99047.644099396624</v>
      </c>
      <c r="AH31" s="522">
        <f>'Batch1 - S0 Smolts'!H66</f>
        <v>141128.21942351005</v>
      </c>
      <c r="AI31" s="522">
        <f>'Batch1 - S0 Smolts'!I66</f>
        <v>190397.97960478757</v>
      </c>
      <c r="AJ31" s="522">
        <f>'Batch1 - S0 Smolts'!J66</f>
        <v>241866.49395795961</v>
      </c>
      <c r="AK31" s="522">
        <f>'Batch1 - S0 Smolts'!K66</f>
        <v>290473.47646593722</v>
      </c>
      <c r="AL31" s="522">
        <f>'Batch1 - S0 Smolts'!L66</f>
        <v>334928.28721332282</v>
      </c>
      <c r="AM31" s="522">
        <f>'Batch1 - S0 Smolts'!M66</f>
        <v>378514.83278057486</v>
      </c>
      <c r="AN31" s="756">
        <f>'Batch1 - S0 Smolts'!N66</f>
        <v>411309.44463053026</v>
      </c>
      <c r="AO31" s="522">
        <f>'Batch1 - S0 Smolts'!O66</f>
        <v>459559.83563547576</v>
      </c>
      <c r="AP31" s="522">
        <f>'Batch1 - S0 Smolts'!P66</f>
        <v>529975.08072034467</v>
      </c>
      <c r="AQ31" s="522">
        <f>'Batch1 - S0 Smolts'!Q66</f>
        <v>617525.69476713263</v>
      </c>
      <c r="AR31" s="522">
        <f>'Batch1 - S0 Smolts'!R66</f>
        <v>418161.833474226</v>
      </c>
      <c r="AS31" s="522">
        <f>'Batch1 - S0 Smolts'!S66</f>
        <v>124038.56253194806</v>
      </c>
      <c r="AT31" s="522">
        <f>'Batch1 - S0 Smolts'!T66</f>
        <v>0</v>
      </c>
      <c r="AU31" s="522">
        <f>'Batch1 - S0 Smolts'!U66</f>
        <v>0</v>
      </c>
      <c r="AV31" s="522">
        <f>'Batch1 - S0 Smolts'!V66</f>
        <v>0</v>
      </c>
      <c r="AW31" s="522">
        <f>'Batch1 - S0 Smolts'!W66</f>
        <v>0</v>
      </c>
      <c r="AX31" s="522">
        <f>'Batch1 - S0 Smolts'!X66</f>
        <v>0</v>
      </c>
      <c r="AY31" s="522">
        <f>'Batch1 - S0 Smolts'!Y66</f>
        <v>0</v>
      </c>
      <c r="AZ31" s="756">
        <f>'Batch1 - S0 Smolts'!Z66</f>
        <v>0</v>
      </c>
      <c r="BA31" s="522">
        <f>'Batch1 - S0 Smolts'!AA66</f>
        <v>0</v>
      </c>
      <c r="BB31" s="522">
        <f>'Batch1 - S0 Smolts'!AB66</f>
        <v>0</v>
      </c>
      <c r="BC31" s="522">
        <f>'Batch1 - S0 Smolts'!AC66</f>
        <v>0</v>
      </c>
      <c r="BD31" s="310"/>
      <c r="BE31" s="310"/>
      <c r="BF31" s="310"/>
      <c r="BG31" s="310"/>
      <c r="BH31" s="310"/>
      <c r="BI31" s="310"/>
      <c r="BJ31" s="310"/>
      <c r="BK31" s="310"/>
      <c r="BL31" s="311"/>
      <c r="BM31" s="280"/>
      <c r="BN31" s="310"/>
      <c r="BO31" s="310"/>
      <c r="BP31" s="310"/>
      <c r="BQ31" s="310"/>
      <c r="BR31" s="310"/>
      <c r="BS31" s="310"/>
      <c r="BT31" s="310"/>
      <c r="BU31" s="310"/>
      <c r="BV31" s="310"/>
      <c r="BW31" s="310"/>
      <c r="BX31" s="311"/>
      <c r="BY31" s="280"/>
      <c r="BZ31" s="310"/>
      <c r="CA31" s="310"/>
      <c r="CB31" s="310"/>
      <c r="CC31" s="310"/>
      <c r="CD31" s="310"/>
      <c r="CE31" s="310"/>
      <c r="CF31" s="310"/>
      <c r="CG31" s="310"/>
      <c r="CH31" s="310"/>
      <c r="CI31" s="310"/>
      <c r="CJ31" s="311"/>
      <c r="CK31" s="280"/>
      <c r="CL31" s="310"/>
      <c r="CM31" s="310"/>
      <c r="CN31" s="310"/>
      <c r="CO31" s="310"/>
      <c r="CP31" s="310"/>
      <c r="CQ31" s="310"/>
      <c r="CR31" s="310"/>
      <c r="CS31" s="310"/>
      <c r="CT31" s="310"/>
      <c r="CU31" s="310"/>
      <c r="CV31" s="311"/>
      <c r="CW31" s="280"/>
      <c r="CX31" s="310"/>
      <c r="CY31" s="310"/>
      <c r="CZ31" s="310"/>
      <c r="DA31" s="310"/>
      <c r="DB31" s="310"/>
      <c r="DC31" s="310"/>
      <c r="DD31" s="310"/>
      <c r="DE31" s="310"/>
      <c r="DF31" s="310"/>
      <c r="DG31" s="310"/>
      <c r="DH31" s="311"/>
      <c r="DI31" s="280"/>
      <c r="DJ31" s="310"/>
      <c r="DK31" s="310"/>
      <c r="DL31" s="310"/>
      <c r="DM31" s="310"/>
      <c r="DN31" s="310"/>
      <c r="DO31" s="310"/>
      <c r="DP31" s="310"/>
      <c r="DQ31" s="310"/>
      <c r="DR31" s="310"/>
      <c r="DS31" s="310"/>
      <c r="DT31" s="311"/>
      <c r="DU31" s="200"/>
    </row>
    <row r="32" spans="1:125" s="268" customFormat="1" ht="15" x14ac:dyDescent="0.25">
      <c r="B32" s="514" t="s">
        <v>385</v>
      </c>
      <c r="C32" s="515"/>
      <c r="D32" s="516"/>
      <c r="E32" s="517"/>
      <c r="F32" s="348"/>
      <c r="G32" s="348"/>
      <c r="H32" s="348"/>
      <c r="I32" s="348"/>
      <c r="J32" s="348"/>
      <c r="K32" s="348"/>
      <c r="L32" s="348"/>
      <c r="M32" s="348"/>
      <c r="N32" s="348"/>
      <c r="O32" s="348">
        <v>0</v>
      </c>
      <c r="P32" s="518"/>
      <c r="Q32" s="790"/>
      <c r="R32" s="522"/>
      <c r="S32" s="522"/>
      <c r="T32" s="522"/>
      <c r="U32" s="522"/>
      <c r="V32" s="522"/>
      <c r="W32" s="522"/>
      <c r="X32" s="522"/>
      <c r="Y32" s="522"/>
      <c r="Z32" s="522"/>
      <c r="AA32" s="522"/>
      <c r="AB32" s="756"/>
      <c r="AC32" s="522"/>
      <c r="AD32" s="522"/>
      <c r="AE32" s="522"/>
      <c r="AF32" s="522"/>
      <c r="AG32" s="522">
        <f>'Batch2 - S0 Smolts'!D66</f>
        <v>38679.455919294225</v>
      </c>
      <c r="AH32" s="522">
        <f>'Batch2 - S0 Smolts'!E66</f>
        <v>63414.143074583837</v>
      </c>
      <c r="AI32" s="522">
        <f>'Batch2 - S0 Smolts'!F66</f>
        <v>94862.975295843615</v>
      </c>
      <c r="AJ32" s="522">
        <f>'Batch2 - S0 Smolts'!G66</f>
        <v>132377.869394629</v>
      </c>
      <c r="AK32" s="522">
        <f>'Batch2 - S0 Smolts'!H66</f>
        <v>169794.53452675341</v>
      </c>
      <c r="AL32" s="522">
        <f>'Batch2 - S0 Smolts'!I66</f>
        <v>205234.79850796747</v>
      </c>
      <c r="AM32" s="522">
        <f>'Batch2 - S0 Smolts'!J66</f>
        <v>241975.98073190745</v>
      </c>
      <c r="AN32" s="756">
        <f>'Batch2 - S0 Smolts'!K66</f>
        <v>270016.73173904873</v>
      </c>
      <c r="AO32" s="522">
        <f>'Batch2 - S0 Smolts'!L66</f>
        <v>315448.5810669788</v>
      </c>
      <c r="AP32" s="522">
        <f>'Batch2 - S0 Smolts'!M66</f>
        <v>284614.07685508468</v>
      </c>
      <c r="AQ32" s="522">
        <f>'Batch2 - S0 Smolts'!N66</f>
        <v>257146.24919061319</v>
      </c>
      <c r="AR32" s="522">
        <f>'Batch2 - S0 Smolts'!O66</f>
        <v>303393.51292798074</v>
      </c>
      <c r="AS32" s="522">
        <f>'Batch2 - S0 Smolts'!P66</f>
        <v>354441.19533507089</v>
      </c>
      <c r="AT32" s="522">
        <f>'Batch2 - S0 Smolts'!Q66</f>
        <v>419797.60539286904</v>
      </c>
      <c r="AU32" s="522">
        <f>'Batch2 - S0 Smolts'!R66</f>
        <v>278046.82556498138</v>
      </c>
      <c r="AV32" s="522">
        <f>'Batch2 - S0 Smolts'!S66</f>
        <v>73274.711504816412</v>
      </c>
      <c r="AW32" s="522">
        <f>'Batch2 - S0 Smolts'!T66</f>
        <v>0</v>
      </c>
      <c r="AX32" s="522">
        <f>'Batch2 - S0 Smolts'!U66</f>
        <v>0</v>
      </c>
      <c r="AY32" s="522">
        <f>'Batch2 - S0 Smolts'!V66</f>
        <v>0</v>
      </c>
      <c r="AZ32" s="756">
        <f>'Batch2 - S0 Smolts'!W66</f>
        <v>0</v>
      </c>
      <c r="BA32" s="522">
        <f>'Batch2 - S0 Smolts'!X66</f>
        <v>0</v>
      </c>
      <c r="BB32" s="522">
        <f>'Batch2 - S0 Smolts'!Y66</f>
        <v>0</v>
      </c>
      <c r="BC32" s="522">
        <f>'Batch2 - S0 Smolts'!Z66</f>
        <v>0</v>
      </c>
      <c r="BD32" s="522">
        <f>'Batch2 - S0 Smolts'!AA66</f>
        <v>0</v>
      </c>
      <c r="BE32" s="522">
        <f>'Batch2 - S0 Smolts'!AB66</f>
        <v>0</v>
      </c>
      <c r="BF32" s="522">
        <f>'Batch2 - S0 Smolts'!AC66</f>
        <v>0</v>
      </c>
      <c r="BG32" s="522">
        <f>'Batch2 - S0 Smolts'!AD66</f>
        <v>0</v>
      </c>
      <c r="BH32" s="310"/>
      <c r="BI32" s="310"/>
      <c r="BJ32" s="310"/>
      <c r="BK32" s="310"/>
      <c r="BL32" s="311"/>
      <c r="BM32" s="280"/>
      <c r="BN32" s="310"/>
      <c r="BO32" s="310"/>
      <c r="BP32" s="310"/>
      <c r="BQ32" s="310"/>
      <c r="BR32" s="310"/>
      <c r="BS32" s="310"/>
      <c r="BT32" s="310"/>
      <c r="BU32" s="310"/>
      <c r="BV32" s="310"/>
      <c r="BW32" s="310"/>
      <c r="BX32" s="311"/>
      <c r="BY32" s="280"/>
      <c r="BZ32" s="310"/>
      <c r="CA32" s="310"/>
      <c r="CB32" s="310"/>
      <c r="CC32" s="310"/>
      <c r="CD32" s="310"/>
      <c r="CE32" s="310"/>
      <c r="CF32" s="310"/>
      <c r="CG32" s="310"/>
      <c r="CH32" s="310"/>
      <c r="CI32" s="310"/>
      <c r="CJ32" s="311"/>
      <c r="CK32" s="280"/>
      <c r="CL32" s="310"/>
      <c r="CM32" s="310"/>
      <c r="CN32" s="310"/>
      <c r="CO32" s="310"/>
      <c r="CP32" s="310"/>
      <c r="CQ32" s="310"/>
      <c r="CR32" s="310"/>
      <c r="CS32" s="310"/>
      <c r="CT32" s="310"/>
      <c r="CU32" s="310"/>
      <c r="CV32" s="311"/>
      <c r="CW32" s="280"/>
      <c r="CX32" s="310"/>
      <c r="CY32" s="310"/>
      <c r="CZ32" s="310"/>
      <c r="DA32" s="310"/>
      <c r="DB32" s="310"/>
      <c r="DC32" s="310"/>
      <c r="DD32" s="310"/>
      <c r="DE32" s="310"/>
      <c r="DF32" s="310"/>
      <c r="DG32" s="310"/>
      <c r="DH32" s="311"/>
      <c r="DI32" s="280"/>
      <c r="DJ32" s="310"/>
      <c r="DK32" s="310"/>
      <c r="DL32" s="310"/>
      <c r="DM32" s="310"/>
      <c r="DN32" s="310"/>
      <c r="DO32" s="310"/>
      <c r="DP32" s="310"/>
      <c r="DQ32" s="310"/>
      <c r="DR32" s="310"/>
      <c r="DS32" s="310"/>
      <c r="DT32" s="311"/>
      <c r="DU32" s="200"/>
    </row>
    <row r="33" spans="1:125" ht="15" x14ac:dyDescent="0.25">
      <c r="B33" s="514" t="s">
        <v>386</v>
      </c>
      <c r="C33" s="515"/>
      <c r="D33" s="516"/>
      <c r="E33" s="517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518"/>
      <c r="Q33" s="790"/>
      <c r="R33" s="522"/>
      <c r="S33" s="522"/>
      <c r="T33" s="522"/>
      <c r="U33" s="522"/>
      <c r="V33" s="522"/>
      <c r="W33" s="522"/>
      <c r="X33" s="522"/>
      <c r="Y33" s="522"/>
      <c r="Z33" s="522"/>
      <c r="AA33" s="522"/>
      <c r="AB33" s="756"/>
      <c r="AC33" s="522"/>
      <c r="AD33" s="522"/>
      <c r="AE33" s="522"/>
      <c r="AF33" s="522"/>
      <c r="AG33" s="522"/>
      <c r="AH33" s="522"/>
      <c r="AI33" s="522"/>
      <c r="AJ33" s="522">
        <f>'Batch 3 - S1 Smolts'!D66</f>
        <v>56908.269399407858</v>
      </c>
      <c r="AK33" s="522">
        <f>'Batch 3 - S1 Smolts'!E66</f>
        <v>80747.134861251674</v>
      </c>
      <c r="AL33" s="522">
        <f>'Batch 3 - S1 Smolts'!F66</f>
        <v>104741.55738751107</v>
      </c>
      <c r="AM33" s="522">
        <f>'Batch 3 - S1 Smolts'!G66</f>
        <v>131413.24038884862</v>
      </c>
      <c r="AN33" s="756">
        <f>'Batch 3 - S1 Smolts'!H66</f>
        <v>152882.64577607453</v>
      </c>
      <c r="AO33" s="522">
        <f>'Batch 3 - S1 Smolts'!I66</f>
        <v>186738.04068757241</v>
      </c>
      <c r="AP33" s="522">
        <f>'Batch 3 - S1 Smolts'!J66</f>
        <v>212620.48941675798</v>
      </c>
      <c r="AQ33" s="522">
        <f>'Batch 3 - S1 Smolts'!K66</f>
        <v>249893.35236806265</v>
      </c>
      <c r="AR33" s="522">
        <f>'Batch 3 - S1 Smolts'!L66</f>
        <v>310157.35549481638</v>
      </c>
      <c r="AS33" s="522">
        <f>'Batch 3 - S1 Smolts'!M66</f>
        <v>375877.51799788611</v>
      </c>
      <c r="AT33" s="522">
        <f>'Batch 3 - S1 Smolts'!N66</f>
        <v>446079.37522982643</v>
      </c>
      <c r="AU33" s="522">
        <f>'Batch 3 - S1 Smolts'!O66</f>
        <v>517045.78835483227</v>
      </c>
      <c r="AV33" s="522">
        <f>'Batch 3 - S1 Smolts'!P66</f>
        <v>595624.33412977553</v>
      </c>
      <c r="AW33" s="522">
        <f>'Batch 3 - S1 Smolts'!Q66</f>
        <v>664689.7953763454</v>
      </c>
      <c r="AX33" s="522">
        <f>'Batch 3 - S1 Smolts'!R66</f>
        <v>514284.99755673605</v>
      </c>
      <c r="AY33" s="522">
        <f>'Batch 3 - S1 Smolts'!S66</f>
        <v>313062.68624016346</v>
      </c>
      <c r="AZ33" s="756">
        <f>'Batch 3 - S1 Smolts'!T66</f>
        <v>96732.929362198935</v>
      </c>
      <c r="BA33" s="522">
        <f>'Batch 3 - S1 Smolts'!U66</f>
        <v>0</v>
      </c>
      <c r="BB33" s="522">
        <f>'Batch 3 - S1 Smolts'!V66</f>
        <v>0</v>
      </c>
      <c r="BC33" s="522">
        <f>'Batch 3 - S1 Smolts'!V66</f>
        <v>0</v>
      </c>
      <c r="BD33" s="522">
        <f>'Batch 3 - S1 Smolts'!W66</f>
        <v>0</v>
      </c>
      <c r="BE33" s="522">
        <f>'Batch 3 - S1 Smolts'!X66</f>
        <v>0</v>
      </c>
      <c r="BF33" s="522">
        <f>'Batch 3 - S1 Smolts'!Y66</f>
        <v>0</v>
      </c>
      <c r="BG33" s="310"/>
      <c r="BH33" s="310"/>
      <c r="BI33" s="310"/>
      <c r="BJ33" s="310"/>
      <c r="BK33" s="310"/>
      <c r="BL33" s="311"/>
      <c r="BM33" s="280"/>
      <c r="BN33" s="310"/>
      <c r="BO33" s="310"/>
      <c r="BP33" s="310"/>
      <c r="BQ33" s="310"/>
      <c r="BR33" s="310"/>
      <c r="BS33" s="310"/>
      <c r="BT33" s="310"/>
      <c r="BU33" s="310"/>
      <c r="BV33" s="310"/>
      <c r="BW33" s="310"/>
      <c r="BX33" s="311"/>
      <c r="BY33" s="280"/>
      <c r="BZ33" s="310"/>
      <c r="CA33" s="310"/>
      <c r="CB33" s="310"/>
      <c r="CC33" s="310"/>
      <c r="CD33" s="310"/>
      <c r="CE33" s="310"/>
      <c r="CF33" s="310"/>
      <c r="CG33" s="310"/>
      <c r="CH33" s="310"/>
      <c r="CI33" s="310"/>
      <c r="CJ33" s="311"/>
      <c r="CK33" s="280"/>
      <c r="CL33" s="310"/>
      <c r="CM33" s="310"/>
      <c r="CN33" s="310"/>
      <c r="CO33" s="310"/>
      <c r="CP33" s="310"/>
      <c r="CQ33" s="310"/>
      <c r="CR33" s="310"/>
      <c r="CS33" s="310"/>
      <c r="CT33" s="310"/>
      <c r="CU33" s="310"/>
      <c r="CV33" s="311"/>
      <c r="CW33" s="280"/>
      <c r="CX33" s="310"/>
      <c r="CY33" s="310"/>
      <c r="CZ33" s="310"/>
      <c r="DA33" s="310"/>
      <c r="DB33" s="310"/>
      <c r="DC33" s="310"/>
      <c r="DD33" s="310"/>
      <c r="DE33" s="310"/>
      <c r="DF33" s="310"/>
      <c r="DG33" s="310"/>
      <c r="DH33" s="311"/>
      <c r="DI33" s="280"/>
      <c r="DJ33" s="310"/>
      <c r="DK33" s="310"/>
      <c r="DL33" s="310"/>
      <c r="DM33" s="310"/>
      <c r="DN33" s="310"/>
      <c r="DO33" s="310"/>
      <c r="DP33" s="310"/>
      <c r="DQ33" s="310"/>
      <c r="DR33" s="310"/>
      <c r="DS33" s="310"/>
      <c r="DT33" s="311"/>
      <c r="DU33" s="3"/>
    </row>
    <row r="34" spans="1:125" ht="15" x14ac:dyDescent="0.25">
      <c r="B34" s="519" t="s">
        <v>372</v>
      </c>
      <c r="C34" s="520"/>
      <c r="D34" s="20"/>
      <c r="E34" s="521"/>
      <c r="F34" s="463"/>
      <c r="G34" s="463"/>
      <c r="H34" s="463"/>
      <c r="I34" s="463"/>
      <c r="J34" s="463"/>
      <c r="K34" s="463"/>
      <c r="L34" s="463"/>
      <c r="M34" s="683"/>
      <c r="N34" s="683"/>
      <c r="O34" s="683"/>
      <c r="P34" s="684"/>
      <c r="Q34" s="790"/>
      <c r="R34" s="522"/>
      <c r="S34" s="522">
        <f t="shared" ref="S34:AC34" si="12">SUM(S31:S33)</f>
        <v>0</v>
      </c>
      <c r="T34" s="522">
        <f t="shared" si="12"/>
        <v>0</v>
      </c>
      <c r="U34" s="522">
        <f t="shared" si="12"/>
        <v>0</v>
      </c>
      <c r="V34" s="522">
        <f t="shared" si="12"/>
        <v>0</v>
      </c>
      <c r="W34" s="522">
        <f t="shared" si="12"/>
        <v>0</v>
      </c>
      <c r="X34" s="522"/>
      <c r="Y34" s="522"/>
      <c r="Z34" s="522"/>
      <c r="AA34" s="522"/>
      <c r="AB34" s="756">
        <f t="shared" si="12"/>
        <v>0</v>
      </c>
      <c r="AC34" s="522">
        <f t="shared" si="12"/>
        <v>0</v>
      </c>
      <c r="AD34" s="522">
        <f>SUM(AD31:AD33)</f>
        <v>24863.666469951357</v>
      </c>
      <c r="AE34" s="522">
        <f t="shared" ref="AE34:AZ34" si="13">SUM(AE31:AE33)</f>
        <v>41725.369605776345</v>
      </c>
      <c r="AF34" s="522">
        <f t="shared" si="13"/>
        <v>65306.692487260196</v>
      </c>
      <c r="AG34" s="522">
        <f t="shared" si="13"/>
        <v>137727.10001869086</v>
      </c>
      <c r="AH34" s="522">
        <f t="shared" si="13"/>
        <v>204542.36249809389</v>
      </c>
      <c r="AI34" s="522">
        <f t="shared" si="13"/>
        <v>285260.95490063122</v>
      </c>
      <c r="AJ34" s="522">
        <f t="shared" si="13"/>
        <v>431152.63275199645</v>
      </c>
      <c r="AK34" s="522">
        <f t="shared" si="13"/>
        <v>541015.14585394226</v>
      </c>
      <c r="AL34" s="522">
        <f t="shared" si="13"/>
        <v>644904.64310880145</v>
      </c>
      <c r="AM34" s="522">
        <f t="shared" si="13"/>
        <v>751904.05390133092</v>
      </c>
      <c r="AN34" s="756">
        <f t="shared" si="13"/>
        <v>834208.82214565354</v>
      </c>
      <c r="AO34" s="522">
        <f t="shared" si="13"/>
        <v>961746.457390027</v>
      </c>
      <c r="AP34" s="522">
        <f t="shared" si="13"/>
        <v>1027209.6469921874</v>
      </c>
      <c r="AQ34" s="522">
        <f t="shared" si="13"/>
        <v>1124565.2963258084</v>
      </c>
      <c r="AR34" s="522">
        <f t="shared" si="13"/>
        <v>1031712.701897023</v>
      </c>
      <c r="AS34" s="522">
        <f t="shared" si="13"/>
        <v>854357.27586490498</v>
      </c>
      <c r="AT34" s="522">
        <f t="shared" si="13"/>
        <v>865876.98062269553</v>
      </c>
      <c r="AU34" s="522">
        <f t="shared" si="13"/>
        <v>795092.61391981365</v>
      </c>
      <c r="AV34" s="522">
        <f t="shared" si="13"/>
        <v>668899.04563459195</v>
      </c>
      <c r="AW34" s="522">
        <f t="shared" si="13"/>
        <v>664689.7953763454</v>
      </c>
      <c r="AX34" s="522">
        <f t="shared" si="13"/>
        <v>514284.99755673605</v>
      </c>
      <c r="AY34" s="522">
        <f t="shared" si="13"/>
        <v>313062.68624016346</v>
      </c>
      <c r="AZ34" s="756">
        <f t="shared" si="13"/>
        <v>96732.929362198935</v>
      </c>
      <c r="BA34" s="522">
        <f>SUM(BA31:BA33)</f>
        <v>0</v>
      </c>
      <c r="BB34" s="310"/>
      <c r="BC34" s="310"/>
      <c r="BD34" s="310"/>
      <c r="BE34" s="310"/>
      <c r="BF34" s="310"/>
      <c r="BG34" s="310"/>
      <c r="BH34" s="310"/>
      <c r="BI34" s="310"/>
      <c r="BJ34" s="310"/>
      <c r="BK34" s="310"/>
      <c r="BL34" s="311"/>
      <c r="BM34" s="280"/>
      <c r="BN34" s="310"/>
      <c r="BO34" s="310"/>
      <c r="BP34" s="310"/>
      <c r="BQ34" s="310"/>
      <c r="BR34" s="310"/>
      <c r="BS34" s="310"/>
      <c r="BT34" s="310"/>
      <c r="BU34" s="310"/>
      <c r="BV34" s="310"/>
      <c r="BW34" s="310"/>
      <c r="BX34" s="311"/>
      <c r="BY34" s="280"/>
      <c r="BZ34" s="310"/>
      <c r="CA34" s="310"/>
      <c r="CB34" s="310"/>
      <c r="CC34" s="310"/>
      <c r="CD34" s="310"/>
      <c r="CE34" s="310"/>
      <c r="CF34" s="310"/>
      <c r="CG34" s="310"/>
      <c r="CH34" s="310"/>
      <c r="CI34" s="310"/>
      <c r="CJ34" s="311"/>
      <c r="CK34" s="280"/>
      <c r="CL34" s="310"/>
      <c r="CM34" s="310"/>
      <c r="CN34" s="310"/>
      <c r="CO34" s="310"/>
      <c r="CP34" s="310"/>
      <c r="CQ34" s="310"/>
      <c r="CR34" s="310"/>
      <c r="CS34" s="310"/>
      <c r="CT34" s="310"/>
      <c r="CU34" s="310"/>
      <c r="CV34" s="311"/>
      <c r="CW34" s="280"/>
      <c r="CX34" s="310"/>
      <c r="CY34" s="310"/>
      <c r="CZ34" s="310"/>
      <c r="DA34" s="310"/>
      <c r="DB34" s="310"/>
      <c r="DC34" s="310"/>
      <c r="DD34" s="310"/>
      <c r="DE34" s="310"/>
      <c r="DF34" s="310"/>
      <c r="DG34" s="310"/>
      <c r="DH34" s="311"/>
      <c r="DI34" s="280"/>
      <c r="DJ34" s="310"/>
      <c r="DK34" s="310"/>
      <c r="DL34" s="310"/>
      <c r="DM34" s="310"/>
      <c r="DN34" s="310"/>
      <c r="DO34" s="310"/>
      <c r="DP34" s="310"/>
      <c r="DQ34" s="310"/>
      <c r="DR34" s="310"/>
      <c r="DS34" s="310"/>
      <c r="DT34" s="311"/>
      <c r="DU34" s="3"/>
    </row>
    <row r="35" spans="1:125" ht="18.75" customHeight="1" x14ac:dyDescent="0.25">
      <c r="A35" s="511"/>
      <c r="B35" s="519" t="s">
        <v>387</v>
      </c>
      <c r="C35" s="520">
        <v>1</v>
      </c>
      <c r="D35" s="20"/>
      <c r="E35" s="521"/>
      <c r="F35" s="463"/>
      <c r="G35" s="463"/>
      <c r="H35" s="463"/>
      <c r="I35" s="463"/>
      <c r="J35" s="463"/>
      <c r="K35" s="463"/>
      <c r="L35" s="463"/>
      <c r="M35" s="463"/>
      <c r="N35" s="463"/>
      <c r="O35" s="463"/>
      <c r="P35" s="487"/>
      <c r="Q35" s="790"/>
      <c r="R35" s="522"/>
      <c r="S35" s="522"/>
      <c r="T35" s="522"/>
      <c r="U35" s="522"/>
      <c r="V35" s="522"/>
      <c r="W35" s="522"/>
      <c r="X35" s="522"/>
      <c r="Y35" s="522"/>
      <c r="Z35" s="522"/>
      <c r="AA35" s="522"/>
      <c r="AB35" s="311"/>
      <c r="AC35" s="280">
        <f>Q34*$C35</f>
        <v>0</v>
      </c>
      <c r="AD35" s="280">
        <f t="shared" ref="AD35:AZ35" si="14">R34*$C35</f>
        <v>0</v>
      </c>
      <c r="AE35" s="280">
        <f t="shared" si="14"/>
        <v>0</v>
      </c>
      <c r="AF35" s="280">
        <f t="shared" si="14"/>
        <v>0</v>
      </c>
      <c r="AG35" s="280">
        <f t="shared" si="14"/>
        <v>0</v>
      </c>
      <c r="AH35" s="280">
        <f t="shared" si="14"/>
        <v>0</v>
      </c>
      <c r="AI35" s="280">
        <f t="shared" si="14"/>
        <v>0</v>
      </c>
      <c r="AJ35" s="280">
        <f t="shared" si="14"/>
        <v>0</v>
      </c>
      <c r="AK35" s="280">
        <f t="shared" si="14"/>
        <v>0</v>
      </c>
      <c r="AL35" s="280">
        <f t="shared" si="14"/>
        <v>0</v>
      </c>
      <c r="AM35" s="280">
        <f t="shared" si="14"/>
        <v>0</v>
      </c>
      <c r="AN35" s="731">
        <f t="shared" si="14"/>
        <v>0</v>
      </c>
      <c r="AO35" s="280">
        <f t="shared" si="14"/>
        <v>0</v>
      </c>
      <c r="AP35" s="280">
        <f t="shared" si="14"/>
        <v>24863.666469951357</v>
      </c>
      <c r="AQ35" s="280">
        <f t="shared" si="14"/>
        <v>41725.369605776345</v>
      </c>
      <c r="AR35" s="280">
        <f t="shared" si="14"/>
        <v>65306.692487260196</v>
      </c>
      <c r="AS35" s="280">
        <f t="shared" si="14"/>
        <v>137727.10001869086</v>
      </c>
      <c r="AT35" s="280">
        <f t="shared" si="14"/>
        <v>204542.36249809389</v>
      </c>
      <c r="AU35" s="280">
        <f t="shared" si="14"/>
        <v>285260.95490063122</v>
      </c>
      <c r="AV35" s="280">
        <f t="shared" si="14"/>
        <v>431152.63275199645</v>
      </c>
      <c r="AW35" s="280">
        <f t="shared" si="14"/>
        <v>541015.14585394226</v>
      </c>
      <c r="AX35" s="280">
        <f t="shared" si="14"/>
        <v>644904.64310880145</v>
      </c>
      <c r="AY35" s="280">
        <f t="shared" si="14"/>
        <v>751904.05390133092</v>
      </c>
      <c r="AZ35" s="731">
        <f t="shared" si="14"/>
        <v>834208.82214565354</v>
      </c>
      <c r="BA35" s="731">
        <f t="shared" ref="BA35:BP35" si="15">AO34*$C35</f>
        <v>961746.457390027</v>
      </c>
      <c r="BB35" s="731">
        <f t="shared" si="15"/>
        <v>1027209.6469921874</v>
      </c>
      <c r="BC35" s="731">
        <f t="shared" si="15"/>
        <v>1124565.2963258084</v>
      </c>
      <c r="BD35" s="731">
        <f t="shared" si="15"/>
        <v>1031712.701897023</v>
      </c>
      <c r="BE35" s="731">
        <f t="shared" si="15"/>
        <v>854357.27586490498</v>
      </c>
      <c r="BF35" s="731">
        <f t="shared" si="15"/>
        <v>865876.98062269553</v>
      </c>
      <c r="BG35" s="731">
        <f t="shared" si="15"/>
        <v>795092.61391981365</v>
      </c>
      <c r="BH35" s="731">
        <f t="shared" si="15"/>
        <v>668899.04563459195</v>
      </c>
      <c r="BI35" s="731">
        <f t="shared" si="15"/>
        <v>664689.7953763454</v>
      </c>
      <c r="BJ35" s="731">
        <f t="shared" si="15"/>
        <v>514284.99755673605</v>
      </c>
      <c r="BK35" s="731">
        <f t="shared" si="15"/>
        <v>313062.68624016346</v>
      </c>
      <c r="BL35" s="731">
        <f t="shared" si="15"/>
        <v>96732.929362198935</v>
      </c>
      <c r="BM35" s="731">
        <f t="shared" si="15"/>
        <v>0</v>
      </c>
      <c r="BN35" s="731">
        <f t="shared" si="15"/>
        <v>0</v>
      </c>
      <c r="BO35" s="731">
        <f t="shared" si="15"/>
        <v>0</v>
      </c>
      <c r="BP35" s="731">
        <f t="shared" si="15"/>
        <v>0</v>
      </c>
      <c r="BQ35" s="310"/>
      <c r="BR35" s="310"/>
      <c r="BS35" s="310"/>
      <c r="BT35" s="310"/>
      <c r="BU35" s="310"/>
      <c r="BV35" s="310"/>
      <c r="BW35" s="310"/>
      <c r="BX35" s="311"/>
      <c r="BY35" s="280"/>
      <c r="BZ35" s="310"/>
      <c r="CA35" s="310"/>
      <c r="CB35" s="310"/>
      <c r="CC35" s="310"/>
      <c r="CD35" s="310"/>
      <c r="CE35" s="310"/>
      <c r="CF35" s="310"/>
      <c r="CG35" s="310"/>
      <c r="CH35" s="310"/>
      <c r="CI35" s="310"/>
      <c r="CJ35" s="311"/>
      <c r="CK35" s="280"/>
      <c r="CL35" s="310"/>
      <c r="CM35" s="310"/>
      <c r="CN35" s="310"/>
      <c r="CO35" s="310"/>
      <c r="CP35" s="310"/>
      <c r="CQ35" s="310"/>
      <c r="CR35" s="310"/>
      <c r="CS35" s="310"/>
      <c r="CT35" s="310"/>
      <c r="CU35" s="310"/>
      <c r="CV35" s="311"/>
      <c r="CW35" s="280"/>
      <c r="CX35" s="310"/>
      <c r="CY35" s="310"/>
      <c r="CZ35" s="310"/>
      <c r="DA35" s="310"/>
      <c r="DB35" s="310"/>
      <c r="DC35" s="310"/>
      <c r="DD35" s="310"/>
      <c r="DE35" s="310"/>
      <c r="DF35" s="310"/>
      <c r="DG35" s="310"/>
      <c r="DH35" s="311"/>
      <c r="DI35" s="280"/>
      <c r="DJ35" s="310"/>
      <c r="DK35" s="310"/>
      <c r="DL35" s="310"/>
      <c r="DM35" s="310"/>
      <c r="DN35" s="310"/>
      <c r="DO35" s="310"/>
      <c r="DP35" s="310"/>
      <c r="DQ35" s="310"/>
      <c r="DR35" s="310"/>
      <c r="DS35" s="310"/>
      <c r="DT35" s="311"/>
      <c r="DU35" s="3"/>
    </row>
    <row r="36" spans="1:125" ht="18.75" customHeight="1" x14ac:dyDescent="0.25">
      <c r="B36" s="519" t="s">
        <v>388</v>
      </c>
      <c r="C36" s="520">
        <v>1</v>
      </c>
      <c r="D36" s="20"/>
      <c r="E36" s="521"/>
      <c r="F36" s="463"/>
      <c r="G36" s="463"/>
      <c r="H36" s="463"/>
      <c r="I36" s="463"/>
      <c r="J36" s="463"/>
      <c r="K36" s="463"/>
      <c r="L36" s="463"/>
      <c r="M36" s="463"/>
      <c r="N36" s="463"/>
      <c r="O36" s="463"/>
      <c r="P36" s="487"/>
      <c r="Q36" s="790"/>
      <c r="R36" s="522"/>
      <c r="S36" s="522"/>
      <c r="T36" s="522"/>
      <c r="U36" s="522"/>
      <c r="V36" s="522"/>
      <c r="W36" s="522"/>
      <c r="X36" s="522"/>
      <c r="Y36" s="522"/>
      <c r="Z36" s="522"/>
      <c r="AA36" s="522"/>
      <c r="AB36" s="756"/>
      <c r="AC36" s="522"/>
      <c r="AD36" s="310"/>
      <c r="AE36" s="310"/>
      <c r="AF36" s="310"/>
      <c r="AG36" s="310"/>
      <c r="AH36" s="310"/>
      <c r="AI36" s="310"/>
      <c r="AJ36" s="310"/>
      <c r="AK36" s="310"/>
      <c r="AL36" s="310"/>
      <c r="AM36" s="310"/>
      <c r="AN36" s="311"/>
      <c r="AO36" s="280">
        <f>Q34*$C35</f>
        <v>0</v>
      </c>
      <c r="AP36" s="280">
        <f t="shared" ref="AP36:BB36" si="16">R34*$C35</f>
        <v>0</v>
      </c>
      <c r="AQ36" s="280">
        <f t="shared" si="16"/>
        <v>0</v>
      </c>
      <c r="AR36" s="280">
        <f t="shared" si="16"/>
        <v>0</v>
      </c>
      <c r="AS36" s="280">
        <f t="shared" si="16"/>
        <v>0</v>
      </c>
      <c r="AT36" s="280">
        <f t="shared" si="16"/>
        <v>0</v>
      </c>
      <c r="AU36" s="280">
        <f t="shared" si="16"/>
        <v>0</v>
      </c>
      <c r="AV36" s="280">
        <f t="shared" si="16"/>
        <v>0</v>
      </c>
      <c r="AW36" s="280">
        <f t="shared" si="16"/>
        <v>0</v>
      </c>
      <c r="AX36" s="280">
        <f t="shared" si="16"/>
        <v>0</v>
      </c>
      <c r="AY36" s="280">
        <f t="shared" si="16"/>
        <v>0</v>
      </c>
      <c r="AZ36" s="731">
        <f t="shared" si="16"/>
        <v>0</v>
      </c>
      <c r="BA36" s="280">
        <f t="shared" si="16"/>
        <v>0</v>
      </c>
      <c r="BB36" s="280">
        <f t="shared" si="16"/>
        <v>24863.666469951357</v>
      </c>
      <c r="BC36" s="280">
        <f t="shared" ref="BC36:CJ36" si="17">AE34*$C35</f>
        <v>41725.369605776345</v>
      </c>
      <c r="BD36" s="280">
        <f t="shared" si="17"/>
        <v>65306.692487260196</v>
      </c>
      <c r="BE36" s="280">
        <f t="shared" si="17"/>
        <v>137727.10001869086</v>
      </c>
      <c r="BF36" s="280">
        <f t="shared" si="17"/>
        <v>204542.36249809389</v>
      </c>
      <c r="BG36" s="280">
        <f t="shared" si="17"/>
        <v>285260.95490063122</v>
      </c>
      <c r="BH36" s="280">
        <f t="shared" si="17"/>
        <v>431152.63275199645</v>
      </c>
      <c r="BI36" s="280">
        <f t="shared" si="17"/>
        <v>541015.14585394226</v>
      </c>
      <c r="BJ36" s="280">
        <f t="shared" si="17"/>
        <v>644904.64310880145</v>
      </c>
      <c r="BK36" s="280">
        <f t="shared" si="17"/>
        <v>751904.05390133092</v>
      </c>
      <c r="BL36" s="731">
        <f t="shared" si="17"/>
        <v>834208.82214565354</v>
      </c>
      <c r="BM36" s="280">
        <f t="shared" si="17"/>
        <v>961746.457390027</v>
      </c>
      <c r="BN36" s="280">
        <f t="shared" si="17"/>
        <v>1027209.6469921874</v>
      </c>
      <c r="BO36" s="280">
        <f t="shared" si="17"/>
        <v>1124565.2963258084</v>
      </c>
      <c r="BP36" s="280">
        <f t="shared" si="17"/>
        <v>1031712.701897023</v>
      </c>
      <c r="BQ36" s="280">
        <f t="shared" si="17"/>
        <v>854357.27586490498</v>
      </c>
      <c r="BR36" s="280">
        <f t="shared" si="17"/>
        <v>865876.98062269553</v>
      </c>
      <c r="BS36" s="280">
        <f t="shared" si="17"/>
        <v>795092.61391981365</v>
      </c>
      <c r="BT36" s="280">
        <f t="shared" si="17"/>
        <v>668899.04563459195</v>
      </c>
      <c r="BU36" s="280">
        <f t="shared" si="17"/>
        <v>664689.7953763454</v>
      </c>
      <c r="BV36" s="280">
        <f t="shared" si="17"/>
        <v>514284.99755673605</v>
      </c>
      <c r="BW36" s="280">
        <f t="shared" si="17"/>
        <v>313062.68624016346</v>
      </c>
      <c r="BX36" s="731">
        <f t="shared" si="17"/>
        <v>96732.929362198935</v>
      </c>
      <c r="BY36" s="280">
        <f t="shared" si="17"/>
        <v>0</v>
      </c>
      <c r="BZ36" s="280">
        <f t="shared" si="17"/>
        <v>0</v>
      </c>
      <c r="CA36" s="280">
        <f t="shared" si="17"/>
        <v>0</v>
      </c>
      <c r="CB36" s="280">
        <f t="shared" si="17"/>
        <v>0</v>
      </c>
      <c r="CC36" s="280">
        <f t="shared" si="17"/>
        <v>0</v>
      </c>
      <c r="CD36" s="280">
        <f t="shared" si="17"/>
        <v>0</v>
      </c>
      <c r="CE36" s="280">
        <f t="shared" si="17"/>
        <v>0</v>
      </c>
      <c r="CF36" s="280">
        <f t="shared" si="17"/>
        <v>0</v>
      </c>
      <c r="CG36" s="280">
        <f t="shared" si="17"/>
        <v>0</v>
      </c>
      <c r="CH36" s="280">
        <f t="shared" si="17"/>
        <v>0</v>
      </c>
      <c r="CI36" s="280">
        <f t="shared" si="17"/>
        <v>0</v>
      </c>
      <c r="CJ36" s="731">
        <f t="shared" si="17"/>
        <v>0</v>
      </c>
      <c r="CK36" s="280"/>
      <c r="CL36" s="310"/>
      <c r="CM36" s="310"/>
      <c r="CN36" s="310"/>
      <c r="CO36" s="310"/>
      <c r="CP36" s="310"/>
      <c r="CQ36" s="310"/>
      <c r="CR36" s="310"/>
      <c r="CS36" s="310"/>
      <c r="CT36" s="310"/>
      <c r="CU36" s="310"/>
      <c r="CV36" s="311"/>
      <c r="CW36" s="280"/>
      <c r="CX36" s="310"/>
      <c r="CY36" s="310"/>
      <c r="CZ36" s="310"/>
      <c r="DA36" s="310"/>
      <c r="DB36" s="310"/>
      <c r="DC36" s="310"/>
      <c r="DD36" s="310"/>
      <c r="DE36" s="310"/>
      <c r="DF36" s="310"/>
      <c r="DG36" s="310"/>
      <c r="DH36" s="311"/>
      <c r="DI36" s="280"/>
      <c r="DJ36" s="310"/>
      <c r="DK36" s="310"/>
      <c r="DL36" s="310"/>
      <c r="DM36" s="310"/>
      <c r="DN36" s="310"/>
      <c r="DO36" s="310"/>
      <c r="DP36" s="310"/>
      <c r="DQ36" s="310"/>
      <c r="DR36" s="310"/>
      <c r="DS36" s="310"/>
      <c r="DT36" s="311"/>
      <c r="DU36" s="3"/>
    </row>
    <row r="37" spans="1:125" ht="15" x14ac:dyDescent="0.25">
      <c r="B37" s="519" t="s">
        <v>389</v>
      </c>
      <c r="C37" s="520">
        <v>1</v>
      </c>
      <c r="D37" s="20"/>
      <c r="E37" s="521"/>
      <c r="F37" s="463"/>
      <c r="G37" s="463"/>
      <c r="H37" s="463"/>
      <c r="I37" s="463"/>
      <c r="J37" s="463"/>
      <c r="K37" s="463"/>
      <c r="L37" s="463"/>
      <c r="M37" s="463"/>
      <c r="N37" s="463"/>
      <c r="O37" s="463"/>
      <c r="P37" s="487"/>
      <c r="Q37" s="790"/>
      <c r="R37" s="522"/>
      <c r="S37" s="522"/>
      <c r="T37" s="522"/>
      <c r="U37" s="522"/>
      <c r="V37" s="522"/>
      <c r="W37" s="522"/>
      <c r="X37" s="522"/>
      <c r="Y37" s="522"/>
      <c r="Z37" s="522"/>
      <c r="AA37" s="522"/>
      <c r="AB37" s="756"/>
      <c r="AC37" s="522"/>
      <c r="AD37" s="522"/>
      <c r="AE37" s="522"/>
      <c r="AF37" s="310"/>
      <c r="AG37" s="310"/>
      <c r="AH37" s="310"/>
      <c r="AI37" s="310"/>
      <c r="AJ37" s="310"/>
      <c r="AK37" s="310"/>
      <c r="AL37" s="310"/>
      <c r="AM37" s="310"/>
      <c r="AN37" s="311"/>
      <c r="AO37" s="280"/>
      <c r="AP37" s="310"/>
      <c r="AQ37" s="310"/>
      <c r="AR37" s="310"/>
      <c r="AS37" s="310"/>
      <c r="AT37" s="310"/>
      <c r="AU37" s="310"/>
      <c r="AV37" s="310"/>
      <c r="AW37" s="310"/>
      <c r="AX37" s="310"/>
      <c r="AY37" s="310"/>
      <c r="AZ37" s="311"/>
      <c r="BA37" s="280">
        <f>Q34*$C37</f>
        <v>0</v>
      </c>
      <c r="BB37" s="280">
        <f t="shared" ref="BB37:BN37" si="18">R34*$C37</f>
        <v>0</v>
      </c>
      <c r="BC37" s="280">
        <f t="shared" si="18"/>
        <v>0</v>
      </c>
      <c r="BD37" s="280">
        <f t="shared" si="18"/>
        <v>0</v>
      </c>
      <c r="BE37" s="280">
        <f t="shared" si="18"/>
        <v>0</v>
      </c>
      <c r="BF37" s="280">
        <f t="shared" si="18"/>
        <v>0</v>
      </c>
      <c r="BG37" s="280">
        <f t="shared" si="18"/>
        <v>0</v>
      </c>
      <c r="BH37" s="280">
        <f t="shared" si="18"/>
        <v>0</v>
      </c>
      <c r="BI37" s="280">
        <f t="shared" si="18"/>
        <v>0</v>
      </c>
      <c r="BJ37" s="280">
        <f t="shared" si="18"/>
        <v>0</v>
      </c>
      <c r="BK37" s="280">
        <f t="shared" si="18"/>
        <v>0</v>
      </c>
      <c r="BL37" s="731">
        <f t="shared" si="18"/>
        <v>0</v>
      </c>
      <c r="BM37" s="280">
        <f t="shared" si="18"/>
        <v>0</v>
      </c>
      <c r="BN37" s="280">
        <f t="shared" si="18"/>
        <v>24863.666469951357</v>
      </c>
      <c r="BO37" s="280">
        <f t="shared" ref="BO37:CN37" si="19">AE34*$C37</f>
        <v>41725.369605776345</v>
      </c>
      <c r="BP37" s="280">
        <f t="shared" si="19"/>
        <v>65306.692487260196</v>
      </c>
      <c r="BQ37" s="280">
        <f t="shared" si="19"/>
        <v>137727.10001869086</v>
      </c>
      <c r="BR37" s="280">
        <f t="shared" si="19"/>
        <v>204542.36249809389</v>
      </c>
      <c r="BS37" s="280">
        <f t="shared" si="19"/>
        <v>285260.95490063122</v>
      </c>
      <c r="BT37" s="280">
        <f t="shared" si="19"/>
        <v>431152.63275199645</v>
      </c>
      <c r="BU37" s="280">
        <f t="shared" si="19"/>
        <v>541015.14585394226</v>
      </c>
      <c r="BV37" s="280">
        <f t="shared" si="19"/>
        <v>644904.64310880145</v>
      </c>
      <c r="BW37" s="280">
        <f t="shared" si="19"/>
        <v>751904.05390133092</v>
      </c>
      <c r="BX37" s="731">
        <f t="shared" si="19"/>
        <v>834208.82214565354</v>
      </c>
      <c r="BY37" s="280">
        <f t="shared" si="19"/>
        <v>961746.457390027</v>
      </c>
      <c r="BZ37" s="280">
        <f t="shared" si="19"/>
        <v>1027209.6469921874</v>
      </c>
      <c r="CA37" s="280">
        <f t="shared" si="19"/>
        <v>1124565.2963258084</v>
      </c>
      <c r="CB37" s="280">
        <f t="shared" si="19"/>
        <v>1031712.701897023</v>
      </c>
      <c r="CC37" s="280">
        <f t="shared" si="19"/>
        <v>854357.27586490498</v>
      </c>
      <c r="CD37" s="280">
        <f t="shared" si="19"/>
        <v>865876.98062269553</v>
      </c>
      <c r="CE37" s="280">
        <f t="shared" si="19"/>
        <v>795092.61391981365</v>
      </c>
      <c r="CF37" s="280">
        <f t="shared" si="19"/>
        <v>668899.04563459195</v>
      </c>
      <c r="CG37" s="280">
        <f t="shared" si="19"/>
        <v>664689.7953763454</v>
      </c>
      <c r="CH37" s="280">
        <f t="shared" si="19"/>
        <v>514284.99755673605</v>
      </c>
      <c r="CI37" s="280">
        <f t="shared" si="19"/>
        <v>313062.68624016346</v>
      </c>
      <c r="CJ37" s="731">
        <f t="shared" si="19"/>
        <v>96732.929362198935</v>
      </c>
      <c r="CK37" s="280">
        <f t="shared" si="19"/>
        <v>0</v>
      </c>
      <c r="CL37" s="280">
        <f t="shared" si="19"/>
        <v>0</v>
      </c>
      <c r="CM37" s="280">
        <f t="shared" si="19"/>
        <v>0</v>
      </c>
      <c r="CN37" s="280">
        <f t="shared" si="19"/>
        <v>0</v>
      </c>
      <c r="CO37" s="310"/>
      <c r="CP37" s="310"/>
      <c r="CQ37" s="310"/>
      <c r="CR37" s="310"/>
      <c r="CS37" s="310"/>
      <c r="CT37" s="310"/>
      <c r="CU37" s="310"/>
      <c r="CV37" s="311"/>
      <c r="CW37" s="280"/>
      <c r="CX37" s="310"/>
      <c r="CY37" s="310"/>
      <c r="CZ37" s="310"/>
      <c r="DA37" s="310"/>
      <c r="DB37" s="310"/>
      <c r="DC37" s="310"/>
      <c r="DD37" s="310"/>
      <c r="DE37" s="310"/>
      <c r="DF37" s="310"/>
      <c r="DG37" s="310"/>
      <c r="DH37" s="311"/>
      <c r="DI37" s="280"/>
      <c r="DJ37" s="310"/>
      <c r="DK37" s="310"/>
      <c r="DL37" s="310"/>
      <c r="DM37" s="310"/>
      <c r="DN37" s="310"/>
      <c r="DO37" s="310"/>
      <c r="DP37" s="310"/>
      <c r="DQ37" s="310"/>
      <c r="DR37" s="310"/>
      <c r="DS37" s="310"/>
      <c r="DT37" s="311"/>
      <c r="DU37" s="3"/>
    </row>
    <row r="38" spans="1:125" ht="15" x14ac:dyDescent="0.25">
      <c r="B38" s="519" t="s">
        <v>390</v>
      </c>
      <c r="C38" s="520">
        <v>1</v>
      </c>
      <c r="D38" s="20"/>
      <c r="E38" s="521"/>
      <c r="F38" s="463"/>
      <c r="G38" s="463"/>
      <c r="H38" s="463"/>
      <c r="I38" s="463"/>
      <c r="J38" s="463"/>
      <c r="K38" s="463"/>
      <c r="L38" s="463"/>
      <c r="M38" s="463"/>
      <c r="N38" s="463"/>
      <c r="O38" s="463"/>
      <c r="P38" s="487"/>
      <c r="Q38" s="790"/>
      <c r="R38" s="310"/>
      <c r="S38" s="310"/>
      <c r="T38" s="310"/>
      <c r="U38" s="310"/>
      <c r="V38" s="310"/>
      <c r="W38" s="310"/>
      <c r="X38" s="310"/>
      <c r="Y38" s="310"/>
      <c r="Z38" s="310"/>
      <c r="AA38" s="310"/>
      <c r="AB38" s="311"/>
      <c r="AC38" s="280"/>
      <c r="AD38" s="310"/>
      <c r="AE38" s="310"/>
      <c r="AF38" s="310"/>
      <c r="AG38" s="310"/>
      <c r="AH38" s="310"/>
      <c r="AI38" s="310"/>
      <c r="AJ38" s="310"/>
      <c r="AK38" s="310"/>
      <c r="AL38" s="310"/>
      <c r="AM38" s="310"/>
      <c r="AN38" s="311"/>
      <c r="AO38" s="280"/>
      <c r="AP38" s="310"/>
      <c r="AQ38" s="310"/>
      <c r="AR38" s="310"/>
      <c r="AS38" s="310"/>
      <c r="AT38" s="310"/>
      <c r="AU38" s="310"/>
      <c r="AV38" s="310"/>
      <c r="AW38" s="310"/>
      <c r="AX38" s="310"/>
      <c r="AY38" s="310"/>
      <c r="AZ38" s="311"/>
      <c r="BA38" s="280"/>
      <c r="BB38" s="310"/>
      <c r="BC38" s="310"/>
      <c r="BD38" s="310"/>
      <c r="BE38" s="310"/>
      <c r="BF38" s="310"/>
      <c r="BG38" s="310"/>
      <c r="BH38" s="310"/>
      <c r="BI38" s="310"/>
      <c r="BJ38" s="310"/>
      <c r="BK38" s="310"/>
      <c r="BL38" s="311"/>
      <c r="BM38" s="280">
        <f>Q34*$C38</f>
        <v>0</v>
      </c>
      <c r="BN38" s="280">
        <f t="shared" ref="BN38:BZ38" si="20">R34*$C38</f>
        <v>0</v>
      </c>
      <c r="BO38" s="280">
        <f t="shared" si="20"/>
        <v>0</v>
      </c>
      <c r="BP38" s="280">
        <f t="shared" si="20"/>
        <v>0</v>
      </c>
      <c r="BQ38" s="280">
        <f t="shared" si="20"/>
        <v>0</v>
      </c>
      <c r="BR38" s="280">
        <f t="shared" si="20"/>
        <v>0</v>
      </c>
      <c r="BS38" s="280">
        <f t="shared" si="20"/>
        <v>0</v>
      </c>
      <c r="BT38" s="280">
        <f t="shared" si="20"/>
        <v>0</v>
      </c>
      <c r="BU38" s="280">
        <f t="shared" si="20"/>
        <v>0</v>
      </c>
      <c r="BV38" s="280">
        <f t="shared" si="20"/>
        <v>0</v>
      </c>
      <c r="BW38" s="280">
        <f t="shared" si="20"/>
        <v>0</v>
      </c>
      <c r="BX38" s="731">
        <f t="shared" si="20"/>
        <v>0</v>
      </c>
      <c r="BY38" s="280">
        <f t="shared" si="20"/>
        <v>0</v>
      </c>
      <c r="BZ38" s="280">
        <f t="shared" si="20"/>
        <v>24863.666469951357</v>
      </c>
      <c r="CA38" s="280">
        <f t="shared" ref="CA38:CX38" si="21">AE34*$C38</f>
        <v>41725.369605776345</v>
      </c>
      <c r="CB38" s="280">
        <f t="shared" si="21"/>
        <v>65306.692487260196</v>
      </c>
      <c r="CC38" s="280">
        <f t="shared" si="21"/>
        <v>137727.10001869086</v>
      </c>
      <c r="CD38" s="280">
        <f t="shared" si="21"/>
        <v>204542.36249809389</v>
      </c>
      <c r="CE38" s="280">
        <f t="shared" si="21"/>
        <v>285260.95490063122</v>
      </c>
      <c r="CF38" s="280">
        <f t="shared" si="21"/>
        <v>431152.63275199645</v>
      </c>
      <c r="CG38" s="280">
        <f t="shared" si="21"/>
        <v>541015.14585394226</v>
      </c>
      <c r="CH38" s="280">
        <f t="shared" si="21"/>
        <v>644904.64310880145</v>
      </c>
      <c r="CI38" s="280">
        <f t="shared" si="21"/>
        <v>751904.05390133092</v>
      </c>
      <c r="CJ38" s="731">
        <f t="shared" si="21"/>
        <v>834208.82214565354</v>
      </c>
      <c r="CK38" s="280">
        <f t="shared" si="21"/>
        <v>961746.457390027</v>
      </c>
      <c r="CL38" s="280">
        <f t="shared" si="21"/>
        <v>1027209.6469921874</v>
      </c>
      <c r="CM38" s="280">
        <f t="shared" si="21"/>
        <v>1124565.2963258084</v>
      </c>
      <c r="CN38" s="280">
        <f t="shared" si="21"/>
        <v>1031712.701897023</v>
      </c>
      <c r="CO38" s="280">
        <f t="shared" si="21"/>
        <v>854357.27586490498</v>
      </c>
      <c r="CP38" s="280">
        <f t="shared" si="21"/>
        <v>865876.98062269553</v>
      </c>
      <c r="CQ38" s="280">
        <f t="shared" si="21"/>
        <v>795092.61391981365</v>
      </c>
      <c r="CR38" s="280">
        <f t="shared" si="21"/>
        <v>668899.04563459195</v>
      </c>
      <c r="CS38" s="280">
        <f t="shared" si="21"/>
        <v>664689.7953763454</v>
      </c>
      <c r="CT38" s="280">
        <f t="shared" si="21"/>
        <v>514284.99755673605</v>
      </c>
      <c r="CU38" s="280">
        <f t="shared" si="21"/>
        <v>313062.68624016346</v>
      </c>
      <c r="CV38" s="731">
        <f t="shared" si="21"/>
        <v>96732.929362198935</v>
      </c>
      <c r="CW38" s="280">
        <f t="shared" si="21"/>
        <v>0</v>
      </c>
      <c r="CX38" s="280">
        <f t="shared" si="21"/>
        <v>0</v>
      </c>
      <c r="CY38" s="310"/>
      <c r="CZ38" s="310"/>
      <c r="DA38" s="310"/>
      <c r="DB38" s="310"/>
      <c r="DC38" s="310"/>
      <c r="DD38" s="310"/>
      <c r="DE38" s="310"/>
      <c r="DF38" s="310"/>
      <c r="DG38" s="310"/>
      <c r="DH38" s="311"/>
      <c r="DI38" s="280"/>
      <c r="DJ38" s="310"/>
      <c r="DK38" s="310"/>
      <c r="DL38" s="310"/>
      <c r="DM38" s="310"/>
      <c r="DN38" s="310"/>
      <c r="DO38" s="310"/>
      <c r="DP38" s="310"/>
      <c r="DQ38" s="310"/>
      <c r="DR38" s="310"/>
      <c r="DS38" s="310"/>
      <c r="DT38" s="311"/>
      <c r="DU38" s="3"/>
    </row>
    <row r="39" spans="1:125" ht="15" x14ac:dyDescent="0.25">
      <c r="B39" s="519" t="s">
        <v>391</v>
      </c>
      <c r="C39" s="520">
        <v>1</v>
      </c>
      <c r="D39" s="20"/>
      <c r="E39" s="521"/>
      <c r="F39" s="463"/>
      <c r="G39" s="463"/>
      <c r="H39" s="463"/>
      <c r="I39" s="463"/>
      <c r="J39" s="463"/>
      <c r="K39" s="463"/>
      <c r="L39" s="463"/>
      <c r="M39" s="463"/>
      <c r="N39" s="463"/>
      <c r="O39" s="463"/>
      <c r="P39" s="487"/>
      <c r="Q39" s="790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311"/>
      <c r="AC39" s="28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1"/>
      <c r="AO39" s="28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1"/>
      <c r="BA39" s="280"/>
      <c r="BB39" s="310"/>
      <c r="BC39" s="310"/>
      <c r="BD39" s="310"/>
      <c r="BE39" s="310"/>
      <c r="BF39" s="310"/>
      <c r="BG39" s="310"/>
      <c r="BH39" s="310"/>
      <c r="BI39" s="310"/>
      <c r="BJ39" s="310"/>
      <c r="BK39" s="310"/>
      <c r="BL39" s="311"/>
      <c r="BM39" s="280"/>
      <c r="BN39" s="310"/>
      <c r="BO39" s="310"/>
      <c r="BP39" s="310"/>
      <c r="BQ39" s="310"/>
      <c r="BR39" s="310"/>
      <c r="BS39" s="310"/>
      <c r="BT39" s="310"/>
      <c r="BU39" s="310"/>
      <c r="BV39" s="310"/>
      <c r="BW39" s="310"/>
      <c r="BX39" s="311"/>
      <c r="BY39" s="280">
        <f>Q34*$C39</f>
        <v>0</v>
      </c>
      <c r="BZ39" s="280">
        <f t="shared" ref="BZ39:CL39" si="22">R34*$C39</f>
        <v>0</v>
      </c>
      <c r="CA39" s="280">
        <f t="shared" si="22"/>
        <v>0</v>
      </c>
      <c r="CB39" s="280">
        <f t="shared" si="22"/>
        <v>0</v>
      </c>
      <c r="CC39" s="280">
        <f t="shared" si="22"/>
        <v>0</v>
      </c>
      <c r="CD39" s="280">
        <f t="shared" si="22"/>
        <v>0</v>
      </c>
      <c r="CE39" s="280">
        <f t="shared" si="22"/>
        <v>0</v>
      </c>
      <c r="CF39" s="280">
        <f t="shared" si="22"/>
        <v>0</v>
      </c>
      <c r="CG39" s="280">
        <f t="shared" si="22"/>
        <v>0</v>
      </c>
      <c r="CH39" s="280">
        <f t="shared" si="22"/>
        <v>0</v>
      </c>
      <c r="CI39" s="280">
        <f t="shared" si="22"/>
        <v>0</v>
      </c>
      <c r="CJ39" s="731">
        <f t="shared" si="22"/>
        <v>0</v>
      </c>
      <c r="CK39" s="280">
        <f t="shared" si="22"/>
        <v>0</v>
      </c>
      <c r="CL39" s="280">
        <f t="shared" si="22"/>
        <v>24863.666469951357</v>
      </c>
      <c r="CM39" s="280">
        <f t="shared" ref="CM39:DL39" si="23">AE34*$C39</f>
        <v>41725.369605776345</v>
      </c>
      <c r="CN39" s="280">
        <f t="shared" si="23"/>
        <v>65306.692487260196</v>
      </c>
      <c r="CO39" s="280">
        <f t="shared" si="23"/>
        <v>137727.10001869086</v>
      </c>
      <c r="CP39" s="280">
        <f t="shared" si="23"/>
        <v>204542.36249809389</v>
      </c>
      <c r="CQ39" s="280">
        <f t="shared" si="23"/>
        <v>285260.95490063122</v>
      </c>
      <c r="CR39" s="280">
        <f t="shared" si="23"/>
        <v>431152.63275199645</v>
      </c>
      <c r="CS39" s="280">
        <f t="shared" si="23"/>
        <v>541015.14585394226</v>
      </c>
      <c r="CT39" s="280">
        <f t="shared" si="23"/>
        <v>644904.64310880145</v>
      </c>
      <c r="CU39" s="280">
        <f t="shared" si="23"/>
        <v>751904.05390133092</v>
      </c>
      <c r="CV39" s="731">
        <f t="shared" si="23"/>
        <v>834208.82214565354</v>
      </c>
      <c r="CW39" s="280">
        <f t="shared" si="23"/>
        <v>961746.457390027</v>
      </c>
      <c r="CX39" s="280">
        <f t="shared" si="23"/>
        <v>1027209.6469921874</v>
      </c>
      <c r="CY39" s="280">
        <f t="shared" si="23"/>
        <v>1124565.2963258084</v>
      </c>
      <c r="CZ39" s="280">
        <f t="shared" si="23"/>
        <v>1031712.701897023</v>
      </c>
      <c r="DA39" s="280">
        <f t="shared" si="23"/>
        <v>854357.27586490498</v>
      </c>
      <c r="DB39" s="280">
        <f t="shared" si="23"/>
        <v>865876.98062269553</v>
      </c>
      <c r="DC39" s="280">
        <f t="shared" si="23"/>
        <v>795092.61391981365</v>
      </c>
      <c r="DD39" s="280">
        <f t="shared" si="23"/>
        <v>668899.04563459195</v>
      </c>
      <c r="DE39" s="280">
        <f t="shared" si="23"/>
        <v>664689.7953763454</v>
      </c>
      <c r="DF39" s="280">
        <f t="shared" si="23"/>
        <v>514284.99755673605</v>
      </c>
      <c r="DG39" s="280">
        <f t="shared" si="23"/>
        <v>313062.68624016346</v>
      </c>
      <c r="DH39" s="731">
        <f t="shared" si="23"/>
        <v>96732.929362198935</v>
      </c>
      <c r="DI39" s="280">
        <f t="shared" si="23"/>
        <v>0</v>
      </c>
      <c r="DJ39" s="280">
        <f t="shared" si="23"/>
        <v>0</v>
      </c>
      <c r="DK39" s="280">
        <f t="shared" si="23"/>
        <v>0</v>
      </c>
      <c r="DL39" s="280">
        <f t="shared" si="23"/>
        <v>0</v>
      </c>
      <c r="DM39" s="310"/>
      <c r="DN39" s="310"/>
      <c r="DO39" s="310"/>
      <c r="DP39" s="310"/>
      <c r="DQ39" s="310"/>
      <c r="DR39" s="310"/>
      <c r="DS39" s="310"/>
      <c r="DT39" s="311"/>
      <c r="DU39" s="3"/>
    </row>
    <row r="40" spans="1:125" ht="15" x14ac:dyDescent="0.25">
      <c r="B40" s="519" t="s">
        <v>392</v>
      </c>
      <c r="C40" s="524">
        <v>1</v>
      </c>
      <c r="D40" s="20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6"/>
      <c r="Q40" s="791"/>
      <c r="R40" s="405"/>
      <c r="S40" s="405"/>
      <c r="T40" s="405"/>
      <c r="U40" s="405"/>
      <c r="V40" s="405"/>
      <c r="W40" s="405"/>
      <c r="X40" s="405"/>
      <c r="Y40" s="405"/>
      <c r="Z40" s="405"/>
      <c r="AA40" s="405"/>
      <c r="AB40" s="729"/>
      <c r="AC40" s="405"/>
      <c r="AD40" s="405"/>
      <c r="AE40" s="405"/>
      <c r="AF40" s="405"/>
      <c r="AG40" s="405"/>
      <c r="AH40" s="405"/>
      <c r="AI40" s="405"/>
      <c r="AJ40" s="405"/>
      <c r="AK40" s="405"/>
      <c r="AL40" s="405"/>
      <c r="AM40" s="405"/>
      <c r="AN40" s="729"/>
      <c r="AO40" s="405"/>
      <c r="AP40" s="405"/>
      <c r="AQ40" s="405"/>
      <c r="AR40" s="405"/>
      <c r="AS40" s="405"/>
      <c r="AT40" s="405"/>
      <c r="AU40" s="405"/>
      <c r="AV40" s="405"/>
      <c r="AW40" s="405"/>
      <c r="AX40" s="405"/>
      <c r="AY40" s="405"/>
      <c r="AZ40" s="729"/>
      <c r="BA40" s="280"/>
      <c r="BB40" s="405"/>
      <c r="BC40" s="405"/>
      <c r="BD40" s="405"/>
      <c r="BE40" s="405"/>
      <c r="BF40" s="405"/>
      <c r="BG40" s="405"/>
      <c r="BH40" s="405"/>
      <c r="BI40" s="405"/>
      <c r="BJ40" s="405"/>
      <c r="BK40" s="405"/>
      <c r="BL40" s="729"/>
      <c r="BM40" s="405"/>
      <c r="BN40" s="405"/>
      <c r="BO40" s="405"/>
      <c r="BP40" s="405"/>
      <c r="BQ40" s="405"/>
      <c r="BR40" s="405"/>
      <c r="BS40" s="405"/>
      <c r="BT40" s="405"/>
      <c r="BU40" s="405"/>
      <c r="BV40" s="405"/>
      <c r="BW40" s="405"/>
      <c r="BX40" s="729"/>
      <c r="BY40" s="405"/>
      <c r="BZ40" s="405"/>
      <c r="CA40" s="405"/>
      <c r="CB40" s="405"/>
      <c r="CC40" s="405"/>
      <c r="CD40" s="405"/>
      <c r="CE40" s="405"/>
      <c r="CF40" s="405"/>
      <c r="CG40" s="405"/>
      <c r="CH40" s="405"/>
      <c r="CI40" s="405"/>
      <c r="CJ40" s="729"/>
      <c r="CK40" s="405">
        <f>Q34*$C40</f>
        <v>0</v>
      </c>
      <c r="CL40" s="405">
        <f t="shared" ref="CL40:CX40" si="24">R34*$C40</f>
        <v>0</v>
      </c>
      <c r="CM40" s="405">
        <f t="shared" si="24"/>
        <v>0</v>
      </c>
      <c r="CN40" s="405">
        <f t="shared" si="24"/>
        <v>0</v>
      </c>
      <c r="CO40" s="405">
        <f t="shared" si="24"/>
        <v>0</v>
      </c>
      <c r="CP40" s="405">
        <f t="shared" si="24"/>
        <v>0</v>
      </c>
      <c r="CQ40" s="405">
        <f t="shared" si="24"/>
        <v>0</v>
      </c>
      <c r="CR40" s="405">
        <f t="shared" si="24"/>
        <v>0</v>
      </c>
      <c r="CS40" s="405">
        <f t="shared" si="24"/>
        <v>0</v>
      </c>
      <c r="CT40" s="405">
        <f t="shared" si="24"/>
        <v>0</v>
      </c>
      <c r="CU40" s="405">
        <f t="shared" si="24"/>
        <v>0</v>
      </c>
      <c r="CV40" s="729">
        <f t="shared" si="24"/>
        <v>0</v>
      </c>
      <c r="CW40" s="405">
        <f t="shared" si="24"/>
        <v>0</v>
      </c>
      <c r="CX40" s="405">
        <f t="shared" si="24"/>
        <v>24863.666469951357</v>
      </c>
      <c r="CY40" s="405">
        <f t="shared" ref="CY40:DT40" si="25">AE34*$C40</f>
        <v>41725.369605776345</v>
      </c>
      <c r="CZ40" s="405">
        <f t="shared" si="25"/>
        <v>65306.692487260196</v>
      </c>
      <c r="DA40" s="405">
        <f t="shared" si="25"/>
        <v>137727.10001869086</v>
      </c>
      <c r="DB40" s="405">
        <f t="shared" si="25"/>
        <v>204542.36249809389</v>
      </c>
      <c r="DC40" s="405">
        <f t="shared" si="25"/>
        <v>285260.95490063122</v>
      </c>
      <c r="DD40" s="405">
        <f t="shared" si="25"/>
        <v>431152.63275199645</v>
      </c>
      <c r="DE40" s="405">
        <f t="shared" si="25"/>
        <v>541015.14585394226</v>
      </c>
      <c r="DF40" s="405">
        <f t="shared" si="25"/>
        <v>644904.64310880145</v>
      </c>
      <c r="DG40" s="405">
        <f t="shared" si="25"/>
        <v>751904.05390133092</v>
      </c>
      <c r="DH40" s="729">
        <f t="shared" si="25"/>
        <v>834208.82214565354</v>
      </c>
      <c r="DI40" s="405">
        <f t="shared" si="25"/>
        <v>961746.457390027</v>
      </c>
      <c r="DJ40" s="405">
        <f t="shared" si="25"/>
        <v>1027209.6469921874</v>
      </c>
      <c r="DK40" s="405">
        <f t="shared" si="25"/>
        <v>1124565.2963258084</v>
      </c>
      <c r="DL40" s="405">
        <f t="shared" si="25"/>
        <v>1031712.701897023</v>
      </c>
      <c r="DM40" s="405">
        <f t="shared" si="25"/>
        <v>854357.27586490498</v>
      </c>
      <c r="DN40" s="405">
        <f t="shared" si="25"/>
        <v>865876.98062269553</v>
      </c>
      <c r="DO40" s="405">
        <f t="shared" si="25"/>
        <v>795092.61391981365</v>
      </c>
      <c r="DP40" s="405">
        <f t="shared" si="25"/>
        <v>668899.04563459195</v>
      </c>
      <c r="DQ40" s="405">
        <f t="shared" si="25"/>
        <v>664689.7953763454</v>
      </c>
      <c r="DR40" s="405">
        <f t="shared" si="25"/>
        <v>514284.99755673605</v>
      </c>
      <c r="DS40" s="405">
        <f t="shared" si="25"/>
        <v>313062.68624016346</v>
      </c>
      <c r="DT40" s="729">
        <f t="shared" si="25"/>
        <v>96732.929362198935</v>
      </c>
      <c r="DU40" s="3"/>
    </row>
    <row r="41" spans="1:125" ht="15" x14ac:dyDescent="0.25">
      <c r="B41" s="519" t="s">
        <v>393</v>
      </c>
      <c r="C41" s="524">
        <v>1</v>
      </c>
      <c r="D41" s="20"/>
      <c r="E41" s="525"/>
      <c r="F41" s="525"/>
      <c r="G41" s="525"/>
      <c r="H41" s="525"/>
      <c r="I41" s="525"/>
      <c r="J41" s="525"/>
      <c r="K41" s="525"/>
      <c r="L41" s="525"/>
      <c r="M41" s="525"/>
      <c r="N41" s="525"/>
      <c r="O41" s="525"/>
      <c r="P41" s="526"/>
      <c r="Q41" s="791"/>
      <c r="R41" s="405"/>
      <c r="S41" s="405"/>
      <c r="T41" s="405"/>
      <c r="U41" s="405"/>
      <c r="V41" s="405"/>
      <c r="W41" s="405"/>
      <c r="X41" s="405"/>
      <c r="Y41" s="405"/>
      <c r="Z41" s="405"/>
      <c r="AA41" s="405"/>
      <c r="AB41" s="729"/>
      <c r="AC41" s="405"/>
      <c r="AD41" s="405"/>
      <c r="AE41" s="405"/>
      <c r="AF41" s="405"/>
      <c r="AG41" s="405"/>
      <c r="AH41" s="405"/>
      <c r="AI41" s="405"/>
      <c r="AJ41" s="405"/>
      <c r="AK41" s="405"/>
      <c r="AL41" s="405"/>
      <c r="AM41" s="405"/>
      <c r="AN41" s="729"/>
      <c r="AO41" s="405"/>
      <c r="AP41" s="405"/>
      <c r="AQ41" s="405"/>
      <c r="AR41" s="405"/>
      <c r="AS41" s="405"/>
      <c r="AT41" s="405"/>
      <c r="AU41" s="405"/>
      <c r="AV41" s="405"/>
      <c r="AW41" s="405"/>
      <c r="AX41" s="405"/>
      <c r="AY41" s="405"/>
      <c r="AZ41" s="729"/>
      <c r="BA41" s="405"/>
      <c r="BB41" s="405"/>
      <c r="BC41" s="405"/>
      <c r="BD41" s="405"/>
      <c r="BE41" s="405"/>
      <c r="BF41" s="405"/>
      <c r="BG41" s="405"/>
      <c r="BH41" s="405"/>
      <c r="BI41" s="405"/>
      <c r="BJ41" s="405"/>
      <c r="BK41" s="405"/>
      <c r="BL41" s="729"/>
      <c r="BM41" s="405"/>
      <c r="BN41" s="405"/>
      <c r="BO41" s="405"/>
      <c r="BP41" s="405"/>
      <c r="BQ41" s="405"/>
      <c r="BR41" s="405"/>
      <c r="BS41" s="405"/>
      <c r="BT41" s="405"/>
      <c r="BU41" s="405"/>
      <c r="BV41" s="405"/>
      <c r="BW41" s="405"/>
      <c r="BX41" s="729"/>
      <c r="BY41" s="405"/>
      <c r="BZ41" s="405"/>
      <c r="CA41" s="405"/>
      <c r="CB41" s="405"/>
      <c r="CC41" s="405"/>
      <c r="CD41" s="405"/>
      <c r="CE41" s="405"/>
      <c r="CF41" s="405"/>
      <c r="CG41" s="405"/>
      <c r="CH41" s="405"/>
      <c r="CI41" s="405"/>
      <c r="CJ41" s="729"/>
      <c r="CK41" s="405"/>
      <c r="CL41" s="405"/>
      <c r="CM41" s="405"/>
      <c r="CN41" s="405"/>
      <c r="CO41" s="405"/>
      <c r="CP41" s="405"/>
      <c r="CQ41" s="405"/>
      <c r="CR41" s="405"/>
      <c r="CS41" s="405"/>
      <c r="CT41" s="405"/>
      <c r="CU41" s="405"/>
      <c r="CV41" s="729"/>
      <c r="CW41" s="405">
        <f>Q34*$C41</f>
        <v>0</v>
      </c>
      <c r="CX41" s="405">
        <f t="shared" ref="CX41:DT41" si="26">R34*$C41</f>
        <v>0</v>
      </c>
      <c r="CY41" s="405">
        <f t="shared" si="26"/>
        <v>0</v>
      </c>
      <c r="CZ41" s="405">
        <f t="shared" si="26"/>
        <v>0</v>
      </c>
      <c r="DA41" s="405">
        <f t="shared" si="26"/>
        <v>0</v>
      </c>
      <c r="DB41" s="405">
        <f t="shared" si="26"/>
        <v>0</v>
      </c>
      <c r="DC41" s="405">
        <f t="shared" si="26"/>
        <v>0</v>
      </c>
      <c r="DD41" s="405">
        <f t="shared" si="26"/>
        <v>0</v>
      </c>
      <c r="DE41" s="405">
        <f t="shared" si="26"/>
        <v>0</v>
      </c>
      <c r="DF41" s="405">
        <f t="shared" si="26"/>
        <v>0</v>
      </c>
      <c r="DG41" s="405">
        <f t="shared" si="26"/>
        <v>0</v>
      </c>
      <c r="DH41" s="729">
        <f t="shared" si="26"/>
        <v>0</v>
      </c>
      <c r="DI41" s="405">
        <f t="shared" si="26"/>
        <v>0</v>
      </c>
      <c r="DJ41" s="405">
        <f t="shared" si="26"/>
        <v>24863.666469951357</v>
      </c>
      <c r="DK41" s="405">
        <f t="shared" si="26"/>
        <v>41725.369605776345</v>
      </c>
      <c r="DL41" s="405">
        <f t="shared" si="26"/>
        <v>65306.692487260196</v>
      </c>
      <c r="DM41" s="405">
        <f t="shared" si="26"/>
        <v>137727.10001869086</v>
      </c>
      <c r="DN41" s="405">
        <f t="shared" si="26"/>
        <v>204542.36249809389</v>
      </c>
      <c r="DO41" s="405">
        <f t="shared" si="26"/>
        <v>285260.95490063122</v>
      </c>
      <c r="DP41" s="405">
        <f t="shared" si="26"/>
        <v>431152.63275199645</v>
      </c>
      <c r="DQ41" s="405">
        <f t="shared" si="26"/>
        <v>541015.14585394226</v>
      </c>
      <c r="DR41" s="405">
        <f t="shared" si="26"/>
        <v>644904.64310880145</v>
      </c>
      <c r="DS41" s="405">
        <f t="shared" si="26"/>
        <v>751904.05390133092</v>
      </c>
      <c r="DT41" s="729">
        <f t="shared" si="26"/>
        <v>834208.82214565354</v>
      </c>
      <c r="DU41" s="3"/>
    </row>
    <row r="42" spans="1:125" ht="15" x14ac:dyDescent="0.25">
      <c r="B42" s="519" t="s">
        <v>394</v>
      </c>
      <c r="C42" s="524">
        <v>1</v>
      </c>
      <c r="D42" s="20"/>
      <c r="E42" s="406"/>
      <c r="F42" s="406"/>
      <c r="G42" s="406"/>
      <c r="H42" s="406"/>
      <c r="I42" s="406"/>
      <c r="J42" s="406"/>
      <c r="K42" s="406"/>
      <c r="L42" s="406"/>
      <c r="M42" s="406"/>
      <c r="N42" s="406"/>
      <c r="O42" s="406"/>
      <c r="P42" s="488"/>
      <c r="Q42" s="79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3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3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3"/>
      <c r="BA42" s="312"/>
      <c r="BB42" s="312"/>
      <c r="BC42" s="312"/>
      <c r="BD42" s="312"/>
      <c r="BE42" s="312"/>
      <c r="BF42" s="312"/>
      <c r="BG42" s="312"/>
      <c r="BH42" s="312"/>
      <c r="BI42" s="312"/>
      <c r="BJ42" s="312"/>
      <c r="BK42" s="312"/>
      <c r="BL42" s="313"/>
      <c r="BM42" s="312"/>
      <c r="BN42" s="312"/>
      <c r="BO42" s="312"/>
      <c r="BP42" s="312"/>
      <c r="BQ42" s="312"/>
      <c r="BR42" s="312"/>
      <c r="BS42" s="312"/>
      <c r="BT42" s="312"/>
      <c r="BU42" s="312"/>
      <c r="BV42" s="312"/>
      <c r="BW42" s="312"/>
      <c r="BX42" s="313"/>
      <c r="BY42" s="312"/>
      <c r="BZ42" s="312"/>
      <c r="CA42" s="312"/>
      <c r="CB42" s="312"/>
      <c r="CC42" s="312"/>
      <c r="CD42" s="312"/>
      <c r="CE42" s="312"/>
      <c r="CF42" s="312"/>
      <c r="CG42" s="312"/>
      <c r="CH42" s="312"/>
      <c r="CI42" s="312"/>
      <c r="CJ42" s="313"/>
      <c r="CK42" s="312"/>
      <c r="CL42" s="312"/>
      <c r="CM42" s="312"/>
      <c r="CN42" s="312"/>
      <c r="CO42" s="312"/>
      <c r="CP42" s="312"/>
      <c r="CQ42" s="312"/>
      <c r="CR42" s="312"/>
      <c r="CS42" s="312"/>
      <c r="CT42" s="312"/>
      <c r="CU42" s="312"/>
      <c r="CV42" s="313"/>
      <c r="CW42" s="390"/>
      <c r="CX42" s="312"/>
      <c r="CY42" s="312"/>
      <c r="CZ42" s="312"/>
      <c r="DA42" s="312"/>
      <c r="DB42" s="312"/>
      <c r="DC42" s="312"/>
      <c r="DD42" s="312"/>
      <c r="DE42" s="312"/>
      <c r="DF42" s="312"/>
      <c r="DG42" s="312"/>
      <c r="DH42" s="313"/>
      <c r="DI42" s="312">
        <f>Q34*$C42</f>
        <v>0</v>
      </c>
      <c r="DJ42" s="312">
        <f t="shared" ref="DJ42:DT42" si="27">R34*$C42</f>
        <v>0</v>
      </c>
      <c r="DK42" s="312">
        <f t="shared" si="27"/>
        <v>0</v>
      </c>
      <c r="DL42" s="312">
        <f t="shared" si="27"/>
        <v>0</v>
      </c>
      <c r="DM42" s="312">
        <f t="shared" si="27"/>
        <v>0</v>
      </c>
      <c r="DN42" s="312">
        <f t="shared" si="27"/>
        <v>0</v>
      </c>
      <c r="DO42" s="312">
        <f t="shared" si="27"/>
        <v>0</v>
      </c>
      <c r="DP42" s="312">
        <f t="shared" si="27"/>
        <v>0</v>
      </c>
      <c r="DQ42" s="312">
        <f t="shared" si="27"/>
        <v>0</v>
      </c>
      <c r="DR42" s="312">
        <f t="shared" si="27"/>
        <v>0</v>
      </c>
      <c r="DS42" s="312">
        <f t="shared" si="27"/>
        <v>0</v>
      </c>
      <c r="DT42" s="313">
        <f t="shared" si="27"/>
        <v>0</v>
      </c>
      <c r="DU42" s="3"/>
    </row>
    <row r="43" spans="1:125" ht="15" x14ac:dyDescent="0.25">
      <c r="B43" s="519" t="s">
        <v>395</v>
      </c>
      <c r="C43" s="524">
        <v>1</v>
      </c>
      <c r="D43" s="20"/>
      <c r="E43" s="406"/>
      <c r="F43" s="406"/>
      <c r="G43" s="406"/>
      <c r="H43" s="406"/>
      <c r="I43" s="406"/>
      <c r="J43" s="406"/>
      <c r="K43" s="406"/>
      <c r="L43" s="406"/>
      <c r="M43" s="406"/>
      <c r="N43" s="406"/>
      <c r="O43" s="406"/>
      <c r="P43" s="488"/>
      <c r="Q43" s="79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3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3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3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3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3"/>
      <c r="BY43" s="312"/>
      <c r="BZ43" s="312"/>
      <c r="CA43" s="312"/>
      <c r="CB43" s="312"/>
      <c r="CC43" s="312"/>
      <c r="CD43" s="312"/>
      <c r="CE43" s="312"/>
      <c r="CF43" s="312"/>
      <c r="CG43" s="312"/>
      <c r="CH43" s="312"/>
      <c r="CI43" s="312"/>
      <c r="CJ43" s="313"/>
      <c r="CK43" s="312"/>
      <c r="CL43" s="312"/>
      <c r="CM43" s="312"/>
      <c r="CN43" s="312"/>
      <c r="CO43" s="312"/>
      <c r="CP43" s="312"/>
      <c r="CQ43" s="312"/>
      <c r="CR43" s="312"/>
      <c r="CS43" s="312"/>
      <c r="CT43" s="312"/>
      <c r="CU43" s="312"/>
      <c r="CV43" s="313"/>
      <c r="CW43" s="390"/>
      <c r="CX43" s="312"/>
      <c r="CY43" s="312"/>
      <c r="CZ43" s="312"/>
      <c r="DA43" s="312"/>
      <c r="DB43" s="312"/>
      <c r="DC43" s="312"/>
      <c r="DD43" s="312"/>
      <c r="DE43" s="312"/>
      <c r="DF43" s="312"/>
      <c r="DG43" s="312"/>
      <c r="DH43" s="313"/>
      <c r="DI43" s="312"/>
      <c r="DJ43" s="312"/>
      <c r="DK43" s="312"/>
      <c r="DL43" s="312"/>
      <c r="DM43" s="312"/>
      <c r="DN43" s="312"/>
      <c r="DO43" s="312"/>
      <c r="DP43" s="312"/>
      <c r="DQ43" s="312"/>
      <c r="DR43" s="312"/>
      <c r="DS43" s="312"/>
      <c r="DT43" s="313"/>
      <c r="DU43" s="3"/>
    </row>
    <row r="44" spans="1:125" ht="19.5" thickBot="1" x14ac:dyDescent="0.35">
      <c r="B44" s="161" t="s">
        <v>303</v>
      </c>
      <c r="C44" s="85"/>
      <c r="D44" s="7"/>
      <c r="E44" s="527"/>
      <c r="F44" s="527"/>
      <c r="G44" s="527"/>
      <c r="H44" s="527"/>
      <c r="I44" s="527"/>
      <c r="J44" s="527"/>
      <c r="K44" s="527">
        <f t="shared" ref="K44:P44" si="28">SUM(K31:K43)</f>
        <v>0</v>
      </c>
      <c r="L44" s="527">
        <f t="shared" si="28"/>
        <v>0</v>
      </c>
      <c r="M44" s="527">
        <f t="shared" si="28"/>
        <v>0</v>
      </c>
      <c r="N44" s="527">
        <f t="shared" si="28"/>
        <v>0</v>
      </c>
      <c r="O44" s="527">
        <f t="shared" si="28"/>
        <v>0</v>
      </c>
      <c r="P44" s="752">
        <f t="shared" si="28"/>
        <v>0</v>
      </c>
      <c r="Q44" s="793">
        <f t="shared" ref="Q44:AV44" si="29">SUM(Q34:Q43)</f>
        <v>0</v>
      </c>
      <c r="R44" s="391">
        <f t="shared" si="29"/>
        <v>0</v>
      </c>
      <c r="S44" s="391">
        <f t="shared" si="29"/>
        <v>0</v>
      </c>
      <c r="T44" s="391">
        <f t="shared" si="29"/>
        <v>0</v>
      </c>
      <c r="U44" s="391">
        <f t="shared" si="29"/>
        <v>0</v>
      </c>
      <c r="V44" s="391">
        <f t="shared" si="29"/>
        <v>0</v>
      </c>
      <c r="W44" s="391">
        <f t="shared" si="29"/>
        <v>0</v>
      </c>
      <c r="X44" s="391">
        <f t="shared" si="29"/>
        <v>0</v>
      </c>
      <c r="Y44" s="391">
        <f t="shared" si="29"/>
        <v>0</v>
      </c>
      <c r="Z44" s="391">
        <f t="shared" si="29"/>
        <v>0</v>
      </c>
      <c r="AA44" s="391">
        <f t="shared" si="29"/>
        <v>0</v>
      </c>
      <c r="AB44" s="757">
        <f t="shared" si="29"/>
        <v>0</v>
      </c>
      <c r="AC44" s="391">
        <f t="shared" si="29"/>
        <v>0</v>
      </c>
      <c r="AD44" s="391">
        <f t="shared" si="29"/>
        <v>24863.666469951357</v>
      </c>
      <c r="AE44" s="391">
        <f t="shared" si="29"/>
        <v>41725.369605776345</v>
      </c>
      <c r="AF44" s="391">
        <f t="shared" si="29"/>
        <v>65306.692487260196</v>
      </c>
      <c r="AG44" s="391">
        <f t="shared" si="29"/>
        <v>137727.10001869086</v>
      </c>
      <c r="AH44" s="391">
        <f t="shared" si="29"/>
        <v>204542.36249809389</v>
      </c>
      <c r="AI44" s="391">
        <f t="shared" si="29"/>
        <v>285260.95490063122</v>
      </c>
      <c r="AJ44" s="391">
        <f t="shared" si="29"/>
        <v>431152.63275199645</v>
      </c>
      <c r="AK44" s="391">
        <f t="shared" si="29"/>
        <v>541015.14585394226</v>
      </c>
      <c r="AL44" s="391">
        <f t="shared" si="29"/>
        <v>644904.64310880145</v>
      </c>
      <c r="AM44" s="391">
        <f t="shared" si="29"/>
        <v>751904.05390133092</v>
      </c>
      <c r="AN44" s="757">
        <f t="shared" si="29"/>
        <v>834208.82214565354</v>
      </c>
      <c r="AO44" s="391">
        <f t="shared" si="29"/>
        <v>961746.457390027</v>
      </c>
      <c r="AP44" s="391">
        <f t="shared" si="29"/>
        <v>1052073.3134621386</v>
      </c>
      <c r="AQ44" s="391">
        <f t="shared" si="29"/>
        <v>1166290.6659315848</v>
      </c>
      <c r="AR44" s="391">
        <f t="shared" si="29"/>
        <v>1097019.3943842831</v>
      </c>
      <c r="AS44" s="391">
        <f t="shared" si="29"/>
        <v>992084.37588359579</v>
      </c>
      <c r="AT44" s="391">
        <f t="shared" si="29"/>
        <v>1070419.3431207894</v>
      </c>
      <c r="AU44" s="391">
        <f t="shared" si="29"/>
        <v>1080353.5688204449</v>
      </c>
      <c r="AV44" s="391">
        <f t="shared" si="29"/>
        <v>1100051.6783865883</v>
      </c>
      <c r="AW44" s="391">
        <f t="shared" ref="AW44:CB44" si="30">SUM(AW34:AW43)</f>
        <v>1205704.9412302878</v>
      </c>
      <c r="AX44" s="391">
        <f t="shared" si="30"/>
        <v>1159189.6406655374</v>
      </c>
      <c r="AY44" s="391">
        <f t="shared" si="30"/>
        <v>1064966.7401414944</v>
      </c>
      <c r="AZ44" s="757">
        <f t="shared" si="30"/>
        <v>930941.75150785246</v>
      </c>
      <c r="BA44" s="391">
        <f t="shared" si="30"/>
        <v>961746.457390027</v>
      </c>
      <c r="BB44" s="391">
        <f t="shared" si="30"/>
        <v>1052073.3134621386</v>
      </c>
      <c r="BC44" s="391">
        <f t="shared" si="30"/>
        <v>1166290.6659315848</v>
      </c>
      <c r="BD44" s="391">
        <f t="shared" si="30"/>
        <v>1097019.3943842831</v>
      </c>
      <c r="BE44" s="391">
        <f t="shared" si="30"/>
        <v>992084.37588359579</v>
      </c>
      <c r="BF44" s="391">
        <f t="shared" si="30"/>
        <v>1070419.3431207894</v>
      </c>
      <c r="BG44" s="391">
        <f t="shared" si="30"/>
        <v>1080353.5688204449</v>
      </c>
      <c r="BH44" s="391">
        <f t="shared" si="30"/>
        <v>1100051.6783865883</v>
      </c>
      <c r="BI44" s="391">
        <f t="shared" si="30"/>
        <v>1205704.9412302878</v>
      </c>
      <c r="BJ44" s="391">
        <f t="shared" si="30"/>
        <v>1159189.6406655374</v>
      </c>
      <c r="BK44" s="391">
        <f t="shared" si="30"/>
        <v>1064966.7401414944</v>
      </c>
      <c r="BL44" s="757">
        <f t="shared" si="30"/>
        <v>930941.75150785246</v>
      </c>
      <c r="BM44" s="391">
        <f t="shared" si="30"/>
        <v>961746.457390027</v>
      </c>
      <c r="BN44" s="391">
        <f t="shared" si="30"/>
        <v>1052073.3134621386</v>
      </c>
      <c r="BO44" s="391">
        <f t="shared" si="30"/>
        <v>1166290.6659315848</v>
      </c>
      <c r="BP44" s="391">
        <f t="shared" si="30"/>
        <v>1097019.3943842831</v>
      </c>
      <c r="BQ44" s="391">
        <f t="shared" si="30"/>
        <v>992084.37588359579</v>
      </c>
      <c r="BR44" s="391">
        <f t="shared" si="30"/>
        <v>1070419.3431207894</v>
      </c>
      <c r="BS44" s="391">
        <f t="shared" si="30"/>
        <v>1080353.5688204449</v>
      </c>
      <c r="BT44" s="391">
        <f t="shared" si="30"/>
        <v>1100051.6783865883</v>
      </c>
      <c r="BU44" s="391">
        <f t="shared" si="30"/>
        <v>1205704.9412302878</v>
      </c>
      <c r="BV44" s="391">
        <f t="shared" si="30"/>
        <v>1159189.6406655374</v>
      </c>
      <c r="BW44" s="391">
        <f t="shared" si="30"/>
        <v>1064966.7401414944</v>
      </c>
      <c r="BX44" s="757">
        <f t="shared" si="30"/>
        <v>930941.75150785246</v>
      </c>
      <c r="BY44" s="391">
        <f t="shared" si="30"/>
        <v>961746.457390027</v>
      </c>
      <c r="BZ44" s="391">
        <f t="shared" si="30"/>
        <v>1052073.3134621386</v>
      </c>
      <c r="CA44" s="391">
        <f t="shared" si="30"/>
        <v>1166290.6659315848</v>
      </c>
      <c r="CB44" s="391">
        <f t="shared" si="30"/>
        <v>1097019.3943842831</v>
      </c>
      <c r="CC44" s="391">
        <f t="shared" ref="CC44:DH44" si="31">SUM(CC34:CC43)</f>
        <v>992084.37588359579</v>
      </c>
      <c r="CD44" s="391">
        <f t="shared" si="31"/>
        <v>1070419.3431207894</v>
      </c>
      <c r="CE44" s="391">
        <f t="shared" si="31"/>
        <v>1080353.5688204449</v>
      </c>
      <c r="CF44" s="391">
        <f t="shared" si="31"/>
        <v>1100051.6783865883</v>
      </c>
      <c r="CG44" s="391">
        <f t="shared" si="31"/>
        <v>1205704.9412302878</v>
      </c>
      <c r="CH44" s="391">
        <f t="shared" si="31"/>
        <v>1159189.6406655374</v>
      </c>
      <c r="CI44" s="391">
        <f t="shared" si="31"/>
        <v>1064966.7401414944</v>
      </c>
      <c r="CJ44" s="757">
        <f t="shared" si="31"/>
        <v>930941.75150785246</v>
      </c>
      <c r="CK44" s="391">
        <f t="shared" si="31"/>
        <v>961746.457390027</v>
      </c>
      <c r="CL44" s="391">
        <f t="shared" si="31"/>
        <v>1052073.3134621386</v>
      </c>
      <c r="CM44" s="391">
        <f t="shared" si="31"/>
        <v>1166290.6659315848</v>
      </c>
      <c r="CN44" s="391">
        <f t="shared" si="31"/>
        <v>1097019.3943842831</v>
      </c>
      <c r="CO44" s="391">
        <f t="shared" si="31"/>
        <v>992084.37588359579</v>
      </c>
      <c r="CP44" s="391">
        <f t="shared" si="31"/>
        <v>1070419.3431207894</v>
      </c>
      <c r="CQ44" s="391">
        <f t="shared" si="31"/>
        <v>1080353.5688204449</v>
      </c>
      <c r="CR44" s="391">
        <f t="shared" si="31"/>
        <v>1100051.6783865883</v>
      </c>
      <c r="CS44" s="391">
        <f t="shared" si="31"/>
        <v>1205704.9412302878</v>
      </c>
      <c r="CT44" s="391">
        <f t="shared" si="31"/>
        <v>1159189.6406655374</v>
      </c>
      <c r="CU44" s="391">
        <f t="shared" si="31"/>
        <v>1064966.7401414944</v>
      </c>
      <c r="CV44" s="757">
        <f t="shared" si="31"/>
        <v>930941.75150785246</v>
      </c>
      <c r="CW44" s="391">
        <f t="shared" si="31"/>
        <v>961746.457390027</v>
      </c>
      <c r="CX44" s="391">
        <f t="shared" si="31"/>
        <v>1052073.3134621386</v>
      </c>
      <c r="CY44" s="391">
        <f t="shared" si="31"/>
        <v>1166290.6659315848</v>
      </c>
      <c r="CZ44" s="391">
        <f t="shared" si="31"/>
        <v>1097019.3943842831</v>
      </c>
      <c r="DA44" s="391">
        <f t="shared" si="31"/>
        <v>992084.37588359579</v>
      </c>
      <c r="DB44" s="391">
        <f t="shared" si="31"/>
        <v>1070419.3431207894</v>
      </c>
      <c r="DC44" s="391">
        <f t="shared" si="31"/>
        <v>1080353.5688204449</v>
      </c>
      <c r="DD44" s="391">
        <f t="shared" si="31"/>
        <v>1100051.6783865883</v>
      </c>
      <c r="DE44" s="391">
        <f t="shared" si="31"/>
        <v>1205704.9412302878</v>
      </c>
      <c r="DF44" s="391">
        <f t="shared" si="31"/>
        <v>1159189.6406655374</v>
      </c>
      <c r="DG44" s="391">
        <f t="shared" si="31"/>
        <v>1064966.7401414944</v>
      </c>
      <c r="DH44" s="757">
        <f t="shared" si="31"/>
        <v>930941.75150785246</v>
      </c>
      <c r="DI44" s="391">
        <f t="shared" ref="DI44:DT44" si="32">SUM(DI34:DI43)</f>
        <v>961746.457390027</v>
      </c>
      <c r="DJ44" s="391">
        <f t="shared" si="32"/>
        <v>1052073.3134621386</v>
      </c>
      <c r="DK44" s="391">
        <f t="shared" si="32"/>
        <v>1166290.6659315848</v>
      </c>
      <c r="DL44" s="391">
        <f t="shared" si="32"/>
        <v>1097019.3943842831</v>
      </c>
      <c r="DM44" s="391">
        <f t="shared" si="32"/>
        <v>992084.37588359579</v>
      </c>
      <c r="DN44" s="391">
        <f t="shared" si="32"/>
        <v>1070419.3431207894</v>
      </c>
      <c r="DO44" s="391">
        <f t="shared" si="32"/>
        <v>1080353.5688204449</v>
      </c>
      <c r="DP44" s="391">
        <f t="shared" si="32"/>
        <v>1100051.6783865883</v>
      </c>
      <c r="DQ44" s="391">
        <f t="shared" si="32"/>
        <v>1205704.9412302878</v>
      </c>
      <c r="DR44" s="391">
        <f t="shared" si="32"/>
        <v>1159189.6406655374</v>
      </c>
      <c r="DS44" s="391">
        <f t="shared" si="32"/>
        <v>1064966.7401414944</v>
      </c>
      <c r="DT44" s="757">
        <f t="shared" si="32"/>
        <v>930941.75150785246</v>
      </c>
      <c r="DU44" s="3"/>
    </row>
    <row r="45" spans="1:125" ht="33" x14ac:dyDescent="0.25">
      <c r="B45" s="511"/>
      <c r="C45" s="511"/>
      <c r="D45" s="7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694"/>
      <c r="Q45" s="541"/>
      <c r="R45" s="272"/>
      <c r="S45" s="272"/>
      <c r="T45" s="272"/>
      <c r="U45" s="272"/>
      <c r="V45" s="272"/>
      <c r="W45" s="272"/>
      <c r="X45" s="272"/>
      <c r="Y45" s="272"/>
      <c r="Z45" s="528"/>
      <c r="AA45" s="528"/>
      <c r="AB45" s="758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603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603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603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603"/>
      <c r="BY45" s="272"/>
      <c r="BZ45" s="272"/>
      <c r="CA45" s="272"/>
      <c r="CB45" s="272"/>
      <c r="CC45" s="272"/>
      <c r="CD45" s="272"/>
      <c r="CE45" s="272"/>
      <c r="CF45" s="272"/>
      <c r="CG45" s="272"/>
      <c r="CH45" s="272"/>
      <c r="CI45" s="272"/>
      <c r="CJ45" s="603"/>
      <c r="CK45" s="272"/>
      <c r="CL45" s="272"/>
      <c r="CM45" s="272"/>
      <c r="CN45" s="272"/>
      <c r="CO45" s="272"/>
      <c r="CP45" s="272"/>
      <c r="CQ45" s="272"/>
      <c r="CR45" s="272"/>
      <c r="CS45" s="272"/>
      <c r="CT45" s="272"/>
      <c r="CU45" s="272"/>
      <c r="CV45" s="603"/>
      <c r="CW45" s="272"/>
      <c r="CX45" s="272"/>
      <c r="CY45" s="272"/>
      <c r="CZ45" s="272"/>
      <c r="DA45" s="272"/>
      <c r="DB45" s="272"/>
      <c r="DC45" s="272"/>
      <c r="DD45" s="272"/>
      <c r="DE45" s="272"/>
      <c r="DF45" s="272"/>
      <c r="DG45" s="272"/>
      <c r="DH45" s="603"/>
      <c r="DI45" s="272"/>
      <c r="DJ45" s="272"/>
      <c r="DK45" s="272"/>
      <c r="DL45" s="272"/>
      <c r="DM45" s="272"/>
      <c r="DN45" s="272"/>
      <c r="DO45" s="272"/>
      <c r="DP45" s="272"/>
      <c r="DQ45" s="272"/>
      <c r="DR45" s="272"/>
      <c r="DS45" s="272"/>
      <c r="DT45" s="603"/>
      <c r="DU45" s="3"/>
    </row>
    <row r="46" spans="1:125" ht="18.75" x14ac:dyDescent="0.3">
      <c r="B46" s="161" t="s">
        <v>645</v>
      </c>
      <c r="C46" s="125"/>
      <c r="D46" s="7"/>
      <c r="E46" s="485"/>
      <c r="F46" s="485"/>
      <c r="G46" s="485"/>
      <c r="H46" s="485"/>
      <c r="I46" s="485"/>
      <c r="J46" s="485"/>
      <c r="K46" s="485"/>
      <c r="L46" s="485"/>
      <c r="M46" s="485"/>
      <c r="N46" s="485"/>
      <c r="O46" s="485"/>
      <c r="P46" s="513"/>
      <c r="Q46" s="789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739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739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739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739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739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739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739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739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739"/>
      <c r="DU46" s="3"/>
    </row>
    <row r="47" spans="1:125" ht="15" x14ac:dyDescent="0.25">
      <c r="B47" s="514" t="s">
        <v>631</v>
      </c>
      <c r="C47" s="503"/>
      <c r="D47" s="530"/>
      <c r="E47" s="531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532"/>
      <c r="Q47" s="790"/>
      <c r="R47" s="522"/>
      <c r="S47" s="522"/>
      <c r="T47" s="522"/>
      <c r="U47" s="522"/>
      <c r="V47" s="522">
        <f>'Smolt Production'!D72</f>
        <v>1079.5546050400501</v>
      </c>
      <c r="W47" s="522">
        <f>'Smolt Production'!E72</f>
        <v>2058.0406634042938</v>
      </c>
      <c r="X47" s="522">
        <f>'Smolt Production'!F72</f>
        <v>4600.8887336445478</v>
      </c>
      <c r="Y47" s="522">
        <f>'Smolt Production'!G72</f>
        <v>5193.0823483927979</v>
      </c>
      <c r="Z47" s="522">
        <f>'Smolt Production'!H72</f>
        <v>7462.8851759444678</v>
      </c>
      <c r="AA47" s="522">
        <f>'Smolt Production'!I72</f>
        <v>9230.8400405998873</v>
      </c>
      <c r="AB47" s="756">
        <f>'Smolt Production'!J72</f>
        <v>11466.217701581554</v>
      </c>
      <c r="AC47" s="522">
        <f>'Smolt Production'!K72</f>
        <v>23587.094086719007</v>
      </c>
      <c r="AD47" s="522">
        <f>'Smolt Production'!L72</f>
        <v>9496.3041291729587</v>
      </c>
      <c r="AE47" s="522">
        <f>'Smolt Production'!M72</f>
        <v>5128.1677943275026</v>
      </c>
      <c r="AF47" s="522">
        <f>'Smolt Production'!N72</f>
        <v>5596.5102867968544</v>
      </c>
      <c r="AG47" s="522">
        <f>'Smolt Production'!O72</f>
        <v>3081.2916528637952</v>
      </c>
      <c r="AH47" s="522">
        <f>'Smolt Production'!P72</f>
        <v>3465.1306871778788</v>
      </c>
      <c r="AI47" s="522">
        <f>'Smolt Production'!Q72</f>
        <v>8602.857193574242</v>
      </c>
      <c r="AJ47" s="522">
        <f>'Smolt Production'!R72</f>
        <v>0</v>
      </c>
      <c r="AK47" s="522">
        <f>'Smolt Production'!S72</f>
        <v>0</v>
      </c>
      <c r="AL47" s="522">
        <f>'Smolt Production'!T72</f>
        <v>0</v>
      </c>
      <c r="AM47" s="522">
        <f>'Smolt Production'!U72</f>
        <v>0</v>
      </c>
      <c r="AN47" s="756">
        <f>'Smolt Production'!S72</f>
        <v>0</v>
      </c>
      <c r="AO47" s="522">
        <f>'Smolt Production'!T72</f>
        <v>0</v>
      </c>
      <c r="AP47" s="522">
        <f>'Smolt Production'!U72</f>
        <v>0</v>
      </c>
      <c r="AQ47" s="522">
        <f>'Smolt Production'!V72</f>
        <v>0</v>
      </c>
      <c r="AR47" s="522">
        <f>'Smolt Production'!W72</f>
        <v>0</v>
      </c>
      <c r="AS47" s="522">
        <f>'Smolt Production'!X72</f>
        <v>0</v>
      </c>
      <c r="AT47" s="522">
        <f>'Smolt Production'!Y72</f>
        <v>0</v>
      </c>
      <c r="AU47" s="522">
        <f>'Smolt Production'!Z72</f>
        <v>0</v>
      </c>
      <c r="AV47" s="522">
        <f>'Smolt Production'!AA72</f>
        <v>0</v>
      </c>
      <c r="AW47" s="522">
        <f>'Smolt Production'!AB72</f>
        <v>0</v>
      </c>
      <c r="AX47" s="522">
        <f>'Smolt Production'!AC72</f>
        <v>0</v>
      </c>
      <c r="AY47" s="522">
        <f>'Smolt Production'!AD72</f>
        <v>0</v>
      </c>
      <c r="AZ47" s="756">
        <f>'Smolt Production'!AE72</f>
        <v>0</v>
      </c>
      <c r="BA47" s="522">
        <f>'Smolt Production'!AF72</f>
        <v>0</v>
      </c>
      <c r="BB47" s="522">
        <f>'Smolt Production'!AG72</f>
        <v>0</v>
      </c>
      <c r="BC47" s="522">
        <f>'Smolt Production'!AH72</f>
        <v>0</v>
      </c>
      <c r="BD47" s="522">
        <f>'Smolt Production'!AI72</f>
        <v>0</v>
      </c>
      <c r="BE47" s="522">
        <f>'Smolt Production'!AJ72</f>
        <v>0</v>
      </c>
      <c r="BF47" s="522">
        <f>'Smolt Production'!AK72</f>
        <v>0</v>
      </c>
      <c r="BG47" s="522">
        <f>'Smolt Production'!AL72</f>
        <v>0</v>
      </c>
      <c r="BH47" s="522">
        <f>'Smolt Production'!AM72</f>
        <v>0</v>
      </c>
      <c r="BI47" s="522">
        <f>'Smolt Production'!AN72</f>
        <v>0</v>
      </c>
      <c r="BJ47" s="522">
        <f>'Smolt Production'!AO72</f>
        <v>0</v>
      </c>
      <c r="BK47" s="522">
        <f>'Smolt Production'!AP72</f>
        <v>0</v>
      </c>
      <c r="BL47" s="756">
        <f>'Smolt Production'!AQ72</f>
        <v>0</v>
      </c>
      <c r="BM47" s="522">
        <f>'Smolt Production'!AR72</f>
        <v>0</v>
      </c>
      <c r="BN47" s="522">
        <f>'Smolt Production'!AS72</f>
        <v>0</v>
      </c>
      <c r="BO47" s="522">
        <f>'Smolt Production'!AT72</f>
        <v>0</v>
      </c>
      <c r="BP47" s="522">
        <f>'Smolt Production'!AU72</f>
        <v>0</v>
      </c>
      <c r="BQ47" s="522">
        <f>'Smolt Production'!AV72</f>
        <v>0</v>
      </c>
      <c r="BR47" s="522">
        <f>'Smolt Production'!AW72</f>
        <v>0</v>
      </c>
      <c r="BS47" s="522">
        <f>'Smolt Production'!AX72</f>
        <v>0</v>
      </c>
      <c r="BT47" s="522">
        <f>'Smolt Production'!AY72</f>
        <v>0</v>
      </c>
      <c r="BU47" s="522">
        <f>'Smolt Production'!AZ72</f>
        <v>0</v>
      </c>
      <c r="BV47" s="522">
        <f>'Smolt Production'!BA72</f>
        <v>0</v>
      </c>
      <c r="BW47" s="522">
        <f>'Smolt Production'!BB72</f>
        <v>0</v>
      </c>
      <c r="BX47" s="756">
        <f>'Smolt Production'!BC72</f>
        <v>0</v>
      </c>
      <c r="BY47" s="522"/>
      <c r="BZ47" s="522"/>
      <c r="CA47" s="522"/>
      <c r="CB47" s="522"/>
      <c r="CC47" s="522"/>
      <c r="CD47" s="522"/>
      <c r="CE47" s="522"/>
      <c r="CF47" s="522"/>
      <c r="CG47" s="522"/>
      <c r="CH47" s="522"/>
      <c r="CI47" s="522"/>
      <c r="CJ47" s="756"/>
      <c r="CK47" s="522"/>
      <c r="CL47" s="522"/>
      <c r="CM47" s="522"/>
      <c r="CN47" s="522"/>
      <c r="CO47" s="522"/>
      <c r="CP47" s="522"/>
      <c r="CQ47" s="522"/>
      <c r="CR47" s="522"/>
      <c r="CS47" s="522"/>
      <c r="CT47" s="522"/>
      <c r="CU47" s="522"/>
      <c r="CV47" s="756"/>
      <c r="CW47" s="522"/>
      <c r="CX47" s="522"/>
      <c r="CY47" s="522"/>
      <c r="CZ47" s="522"/>
      <c r="DA47" s="522"/>
      <c r="DB47" s="522"/>
      <c r="DC47" s="522"/>
      <c r="DD47" s="522"/>
      <c r="DE47" s="522"/>
      <c r="DF47" s="522"/>
      <c r="DG47" s="522"/>
      <c r="DH47" s="756"/>
      <c r="DI47" s="522"/>
      <c r="DJ47" s="522"/>
      <c r="DK47" s="522"/>
      <c r="DL47" s="522"/>
      <c r="DM47" s="522"/>
      <c r="DN47" s="522"/>
      <c r="DO47" s="522"/>
      <c r="DP47" s="522"/>
      <c r="DQ47" s="522"/>
      <c r="DR47" s="522"/>
      <c r="DS47" s="522"/>
      <c r="DT47" s="756"/>
      <c r="DU47" s="3"/>
    </row>
    <row r="48" spans="1:125" ht="15" x14ac:dyDescent="0.25">
      <c r="B48" s="514" t="s">
        <v>632</v>
      </c>
      <c r="C48" s="503"/>
      <c r="D48" s="530"/>
      <c r="E48" s="531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532"/>
      <c r="Q48" s="794"/>
      <c r="R48" s="388"/>
      <c r="S48" s="388"/>
      <c r="T48" s="388"/>
      <c r="U48" s="388"/>
      <c r="V48" s="388"/>
      <c r="W48" s="388"/>
      <c r="X48" s="388"/>
      <c r="Y48" s="388"/>
      <c r="Z48" s="388"/>
      <c r="AA48" s="388"/>
      <c r="AB48" s="389"/>
      <c r="AC48" s="388"/>
      <c r="AD48" s="388"/>
      <c r="AE48" s="388"/>
      <c r="AF48" s="388"/>
      <c r="AG48" s="388"/>
      <c r="AH48" s="388">
        <f>V47</f>
        <v>1079.5546050400501</v>
      </c>
      <c r="AI48" s="388">
        <f t="shared" ref="AI48:AU48" si="33">W47</f>
        <v>2058.0406634042938</v>
      </c>
      <c r="AJ48" s="388">
        <f t="shared" si="33"/>
        <v>4600.8887336445478</v>
      </c>
      <c r="AK48" s="388">
        <f t="shared" si="33"/>
        <v>5193.0823483927979</v>
      </c>
      <c r="AL48" s="388">
        <f t="shared" si="33"/>
        <v>7462.8851759444678</v>
      </c>
      <c r="AM48" s="388">
        <f t="shared" si="33"/>
        <v>9230.8400405998873</v>
      </c>
      <c r="AN48" s="389">
        <f t="shared" si="33"/>
        <v>11466.217701581554</v>
      </c>
      <c r="AO48" s="388">
        <f t="shared" si="33"/>
        <v>23587.094086719007</v>
      </c>
      <c r="AP48" s="388">
        <f t="shared" si="33"/>
        <v>9496.3041291729587</v>
      </c>
      <c r="AQ48" s="388">
        <f t="shared" si="33"/>
        <v>5128.1677943275026</v>
      </c>
      <c r="AR48" s="388">
        <f t="shared" si="33"/>
        <v>5596.5102867968544</v>
      </c>
      <c r="AS48" s="388">
        <f t="shared" si="33"/>
        <v>3081.2916528637952</v>
      </c>
      <c r="AT48" s="388">
        <f t="shared" si="33"/>
        <v>3465.1306871778788</v>
      </c>
      <c r="AU48" s="388">
        <f t="shared" si="33"/>
        <v>8602.857193574242</v>
      </c>
      <c r="AV48" s="388">
        <f t="shared" ref="AV48:BR48" si="34">AM47</f>
        <v>0</v>
      </c>
      <c r="AW48" s="388">
        <f t="shared" si="34"/>
        <v>0</v>
      </c>
      <c r="AX48" s="388">
        <f t="shared" si="34"/>
        <v>0</v>
      </c>
      <c r="AY48" s="388">
        <f t="shared" si="34"/>
        <v>0</v>
      </c>
      <c r="AZ48" s="389">
        <f t="shared" si="34"/>
        <v>0</v>
      </c>
      <c r="BA48" s="388">
        <f t="shared" si="34"/>
        <v>0</v>
      </c>
      <c r="BB48" s="388">
        <f t="shared" si="34"/>
        <v>0</v>
      </c>
      <c r="BC48" s="388">
        <f t="shared" si="34"/>
        <v>0</v>
      </c>
      <c r="BD48" s="388">
        <f t="shared" si="34"/>
        <v>0</v>
      </c>
      <c r="BE48" s="388">
        <f t="shared" si="34"/>
        <v>0</v>
      </c>
      <c r="BF48" s="388">
        <f t="shared" si="34"/>
        <v>0</v>
      </c>
      <c r="BG48" s="388">
        <f t="shared" si="34"/>
        <v>0</v>
      </c>
      <c r="BH48" s="388">
        <f t="shared" si="34"/>
        <v>0</v>
      </c>
      <c r="BI48" s="388">
        <f t="shared" si="34"/>
        <v>0</v>
      </c>
      <c r="BJ48" s="388">
        <f t="shared" si="34"/>
        <v>0</v>
      </c>
      <c r="BK48" s="388">
        <f t="shared" si="34"/>
        <v>0</v>
      </c>
      <c r="BL48" s="389">
        <f t="shared" si="34"/>
        <v>0</v>
      </c>
      <c r="BM48" s="388">
        <f t="shared" si="34"/>
        <v>0</v>
      </c>
      <c r="BN48" s="388">
        <f t="shared" si="34"/>
        <v>0</v>
      </c>
      <c r="BO48" s="388">
        <f t="shared" si="34"/>
        <v>0</v>
      </c>
      <c r="BP48" s="388">
        <f t="shared" si="34"/>
        <v>0</v>
      </c>
      <c r="BQ48" s="388">
        <f t="shared" si="34"/>
        <v>0</v>
      </c>
      <c r="BR48" s="388">
        <f t="shared" si="34"/>
        <v>0</v>
      </c>
      <c r="BS48" s="388"/>
      <c r="BT48" s="388"/>
      <c r="BU48" s="388"/>
      <c r="BV48" s="388"/>
      <c r="BW48" s="388"/>
      <c r="BX48" s="389"/>
      <c r="BY48" s="38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10"/>
      <c r="CK48" s="109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10"/>
      <c r="CW48" s="109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10"/>
      <c r="DI48" s="109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10"/>
      <c r="DU48" s="3"/>
    </row>
    <row r="49" spans="2:125" ht="15" x14ac:dyDescent="0.25">
      <c r="B49" s="514" t="s">
        <v>633</v>
      </c>
      <c r="C49" s="503"/>
      <c r="D49" s="530"/>
      <c r="E49" s="531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532"/>
      <c r="Q49" s="794"/>
      <c r="R49" s="388"/>
      <c r="S49" s="388"/>
      <c r="T49" s="388"/>
      <c r="U49" s="388"/>
      <c r="V49" s="388"/>
      <c r="W49" s="388"/>
      <c r="X49" s="388"/>
      <c r="Y49" s="388"/>
      <c r="Z49" s="388"/>
      <c r="AA49" s="388"/>
      <c r="AB49" s="389"/>
      <c r="AC49" s="388"/>
      <c r="AD49" s="388"/>
      <c r="AE49" s="388"/>
      <c r="AF49" s="388"/>
      <c r="AG49" s="388"/>
      <c r="AH49" s="388"/>
      <c r="AI49" s="388"/>
      <c r="AJ49" s="388"/>
      <c r="AK49" s="388"/>
      <c r="AL49" s="388"/>
      <c r="AM49" s="388"/>
      <c r="AN49" s="389"/>
      <c r="AO49" s="388"/>
      <c r="AP49" s="388"/>
      <c r="AQ49" s="388"/>
      <c r="AR49" s="388"/>
      <c r="AS49" s="388"/>
      <c r="AT49" s="388">
        <f>AH48</f>
        <v>1079.5546050400501</v>
      </c>
      <c r="AU49" s="388">
        <f t="shared" ref="AU49:BP50" si="35">AI48</f>
        <v>2058.0406634042938</v>
      </c>
      <c r="AV49" s="388">
        <f t="shared" si="35"/>
        <v>4600.8887336445478</v>
      </c>
      <c r="AW49" s="388">
        <f t="shared" si="35"/>
        <v>5193.0823483927979</v>
      </c>
      <c r="AX49" s="388">
        <f t="shared" si="35"/>
        <v>7462.8851759444678</v>
      </c>
      <c r="AY49" s="388">
        <f t="shared" si="35"/>
        <v>9230.8400405998873</v>
      </c>
      <c r="AZ49" s="389">
        <f t="shared" si="35"/>
        <v>11466.217701581554</v>
      </c>
      <c r="BA49" s="388">
        <f t="shared" si="35"/>
        <v>23587.094086719007</v>
      </c>
      <c r="BB49" s="388">
        <f t="shared" si="35"/>
        <v>9496.3041291729587</v>
      </c>
      <c r="BC49" s="388">
        <f t="shared" si="35"/>
        <v>5128.1677943275026</v>
      </c>
      <c r="BD49" s="388">
        <f t="shared" si="35"/>
        <v>5596.5102867968544</v>
      </c>
      <c r="BE49" s="388">
        <f t="shared" si="35"/>
        <v>3081.2916528637952</v>
      </c>
      <c r="BF49" s="388">
        <f t="shared" si="35"/>
        <v>3465.1306871778788</v>
      </c>
      <c r="BG49" s="388">
        <f t="shared" si="35"/>
        <v>8602.857193574242</v>
      </c>
      <c r="BH49" s="388">
        <f t="shared" si="35"/>
        <v>0</v>
      </c>
      <c r="BI49" s="388">
        <f t="shared" si="35"/>
        <v>0</v>
      </c>
      <c r="BJ49" s="388">
        <f t="shared" si="35"/>
        <v>0</v>
      </c>
      <c r="BK49" s="388">
        <f t="shared" si="35"/>
        <v>0</v>
      </c>
      <c r="BL49" s="389">
        <f t="shared" si="35"/>
        <v>0</v>
      </c>
      <c r="BM49" s="388">
        <f t="shared" si="35"/>
        <v>0</v>
      </c>
      <c r="BN49" s="388">
        <f t="shared" si="35"/>
        <v>0</v>
      </c>
      <c r="BO49" s="388">
        <f t="shared" si="35"/>
        <v>0</v>
      </c>
      <c r="BP49" s="388">
        <f t="shared" si="35"/>
        <v>0</v>
      </c>
      <c r="BQ49" s="388"/>
      <c r="BR49" s="388"/>
      <c r="BS49" s="388"/>
      <c r="BT49" s="388"/>
      <c r="BU49" s="388"/>
      <c r="BV49" s="388"/>
      <c r="BW49" s="388"/>
      <c r="BX49" s="389"/>
      <c r="BY49" s="38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10"/>
      <c r="CK49" s="109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10"/>
      <c r="CW49" s="109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10"/>
      <c r="DI49" s="109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10"/>
      <c r="DU49" s="3"/>
    </row>
    <row r="50" spans="2:125" ht="15" x14ac:dyDescent="0.25">
      <c r="B50" s="514" t="s">
        <v>634</v>
      </c>
      <c r="C50" s="56">
        <v>1</v>
      </c>
      <c r="D50" s="7"/>
      <c r="E50" s="402"/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86"/>
      <c r="Q50" s="794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9"/>
      <c r="AC50" s="388"/>
      <c r="AD50" s="388"/>
      <c r="AE50" s="388"/>
      <c r="AF50" s="388"/>
      <c r="AG50" s="388"/>
      <c r="AH50" s="388"/>
      <c r="AI50" s="388"/>
      <c r="AJ50" s="388"/>
      <c r="AK50" s="388"/>
      <c r="AL50" s="388"/>
      <c r="AM50" s="388"/>
      <c r="AN50" s="389"/>
      <c r="AO50" s="388"/>
      <c r="AP50" s="388"/>
      <c r="AQ50" s="388"/>
      <c r="AR50" s="388"/>
      <c r="AS50" s="388"/>
      <c r="AT50" s="388"/>
      <c r="AU50" s="388"/>
      <c r="AV50" s="388"/>
      <c r="AW50" s="388"/>
      <c r="AX50" s="388"/>
      <c r="AY50" s="388"/>
      <c r="AZ50" s="389"/>
      <c r="BA50" s="388"/>
      <c r="BB50" s="388"/>
      <c r="BC50" s="388"/>
      <c r="BD50" s="388"/>
      <c r="BE50" s="388"/>
      <c r="BF50" s="388">
        <f>AT49</f>
        <v>1079.5546050400501</v>
      </c>
      <c r="BG50" s="388">
        <f t="shared" si="35"/>
        <v>2058.0406634042938</v>
      </c>
      <c r="BH50" s="388">
        <f t="shared" si="35"/>
        <v>4600.8887336445478</v>
      </c>
      <c r="BI50" s="388">
        <f t="shared" si="35"/>
        <v>5193.0823483927979</v>
      </c>
      <c r="BJ50" s="388">
        <f t="shared" si="35"/>
        <v>7462.8851759444678</v>
      </c>
      <c r="BK50" s="388">
        <f t="shared" si="35"/>
        <v>9230.8400405998873</v>
      </c>
      <c r="BL50" s="389">
        <f t="shared" si="35"/>
        <v>11466.217701581554</v>
      </c>
      <c r="BM50" s="388">
        <f t="shared" si="35"/>
        <v>23587.094086719007</v>
      </c>
      <c r="BN50" s="388">
        <f t="shared" si="35"/>
        <v>9496.3041291729587</v>
      </c>
      <c r="BO50" s="388">
        <f t="shared" si="35"/>
        <v>5128.1677943275026</v>
      </c>
      <c r="BP50" s="388">
        <f t="shared" si="35"/>
        <v>5596.5102867968544</v>
      </c>
      <c r="BQ50" s="388">
        <f t="shared" ref="BQ50:CB57" si="36">BE49</f>
        <v>3081.2916528637952</v>
      </c>
      <c r="BR50" s="388">
        <f t="shared" si="36"/>
        <v>3465.1306871778788</v>
      </c>
      <c r="BS50" s="388">
        <f t="shared" si="36"/>
        <v>8602.857193574242</v>
      </c>
      <c r="BT50" s="388">
        <f t="shared" si="36"/>
        <v>0</v>
      </c>
      <c r="BU50" s="388">
        <f t="shared" si="36"/>
        <v>0</v>
      </c>
      <c r="BV50" s="388">
        <f t="shared" si="36"/>
        <v>0</v>
      </c>
      <c r="BW50" s="388">
        <f t="shared" si="36"/>
        <v>0</v>
      </c>
      <c r="BX50" s="389">
        <f t="shared" si="36"/>
        <v>0</v>
      </c>
      <c r="BY50" s="388">
        <f t="shared" si="36"/>
        <v>0</v>
      </c>
      <c r="BZ50" s="388">
        <f t="shared" si="36"/>
        <v>0</v>
      </c>
      <c r="CA50" s="388">
        <f t="shared" si="36"/>
        <v>0</v>
      </c>
      <c r="CB50" s="388">
        <f t="shared" si="36"/>
        <v>0</v>
      </c>
      <c r="CC50" s="108"/>
      <c r="CD50" s="108"/>
      <c r="CE50" s="108"/>
      <c r="CF50" s="108"/>
      <c r="CG50" s="108"/>
      <c r="CH50" s="108"/>
      <c r="CI50" s="108"/>
      <c r="CJ50" s="110"/>
      <c r="CK50" s="109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10"/>
      <c r="CW50" s="109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10"/>
      <c r="DI50" s="109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10"/>
      <c r="DU50" s="3"/>
    </row>
    <row r="51" spans="2:125" ht="15" x14ac:dyDescent="0.25">
      <c r="B51" s="514" t="s">
        <v>635</v>
      </c>
      <c r="C51" s="56">
        <v>1</v>
      </c>
      <c r="D51" s="7"/>
      <c r="E51" s="402"/>
      <c r="F51" s="403"/>
      <c r="G51" s="403"/>
      <c r="H51" s="403"/>
      <c r="I51" s="403"/>
      <c r="J51" s="403"/>
      <c r="K51" s="403"/>
      <c r="L51" s="403"/>
      <c r="M51" s="403"/>
      <c r="N51" s="403"/>
      <c r="O51" s="403"/>
      <c r="P51" s="486"/>
      <c r="Q51" s="795"/>
      <c r="R51" s="387"/>
      <c r="S51" s="387"/>
      <c r="T51" s="387"/>
      <c r="U51" s="387"/>
      <c r="V51" s="387"/>
      <c r="W51" s="387"/>
      <c r="X51" s="387"/>
      <c r="Y51" s="387"/>
      <c r="Z51" s="387"/>
      <c r="AA51" s="387"/>
      <c r="AB51" s="743"/>
      <c r="AC51" s="387">
        <f>Q50*$C51</f>
        <v>0</v>
      </c>
      <c r="AD51" s="387">
        <f t="shared" ref="AD51:AZ51" si="37">R50*$C51</f>
        <v>0</v>
      </c>
      <c r="AE51" s="387">
        <f t="shared" si="37"/>
        <v>0</v>
      </c>
      <c r="AF51" s="387">
        <f t="shared" si="37"/>
        <v>0</v>
      </c>
      <c r="AG51" s="387">
        <f t="shared" si="37"/>
        <v>0</v>
      </c>
      <c r="AH51" s="387">
        <f t="shared" si="37"/>
        <v>0</v>
      </c>
      <c r="AI51" s="387">
        <f t="shared" si="37"/>
        <v>0</v>
      </c>
      <c r="AJ51" s="387">
        <f t="shared" si="37"/>
        <v>0</v>
      </c>
      <c r="AK51" s="387">
        <f t="shared" si="37"/>
        <v>0</v>
      </c>
      <c r="AL51" s="387">
        <f t="shared" si="37"/>
        <v>0</v>
      </c>
      <c r="AM51" s="387">
        <f t="shared" si="37"/>
        <v>0</v>
      </c>
      <c r="AN51" s="743">
        <f t="shared" si="37"/>
        <v>0</v>
      </c>
      <c r="AO51" s="387">
        <f t="shared" si="37"/>
        <v>0</v>
      </c>
      <c r="AP51" s="387">
        <f t="shared" si="37"/>
        <v>0</v>
      </c>
      <c r="AQ51" s="387">
        <f t="shared" si="37"/>
        <v>0</v>
      </c>
      <c r="AR51" s="387">
        <f t="shared" si="37"/>
        <v>0</v>
      </c>
      <c r="AS51" s="387">
        <f t="shared" si="37"/>
        <v>0</v>
      </c>
      <c r="AT51" s="387">
        <f t="shared" si="37"/>
        <v>0</v>
      </c>
      <c r="AU51" s="387">
        <f t="shared" si="37"/>
        <v>0</v>
      </c>
      <c r="AV51" s="387">
        <f t="shared" si="37"/>
        <v>0</v>
      </c>
      <c r="AW51" s="387">
        <f t="shared" si="37"/>
        <v>0</v>
      </c>
      <c r="AX51" s="387">
        <f t="shared" si="37"/>
        <v>0</v>
      </c>
      <c r="AY51" s="387">
        <f t="shared" si="37"/>
        <v>0</v>
      </c>
      <c r="AZ51" s="743">
        <f t="shared" si="37"/>
        <v>0</v>
      </c>
      <c r="BA51" s="533">
        <f t="shared" ref="BA51:BI51" si="38">AO50*$C51</f>
        <v>0</v>
      </c>
      <c r="BB51" s="533">
        <f t="shared" si="38"/>
        <v>0</v>
      </c>
      <c r="BC51" s="533">
        <f t="shared" si="38"/>
        <v>0</v>
      </c>
      <c r="BD51" s="533">
        <f t="shared" si="38"/>
        <v>0</v>
      </c>
      <c r="BE51" s="533">
        <f t="shared" si="38"/>
        <v>0</v>
      </c>
      <c r="BF51" s="533">
        <f t="shared" si="38"/>
        <v>0</v>
      </c>
      <c r="BG51" s="533">
        <f t="shared" si="38"/>
        <v>0</v>
      </c>
      <c r="BH51" s="533">
        <f t="shared" si="38"/>
        <v>0</v>
      </c>
      <c r="BI51" s="533">
        <f t="shared" si="38"/>
        <v>0</v>
      </c>
      <c r="BJ51" s="108"/>
      <c r="BK51" s="108"/>
      <c r="BL51" s="110"/>
      <c r="BM51" s="109"/>
      <c r="BN51" s="108"/>
      <c r="BO51" s="108"/>
      <c r="BP51" s="108"/>
      <c r="BQ51" s="108"/>
      <c r="BR51" s="108">
        <f t="shared" ref="BR51:BR57" si="39">BF50</f>
        <v>1079.5546050400501</v>
      </c>
      <c r="BS51" s="108">
        <f t="shared" si="36"/>
        <v>2058.0406634042938</v>
      </c>
      <c r="BT51" s="108">
        <f t="shared" si="36"/>
        <v>4600.8887336445478</v>
      </c>
      <c r="BU51" s="108">
        <f t="shared" si="36"/>
        <v>5193.0823483927979</v>
      </c>
      <c r="BV51" s="108">
        <f t="shared" si="36"/>
        <v>7462.8851759444678</v>
      </c>
      <c r="BW51" s="108">
        <f t="shared" si="36"/>
        <v>9230.8400405998873</v>
      </c>
      <c r="BX51" s="110">
        <f t="shared" si="36"/>
        <v>11466.217701581554</v>
      </c>
      <c r="BY51" s="109">
        <f t="shared" si="36"/>
        <v>23587.094086719007</v>
      </c>
      <c r="BZ51" s="108">
        <f t="shared" si="36"/>
        <v>9496.3041291729587</v>
      </c>
      <c r="CA51" s="108">
        <f t="shared" si="36"/>
        <v>5128.1677943275026</v>
      </c>
      <c r="CB51" s="108">
        <f t="shared" si="36"/>
        <v>5596.5102867968544</v>
      </c>
      <c r="CC51" s="108">
        <f t="shared" ref="CC51:DT56" si="40">BQ50</f>
        <v>3081.2916528637952</v>
      </c>
      <c r="CD51" s="108">
        <f t="shared" si="40"/>
        <v>3465.1306871778788</v>
      </c>
      <c r="CE51" s="108">
        <f t="shared" si="40"/>
        <v>8602.857193574242</v>
      </c>
      <c r="CF51" s="108">
        <f t="shared" si="40"/>
        <v>0</v>
      </c>
      <c r="CG51" s="108">
        <f t="shared" si="40"/>
        <v>0</v>
      </c>
      <c r="CH51" s="108">
        <f t="shared" si="40"/>
        <v>0</v>
      </c>
      <c r="CI51" s="108">
        <f t="shared" si="40"/>
        <v>0</v>
      </c>
      <c r="CJ51" s="110">
        <f t="shared" si="40"/>
        <v>0</v>
      </c>
      <c r="CK51" s="109">
        <f t="shared" si="40"/>
        <v>0</v>
      </c>
      <c r="CL51" s="108">
        <f t="shared" si="40"/>
        <v>0</v>
      </c>
      <c r="CM51" s="108">
        <f t="shared" si="40"/>
        <v>0</v>
      </c>
      <c r="CN51" s="108">
        <f t="shared" si="40"/>
        <v>0</v>
      </c>
      <c r="CO51" s="108">
        <f t="shared" si="40"/>
        <v>0</v>
      </c>
      <c r="CP51" s="108">
        <f t="shared" si="40"/>
        <v>0</v>
      </c>
      <c r="CQ51" s="108">
        <f t="shared" si="40"/>
        <v>0</v>
      </c>
      <c r="CR51" s="108">
        <f t="shared" si="40"/>
        <v>0</v>
      </c>
      <c r="CS51" s="108">
        <f t="shared" si="40"/>
        <v>0</v>
      </c>
      <c r="CT51" s="108">
        <f t="shared" si="40"/>
        <v>0</v>
      </c>
      <c r="CU51" s="108">
        <f t="shared" si="40"/>
        <v>0</v>
      </c>
      <c r="CV51" s="110">
        <f t="shared" si="40"/>
        <v>0</v>
      </c>
      <c r="CW51" s="109">
        <f t="shared" si="40"/>
        <v>0</v>
      </c>
      <c r="CX51" s="108">
        <f t="shared" si="40"/>
        <v>0</v>
      </c>
      <c r="CY51" s="108">
        <f t="shared" si="40"/>
        <v>0</v>
      </c>
      <c r="CZ51" s="108">
        <f t="shared" si="40"/>
        <v>0</v>
      </c>
      <c r="DA51" s="108">
        <f t="shared" si="40"/>
        <v>0</v>
      </c>
      <c r="DB51" s="108">
        <f t="shared" si="40"/>
        <v>0</v>
      </c>
      <c r="DC51" s="108">
        <f t="shared" si="40"/>
        <v>0</v>
      </c>
      <c r="DD51" s="108">
        <f t="shared" si="40"/>
        <v>0</v>
      </c>
      <c r="DE51" s="108">
        <f t="shared" si="40"/>
        <v>0</v>
      </c>
      <c r="DF51" s="108">
        <f t="shared" si="40"/>
        <v>0</v>
      </c>
      <c r="DG51" s="108">
        <f t="shared" si="40"/>
        <v>0</v>
      </c>
      <c r="DH51" s="110">
        <f t="shared" si="40"/>
        <v>0</v>
      </c>
      <c r="DI51" s="109">
        <f t="shared" si="40"/>
        <v>0</v>
      </c>
      <c r="DJ51" s="108">
        <f t="shared" si="40"/>
        <v>0</v>
      </c>
      <c r="DK51" s="108">
        <f t="shared" si="40"/>
        <v>0</v>
      </c>
      <c r="DL51" s="108">
        <f t="shared" si="40"/>
        <v>0</v>
      </c>
      <c r="DM51" s="108">
        <f t="shared" si="40"/>
        <v>0</v>
      </c>
      <c r="DN51" s="108">
        <f t="shared" si="40"/>
        <v>0</v>
      </c>
      <c r="DO51" s="108">
        <f t="shared" si="40"/>
        <v>0</v>
      </c>
      <c r="DP51" s="108">
        <f t="shared" si="40"/>
        <v>0</v>
      </c>
      <c r="DQ51" s="108">
        <f t="shared" si="40"/>
        <v>0</v>
      </c>
      <c r="DR51" s="108">
        <f t="shared" si="40"/>
        <v>0</v>
      </c>
      <c r="DS51" s="108">
        <f t="shared" si="40"/>
        <v>0</v>
      </c>
      <c r="DT51" s="110">
        <f t="shared" si="40"/>
        <v>0</v>
      </c>
      <c r="DU51" s="3"/>
    </row>
    <row r="52" spans="2:125" ht="18.75" customHeight="1" x14ac:dyDescent="0.25">
      <c r="B52" s="514" t="s">
        <v>636</v>
      </c>
      <c r="C52" s="56">
        <v>1</v>
      </c>
      <c r="D52" s="7"/>
      <c r="E52" s="402"/>
      <c r="F52" s="403"/>
      <c r="G52" s="403"/>
      <c r="H52" s="403"/>
      <c r="I52" s="403"/>
      <c r="J52" s="403"/>
      <c r="K52" s="403"/>
      <c r="L52" s="403"/>
      <c r="M52" s="403"/>
      <c r="N52" s="403"/>
      <c r="O52" s="403"/>
      <c r="P52" s="486"/>
      <c r="Q52" s="795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10"/>
      <c r="AC52" s="280"/>
      <c r="AD52" s="255"/>
      <c r="AE52" s="108"/>
      <c r="AF52" s="108"/>
      <c r="AG52" s="108"/>
      <c r="AH52" s="108"/>
      <c r="AI52" s="108"/>
      <c r="AJ52" s="108"/>
      <c r="AK52" s="108"/>
      <c r="AL52" s="108"/>
      <c r="AM52" s="108"/>
      <c r="AN52" s="110"/>
      <c r="AO52" s="109">
        <f>Q50*$C52</f>
        <v>0</v>
      </c>
      <c r="AP52" s="109">
        <f t="shared" ref="AP52:BL52" si="41">R50*$C52</f>
        <v>0</v>
      </c>
      <c r="AQ52" s="109">
        <f t="shared" si="41"/>
        <v>0</v>
      </c>
      <c r="AR52" s="109">
        <f t="shared" si="41"/>
        <v>0</v>
      </c>
      <c r="AS52" s="109">
        <f t="shared" si="41"/>
        <v>0</v>
      </c>
      <c r="AT52" s="109">
        <f t="shared" si="41"/>
        <v>0</v>
      </c>
      <c r="AU52" s="109">
        <f t="shared" si="41"/>
        <v>0</v>
      </c>
      <c r="AV52" s="109">
        <f t="shared" si="41"/>
        <v>0</v>
      </c>
      <c r="AW52" s="109">
        <f t="shared" si="41"/>
        <v>0</v>
      </c>
      <c r="AX52" s="109">
        <f t="shared" si="41"/>
        <v>0</v>
      </c>
      <c r="AY52" s="109">
        <f t="shared" si="41"/>
        <v>0</v>
      </c>
      <c r="AZ52" s="695">
        <f t="shared" si="41"/>
        <v>0</v>
      </c>
      <c r="BA52" s="109">
        <f t="shared" si="41"/>
        <v>0</v>
      </c>
      <c r="BB52" s="109">
        <f t="shared" si="41"/>
        <v>0</v>
      </c>
      <c r="BC52" s="109">
        <f t="shared" si="41"/>
        <v>0</v>
      </c>
      <c r="BD52" s="109">
        <f t="shared" si="41"/>
        <v>0</v>
      </c>
      <c r="BE52" s="109">
        <f t="shared" si="41"/>
        <v>0</v>
      </c>
      <c r="BF52" s="109">
        <f t="shared" si="41"/>
        <v>0</v>
      </c>
      <c r="BG52" s="109">
        <f t="shared" si="41"/>
        <v>0</v>
      </c>
      <c r="BH52" s="109">
        <f t="shared" si="41"/>
        <v>0</v>
      </c>
      <c r="BI52" s="109">
        <f t="shared" si="41"/>
        <v>0</v>
      </c>
      <c r="BJ52" s="109">
        <f t="shared" si="41"/>
        <v>0</v>
      </c>
      <c r="BK52" s="109">
        <f t="shared" si="41"/>
        <v>0</v>
      </c>
      <c r="BL52" s="695">
        <f t="shared" si="41"/>
        <v>0</v>
      </c>
      <c r="BM52" s="472">
        <f>AO50*$C52</f>
        <v>0</v>
      </c>
      <c r="BN52" s="472">
        <f>AP50*$C52</f>
        <v>0</v>
      </c>
      <c r="BO52" s="472">
        <f>AQ50*$C52</f>
        <v>0</v>
      </c>
      <c r="BP52" s="472">
        <f>AR50*$C52</f>
        <v>0</v>
      </c>
      <c r="BQ52" s="472">
        <f>AS50*$C52</f>
        <v>0</v>
      </c>
      <c r="BR52" s="108">
        <f t="shared" si="39"/>
        <v>0</v>
      </c>
      <c r="BS52" s="108">
        <f t="shared" si="36"/>
        <v>0</v>
      </c>
      <c r="BT52" s="108">
        <f t="shared" si="36"/>
        <v>0</v>
      </c>
      <c r="BU52" s="108">
        <f t="shared" si="36"/>
        <v>0</v>
      </c>
      <c r="BV52" s="108">
        <f t="shared" si="36"/>
        <v>0</v>
      </c>
      <c r="BW52" s="108">
        <f t="shared" si="36"/>
        <v>0</v>
      </c>
      <c r="BX52" s="110">
        <f t="shared" si="36"/>
        <v>0</v>
      </c>
      <c r="BY52" s="109">
        <f t="shared" si="36"/>
        <v>0</v>
      </c>
      <c r="BZ52" s="108">
        <f t="shared" si="36"/>
        <v>0</v>
      </c>
      <c r="CA52" s="108">
        <f t="shared" si="36"/>
        <v>0</v>
      </c>
      <c r="CB52" s="108">
        <f t="shared" si="36"/>
        <v>0</v>
      </c>
      <c r="CC52" s="108">
        <f t="shared" si="40"/>
        <v>0</v>
      </c>
      <c r="CD52" s="108">
        <f t="shared" si="40"/>
        <v>1079.5546050400501</v>
      </c>
      <c r="CE52" s="108">
        <f t="shared" si="40"/>
        <v>2058.0406634042938</v>
      </c>
      <c r="CF52" s="108">
        <f t="shared" si="40"/>
        <v>4600.8887336445478</v>
      </c>
      <c r="CG52" s="108">
        <f t="shared" si="40"/>
        <v>5193.0823483927979</v>
      </c>
      <c r="CH52" s="108">
        <f t="shared" si="40"/>
        <v>7462.8851759444678</v>
      </c>
      <c r="CI52" s="108">
        <f t="shared" si="40"/>
        <v>9230.8400405998873</v>
      </c>
      <c r="CJ52" s="110">
        <f t="shared" si="40"/>
        <v>11466.217701581554</v>
      </c>
      <c r="CK52" s="109">
        <f t="shared" si="40"/>
        <v>23587.094086719007</v>
      </c>
      <c r="CL52" s="108">
        <f t="shared" si="40"/>
        <v>9496.3041291729587</v>
      </c>
      <c r="CM52" s="108">
        <f t="shared" si="40"/>
        <v>5128.1677943275026</v>
      </c>
      <c r="CN52" s="108">
        <f t="shared" si="40"/>
        <v>5596.5102867968544</v>
      </c>
      <c r="CO52" s="108">
        <f t="shared" si="40"/>
        <v>3081.2916528637952</v>
      </c>
      <c r="CP52" s="108">
        <f t="shared" si="40"/>
        <v>3465.1306871778788</v>
      </c>
      <c r="CQ52" s="108">
        <f t="shared" si="40"/>
        <v>8602.857193574242</v>
      </c>
      <c r="CR52" s="108">
        <f t="shared" si="40"/>
        <v>0</v>
      </c>
      <c r="CS52" s="108">
        <f t="shared" si="40"/>
        <v>0</v>
      </c>
      <c r="CT52" s="108">
        <f t="shared" si="40"/>
        <v>0</v>
      </c>
      <c r="CU52" s="108">
        <f t="shared" si="40"/>
        <v>0</v>
      </c>
      <c r="CV52" s="110">
        <f t="shared" si="40"/>
        <v>0</v>
      </c>
      <c r="CW52" s="109">
        <f t="shared" si="40"/>
        <v>0</v>
      </c>
      <c r="CX52" s="108">
        <f t="shared" si="40"/>
        <v>0</v>
      </c>
      <c r="CY52" s="108">
        <f t="shared" si="40"/>
        <v>0</v>
      </c>
      <c r="CZ52" s="108">
        <f t="shared" si="40"/>
        <v>0</v>
      </c>
      <c r="DA52" s="108">
        <f t="shared" si="40"/>
        <v>0</v>
      </c>
      <c r="DB52" s="108">
        <f t="shared" si="40"/>
        <v>0</v>
      </c>
      <c r="DC52" s="108">
        <f t="shared" si="40"/>
        <v>0</v>
      </c>
      <c r="DD52" s="108">
        <f t="shared" si="40"/>
        <v>0</v>
      </c>
      <c r="DE52" s="108">
        <f t="shared" si="40"/>
        <v>0</v>
      </c>
      <c r="DF52" s="108">
        <f t="shared" si="40"/>
        <v>0</v>
      </c>
      <c r="DG52" s="108">
        <f t="shared" si="40"/>
        <v>0</v>
      </c>
      <c r="DH52" s="110">
        <f t="shared" si="40"/>
        <v>0</v>
      </c>
      <c r="DI52" s="109">
        <f t="shared" si="40"/>
        <v>0</v>
      </c>
      <c r="DJ52" s="108">
        <f t="shared" si="40"/>
        <v>0</v>
      </c>
      <c r="DK52" s="108">
        <f t="shared" si="40"/>
        <v>0</v>
      </c>
      <c r="DL52" s="108">
        <f t="shared" si="40"/>
        <v>0</v>
      </c>
      <c r="DM52" s="108">
        <f t="shared" si="40"/>
        <v>0</v>
      </c>
      <c r="DN52" s="108">
        <f t="shared" si="40"/>
        <v>0</v>
      </c>
      <c r="DO52" s="108">
        <f t="shared" si="40"/>
        <v>0</v>
      </c>
      <c r="DP52" s="108">
        <f t="shared" si="40"/>
        <v>0</v>
      </c>
      <c r="DQ52" s="108">
        <f t="shared" si="40"/>
        <v>0</v>
      </c>
      <c r="DR52" s="108">
        <f t="shared" si="40"/>
        <v>0</v>
      </c>
      <c r="DS52" s="108">
        <f t="shared" si="40"/>
        <v>0</v>
      </c>
      <c r="DT52" s="110">
        <f t="shared" si="40"/>
        <v>0</v>
      </c>
      <c r="DU52" s="3"/>
    </row>
    <row r="53" spans="2:125" ht="15" x14ac:dyDescent="0.25">
      <c r="B53" s="514" t="s">
        <v>637</v>
      </c>
      <c r="C53" s="56">
        <v>1</v>
      </c>
      <c r="D53" s="7"/>
      <c r="E53" s="402"/>
      <c r="F53" s="403"/>
      <c r="G53" s="403"/>
      <c r="H53" s="403"/>
      <c r="I53" s="403"/>
      <c r="J53" s="403"/>
      <c r="K53" s="463"/>
      <c r="L53" s="463"/>
      <c r="M53" s="463"/>
      <c r="N53" s="463"/>
      <c r="O53" s="463"/>
      <c r="P53" s="487"/>
      <c r="Q53" s="790"/>
      <c r="R53" s="310"/>
      <c r="S53" s="310"/>
      <c r="T53" s="310"/>
      <c r="U53" s="310"/>
      <c r="V53" s="310"/>
      <c r="W53" s="310"/>
      <c r="X53" s="310"/>
      <c r="Y53" s="310"/>
      <c r="Z53" s="310"/>
      <c r="AA53" s="310"/>
      <c r="AB53" s="311"/>
      <c r="AC53" s="280"/>
      <c r="AD53" s="310"/>
      <c r="AE53" s="310"/>
      <c r="AF53" s="310"/>
      <c r="AG53" s="108"/>
      <c r="AH53" s="108"/>
      <c r="AI53" s="108"/>
      <c r="AJ53" s="108"/>
      <c r="AK53" s="108"/>
      <c r="AL53" s="108"/>
      <c r="AM53" s="108"/>
      <c r="AN53" s="110"/>
      <c r="AO53" s="109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10"/>
      <c r="BA53" s="387">
        <f>Q50*$C53</f>
        <v>0</v>
      </c>
      <c r="BB53" s="387">
        <f t="shared" ref="BB53:BQ53" si="42">R50*$C53</f>
        <v>0</v>
      </c>
      <c r="BC53" s="387">
        <f t="shared" si="42"/>
        <v>0</v>
      </c>
      <c r="BD53" s="387">
        <f t="shared" si="42"/>
        <v>0</v>
      </c>
      <c r="BE53" s="387">
        <f t="shared" si="42"/>
        <v>0</v>
      </c>
      <c r="BF53" s="387">
        <f t="shared" si="42"/>
        <v>0</v>
      </c>
      <c r="BG53" s="387">
        <f t="shared" si="42"/>
        <v>0</v>
      </c>
      <c r="BH53" s="387">
        <f t="shared" si="42"/>
        <v>0</v>
      </c>
      <c r="BI53" s="387">
        <f t="shared" si="42"/>
        <v>0</v>
      </c>
      <c r="BJ53" s="387">
        <f t="shared" si="42"/>
        <v>0</v>
      </c>
      <c r="BK53" s="387">
        <f t="shared" si="42"/>
        <v>0</v>
      </c>
      <c r="BL53" s="743">
        <f t="shared" si="42"/>
        <v>0</v>
      </c>
      <c r="BM53" s="387">
        <f t="shared" si="42"/>
        <v>0</v>
      </c>
      <c r="BN53" s="387">
        <f t="shared" si="42"/>
        <v>0</v>
      </c>
      <c r="BO53" s="387">
        <f t="shared" si="42"/>
        <v>0</v>
      </c>
      <c r="BP53" s="387">
        <f t="shared" si="42"/>
        <v>0</v>
      </c>
      <c r="BQ53" s="387">
        <f t="shared" si="42"/>
        <v>0</v>
      </c>
      <c r="BR53" s="108">
        <f t="shared" si="39"/>
        <v>0</v>
      </c>
      <c r="BS53" s="108">
        <f t="shared" si="36"/>
        <v>0</v>
      </c>
      <c r="BT53" s="108">
        <f t="shared" si="36"/>
        <v>0</v>
      </c>
      <c r="BU53" s="108">
        <f t="shared" si="36"/>
        <v>0</v>
      </c>
      <c r="BV53" s="108">
        <f t="shared" si="36"/>
        <v>0</v>
      </c>
      <c r="BW53" s="108">
        <f t="shared" si="36"/>
        <v>0</v>
      </c>
      <c r="BX53" s="110">
        <f t="shared" si="36"/>
        <v>0</v>
      </c>
      <c r="BY53" s="109">
        <f t="shared" si="36"/>
        <v>0</v>
      </c>
      <c r="BZ53" s="108">
        <f t="shared" si="36"/>
        <v>0</v>
      </c>
      <c r="CA53" s="108">
        <f t="shared" si="36"/>
        <v>0</v>
      </c>
      <c r="CB53" s="108">
        <f t="shared" si="36"/>
        <v>0</v>
      </c>
      <c r="CC53" s="108">
        <f t="shared" si="40"/>
        <v>0</v>
      </c>
      <c r="CD53" s="108">
        <f t="shared" si="40"/>
        <v>0</v>
      </c>
      <c r="CE53" s="108">
        <f t="shared" si="40"/>
        <v>0</v>
      </c>
      <c r="CF53" s="108">
        <f t="shared" si="40"/>
        <v>0</v>
      </c>
      <c r="CG53" s="108">
        <f t="shared" si="40"/>
        <v>0</v>
      </c>
      <c r="CH53" s="108">
        <f t="shared" si="40"/>
        <v>0</v>
      </c>
      <c r="CI53" s="108">
        <f t="shared" si="40"/>
        <v>0</v>
      </c>
      <c r="CJ53" s="110">
        <f t="shared" si="40"/>
        <v>0</v>
      </c>
      <c r="CK53" s="109">
        <f t="shared" si="40"/>
        <v>0</v>
      </c>
      <c r="CL53" s="108">
        <f t="shared" si="40"/>
        <v>0</v>
      </c>
      <c r="CM53" s="108">
        <f t="shared" si="40"/>
        <v>0</v>
      </c>
      <c r="CN53" s="108">
        <f t="shared" si="40"/>
        <v>0</v>
      </c>
      <c r="CO53" s="108">
        <f t="shared" si="40"/>
        <v>0</v>
      </c>
      <c r="CP53" s="108">
        <f t="shared" si="40"/>
        <v>1079.5546050400501</v>
      </c>
      <c r="CQ53" s="108">
        <f t="shared" si="40"/>
        <v>2058.0406634042938</v>
      </c>
      <c r="CR53" s="108">
        <f t="shared" si="40"/>
        <v>4600.8887336445478</v>
      </c>
      <c r="CS53" s="108">
        <f t="shared" si="40"/>
        <v>5193.0823483927979</v>
      </c>
      <c r="CT53" s="108">
        <f t="shared" si="40"/>
        <v>7462.8851759444678</v>
      </c>
      <c r="CU53" s="108">
        <f t="shared" si="40"/>
        <v>9230.8400405998873</v>
      </c>
      <c r="CV53" s="110">
        <f t="shared" si="40"/>
        <v>11466.217701581554</v>
      </c>
      <c r="CW53" s="109">
        <f t="shared" si="40"/>
        <v>23587.094086719007</v>
      </c>
      <c r="CX53" s="108">
        <f t="shared" si="40"/>
        <v>9496.3041291729587</v>
      </c>
      <c r="CY53" s="108">
        <f t="shared" si="40"/>
        <v>5128.1677943275026</v>
      </c>
      <c r="CZ53" s="108">
        <f t="shared" si="40"/>
        <v>5596.5102867968544</v>
      </c>
      <c r="DA53" s="108">
        <f t="shared" si="40"/>
        <v>3081.2916528637952</v>
      </c>
      <c r="DB53" s="108">
        <f t="shared" si="40"/>
        <v>3465.1306871778788</v>
      </c>
      <c r="DC53" s="108">
        <f t="shared" si="40"/>
        <v>8602.857193574242</v>
      </c>
      <c r="DD53" s="108">
        <f t="shared" si="40"/>
        <v>0</v>
      </c>
      <c r="DE53" s="108">
        <f t="shared" si="40"/>
        <v>0</v>
      </c>
      <c r="DF53" s="108">
        <f t="shared" si="40"/>
        <v>0</v>
      </c>
      <c r="DG53" s="108">
        <f t="shared" si="40"/>
        <v>0</v>
      </c>
      <c r="DH53" s="110">
        <f t="shared" si="40"/>
        <v>0</v>
      </c>
      <c r="DI53" s="109">
        <f t="shared" si="40"/>
        <v>0</v>
      </c>
      <c r="DJ53" s="108">
        <f t="shared" si="40"/>
        <v>0</v>
      </c>
      <c r="DK53" s="108">
        <f t="shared" si="40"/>
        <v>0</v>
      </c>
      <c r="DL53" s="108">
        <f t="shared" si="40"/>
        <v>0</v>
      </c>
      <c r="DM53" s="108">
        <f t="shared" si="40"/>
        <v>0</v>
      </c>
      <c r="DN53" s="108">
        <f t="shared" si="40"/>
        <v>0</v>
      </c>
      <c r="DO53" s="108">
        <f t="shared" si="40"/>
        <v>0</v>
      </c>
      <c r="DP53" s="108">
        <f t="shared" si="40"/>
        <v>0</v>
      </c>
      <c r="DQ53" s="108">
        <f t="shared" si="40"/>
        <v>0</v>
      </c>
      <c r="DR53" s="108">
        <f t="shared" si="40"/>
        <v>0</v>
      </c>
      <c r="DS53" s="108">
        <f t="shared" si="40"/>
        <v>0</v>
      </c>
      <c r="DT53" s="110">
        <f t="shared" si="40"/>
        <v>0</v>
      </c>
      <c r="DU53" s="3"/>
    </row>
    <row r="54" spans="2:125" ht="15" x14ac:dyDescent="0.25">
      <c r="B54" s="514" t="s">
        <v>638</v>
      </c>
      <c r="C54" s="56">
        <v>1</v>
      </c>
      <c r="D54" s="7"/>
      <c r="E54" s="402"/>
      <c r="F54" s="403"/>
      <c r="G54" s="403"/>
      <c r="H54" s="403"/>
      <c r="I54" s="403"/>
      <c r="J54" s="403"/>
      <c r="K54" s="403"/>
      <c r="L54" s="403"/>
      <c r="M54" s="403"/>
      <c r="N54" s="403"/>
      <c r="O54" s="403"/>
      <c r="P54" s="486"/>
      <c r="Q54" s="795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10"/>
      <c r="AC54" s="254"/>
      <c r="AD54" s="255"/>
      <c r="AE54" s="108"/>
      <c r="AF54" s="108"/>
      <c r="AG54" s="108"/>
      <c r="AH54" s="108"/>
      <c r="AI54" s="108"/>
      <c r="AJ54" s="108"/>
      <c r="AK54" s="108"/>
      <c r="AL54" s="108"/>
      <c r="AM54" s="108"/>
      <c r="AN54" s="110"/>
      <c r="AO54" s="109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10"/>
      <c r="BA54" s="109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10"/>
      <c r="BM54" s="109">
        <f>Q50*$C54</f>
        <v>0</v>
      </c>
      <c r="BN54" s="109">
        <f>R50*$C54</f>
        <v>0</v>
      </c>
      <c r="BO54" s="109">
        <f>S50*$C54</f>
        <v>0</v>
      </c>
      <c r="BP54" s="109">
        <f>T50*$C54</f>
        <v>0</v>
      </c>
      <c r="BQ54" s="109">
        <f>U50*$C54</f>
        <v>0</v>
      </c>
      <c r="BR54" s="108">
        <f t="shared" si="39"/>
        <v>0</v>
      </c>
      <c r="BS54" s="108">
        <f t="shared" si="36"/>
        <v>0</v>
      </c>
      <c r="BT54" s="108">
        <f t="shared" si="36"/>
        <v>0</v>
      </c>
      <c r="BU54" s="108">
        <f t="shared" si="36"/>
        <v>0</v>
      </c>
      <c r="BV54" s="108">
        <f t="shared" si="36"/>
        <v>0</v>
      </c>
      <c r="BW54" s="108">
        <f t="shared" si="36"/>
        <v>0</v>
      </c>
      <c r="BX54" s="110">
        <f t="shared" si="36"/>
        <v>0</v>
      </c>
      <c r="BY54" s="109">
        <f t="shared" si="36"/>
        <v>0</v>
      </c>
      <c r="BZ54" s="108">
        <f t="shared" si="36"/>
        <v>0</v>
      </c>
      <c r="CA54" s="108">
        <f t="shared" si="36"/>
        <v>0</v>
      </c>
      <c r="CB54" s="108">
        <f t="shared" si="36"/>
        <v>0</v>
      </c>
      <c r="CC54" s="108">
        <f t="shared" si="40"/>
        <v>0</v>
      </c>
      <c r="CD54" s="108">
        <f t="shared" si="40"/>
        <v>0</v>
      </c>
      <c r="CE54" s="108">
        <f t="shared" si="40"/>
        <v>0</v>
      </c>
      <c r="CF54" s="108">
        <f t="shared" si="40"/>
        <v>0</v>
      </c>
      <c r="CG54" s="108">
        <f t="shared" si="40"/>
        <v>0</v>
      </c>
      <c r="CH54" s="108">
        <f t="shared" si="40"/>
        <v>0</v>
      </c>
      <c r="CI54" s="108">
        <f t="shared" si="40"/>
        <v>0</v>
      </c>
      <c r="CJ54" s="110">
        <f t="shared" si="40"/>
        <v>0</v>
      </c>
      <c r="CK54" s="109">
        <f t="shared" si="40"/>
        <v>0</v>
      </c>
      <c r="CL54" s="108">
        <f t="shared" si="40"/>
        <v>0</v>
      </c>
      <c r="CM54" s="108">
        <f t="shared" si="40"/>
        <v>0</v>
      </c>
      <c r="CN54" s="108">
        <f t="shared" si="40"/>
        <v>0</v>
      </c>
      <c r="CO54" s="108">
        <f t="shared" si="40"/>
        <v>0</v>
      </c>
      <c r="CP54" s="108">
        <f t="shared" si="40"/>
        <v>0</v>
      </c>
      <c r="CQ54" s="108">
        <f t="shared" si="40"/>
        <v>0</v>
      </c>
      <c r="CR54" s="108">
        <f t="shared" si="40"/>
        <v>0</v>
      </c>
      <c r="CS54" s="108">
        <f t="shared" si="40"/>
        <v>0</v>
      </c>
      <c r="CT54" s="108">
        <f t="shared" si="40"/>
        <v>0</v>
      </c>
      <c r="CU54" s="108">
        <f t="shared" si="40"/>
        <v>0</v>
      </c>
      <c r="CV54" s="110">
        <f t="shared" si="40"/>
        <v>0</v>
      </c>
      <c r="CW54" s="109">
        <f t="shared" si="40"/>
        <v>0</v>
      </c>
      <c r="CX54" s="108">
        <f t="shared" si="40"/>
        <v>0</v>
      </c>
      <c r="CY54" s="108">
        <f t="shared" si="40"/>
        <v>0</v>
      </c>
      <c r="CZ54" s="108">
        <f t="shared" si="40"/>
        <v>0</v>
      </c>
      <c r="DA54" s="108">
        <f t="shared" si="40"/>
        <v>0</v>
      </c>
      <c r="DB54" s="108">
        <f t="shared" si="40"/>
        <v>1079.5546050400501</v>
      </c>
      <c r="DC54" s="108">
        <f t="shared" si="40"/>
        <v>2058.0406634042938</v>
      </c>
      <c r="DD54" s="108">
        <f t="shared" si="40"/>
        <v>4600.8887336445478</v>
      </c>
      <c r="DE54" s="108">
        <f t="shared" si="40"/>
        <v>5193.0823483927979</v>
      </c>
      <c r="DF54" s="108">
        <f t="shared" si="40"/>
        <v>7462.8851759444678</v>
      </c>
      <c r="DG54" s="108">
        <f t="shared" si="40"/>
        <v>9230.8400405998873</v>
      </c>
      <c r="DH54" s="110">
        <f t="shared" si="40"/>
        <v>11466.217701581554</v>
      </c>
      <c r="DI54" s="109">
        <f t="shared" si="40"/>
        <v>23587.094086719007</v>
      </c>
      <c r="DJ54" s="108">
        <f t="shared" si="40"/>
        <v>9496.3041291729587</v>
      </c>
      <c r="DK54" s="108">
        <f t="shared" si="40"/>
        <v>5128.1677943275026</v>
      </c>
      <c r="DL54" s="108">
        <f t="shared" si="40"/>
        <v>5596.5102867968544</v>
      </c>
      <c r="DM54" s="108">
        <f t="shared" si="40"/>
        <v>3081.2916528637952</v>
      </c>
      <c r="DN54" s="108">
        <f t="shared" si="40"/>
        <v>3465.1306871778788</v>
      </c>
      <c r="DO54" s="108">
        <f t="shared" si="40"/>
        <v>8602.857193574242</v>
      </c>
      <c r="DP54" s="108">
        <f t="shared" si="40"/>
        <v>0</v>
      </c>
      <c r="DQ54" s="108">
        <f t="shared" si="40"/>
        <v>0</v>
      </c>
      <c r="DR54" s="108">
        <f t="shared" si="40"/>
        <v>0</v>
      </c>
      <c r="DS54" s="108">
        <f t="shared" si="40"/>
        <v>0</v>
      </c>
      <c r="DT54" s="110">
        <f t="shared" si="40"/>
        <v>0</v>
      </c>
      <c r="DU54" s="3"/>
    </row>
    <row r="55" spans="2:125" ht="15" x14ac:dyDescent="0.25">
      <c r="B55" s="514" t="s">
        <v>639</v>
      </c>
      <c r="C55" s="85">
        <v>1</v>
      </c>
      <c r="D55" s="7"/>
      <c r="E55" s="534"/>
      <c r="F55" s="534"/>
      <c r="G55" s="534"/>
      <c r="H55" s="534"/>
      <c r="I55" s="534"/>
      <c r="J55" s="534"/>
      <c r="K55" s="534"/>
      <c r="L55" s="534"/>
      <c r="M55" s="534"/>
      <c r="N55" s="534"/>
      <c r="O55" s="534"/>
      <c r="P55" s="535"/>
      <c r="Q55" s="794"/>
      <c r="R55" s="388"/>
      <c r="S55" s="388"/>
      <c r="T55" s="388"/>
      <c r="U55" s="388"/>
      <c r="V55" s="388"/>
      <c r="W55" s="388"/>
      <c r="X55" s="388"/>
      <c r="Y55" s="388"/>
      <c r="Z55" s="388"/>
      <c r="AA55" s="388"/>
      <c r="AB55" s="389"/>
      <c r="AC55" s="388"/>
      <c r="AD55" s="388"/>
      <c r="AE55" s="388"/>
      <c r="AF55" s="388"/>
      <c r="AG55" s="388"/>
      <c r="AH55" s="388"/>
      <c r="AI55" s="388"/>
      <c r="AJ55" s="388"/>
      <c r="AK55" s="388"/>
      <c r="AL55" s="388"/>
      <c r="AM55" s="388"/>
      <c r="AN55" s="389"/>
      <c r="AO55" s="388"/>
      <c r="AP55" s="388"/>
      <c r="AQ55" s="388"/>
      <c r="AR55" s="388"/>
      <c r="AS55" s="388"/>
      <c r="AT55" s="388"/>
      <c r="AU55" s="388"/>
      <c r="AV55" s="388"/>
      <c r="AW55" s="388"/>
      <c r="AX55" s="388"/>
      <c r="AY55" s="388"/>
      <c r="AZ55" s="389"/>
      <c r="BA55" s="760"/>
      <c r="BB55" s="388"/>
      <c r="BC55" s="388"/>
      <c r="BD55" s="388"/>
      <c r="BE55" s="388"/>
      <c r="BF55" s="388"/>
      <c r="BG55" s="388"/>
      <c r="BH55" s="388"/>
      <c r="BI55" s="388"/>
      <c r="BJ55" s="388"/>
      <c r="BK55" s="388"/>
      <c r="BL55" s="389"/>
      <c r="BM55" s="388"/>
      <c r="BN55" s="388"/>
      <c r="BO55" s="388"/>
      <c r="BP55" s="388"/>
      <c r="BQ55" s="388"/>
      <c r="BR55" s="108">
        <f t="shared" si="39"/>
        <v>0</v>
      </c>
      <c r="BS55" s="108">
        <f t="shared" si="36"/>
        <v>0</v>
      </c>
      <c r="BT55" s="108">
        <f t="shared" si="36"/>
        <v>0</v>
      </c>
      <c r="BU55" s="108">
        <f t="shared" si="36"/>
        <v>0</v>
      </c>
      <c r="BV55" s="108">
        <f t="shared" si="36"/>
        <v>0</v>
      </c>
      <c r="BW55" s="108">
        <f t="shared" si="36"/>
        <v>0</v>
      </c>
      <c r="BX55" s="110">
        <f t="shared" si="36"/>
        <v>0</v>
      </c>
      <c r="BY55" s="109">
        <f t="shared" si="36"/>
        <v>0</v>
      </c>
      <c r="BZ55" s="108">
        <f t="shared" si="36"/>
        <v>0</v>
      </c>
      <c r="CA55" s="108">
        <f t="shared" si="36"/>
        <v>0</v>
      </c>
      <c r="CB55" s="108">
        <f t="shared" si="36"/>
        <v>0</v>
      </c>
      <c r="CC55" s="108">
        <f t="shared" si="40"/>
        <v>0</v>
      </c>
      <c r="CD55" s="108">
        <f t="shared" si="40"/>
        <v>0</v>
      </c>
      <c r="CE55" s="108">
        <f t="shared" si="40"/>
        <v>0</v>
      </c>
      <c r="CF55" s="108">
        <f t="shared" si="40"/>
        <v>0</v>
      </c>
      <c r="CG55" s="108">
        <f t="shared" si="40"/>
        <v>0</v>
      </c>
      <c r="CH55" s="108">
        <f t="shared" si="40"/>
        <v>0</v>
      </c>
      <c r="CI55" s="108">
        <f t="shared" si="40"/>
        <v>0</v>
      </c>
      <c r="CJ55" s="110">
        <f t="shared" si="40"/>
        <v>0</v>
      </c>
      <c r="CK55" s="109">
        <f t="shared" si="40"/>
        <v>0</v>
      </c>
      <c r="CL55" s="108">
        <f t="shared" si="40"/>
        <v>0</v>
      </c>
      <c r="CM55" s="108">
        <f t="shared" si="40"/>
        <v>0</v>
      </c>
      <c r="CN55" s="108">
        <f t="shared" si="40"/>
        <v>0</v>
      </c>
      <c r="CO55" s="108">
        <f t="shared" si="40"/>
        <v>0</v>
      </c>
      <c r="CP55" s="108">
        <f t="shared" si="40"/>
        <v>0</v>
      </c>
      <c r="CQ55" s="108">
        <f t="shared" si="40"/>
        <v>0</v>
      </c>
      <c r="CR55" s="108">
        <f t="shared" si="40"/>
        <v>0</v>
      </c>
      <c r="CS55" s="108">
        <f t="shared" si="40"/>
        <v>0</v>
      </c>
      <c r="CT55" s="108">
        <f t="shared" si="40"/>
        <v>0</v>
      </c>
      <c r="CU55" s="108">
        <f t="shared" si="40"/>
        <v>0</v>
      </c>
      <c r="CV55" s="110">
        <f t="shared" si="40"/>
        <v>0</v>
      </c>
      <c r="CW55" s="109">
        <f t="shared" si="40"/>
        <v>0</v>
      </c>
      <c r="CX55" s="108">
        <f t="shared" si="40"/>
        <v>0</v>
      </c>
      <c r="CY55" s="108">
        <f t="shared" si="40"/>
        <v>0</v>
      </c>
      <c r="CZ55" s="108">
        <f t="shared" si="40"/>
        <v>0</v>
      </c>
      <c r="DA55" s="108">
        <f t="shared" si="40"/>
        <v>0</v>
      </c>
      <c r="DB55" s="108">
        <f t="shared" si="40"/>
        <v>0</v>
      </c>
      <c r="DC55" s="108">
        <f t="shared" si="40"/>
        <v>0</v>
      </c>
      <c r="DD55" s="108">
        <f t="shared" si="40"/>
        <v>0</v>
      </c>
      <c r="DE55" s="108">
        <f t="shared" si="40"/>
        <v>0</v>
      </c>
      <c r="DF55" s="108">
        <f t="shared" si="40"/>
        <v>0</v>
      </c>
      <c r="DG55" s="108">
        <f t="shared" si="40"/>
        <v>0</v>
      </c>
      <c r="DH55" s="110">
        <f t="shared" si="40"/>
        <v>0</v>
      </c>
      <c r="DI55" s="109">
        <f t="shared" si="40"/>
        <v>0</v>
      </c>
      <c r="DJ55" s="108">
        <f t="shared" si="40"/>
        <v>0</v>
      </c>
      <c r="DK55" s="108">
        <f t="shared" si="40"/>
        <v>0</v>
      </c>
      <c r="DL55" s="108">
        <f t="shared" si="40"/>
        <v>0</v>
      </c>
      <c r="DM55" s="108">
        <f t="shared" si="40"/>
        <v>0</v>
      </c>
      <c r="DN55" s="108">
        <f t="shared" si="40"/>
        <v>1079.5546050400501</v>
      </c>
      <c r="DO55" s="108">
        <f t="shared" si="40"/>
        <v>2058.0406634042938</v>
      </c>
      <c r="DP55" s="108">
        <f t="shared" si="40"/>
        <v>4600.8887336445478</v>
      </c>
      <c r="DQ55" s="108">
        <f t="shared" si="40"/>
        <v>5193.0823483927979</v>
      </c>
      <c r="DR55" s="108">
        <f t="shared" si="40"/>
        <v>7462.8851759444678</v>
      </c>
      <c r="DS55" s="108">
        <f t="shared" si="40"/>
        <v>9230.8400405998873</v>
      </c>
      <c r="DT55" s="110">
        <f t="shared" si="40"/>
        <v>11466.217701581554</v>
      </c>
      <c r="DU55" s="3"/>
    </row>
    <row r="56" spans="2:125" ht="15" x14ac:dyDescent="0.25">
      <c r="B56" s="514" t="s">
        <v>640</v>
      </c>
      <c r="C56" s="85">
        <v>1</v>
      </c>
      <c r="D56" s="7"/>
      <c r="E56" s="534"/>
      <c r="F56" s="534"/>
      <c r="G56" s="534"/>
      <c r="H56" s="534"/>
      <c r="I56" s="534"/>
      <c r="J56" s="534"/>
      <c r="K56" s="534"/>
      <c r="L56" s="534"/>
      <c r="M56" s="534"/>
      <c r="N56" s="534"/>
      <c r="O56" s="534"/>
      <c r="P56" s="535"/>
      <c r="Q56" s="794"/>
      <c r="R56" s="388"/>
      <c r="S56" s="388"/>
      <c r="T56" s="388"/>
      <c r="U56" s="388"/>
      <c r="V56" s="388"/>
      <c r="W56" s="388"/>
      <c r="X56" s="388"/>
      <c r="Y56" s="388"/>
      <c r="Z56" s="388"/>
      <c r="AA56" s="388"/>
      <c r="AB56" s="389"/>
      <c r="AC56" s="536"/>
      <c r="AD56" s="536"/>
      <c r="AE56" s="536"/>
      <c r="AF56" s="536"/>
      <c r="AG56" s="536"/>
      <c r="AH56" s="536"/>
      <c r="AI56" s="536"/>
      <c r="AJ56" s="536"/>
      <c r="AK56" s="536"/>
      <c r="AL56" s="536"/>
      <c r="AM56" s="536"/>
      <c r="AN56" s="759"/>
      <c r="AO56" s="536"/>
      <c r="AP56" s="536"/>
      <c r="AQ56" s="536"/>
      <c r="AR56" s="536"/>
      <c r="AS56" s="536"/>
      <c r="AT56" s="536"/>
      <c r="AU56" s="536"/>
      <c r="AV56" s="536"/>
      <c r="AW56" s="536"/>
      <c r="AX56" s="536"/>
      <c r="AY56" s="536"/>
      <c r="AZ56" s="759"/>
      <c r="BA56" s="536"/>
      <c r="BB56" s="536"/>
      <c r="BC56" s="536"/>
      <c r="BD56" s="536"/>
      <c r="BE56" s="536"/>
      <c r="BF56" s="536"/>
      <c r="BG56" s="536"/>
      <c r="BH56" s="536"/>
      <c r="BI56" s="536"/>
      <c r="BJ56" s="536"/>
      <c r="BK56" s="536"/>
      <c r="BL56" s="759"/>
      <c r="BM56" s="388"/>
      <c r="BN56" s="388"/>
      <c r="BO56" s="388"/>
      <c r="BP56" s="388"/>
      <c r="BQ56" s="388"/>
      <c r="BR56" s="108">
        <f t="shared" si="39"/>
        <v>0</v>
      </c>
      <c r="BS56" s="108">
        <f t="shared" si="36"/>
        <v>0</v>
      </c>
      <c r="BT56" s="108">
        <f t="shared" si="36"/>
        <v>0</v>
      </c>
      <c r="BU56" s="108">
        <f t="shared" si="36"/>
        <v>0</v>
      </c>
      <c r="BV56" s="108">
        <f t="shared" si="36"/>
        <v>0</v>
      </c>
      <c r="BW56" s="108">
        <f t="shared" si="36"/>
        <v>0</v>
      </c>
      <c r="BX56" s="110">
        <f t="shared" si="36"/>
        <v>0</v>
      </c>
      <c r="BY56" s="109">
        <f t="shared" si="36"/>
        <v>0</v>
      </c>
      <c r="BZ56" s="108">
        <f t="shared" si="36"/>
        <v>0</v>
      </c>
      <c r="CA56" s="108">
        <f t="shared" si="36"/>
        <v>0</v>
      </c>
      <c r="CB56" s="108">
        <f t="shared" si="36"/>
        <v>0</v>
      </c>
      <c r="CC56" s="108">
        <f t="shared" si="40"/>
        <v>0</v>
      </c>
      <c r="CD56" s="108">
        <f t="shared" si="40"/>
        <v>0</v>
      </c>
      <c r="CE56" s="108">
        <f t="shared" si="40"/>
        <v>0</v>
      </c>
      <c r="CF56" s="108">
        <f t="shared" si="40"/>
        <v>0</v>
      </c>
      <c r="CG56" s="108">
        <f t="shared" si="40"/>
        <v>0</v>
      </c>
      <c r="CH56" s="108">
        <f t="shared" si="40"/>
        <v>0</v>
      </c>
      <c r="CI56" s="108">
        <f t="shared" si="40"/>
        <v>0</v>
      </c>
      <c r="CJ56" s="110">
        <f t="shared" si="40"/>
        <v>0</v>
      </c>
      <c r="CK56" s="109">
        <f t="shared" si="40"/>
        <v>0</v>
      </c>
      <c r="CL56" s="108">
        <f t="shared" si="40"/>
        <v>0</v>
      </c>
      <c r="CM56" s="108">
        <f t="shared" si="40"/>
        <v>0</v>
      </c>
      <c r="CN56" s="108">
        <f t="shared" si="40"/>
        <v>0</v>
      </c>
      <c r="CO56" s="108">
        <f t="shared" si="40"/>
        <v>0</v>
      </c>
      <c r="CP56" s="108">
        <f t="shared" si="40"/>
        <v>0</v>
      </c>
      <c r="CQ56" s="108">
        <f t="shared" si="40"/>
        <v>0</v>
      </c>
      <c r="CR56" s="108">
        <f t="shared" si="40"/>
        <v>0</v>
      </c>
      <c r="CS56" s="108">
        <f t="shared" si="40"/>
        <v>0</v>
      </c>
      <c r="CT56" s="108">
        <f t="shared" si="40"/>
        <v>0</v>
      </c>
      <c r="CU56" s="108">
        <f t="shared" si="40"/>
        <v>0</v>
      </c>
      <c r="CV56" s="110">
        <f t="shared" si="40"/>
        <v>0</v>
      </c>
      <c r="CW56" s="109">
        <f t="shared" si="40"/>
        <v>0</v>
      </c>
      <c r="CX56" s="108">
        <f t="shared" si="40"/>
        <v>0</v>
      </c>
      <c r="CY56" s="108">
        <f t="shared" si="40"/>
        <v>0</v>
      </c>
      <c r="CZ56" s="108">
        <f t="shared" si="40"/>
        <v>0</v>
      </c>
      <c r="DA56" s="108">
        <f t="shared" si="40"/>
        <v>0</v>
      </c>
      <c r="DB56" s="108">
        <f t="shared" si="40"/>
        <v>0</v>
      </c>
      <c r="DC56" s="108">
        <f t="shared" si="40"/>
        <v>0</v>
      </c>
      <c r="DD56" s="108">
        <f t="shared" si="40"/>
        <v>0</v>
      </c>
      <c r="DE56" s="108">
        <f t="shared" si="40"/>
        <v>0</v>
      </c>
      <c r="DF56" s="108">
        <f t="shared" si="40"/>
        <v>0</v>
      </c>
      <c r="DG56" s="108">
        <f t="shared" si="40"/>
        <v>0</v>
      </c>
      <c r="DH56" s="110">
        <f t="shared" si="40"/>
        <v>0</v>
      </c>
      <c r="DI56" s="109">
        <f t="shared" si="40"/>
        <v>0</v>
      </c>
      <c r="DJ56" s="108">
        <f t="shared" si="40"/>
        <v>0</v>
      </c>
      <c r="DK56" s="108">
        <f t="shared" si="40"/>
        <v>0</v>
      </c>
      <c r="DL56" s="108">
        <f t="shared" ref="DL56:DT57" si="43">CZ55</f>
        <v>0</v>
      </c>
      <c r="DM56" s="108">
        <f t="shared" si="43"/>
        <v>0</v>
      </c>
      <c r="DN56" s="108">
        <f t="shared" si="43"/>
        <v>0</v>
      </c>
      <c r="DO56" s="108">
        <f t="shared" si="43"/>
        <v>0</v>
      </c>
      <c r="DP56" s="108">
        <f t="shared" si="43"/>
        <v>0</v>
      </c>
      <c r="DQ56" s="108">
        <f t="shared" si="43"/>
        <v>0</v>
      </c>
      <c r="DR56" s="108">
        <f t="shared" si="43"/>
        <v>0</v>
      </c>
      <c r="DS56" s="108">
        <f t="shared" si="43"/>
        <v>0</v>
      </c>
      <c r="DT56" s="110">
        <f t="shared" si="43"/>
        <v>0</v>
      </c>
      <c r="DU56" s="3"/>
    </row>
    <row r="57" spans="2:125" ht="15" x14ac:dyDescent="0.25">
      <c r="B57" s="404"/>
      <c r="C57" s="85"/>
      <c r="D57" s="7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O57" s="406"/>
      <c r="P57" s="488"/>
      <c r="Q57" s="792"/>
      <c r="R57" s="312"/>
      <c r="S57" s="312"/>
      <c r="T57" s="312"/>
      <c r="U57" s="312"/>
      <c r="V57" s="312"/>
      <c r="W57" s="312"/>
      <c r="X57" s="312"/>
      <c r="Y57" s="312"/>
      <c r="Z57" s="312"/>
      <c r="AA57" s="312"/>
      <c r="AB57" s="313"/>
      <c r="AC57" s="312"/>
      <c r="AD57" s="312"/>
      <c r="AE57" s="312"/>
      <c r="AF57" s="312"/>
      <c r="AG57" s="312"/>
      <c r="AH57" s="312"/>
      <c r="AI57" s="312"/>
      <c r="AJ57" s="312"/>
      <c r="AK57" s="312"/>
      <c r="AL57" s="312"/>
      <c r="AM57" s="312"/>
      <c r="AN57" s="313"/>
      <c r="AO57" s="312"/>
      <c r="AP57" s="312"/>
      <c r="AQ57" s="312"/>
      <c r="AR57" s="312"/>
      <c r="AS57" s="312"/>
      <c r="AT57" s="312"/>
      <c r="AU57" s="312"/>
      <c r="AV57" s="312"/>
      <c r="AW57" s="312"/>
      <c r="AX57" s="312"/>
      <c r="AY57" s="312"/>
      <c r="AZ57" s="313"/>
      <c r="BA57" s="312"/>
      <c r="BB57" s="312"/>
      <c r="BC57" s="312"/>
      <c r="BD57" s="312"/>
      <c r="BE57" s="312"/>
      <c r="BF57" s="312"/>
      <c r="BG57" s="312"/>
      <c r="BH57" s="312"/>
      <c r="BI57" s="312"/>
      <c r="BJ57" s="312"/>
      <c r="BK57" s="312"/>
      <c r="BL57" s="313"/>
      <c r="BM57" s="312"/>
      <c r="BN57" s="312"/>
      <c r="BO57" s="312"/>
      <c r="BP57" s="312"/>
      <c r="BQ57" s="312"/>
      <c r="BR57" s="108">
        <f t="shared" si="39"/>
        <v>0</v>
      </c>
      <c r="BS57" s="108">
        <f t="shared" si="36"/>
        <v>0</v>
      </c>
      <c r="BT57" s="108">
        <f t="shared" si="36"/>
        <v>0</v>
      </c>
      <c r="BU57" s="108">
        <f t="shared" si="36"/>
        <v>0</v>
      </c>
      <c r="BV57" s="108">
        <f t="shared" si="36"/>
        <v>0</v>
      </c>
      <c r="BW57" s="108">
        <f t="shared" si="36"/>
        <v>0</v>
      </c>
      <c r="BX57" s="110">
        <f t="shared" si="36"/>
        <v>0</v>
      </c>
      <c r="BY57" s="109">
        <f t="shared" si="36"/>
        <v>0</v>
      </c>
      <c r="BZ57" s="108">
        <f t="shared" si="36"/>
        <v>0</v>
      </c>
      <c r="CA57" s="108">
        <f t="shared" si="36"/>
        <v>0</v>
      </c>
      <c r="CB57" s="108">
        <f t="shared" si="36"/>
        <v>0</v>
      </c>
      <c r="CC57" s="108">
        <f t="shared" ref="CC57:DK57" si="44">BQ56</f>
        <v>0</v>
      </c>
      <c r="CD57" s="108">
        <f t="shared" si="44"/>
        <v>0</v>
      </c>
      <c r="CE57" s="108">
        <f t="shared" si="44"/>
        <v>0</v>
      </c>
      <c r="CF57" s="108">
        <f t="shared" si="44"/>
        <v>0</v>
      </c>
      <c r="CG57" s="108">
        <f t="shared" si="44"/>
        <v>0</v>
      </c>
      <c r="CH57" s="108">
        <f t="shared" si="44"/>
        <v>0</v>
      </c>
      <c r="CI57" s="108">
        <f t="shared" si="44"/>
        <v>0</v>
      </c>
      <c r="CJ57" s="110">
        <f t="shared" si="44"/>
        <v>0</v>
      </c>
      <c r="CK57" s="109">
        <f t="shared" si="44"/>
        <v>0</v>
      </c>
      <c r="CL57" s="108">
        <f t="shared" si="44"/>
        <v>0</v>
      </c>
      <c r="CM57" s="108">
        <f t="shared" si="44"/>
        <v>0</v>
      </c>
      <c r="CN57" s="108">
        <f t="shared" si="44"/>
        <v>0</v>
      </c>
      <c r="CO57" s="108">
        <f t="shared" si="44"/>
        <v>0</v>
      </c>
      <c r="CP57" s="108">
        <f t="shared" si="44"/>
        <v>0</v>
      </c>
      <c r="CQ57" s="108">
        <f t="shared" si="44"/>
        <v>0</v>
      </c>
      <c r="CR57" s="108">
        <f t="shared" si="44"/>
        <v>0</v>
      </c>
      <c r="CS57" s="108">
        <f t="shared" si="44"/>
        <v>0</v>
      </c>
      <c r="CT57" s="108">
        <f t="shared" si="44"/>
        <v>0</v>
      </c>
      <c r="CU57" s="108">
        <f t="shared" si="44"/>
        <v>0</v>
      </c>
      <c r="CV57" s="110">
        <f t="shared" si="44"/>
        <v>0</v>
      </c>
      <c r="CW57" s="109">
        <f t="shared" si="44"/>
        <v>0</v>
      </c>
      <c r="CX57" s="108">
        <f t="shared" si="44"/>
        <v>0</v>
      </c>
      <c r="CY57" s="108">
        <f t="shared" si="44"/>
        <v>0</v>
      </c>
      <c r="CZ57" s="108">
        <f t="shared" si="44"/>
        <v>0</v>
      </c>
      <c r="DA57" s="108">
        <f t="shared" si="44"/>
        <v>0</v>
      </c>
      <c r="DB57" s="108">
        <f t="shared" si="44"/>
        <v>0</v>
      </c>
      <c r="DC57" s="108">
        <f t="shared" si="44"/>
        <v>0</v>
      </c>
      <c r="DD57" s="108">
        <f t="shared" si="44"/>
        <v>0</v>
      </c>
      <c r="DE57" s="108">
        <f t="shared" si="44"/>
        <v>0</v>
      </c>
      <c r="DF57" s="108">
        <f t="shared" si="44"/>
        <v>0</v>
      </c>
      <c r="DG57" s="108">
        <f t="shared" si="44"/>
        <v>0</v>
      </c>
      <c r="DH57" s="110">
        <f t="shared" si="44"/>
        <v>0</v>
      </c>
      <c r="DI57" s="109">
        <f t="shared" si="44"/>
        <v>0</v>
      </c>
      <c r="DJ57" s="108">
        <f t="shared" si="44"/>
        <v>0</v>
      </c>
      <c r="DK57" s="108">
        <f t="shared" si="44"/>
        <v>0</v>
      </c>
      <c r="DL57" s="108">
        <f t="shared" si="43"/>
        <v>0</v>
      </c>
      <c r="DM57" s="108">
        <f t="shared" si="43"/>
        <v>0</v>
      </c>
      <c r="DN57" s="108">
        <f t="shared" si="43"/>
        <v>0</v>
      </c>
      <c r="DO57" s="108">
        <f t="shared" si="43"/>
        <v>0</v>
      </c>
      <c r="DP57" s="108">
        <f t="shared" si="43"/>
        <v>0</v>
      </c>
      <c r="DQ57" s="108">
        <f t="shared" si="43"/>
        <v>0</v>
      </c>
      <c r="DR57" s="108">
        <f t="shared" si="43"/>
        <v>0</v>
      </c>
      <c r="DS57" s="108">
        <f t="shared" si="43"/>
        <v>0</v>
      </c>
      <c r="DT57" s="110">
        <f t="shared" si="43"/>
        <v>0</v>
      </c>
      <c r="DU57" s="3"/>
    </row>
    <row r="58" spans="2:125" ht="19.5" thickBot="1" x14ac:dyDescent="0.35">
      <c r="B58" s="161" t="s">
        <v>647</v>
      </c>
      <c r="C58" s="85"/>
      <c r="D58" s="7"/>
      <c r="E58" s="527"/>
      <c r="F58" s="527"/>
      <c r="G58" s="527"/>
      <c r="H58" s="527"/>
      <c r="I58" s="527"/>
      <c r="J58" s="527"/>
      <c r="K58" s="527">
        <f t="shared" ref="K58:P58" si="45">SUM(K47:K57)</f>
        <v>0</v>
      </c>
      <c r="L58" s="527">
        <f t="shared" si="45"/>
        <v>0</v>
      </c>
      <c r="M58" s="527">
        <f t="shared" si="45"/>
        <v>0</v>
      </c>
      <c r="N58" s="527">
        <f t="shared" si="45"/>
        <v>0</v>
      </c>
      <c r="O58" s="527">
        <f t="shared" si="45"/>
        <v>0</v>
      </c>
      <c r="P58" s="752">
        <f t="shared" si="45"/>
        <v>0</v>
      </c>
      <c r="Q58" s="793">
        <f>SUM(Q50:Q57)</f>
        <v>0</v>
      </c>
      <c r="R58" s="391">
        <f>SUM(R50:R57)</f>
        <v>0</v>
      </c>
      <c r="S58" s="391">
        <f>SUM(S50:S57)</f>
        <v>0</v>
      </c>
      <c r="T58" s="391">
        <f>SUM(T50:T57)</f>
        <v>0</v>
      </c>
      <c r="U58" s="391">
        <f>SUM(U50:U57)</f>
        <v>0</v>
      </c>
      <c r="V58" s="391">
        <f>SUM(V47:V57)</f>
        <v>1079.5546050400501</v>
      </c>
      <c r="W58" s="391">
        <f t="shared" ref="W58:CH58" si="46">SUM(W47:W57)</f>
        <v>2058.0406634042938</v>
      </c>
      <c r="X58" s="391">
        <f t="shared" si="46"/>
        <v>4600.8887336445478</v>
      </c>
      <c r="Y58" s="391">
        <f t="shared" si="46"/>
        <v>5193.0823483927979</v>
      </c>
      <c r="Z58" s="391">
        <f t="shared" si="46"/>
        <v>7462.8851759444678</v>
      </c>
      <c r="AA58" s="391">
        <f t="shared" si="46"/>
        <v>9230.8400405998873</v>
      </c>
      <c r="AB58" s="757">
        <f t="shared" si="46"/>
        <v>11466.217701581554</v>
      </c>
      <c r="AC58" s="391">
        <f t="shared" si="46"/>
        <v>23587.094086719007</v>
      </c>
      <c r="AD58" s="391">
        <f t="shared" si="46"/>
        <v>9496.3041291729587</v>
      </c>
      <c r="AE58" s="391">
        <f t="shared" si="46"/>
        <v>5128.1677943275026</v>
      </c>
      <c r="AF58" s="391">
        <f t="shared" si="46"/>
        <v>5596.5102867968544</v>
      </c>
      <c r="AG58" s="391">
        <f t="shared" si="46"/>
        <v>3081.2916528637952</v>
      </c>
      <c r="AH58" s="391">
        <f t="shared" si="46"/>
        <v>4544.6852922179287</v>
      </c>
      <c r="AI58" s="391">
        <f t="shared" si="46"/>
        <v>10660.897856978536</v>
      </c>
      <c r="AJ58" s="391">
        <f t="shared" si="46"/>
        <v>4600.8887336445478</v>
      </c>
      <c r="AK58" s="391">
        <f t="shared" si="46"/>
        <v>5193.0823483927979</v>
      </c>
      <c r="AL58" s="391">
        <f t="shared" si="46"/>
        <v>7462.8851759444678</v>
      </c>
      <c r="AM58" s="391">
        <f t="shared" si="46"/>
        <v>9230.8400405998873</v>
      </c>
      <c r="AN58" s="757">
        <f t="shared" si="46"/>
        <v>11466.217701581554</v>
      </c>
      <c r="AO58" s="391">
        <f t="shared" si="46"/>
        <v>23587.094086719007</v>
      </c>
      <c r="AP58" s="391">
        <f t="shared" si="46"/>
        <v>9496.3041291729587</v>
      </c>
      <c r="AQ58" s="391">
        <f t="shared" si="46"/>
        <v>5128.1677943275026</v>
      </c>
      <c r="AR58" s="391">
        <f t="shared" si="46"/>
        <v>5596.5102867968544</v>
      </c>
      <c r="AS58" s="391">
        <f t="shared" si="46"/>
        <v>3081.2916528637952</v>
      </c>
      <c r="AT58" s="391">
        <f t="shared" si="46"/>
        <v>4544.6852922179287</v>
      </c>
      <c r="AU58" s="391">
        <f t="shared" si="46"/>
        <v>10660.897856978536</v>
      </c>
      <c r="AV58" s="391">
        <f t="shared" si="46"/>
        <v>4600.8887336445478</v>
      </c>
      <c r="AW58" s="391">
        <f t="shared" si="46"/>
        <v>5193.0823483927979</v>
      </c>
      <c r="AX58" s="391">
        <f t="shared" si="46"/>
        <v>7462.8851759444678</v>
      </c>
      <c r="AY58" s="391">
        <f t="shared" si="46"/>
        <v>9230.8400405998873</v>
      </c>
      <c r="AZ58" s="757">
        <f t="shared" si="46"/>
        <v>11466.217701581554</v>
      </c>
      <c r="BA58" s="391">
        <f t="shared" si="46"/>
        <v>23587.094086719007</v>
      </c>
      <c r="BB58" s="391">
        <f t="shared" si="46"/>
        <v>9496.3041291729587</v>
      </c>
      <c r="BC58" s="391">
        <f t="shared" si="46"/>
        <v>5128.1677943275026</v>
      </c>
      <c r="BD58" s="391">
        <f t="shared" si="46"/>
        <v>5596.5102867968544</v>
      </c>
      <c r="BE58" s="391">
        <f t="shared" si="46"/>
        <v>3081.2916528637952</v>
      </c>
      <c r="BF58" s="391">
        <f t="shared" si="46"/>
        <v>4544.6852922179287</v>
      </c>
      <c r="BG58" s="391">
        <f t="shared" si="46"/>
        <v>10660.897856978536</v>
      </c>
      <c r="BH58" s="391">
        <f t="shared" si="46"/>
        <v>4600.8887336445478</v>
      </c>
      <c r="BI58" s="391">
        <f t="shared" si="46"/>
        <v>5193.0823483927979</v>
      </c>
      <c r="BJ58" s="391">
        <f t="shared" si="46"/>
        <v>7462.8851759444678</v>
      </c>
      <c r="BK58" s="391">
        <f t="shared" si="46"/>
        <v>9230.8400405998873</v>
      </c>
      <c r="BL58" s="757">
        <f t="shared" si="46"/>
        <v>11466.217701581554</v>
      </c>
      <c r="BM58" s="391">
        <f t="shared" si="46"/>
        <v>23587.094086719007</v>
      </c>
      <c r="BN58" s="391">
        <f t="shared" si="46"/>
        <v>9496.3041291729587</v>
      </c>
      <c r="BO58" s="391">
        <f t="shared" si="46"/>
        <v>5128.1677943275026</v>
      </c>
      <c r="BP58" s="391">
        <f t="shared" si="46"/>
        <v>5596.5102867968544</v>
      </c>
      <c r="BQ58" s="391">
        <f t="shared" si="46"/>
        <v>3081.2916528637952</v>
      </c>
      <c r="BR58" s="391">
        <f t="shared" si="46"/>
        <v>4544.6852922179287</v>
      </c>
      <c r="BS58" s="391">
        <f t="shared" si="46"/>
        <v>10660.897856978536</v>
      </c>
      <c r="BT58" s="391">
        <f t="shared" si="46"/>
        <v>4600.8887336445478</v>
      </c>
      <c r="BU58" s="391">
        <f t="shared" si="46"/>
        <v>5193.0823483927979</v>
      </c>
      <c r="BV58" s="391">
        <f t="shared" si="46"/>
        <v>7462.8851759444678</v>
      </c>
      <c r="BW58" s="391">
        <f t="shared" si="46"/>
        <v>9230.8400405998873</v>
      </c>
      <c r="BX58" s="757">
        <f t="shared" si="46"/>
        <v>11466.217701581554</v>
      </c>
      <c r="BY58" s="391">
        <f t="shared" si="46"/>
        <v>23587.094086719007</v>
      </c>
      <c r="BZ58" s="391">
        <f t="shared" si="46"/>
        <v>9496.3041291729587</v>
      </c>
      <c r="CA58" s="391">
        <f t="shared" si="46"/>
        <v>5128.1677943275026</v>
      </c>
      <c r="CB58" s="391">
        <f t="shared" si="46"/>
        <v>5596.5102867968544</v>
      </c>
      <c r="CC58" s="391">
        <f t="shared" si="46"/>
        <v>3081.2916528637952</v>
      </c>
      <c r="CD58" s="391">
        <f t="shared" si="46"/>
        <v>4544.6852922179287</v>
      </c>
      <c r="CE58" s="391">
        <f t="shared" si="46"/>
        <v>10660.897856978536</v>
      </c>
      <c r="CF58" s="391">
        <f t="shared" si="46"/>
        <v>4600.8887336445478</v>
      </c>
      <c r="CG58" s="391">
        <f t="shared" si="46"/>
        <v>5193.0823483927979</v>
      </c>
      <c r="CH58" s="391">
        <f t="shared" si="46"/>
        <v>7462.8851759444678</v>
      </c>
      <c r="CI58" s="391">
        <f t="shared" ref="CI58:DT58" si="47">SUM(CI47:CI57)</f>
        <v>9230.8400405998873</v>
      </c>
      <c r="CJ58" s="757">
        <f t="shared" si="47"/>
        <v>11466.217701581554</v>
      </c>
      <c r="CK58" s="391">
        <f t="shared" si="47"/>
        <v>23587.094086719007</v>
      </c>
      <c r="CL58" s="391">
        <f t="shared" si="47"/>
        <v>9496.3041291729587</v>
      </c>
      <c r="CM58" s="391">
        <f t="shared" si="47"/>
        <v>5128.1677943275026</v>
      </c>
      <c r="CN58" s="391">
        <f t="shared" si="47"/>
        <v>5596.5102867968544</v>
      </c>
      <c r="CO58" s="391">
        <f t="shared" si="47"/>
        <v>3081.2916528637952</v>
      </c>
      <c r="CP58" s="391">
        <f t="shared" si="47"/>
        <v>4544.6852922179287</v>
      </c>
      <c r="CQ58" s="391">
        <f t="shared" si="47"/>
        <v>10660.897856978536</v>
      </c>
      <c r="CR58" s="391">
        <f t="shared" si="47"/>
        <v>4600.8887336445478</v>
      </c>
      <c r="CS58" s="391">
        <f t="shared" si="47"/>
        <v>5193.0823483927979</v>
      </c>
      <c r="CT58" s="391">
        <f t="shared" si="47"/>
        <v>7462.8851759444678</v>
      </c>
      <c r="CU58" s="391">
        <f t="shared" si="47"/>
        <v>9230.8400405998873</v>
      </c>
      <c r="CV58" s="757">
        <f t="shared" si="47"/>
        <v>11466.217701581554</v>
      </c>
      <c r="CW58" s="391">
        <f t="shared" si="47"/>
        <v>23587.094086719007</v>
      </c>
      <c r="CX58" s="391">
        <f t="shared" si="47"/>
        <v>9496.3041291729587</v>
      </c>
      <c r="CY58" s="391">
        <f t="shared" si="47"/>
        <v>5128.1677943275026</v>
      </c>
      <c r="CZ58" s="391">
        <f t="shared" si="47"/>
        <v>5596.5102867968544</v>
      </c>
      <c r="DA58" s="391">
        <f t="shared" si="47"/>
        <v>3081.2916528637952</v>
      </c>
      <c r="DB58" s="391">
        <f t="shared" si="47"/>
        <v>4544.6852922179287</v>
      </c>
      <c r="DC58" s="391">
        <f t="shared" si="47"/>
        <v>10660.897856978536</v>
      </c>
      <c r="DD58" s="391">
        <f t="shared" si="47"/>
        <v>4600.8887336445478</v>
      </c>
      <c r="DE58" s="391">
        <f t="shared" si="47"/>
        <v>5193.0823483927979</v>
      </c>
      <c r="DF58" s="391">
        <f t="shared" si="47"/>
        <v>7462.8851759444678</v>
      </c>
      <c r="DG58" s="391">
        <f t="shared" si="47"/>
        <v>9230.8400405998873</v>
      </c>
      <c r="DH58" s="757">
        <f t="shared" si="47"/>
        <v>11466.217701581554</v>
      </c>
      <c r="DI58" s="391">
        <f t="shared" si="47"/>
        <v>23587.094086719007</v>
      </c>
      <c r="DJ58" s="391">
        <f t="shared" si="47"/>
        <v>9496.3041291729587</v>
      </c>
      <c r="DK58" s="391">
        <f t="shared" si="47"/>
        <v>5128.1677943275026</v>
      </c>
      <c r="DL58" s="391">
        <f t="shared" si="47"/>
        <v>5596.5102867968544</v>
      </c>
      <c r="DM58" s="391">
        <f t="shared" si="47"/>
        <v>3081.2916528637952</v>
      </c>
      <c r="DN58" s="391">
        <f t="shared" si="47"/>
        <v>4544.6852922179287</v>
      </c>
      <c r="DO58" s="391">
        <f t="shared" si="47"/>
        <v>10660.897856978536</v>
      </c>
      <c r="DP58" s="391">
        <f t="shared" si="47"/>
        <v>4600.8887336445478</v>
      </c>
      <c r="DQ58" s="391">
        <f t="shared" si="47"/>
        <v>5193.0823483927979</v>
      </c>
      <c r="DR58" s="391">
        <f t="shared" si="47"/>
        <v>7462.8851759444678</v>
      </c>
      <c r="DS58" s="391">
        <f t="shared" si="47"/>
        <v>9230.8400405998873</v>
      </c>
      <c r="DT58" s="757">
        <f t="shared" si="47"/>
        <v>11466.217701581554</v>
      </c>
      <c r="DU58" s="3"/>
    </row>
    <row r="59" spans="2:125" ht="15" x14ac:dyDescent="0.25">
      <c r="B59" s="163"/>
      <c r="C59" s="85"/>
      <c r="D59" s="7"/>
      <c r="E59" s="537"/>
      <c r="F59" s="537"/>
      <c r="G59" s="537"/>
      <c r="H59" s="537"/>
      <c r="I59" s="537"/>
      <c r="J59" s="537"/>
      <c r="K59" s="537"/>
      <c r="L59" s="537"/>
      <c r="M59" s="537"/>
      <c r="N59" s="537"/>
      <c r="O59" s="537"/>
      <c r="P59" s="753"/>
      <c r="Q59" s="796"/>
      <c r="R59" s="392"/>
      <c r="S59" s="392"/>
      <c r="T59" s="392"/>
      <c r="U59" s="392"/>
      <c r="V59" s="392"/>
      <c r="W59" s="392"/>
      <c r="X59" s="392"/>
      <c r="Y59" s="392"/>
      <c r="Z59" s="392"/>
      <c r="AA59" s="392"/>
      <c r="AB59" s="755"/>
      <c r="AC59" s="392"/>
      <c r="AD59" s="392"/>
      <c r="AE59" s="392"/>
      <c r="AF59" s="392"/>
      <c r="AG59" s="392"/>
      <c r="AH59" s="392"/>
      <c r="AI59" s="392"/>
      <c r="AJ59" s="392"/>
      <c r="AK59" s="392"/>
      <c r="AL59" s="392"/>
      <c r="AM59" s="392"/>
      <c r="AN59" s="755"/>
      <c r="AO59" s="392"/>
      <c r="AP59" s="392"/>
      <c r="AQ59" s="392"/>
      <c r="AR59" s="392"/>
      <c r="AS59" s="392"/>
      <c r="AT59" s="392"/>
      <c r="AU59" s="392"/>
      <c r="AV59" s="392"/>
      <c r="AW59" s="392"/>
      <c r="AX59" s="392"/>
      <c r="AY59" s="392"/>
      <c r="AZ59" s="755"/>
      <c r="BA59" s="392"/>
      <c r="BB59" s="392"/>
      <c r="BC59" s="392"/>
      <c r="BD59" s="392"/>
      <c r="BE59" s="392"/>
      <c r="BF59" s="392"/>
      <c r="BG59" s="392"/>
      <c r="BH59" s="392"/>
      <c r="BI59" s="392"/>
      <c r="BJ59" s="392"/>
      <c r="BK59" s="392"/>
      <c r="BL59" s="755"/>
      <c r="BM59" s="392"/>
      <c r="BN59" s="392"/>
      <c r="BO59" s="392"/>
      <c r="BP59" s="392"/>
      <c r="BQ59" s="392"/>
      <c r="BR59" s="392"/>
      <c r="BS59" s="392"/>
      <c r="BT59" s="392"/>
      <c r="BU59" s="392"/>
      <c r="BV59" s="392"/>
      <c r="BW59" s="392"/>
      <c r="BX59" s="755"/>
      <c r="BY59" s="392"/>
      <c r="BZ59" s="392"/>
      <c r="CA59" s="392"/>
      <c r="CB59" s="392"/>
      <c r="CC59" s="392"/>
      <c r="CD59" s="392"/>
      <c r="CE59" s="392"/>
      <c r="CF59" s="392"/>
      <c r="CG59" s="392"/>
      <c r="CH59" s="392"/>
      <c r="CI59" s="392"/>
      <c r="CJ59" s="755"/>
      <c r="CK59" s="392"/>
      <c r="CL59" s="392"/>
      <c r="CM59" s="392"/>
      <c r="CN59" s="392"/>
      <c r="CO59" s="392"/>
      <c r="CP59" s="392"/>
      <c r="CQ59" s="392"/>
      <c r="CR59" s="392"/>
      <c r="CS59" s="392"/>
      <c r="CT59" s="392"/>
      <c r="CU59" s="392"/>
      <c r="CV59" s="755"/>
      <c r="CW59" s="393"/>
      <c r="CX59" s="392"/>
      <c r="CY59" s="392"/>
      <c r="CZ59" s="392"/>
      <c r="DA59" s="392"/>
      <c r="DB59" s="392"/>
      <c r="DC59" s="392"/>
      <c r="DD59" s="392"/>
      <c r="DE59" s="392"/>
      <c r="DF59" s="392"/>
      <c r="DG59" s="392"/>
      <c r="DH59" s="755"/>
      <c r="DI59" s="392"/>
      <c r="DJ59" s="392"/>
      <c r="DK59" s="392"/>
      <c r="DL59" s="392"/>
      <c r="DM59" s="392"/>
      <c r="DN59" s="392"/>
      <c r="DO59" s="392"/>
      <c r="DP59" s="392"/>
      <c r="DQ59" s="392"/>
      <c r="DR59" s="392"/>
      <c r="DS59" s="392"/>
      <c r="DT59" s="755"/>
      <c r="DU59" s="3"/>
    </row>
    <row r="60" spans="2:125" ht="21.75" customHeight="1" x14ac:dyDescent="0.25">
      <c r="B60" s="842"/>
      <c r="C60" s="842"/>
      <c r="D60" s="7"/>
      <c r="E60" s="484"/>
      <c r="F60" s="484"/>
      <c r="G60" s="484"/>
      <c r="H60" s="484"/>
      <c r="I60" s="484"/>
      <c r="J60" s="484"/>
      <c r="K60" s="484"/>
      <c r="L60" s="484"/>
      <c r="M60" s="484"/>
      <c r="N60" s="484"/>
      <c r="O60" s="484"/>
      <c r="P60" s="694"/>
      <c r="Q60" s="541"/>
      <c r="R60" s="272"/>
      <c r="S60" s="272"/>
      <c r="T60" s="272"/>
      <c r="U60" s="272"/>
      <c r="V60" s="272"/>
      <c r="W60" s="272"/>
      <c r="X60" s="272"/>
      <c r="Y60" s="272"/>
      <c r="Z60" s="528"/>
      <c r="AA60" s="528"/>
      <c r="AB60" s="758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603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603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603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603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603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603"/>
      <c r="CW60" s="272"/>
      <c r="CX60" s="272"/>
      <c r="CY60" s="272"/>
      <c r="CZ60" s="272"/>
      <c r="DA60" s="272"/>
      <c r="DB60" s="272"/>
      <c r="DC60" s="272"/>
      <c r="DD60" s="272"/>
      <c r="DE60" s="272"/>
      <c r="DF60" s="272"/>
      <c r="DG60" s="272"/>
      <c r="DH60" s="603"/>
      <c r="DI60" s="272"/>
      <c r="DJ60" s="272"/>
      <c r="DK60" s="272"/>
      <c r="DL60" s="272"/>
      <c r="DM60" s="272"/>
      <c r="DN60" s="272"/>
      <c r="DO60" s="272"/>
      <c r="DP60" s="272"/>
      <c r="DQ60" s="272"/>
      <c r="DR60" s="272"/>
      <c r="DS60" s="272"/>
      <c r="DT60" s="603"/>
      <c r="DU60" s="3"/>
    </row>
    <row r="61" spans="2:125" ht="18.75" x14ac:dyDescent="0.3">
      <c r="B61" s="161" t="s">
        <v>648</v>
      </c>
      <c r="C61" s="125"/>
      <c r="D61" s="7"/>
      <c r="E61" s="485"/>
      <c r="F61" s="485"/>
      <c r="G61" s="485"/>
      <c r="H61" s="485"/>
      <c r="I61" s="485"/>
      <c r="J61" s="485"/>
      <c r="K61" s="485"/>
      <c r="L61" s="485"/>
      <c r="M61" s="485"/>
      <c r="N61" s="485"/>
      <c r="O61" s="485"/>
      <c r="P61" s="513"/>
      <c r="Q61" s="789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739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739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739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739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739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739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739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739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739"/>
      <c r="DU61" s="3"/>
    </row>
    <row r="62" spans="2:125" ht="15" x14ac:dyDescent="0.25">
      <c r="B62" s="514" t="s">
        <v>384</v>
      </c>
      <c r="C62" s="515"/>
      <c r="D62" s="516"/>
      <c r="E62" s="517"/>
      <c r="F62" s="348"/>
      <c r="G62" s="348"/>
      <c r="H62" s="348"/>
      <c r="I62" s="348"/>
      <c r="J62" s="348"/>
      <c r="K62" s="348"/>
      <c r="L62" s="348"/>
      <c r="M62" s="348"/>
      <c r="N62" s="348"/>
      <c r="O62" s="348"/>
      <c r="P62" s="518"/>
      <c r="Q62" s="790"/>
      <c r="R62" s="522"/>
      <c r="S62" s="522"/>
      <c r="T62" s="522"/>
      <c r="U62" s="522"/>
      <c r="V62" s="522"/>
      <c r="W62" s="522"/>
      <c r="X62" s="522"/>
      <c r="Y62" s="522"/>
      <c r="Z62" s="522"/>
      <c r="AA62" s="522"/>
      <c r="AB62" s="756"/>
      <c r="AC62" s="522"/>
      <c r="AD62" s="522">
        <f>'Batch1 - S0 Smolts'!D69</f>
        <v>12730.319548162888</v>
      </c>
      <c r="AE62" s="522">
        <f>'Batch1 - S0 Smolts'!E69</f>
        <v>21920.214076572483</v>
      </c>
      <c r="AF62" s="522">
        <f>'Batch1 - S0 Smolts'!F69</f>
        <v>30655.719745929007</v>
      </c>
      <c r="AG62" s="522">
        <f>'Batch1 - S0 Smolts'!G69</f>
        <v>43863.23709577736</v>
      </c>
      <c r="AH62" s="522">
        <f>'Batch1 - S0 Smolts'!H69</f>
        <v>54704.747921347451</v>
      </c>
      <c r="AI62" s="522">
        <f>'Batch1 - S0 Smolts'!I69</f>
        <v>64050.688235660782</v>
      </c>
      <c r="AJ62" s="522">
        <f>'Batch1 - S0 Smolts'!J69</f>
        <v>66909.068659123659</v>
      </c>
      <c r="AK62" s="522">
        <f>'Batch1 - S0 Smolts'!K69</f>
        <v>63189.07726037089</v>
      </c>
      <c r="AL62" s="522">
        <f>'Batch1 - S0 Smolts'!L69</f>
        <v>57791.253971601291</v>
      </c>
      <c r="AM62" s="522">
        <f>'Batch1 - S0 Smolts'!M69</f>
        <v>56662.509237427643</v>
      </c>
      <c r="AN62" s="756">
        <f>'Batch1 - S0 Smolts'!N69</f>
        <v>42632.995404942019</v>
      </c>
      <c r="AO62" s="522">
        <f>'Batch1 - S0 Smolts'!O69</f>
        <v>62725.508306429154</v>
      </c>
      <c r="AP62" s="522">
        <f>'Batch1 - S0 Smolts'!P69</f>
        <v>91539.818610329603</v>
      </c>
      <c r="AQ62" s="522">
        <f>'Batch1 - S0 Smolts'!Q69</f>
        <v>113815.79826082435</v>
      </c>
      <c r="AR62" s="522">
        <f>'Batch1 - S0 Smolts'!R69</f>
        <v>78558.76205194206</v>
      </c>
      <c r="AS62" s="522">
        <f>'Batch1 - S0 Smolts'!S69</f>
        <v>19357.357321822474</v>
      </c>
      <c r="AT62" s="522">
        <f>'Batch1 - S0 Smolts'!T69</f>
        <v>0</v>
      </c>
      <c r="AU62" s="522">
        <f>'Batch1 - S0 Smolts'!U69</f>
        <v>0</v>
      </c>
      <c r="AV62" s="522">
        <f>'Batch1 - S0 Smolts'!V69</f>
        <v>0</v>
      </c>
      <c r="AW62" s="522">
        <f>'Batch1 - S0 Smolts'!W69</f>
        <v>0</v>
      </c>
      <c r="AX62" s="522">
        <f>'Batch1 - S0 Smolts'!X69</f>
        <v>0</v>
      </c>
      <c r="AY62" s="522">
        <f>'Batch1 - S0 Smolts'!Y69</f>
        <v>0</v>
      </c>
      <c r="AZ62" s="756">
        <f>'Batch1 - S0 Smolts'!Z69</f>
        <v>0</v>
      </c>
      <c r="BA62" s="522">
        <f>'Batch1 - S0 Smolts'!AA69</f>
        <v>0</v>
      </c>
      <c r="BB62" s="522">
        <f>'Batch1 - S0 Smolts'!AB69</f>
        <v>0</v>
      </c>
      <c r="BC62" s="522">
        <f>'Batch1 - S0 Smolts'!AC69</f>
        <v>0</v>
      </c>
      <c r="BD62" s="310"/>
      <c r="BE62" s="310"/>
      <c r="BF62" s="310"/>
      <c r="BG62" s="310"/>
      <c r="BH62" s="310"/>
      <c r="BI62" s="310"/>
      <c r="BJ62" s="310"/>
      <c r="BK62" s="310"/>
      <c r="BL62" s="311"/>
      <c r="BM62" s="280"/>
      <c r="BN62" s="310"/>
      <c r="BO62" s="310"/>
      <c r="BP62" s="310"/>
      <c r="BQ62" s="310"/>
      <c r="BR62" s="310"/>
      <c r="BS62" s="310"/>
      <c r="BT62" s="310"/>
      <c r="BU62" s="310"/>
      <c r="BV62" s="310"/>
      <c r="BW62" s="310"/>
      <c r="BX62" s="311"/>
      <c r="BY62" s="280"/>
      <c r="BZ62" s="310"/>
      <c r="CA62" s="310"/>
      <c r="CB62" s="310"/>
      <c r="CC62" s="310"/>
      <c r="CD62" s="310"/>
      <c r="CE62" s="310"/>
      <c r="CF62" s="310"/>
      <c r="CG62" s="310"/>
      <c r="CH62" s="310"/>
      <c r="CI62" s="310"/>
      <c r="CJ62" s="311"/>
      <c r="CK62" s="280"/>
      <c r="CL62" s="310"/>
      <c r="CM62" s="310"/>
      <c r="CN62" s="310"/>
      <c r="CO62" s="310"/>
      <c r="CP62" s="310"/>
      <c r="CQ62" s="310"/>
      <c r="CR62" s="310"/>
      <c r="CS62" s="310"/>
      <c r="CT62" s="310"/>
      <c r="CU62" s="310"/>
      <c r="CV62" s="311"/>
      <c r="CW62" s="280"/>
      <c r="CX62" s="310"/>
      <c r="CY62" s="310"/>
      <c r="CZ62" s="310"/>
      <c r="DA62" s="310"/>
      <c r="DB62" s="310"/>
      <c r="DC62" s="310"/>
      <c r="DD62" s="310"/>
      <c r="DE62" s="310"/>
      <c r="DF62" s="310"/>
      <c r="DG62" s="310"/>
      <c r="DH62" s="311"/>
      <c r="DI62" s="280"/>
      <c r="DJ62" s="310"/>
      <c r="DK62" s="310"/>
      <c r="DL62" s="310"/>
      <c r="DM62" s="310"/>
      <c r="DN62" s="310"/>
      <c r="DO62" s="310"/>
      <c r="DP62" s="310"/>
      <c r="DQ62" s="310"/>
      <c r="DR62" s="310"/>
      <c r="DS62" s="310"/>
      <c r="DT62" s="311"/>
      <c r="DU62" s="3"/>
    </row>
    <row r="63" spans="2:125" ht="15" x14ac:dyDescent="0.25">
      <c r="B63" s="514" t="s">
        <v>385</v>
      </c>
      <c r="C63" s="515"/>
      <c r="D63" s="516"/>
      <c r="E63" s="517"/>
      <c r="F63" s="348"/>
      <c r="G63" s="348"/>
      <c r="H63" s="348"/>
      <c r="I63" s="348"/>
      <c r="J63" s="348"/>
      <c r="K63" s="348"/>
      <c r="L63" s="348"/>
      <c r="M63" s="348"/>
      <c r="N63" s="348"/>
      <c r="O63" s="348">
        <v>0</v>
      </c>
      <c r="P63" s="518"/>
      <c r="Q63" s="790"/>
      <c r="R63" s="522"/>
      <c r="S63" s="522"/>
      <c r="T63" s="522"/>
      <c r="U63" s="522"/>
      <c r="V63" s="522"/>
      <c r="W63" s="522"/>
      <c r="X63" s="522"/>
      <c r="Y63" s="522"/>
      <c r="Z63" s="522"/>
      <c r="AA63" s="522"/>
      <c r="AB63" s="756"/>
      <c r="AC63" s="522"/>
      <c r="AD63" s="522"/>
      <c r="AE63" s="522"/>
      <c r="AF63" s="522"/>
      <c r="AG63" s="522">
        <f>'Batch2 - S0 Smolts'!D69</f>
        <v>20397.575260482274</v>
      </c>
      <c r="AH63" s="522">
        <f>'Batch2 - S0 Smolts'!E69</f>
        <v>32155.093301876495</v>
      </c>
      <c r="AI63" s="522">
        <f>'Batch2 - S0 Smolts'!F69</f>
        <v>40883.48188763771</v>
      </c>
      <c r="AJ63" s="522">
        <f>'Batch2 - S0 Smolts'!G69</f>
        <v>48769.362328421004</v>
      </c>
      <c r="AK63" s="522">
        <f>'Batch2 - S0 Smolts'!H69</f>
        <v>48641.66467176174</v>
      </c>
      <c r="AL63" s="522">
        <f>'Batch2 - S0 Smolts'!I69</f>
        <v>46072.343175578273</v>
      </c>
      <c r="AM63" s="522">
        <f>'Batch2 - S0 Smolts'!J69</f>
        <v>47763.53689112197</v>
      </c>
      <c r="AN63" s="756">
        <f>'Batch2 - S0 Smolts'!K69</f>
        <v>36452.976309283673</v>
      </c>
      <c r="AO63" s="522">
        <f>'Batch2 - S0 Smolts'!L69</f>
        <v>59061.404126309099</v>
      </c>
      <c r="AP63" s="522">
        <f>'Batch2 - S0 Smolts'!M69</f>
        <v>62435.933371305779</v>
      </c>
      <c r="AQ63" s="522">
        <f>'Batch2 - S0 Smolts'!N69</f>
        <v>56791.399014089598</v>
      </c>
      <c r="AR63" s="522">
        <f>'Batch2 - S0 Smolts'!O69</f>
        <v>60121.442858577822</v>
      </c>
      <c r="AS63" s="522">
        <f>'Batch2 - S0 Smolts'!P69</f>
        <v>66361.987129217203</v>
      </c>
      <c r="AT63" s="522">
        <f>'Batch2 - S0 Smolts'!Q69</f>
        <v>84963.333075137591</v>
      </c>
      <c r="AU63" s="522">
        <f>'Batch2 - S0 Smolts'!R69</f>
        <v>45702.555357776269</v>
      </c>
      <c r="AV63" s="522">
        <f>'Batch2 - S0 Smolts'!S69</f>
        <v>1691.837251031882</v>
      </c>
      <c r="AW63" s="522">
        <f>'Batch2 - S0 Smolts'!T69</f>
        <v>0</v>
      </c>
      <c r="AX63" s="522">
        <f>'Batch2 - S0 Smolts'!U69</f>
        <v>0</v>
      </c>
      <c r="AY63" s="522">
        <f>'Batch2 - S0 Smolts'!V69</f>
        <v>0</v>
      </c>
      <c r="AZ63" s="756">
        <f>'Batch2 - S0 Smolts'!W69</f>
        <v>0</v>
      </c>
      <c r="BA63" s="522">
        <f>'Batch2 - S0 Smolts'!X97</f>
        <v>0</v>
      </c>
      <c r="BB63" s="522">
        <f>'Batch2 - S0 Smolts'!Y97</f>
        <v>0</v>
      </c>
      <c r="BC63" s="522">
        <f>'Batch2 - S0 Smolts'!Z97</f>
        <v>0</v>
      </c>
      <c r="BD63" s="522">
        <f>'Batch2 - S0 Smolts'!AA97</f>
        <v>0</v>
      </c>
      <c r="BE63" s="522">
        <f>'Batch2 - S0 Smolts'!AB97</f>
        <v>0</v>
      </c>
      <c r="BF63" s="522">
        <f>'Batch2 - S0 Smolts'!AC97</f>
        <v>0</v>
      </c>
      <c r="BG63" s="522">
        <f>'Batch2 - S0 Smolts'!AD97</f>
        <v>0</v>
      </c>
      <c r="BH63" s="310"/>
      <c r="BI63" s="310"/>
      <c r="BJ63" s="310"/>
      <c r="BK63" s="310"/>
      <c r="BL63" s="311"/>
      <c r="BM63" s="280"/>
      <c r="BN63" s="310"/>
      <c r="BO63" s="310"/>
      <c r="BP63" s="310"/>
      <c r="BQ63" s="310"/>
      <c r="BR63" s="310"/>
      <c r="BS63" s="310"/>
      <c r="BT63" s="310"/>
      <c r="BU63" s="310"/>
      <c r="BV63" s="310"/>
      <c r="BW63" s="310"/>
      <c r="BX63" s="311"/>
      <c r="BY63" s="280"/>
      <c r="BZ63" s="310"/>
      <c r="CA63" s="310"/>
      <c r="CB63" s="310"/>
      <c r="CC63" s="310"/>
      <c r="CD63" s="310"/>
      <c r="CE63" s="310"/>
      <c r="CF63" s="310"/>
      <c r="CG63" s="310"/>
      <c r="CH63" s="310"/>
      <c r="CI63" s="310"/>
      <c r="CJ63" s="311"/>
      <c r="CK63" s="280"/>
      <c r="CL63" s="310"/>
      <c r="CM63" s="310"/>
      <c r="CN63" s="310"/>
      <c r="CO63" s="310"/>
      <c r="CP63" s="310"/>
      <c r="CQ63" s="310"/>
      <c r="CR63" s="310"/>
      <c r="CS63" s="310"/>
      <c r="CT63" s="310"/>
      <c r="CU63" s="310"/>
      <c r="CV63" s="311"/>
      <c r="CW63" s="280"/>
      <c r="CX63" s="310"/>
      <c r="CY63" s="310"/>
      <c r="CZ63" s="310"/>
      <c r="DA63" s="310"/>
      <c r="DB63" s="310"/>
      <c r="DC63" s="310"/>
      <c r="DD63" s="310"/>
      <c r="DE63" s="310"/>
      <c r="DF63" s="310"/>
      <c r="DG63" s="310"/>
      <c r="DH63" s="311"/>
      <c r="DI63" s="280"/>
      <c r="DJ63" s="310"/>
      <c r="DK63" s="310"/>
      <c r="DL63" s="310"/>
      <c r="DM63" s="310"/>
      <c r="DN63" s="310"/>
      <c r="DO63" s="310"/>
      <c r="DP63" s="310"/>
      <c r="DQ63" s="310"/>
      <c r="DR63" s="310"/>
      <c r="DS63" s="310"/>
      <c r="DT63" s="311"/>
      <c r="DU63" s="3"/>
    </row>
    <row r="64" spans="2:125" ht="15" x14ac:dyDescent="0.25">
      <c r="B64" s="514" t="s">
        <v>386</v>
      </c>
      <c r="C64" s="515"/>
      <c r="D64" s="516"/>
      <c r="E64" s="517"/>
      <c r="F64" s="348"/>
      <c r="G64" s="348"/>
      <c r="H64" s="348"/>
      <c r="I64" s="348"/>
      <c r="J64" s="348"/>
      <c r="K64" s="348"/>
      <c r="L64" s="348"/>
      <c r="M64" s="348"/>
      <c r="N64" s="348"/>
      <c r="O64" s="348"/>
      <c r="P64" s="518"/>
      <c r="Q64" s="790"/>
      <c r="R64" s="522"/>
      <c r="S64" s="522"/>
      <c r="T64" s="522"/>
      <c r="U64" s="522"/>
      <c r="V64" s="522"/>
      <c r="W64" s="522"/>
      <c r="X64" s="522"/>
      <c r="Y64" s="522"/>
      <c r="Z64" s="522"/>
      <c r="AA64" s="522"/>
      <c r="AB64" s="756"/>
      <c r="AC64" s="522"/>
      <c r="AD64" s="522"/>
      <c r="AE64" s="522"/>
      <c r="AF64" s="522"/>
      <c r="AG64" s="522"/>
      <c r="AH64" s="522"/>
      <c r="AI64" s="522"/>
      <c r="AJ64" s="522">
        <f>'Batch 3 - S1 Smolts'!D69</f>
        <v>27187.336120057105</v>
      </c>
      <c r="AK64" s="522">
        <f>'Batch 3 - S1 Smolts'!E69</f>
        <v>30990.525100396961</v>
      </c>
      <c r="AL64" s="522">
        <f>'Batch 3 - S1 Smolts'!F69</f>
        <v>31192.749284137219</v>
      </c>
      <c r="AM64" s="522">
        <f>'Batch 3 - S1 Smolts'!G69</f>
        <v>34673.187901738806</v>
      </c>
      <c r="AN64" s="756">
        <f>'Batch 3 - S1 Smolts'!H69</f>
        <v>27910.227003393684</v>
      </c>
      <c r="AO64" s="522">
        <f>'Batch 3 - S1 Smolts'!I69</f>
        <v>44012.013384947255</v>
      </c>
      <c r="AP64" s="522">
        <f>'Batch 3 - S1 Smolts'!J69</f>
        <v>57923.128637325659</v>
      </c>
      <c r="AQ64" s="522">
        <f>'Batch 3 - S1 Smolts'!K69</f>
        <v>76095.385460874633</v>
      </c>
      <c r="AR64" s="522">
        <f>'Batch 3 - S1 Smolts'!L69</f>
        <v>78343.204064779842</v>
      </c>
      <c r="AS64" s="522">
        <f>'Batch 3 - S1 Smolts'!M69</f>
        <v>85436.211253990652</v>
      </c>
      <c r="AT64" s="522">
        <f>'Batch 3 - S1 Smolts'!N69</f>
        <v>91262.414401522416</v>
      </c>
      <c r="AU64" s="522">
        <f>'Batch 3 - S1 Smolts'!O69</f>
        <v>92256.337062507591</v>
      </c>
      <c r="AV64" s="522">
        <f>'Batch 3 - S1 Smolts'!P69</f>
        <v>102152.10950742623</v>
      </c>
      <c r="AW64" s="522">
        <f>'Batch 3 - S1 Smolts'!Q69</f>
        <v>89785.099620540845</v>
      </c>
      <c r="AX64" s="522">
        <f>'Batch 3 - S1 Smolts'!R69</f>
        <v>50647.618974347381</v>
      </c>
      <c r="AY64" s="522">
        <f>'Batch 3 - S1 Smolts'!S69</f>
        <v>8539.772239665821</v>
      </c>
      <c r="AZ64" s="756">
        <f>'Batch 3 - S1 Smolts'!T69</f>
        <v>0</v>
      </c>
      <c r="BA64" s="522"/>
      <c r="BB64" s="522">
        <f>'Batch 3 - S1 Smolts'!V69</f>
        <v>0</v>
      </c>
      <c r="BC64" s="522">
        <f>'Batch 3 - S1 Smolts'!W69</f>
        <v>0</v>
      </c>
      <c r="BD64" s="522">
        <f>'Batch 3 - S1 Smolts'!X69</f>
        <v>0</v>
      </c>
      <c r="BE64" s="522">
        <f>'Batch 3 - S1 Smolts'!Y69</f>
        <v>0</v>
      </c>
      <c r="BF64" s="522">
        <f>'Batch 3 - S1 Smolts'!Z69</f>
        <v>0</v>
      </c>
      <c r="BG64" s="522">
        <f>'Batch 3 - S1 Smolts'!AA69</f>
        <v>0</v>
      </c>
      <c r="BH64" s="310"/>
      <c r="BI64" s="310"/>
      <c r="BJ64" s="310"/>
      <c r="BK64" s="310"/>
      <c r="BL64" s="311"/>
      <c r="BM64" s="280"/>
      <c r="BN64" s="310"/>
      <c r="BO64" s="310"/>
      <c r="BP64" s="310"/>
      <c r="BQ64" s="310"/>
      <c r="BR64" s="310"/>
      <c r="BS64" s="310"/>
      <c r="BT64" s="310"/>
      <c r="BU64" s="310"/>
      <c r="BV64" s="310"/>
      <c r="BW64" s="310"/>
      <c r="BX64" s="311"/>
      <c r="BY64" s="280"/>
      <c r="BZ64" s="310"/>
      <c r="CA64" s="310"/>
      <c r="CB64" s="310"/>
      <c r="CC64" s="310"/>
      <c r="CD64" s="310"/>
      <c r="CE64" s="310"/>
      <c r="CF64" s="310"/>
      <c r="CG64" s="310"/>
      <c r="CH64" s="310"/>
      <c r="CI64" s="310"/>
      <c r="CJ64" s="311"/>
      <c r="CK64" s="280"/>
      <c r="CL64" s="310"/>
      <c r="CM64" s="310"/>
      <c r="CN64" s="310"/>
      <c r="CO64" s="310"/>
      <c r="CP64" s="310"/>
      <c r="CQ64" s="310"/>
      <c r="CR64" s="310"/>
      <c r="CS64" s="310"/>
      <c r="CT64" s="310"/>
      <c r="CU64" s="310"/>
      <c r="CV64" s="311"/>
      <c r="CW64" s="280"/>
      <c r="CX64" s="310"/>
      <c r="CY64" s="310"/>
      <c r="CZ64" s="310"/>
      <c r="DA64" s="310"/>
      <c r="DB64" s="310"/>
      <c r="DC64" s="310"/>
      <c r="DD64" s="310"/>
      <c r="DE64" s="310"/>
      <c r="DF64" s="310"/>
      <c r="DG64" s="310"/>
      <c r="DH64" s="311"/>
      <c r="DI64" s="280"/>
      <c r="DJ64" s="310"/>
      <c r="DK64" s="310"/>
      <c r="DL64" s="310"/>
      <c r="DM64" s="310"/>
      <c r="DN64" s="310"/>
      <c r="DO64" s="310"/>
      <c r="DP64" s="310"/>
      <c r="DQ64" s="310"/>
      <c r="DR64" s="310"/>
      <c r="DS64" s="310"/>
      <c r="DT64" s="311"/>
      <c r="DU64" s="3"/>
    </row>
    <row r="65" spans="1:16384" ht="15" x14ac:dyDescent="0.25">
      <c r="B65" s="519" t="s">
        <v>372</v>
      </c>
      <c r="C65" s="520"/>
      <c r="D65" s="20"/>
      <c r="E65" s="521"/>
      <c r="F65" s="463"/>
      <c r="G65" s="463"/>
      <c r="H65" s="463"/>
      <c r="I65" s="463"/>
      <c r="J65" s="463"/>
      <c r="K65" s="463"/>
      <c r="L65" s="463"/>
      <c r="M65" s="683"/>
      <c r="N65" s="683"/>
      <c r="O65" s="683"/>
      <c r="P65" s="684"/>
      <c r="Q65" s="790"/>
      <c r="R65" s="522"/>
      <c r="S65" s="522">
        <f>SUM(S62:S64)</f>
        <v>0</v>
      </c>
      <c r="T65" s="522">
        <f>SUM(T62:T64)</f>
        <v>0</v>
      </c>
      <c r="U65" s="522">
        <f>SUM(U62:U64)</f>
        <v>0</v>
      </c>
      <c r="V65" s="522">
        <f>SUM(V62:V64)</f>
        <v>0</v>
      </c>
      <c r="W65" s="522">
        <f>SUM(W62:W64)</f>
        <v>0</v>
      </c>
      <c r="X65" s="522"/>
      <c r="Y65" s="522"/>
      <c r="Z65" s="522"/>
      <c r="AA65" s="522"/>
      <c r="AB65" s="756">
        <f t="shared" ref="AB65:AZ65" si="48">SUM(AB62:AB64)</f>
        <v>0</v>
      </c>
      <c r="AC65" s="522">
        <f t="shared" si="48"/>
        <v>0</v>
      </c>
      <c r="AD65" s="522">
        <f t="shared" si="48"/>
        <v>12730.319548162888</v>
      </c>
      <c r="AE65" s="522">
        <f t="shared" si="48"/>
        <v>21920.214076572483</v>
      </c>
      <c r="AF65" s="522">
        <f t="shared" si="48"/>
        <v>30655.719745929007</v>
      </c>
      <c r="AG65" s="522">
        <f t="shared" si="48"/>
        <v>64260.81235625963</v>
      </c>
      <c r="AH65" s="522">
        <f t="shared" si="48"/>
        <v>86859.84122322395</v>
      </c>
      <c r="AI65" s="522">
        <f t="shared" si="48"/>
        <v>104934.17012329849</v>
      </c>
      <c r="AJ65" s="522">
        <f t="shared" si="48"/>
        <v>142865.76710760177</v>
      </c>
      <c r="AK65" s="522">
        <f t="shared" si="48"/>
        <v>142821.26703252958</v>
      </c>
      <c r="AL65" s="522">
        <f t="shared" si="48"/>
        <v>135056.34643131678</v>
      </c>
      <c r="AM65" s="522">
        <f t="shared" si="48"/>
        <v>139099.23403028841</v>
      </c>
      <c r="AN65" s="756">
        <f t="shared" si="48"/>
        <v>106996.19871761937</v>
      </c>
      <c r="AO65" s="522">
        <f t="shared" si="48"/>
        <v>165798.92581768552</v>
      </c>
      <c r="AP65" s="522">
        <f t="shared" si="48"/>
        <v>211898.88061896103</v>
      </c>
      <c r="AQ65" s="522">
        <f t="shared" si="48"/>
        <v>246702.5827357886</v>
      </c>
      <c r="AR65" s="522">
        <f t="shared" si="48"/>
        <v>217023.40897529974</v>
      </c>
      <c r="AS65" s="522">
        <f t="shared" si="48"/>
        <v>171155.55570503033</v>
      </c>
      <c r="AT65" s="522">
        <f t="shared" si="48"/>
        <v>176225.74747666001</v>
      </c>
      <c r="AU65" s="522">
        <f t="shared" si="48"/>
        <v>137958.89242028387</v>
      </c>
      <c r="AV65" s="522">
        <f t="shared" si="48"/>
        <v>103843.94675845811</v>
      </c>
      <c r="AW65" s="522">
        <f t="shared" si="48"/>
        <v>89785.099620540845</v>
      </c>
      <c r="AX65" s="522">
        <f t="shared" si="48"/>
        <v>50647.618974347381</v>
      </c>
      <c r="AY65" s="522">
        <f t="shared" si="48"/>
        <v>8539.772239665821</v>
      </c>
      <c r="AZ65" s="756">
        <f t="shared" si="48"/>
        <v>0</v>
      </c>
      <c r="BA65" s="522"/>
      <c r="BB65" s="310"/>
      <c r="BC65" s="310"/>
      <c r="BD65" s="310"/>
      <c r="BE65" s="310"/>
      <c r="BF65" s="310"/>
      <c r="BG65" s="310"/>
      <c r="BH65" s="310"/>
      <c r="BI65" s="310"/>
      <c r="BJ65" s="310"/>
      <c r="BK65" s="310"/>
      <c r="BL65" s="311"/>
      <c r="BM65" s="280"/>
      <c r="BN65" s="310"/>
      <c r="BO65" s="310"/>
      <c r="BP65" s="310"/>
      <c r="BQ65" s="310"/>
      <c r="BR65" s="310"/>
      <c r="BS65" s="310"/>
      <c r="BT65" s="310"/>
      <c r="BU65" s="310"/>
      <c r="BV65" s="310"/>
      <c r="BW65" s="310"/>
      <c r="BX65" s="311"/>
      <c r="BY65" s="280"/>
      <c r="BZ65" s="310"/>
      <c r="CA65" s="310"/>
      <c r="CB65" s="310"/>
      <c r="CC65" s="310"/>
      <c r="CD65" s="310"/>
      <c r="CE65" s="310"/>
      <c r="CF65" s="310"/>
      <c r="CG65" s="310"/>
      <c r="CH65" s="310"/>
      <c r="CI65" s="310"/>
      <c r="CJ65" s="311"/>
      <c r="CK65" s="280"/>
      <c r="CL65" s="310"/>
      <c r="CM65" s="310"/>
      <c r="CN65" s="310"/>
      <c r="CO65" s="310"/>
      <c r="CP65" s="310"/>
      <c r="CQ65" s="310"/>
      <c r="CR65" s="310"/>
      <c r="CS65" s="310"/>
      <c r="CT65" s="310"/>
      <c r="CU65" s="310"/>
      <c r="CV65" s="311"/>
      <c r="CW65" s="280"/>
      <c r="CX65" s="310"/>
      <c r="CY65" s="310"/>
      <c r="CZ65" s="310"/>
      <c r="DA65" s="310"/>
      <c r="DB65" s="310"/>
      <c r="DC65" s="310"/>
      <c r="DD65" s="310"/>
      <c r="DE65" s="310"/>
      <c r="DF65" s="310"/>
      <c r="DG65" s="310"/>
      <c r="DH65" s="311"/>
      <c r="DI65" s="280"/>
      <c r="DJ65" s="310"/>
      <c r="DK65" s="310"/>
      <c r="DL65" s="310"/>
      <c r="DM65" s="310"/>
      <c r="DN65" s="310"/>
      <c r="DO65" s="310"/>
      <c r="DP65" s="310"/>
      <c r="DQ65" s="310"/>
      <c r="DR65" s="310"/>
      <c r="DS65" s="310"/>
      <c r="DT65" s="311"/>
      <c r="DU65" s="3"/>
    </row>
    <row r="66" spans="1:16384" ht="15" x14ac:dyDescent="0.25">
      <c r="B66" s="519" t="s">
        <v>387</v>
      </c>
      <c r="C66" s="520">
        <v>1</v>
      </c>
      <c r="D66" s="20"/>
      <c r="E66" s="521"/>
      <c r="F66" s="463"/>
      <c r="G66" s="463"/>
      <c r="H66" s="463"/>
      <c r="I66" s="463"/>
      <c r="J66" s="463"/>
      <c r="K66" s="463"/>
      <c r="L66" s="463"/>
      <c r="M66" s="463"/>
      <c r="N66" s="463"/>
      <c r="O66" s="463"/>
      <c r="P66" s="487"/>
      <c r="Q66" s="790"/>
      <c r="R66" s="522"/>
      <c r="S66" s="522"/>
      <c r="T66" s="522"/>
      <c r="U66" s="522"/>
      <c r="V66" s="522"/>
      <c r="W66" s="522"/>
      <c r="X66" s="522"/>
      <c r="Y66" s="522"/>
      <c r="Z66" s="522"/>
      <c r="AA66" s="522"/>
      <c r="AB66" s="311"/>
      <c r="AC66" s="280">
        <f t="shared" ref="AC66:BP66" si="49">Q65*$C66</f>
        <v>0</v>
      </c>
      <c r="AD66" s="280">
        <f t="shared" si="49"/>
        <v>0</v>
      </c>
      <c r="AE66" s="280">
        <f t="shared" si="49"/>
        <v>0</v>
      </c>
      <c r="AF66" s="280">
        <f t="shared" si="49"/>
        <v>0</v>
      </c>
      <c r="AG66" s="280">
        <f t="shared" si="49"/>
        <v>0</v>
      </c>
      <c r="AH66" s="280">
        <f t="shared" si="49"/>
        <v>0</v>
      </c>
      <c r="AI66" s="280">
        <f t="shared" si="49"/>
        <v>0</v>
      </c>
      <c r="AJ66" s="280">
        <f t="shared" si="49"/>
        <v>0</v>
      </c>
      <c r="AK66" s="280">
        <f t="shared" si="49"/>
        <v>0</v>
      </c>
      <c r="AL66" s="280">
        <f t="shared" si="49"/>
        <v>0</v>
      </c>
      <c r="AM66" s="280">
        <f t="shared" si="49"/>
        <v>0</v>
      </c>
      <c r="AN66" s="731">
        <f t="shared" si="49"/>
        <v>0</v>
      </c>
      <c r="AO66" s="280">
        <f t="shared" si="49"/>
        <v>0</v>
      </c>
      <c r="AP66" s="280">
        <f t="shared" si="49"/>
        <v>12730.319548162888</v>
      </c>
      <c r="AQ66" s="280">
        <f t="shared" si="49"/>
        <v>21920.214076572483</v>
      </c>
      <c r="AR66" s="280">
        <f t="shared" si="49"/>
        <v>30655.719745929007</v>
      </c>
      <c r="AS66" s="280">
        <f t="shared" si="49"/>
        <v>64260.81235625963</v>
      </c>
      <c r="AT66" s="280">
        <f t="shared" si="49"/>
        <v>86859.84122322395</v>
      </c>
      <c r="AU66" s="280">
        <f t="shared" si="49"/>
        <v>104934.17012329849</v>
      </c>
      <c r="AV66" s="280">
        <f t="shared" si="49"/>
        <v>142865.76710760177</v>
      </c>
      <c r="AW66" s="280">
        <f t="shared" si="49"/>
        <v>142821.26703252958</v>
      </c>
      <c r="AX66" s="280">
        <f t="shared" si="49"/>
        <v>135056.34643131678</v>
      </c>
      <c r="AY66" s="280">
        <f t="shared" si="49"/>
        <v>139099.23403028841</v>
      </c>
      <c r="AZ66" s="731">
        <f t="shared" si="49"/>
        <v>106996.19871761937</v>
      </c>
      <c r="BA66" s="731">
        <f t="shared" si="49"/>
        <v>165798.92581768552</v>
      </c>
      <c r="BB66" s="731">
        <f t="shared" si="49"/>
        <v>211898.88061896103</v>
      </c>
      <c r="BC66" s="731">
        <f t="shared" si="49"/>
        <v>246702.5827357886</v>
      </c>
      <c r="BD66" s="731">
        <f t="shared" si="49"/>
        <v>217023.40897529974</v>
      </c>
      <c r="BE66" s="731">
        <f t="shared" si="49"/>
        <v>171155.55570503033</v>
      </c>
      <c r="BF66" s="731">
        <f t="shared" si="49"/>
        <v>176225.74747666001</v>
      </c>
      <c r="BG66" s="731">
        <f t="shared" si="49"/>
        <v>137958.89242028387</v>
      </c>
      <c r="BH66" s="731">
        <f t="shared" si="49"/>
        <v>103843.94675845811</v>
      </c>
      <c r="BI66" s="731">
        <f t="shared" si="49"/>
        <v>89785.099620540845</v>
      </c>
      <c r="BJ66" s="731">
        <f t="shared" si="49"/>
        <v>50647.618974347381</v>
      </c>
      <c r="BK66" s="731">
        <f t="shared" si="49"/>
        <v>8539.772239665821</v>
      </c>
      <c r="BL66" s="731">
        <f t="shared" si="49"/>
        <v>0</v>
      </c>
      <c r="BM66" s="731">
        <f t="shared" si="49"/>
        <v>0</v>
      </c>
      <c r="BN66" s="731">
        <f t="shared" si="49"/>
        <v>0</v>
      </c>
      <c r="BO66" s="731">
        <f t="shared" si="49"/>
        <v>0</v>
      </c>
      <c r="BP66" s="731">
        <f t="shared" si="49"/>
        <v>0</v>
      </c>
      <c r="BQ66" s="310"/>
      <c r="BR66" s="310"/>
      <c r="BS66" s="310"/>
      <c r="BT66" s="310"/>
      <c r="BU66" s="310"/>
      <c r="BV66" s="310"/>
      <c r="BW66" s="310"/>
      <c r="BX66" s="311"/>
      <c r="BY66" s="280"/>
      <c r="BZ66" s="310"/>
      <c r="CA66" s="310"/>
      <c r="CB66" s="310"/>
      <c r="CC66" s="310"/>
      <c r="CD66" s="310"/>
      <c r="CE66" s="310"/>
      <c r="CF66" s="310"/>
      <c r="CG66" s="310"/>
      <c r="CH66" s="310"/>
      <c r="CI66" s="310"/>
      <c r="CJ66" s="311"/>
      <c r="CK66" s="280"/>
      <c r="CL66" s="310"/>
      <c r="CM66" s="310"/>
      <c r="CN66" s="310"/>
      <c r="CO66" s="310"/>
      <c r="CP66" s="310"/>
      <c r="CQ66" s="310"/>
      <c r="CR66" s="310"/>
      <c r="CS66" s="310"/>
      <c r="CT66" s="310"/>
      <c r="CU66" s="310"/>
      <c r="CV66" s="311"/>
      <c r="CW66" s="280"/>
      <c r="CX66" s="310"/>
      <c r="CY66" s="310"/>
      <c r="CZ66" s="310"/>
      <c r="DA66" s="310"/>
      <c r="DB66" s="310"/>
      <c r="DC66" s="310"/>
      <c r="DD66" s="310"/>
      <c r="DE66" s="310"/>
      <c r="DF66" s="310"/>
      <c r="DG66" s="310"/>
      <c r="DH66" s="311"/>
      <c r="DI66" s="280"/>
      <c r="DJ66" s="310"/>
      <c r="DK66" s="310"/>
      <c r="DL66" s="310"/>
      <c r="DM66" s="310"/>
      <c r="DN66" s="310"/>
      <c r="DO66" s="310"/>
      <c r="DP66" s="310"/>
      <c r="DQ66" s="310"/>
      <c r="DR66" s="310"/>
      <c r="DS66" s="310"/>
      <c r="DT66" s="311"/>
      <c r="DU66" s="3"/>
    </row>
    <row r="67" spans="1:16384" ht="15" x14ac:dyDescent="0.25">
      <c r="B67" s="519" t="s">
        <v>388</v>
      </c>
      <c r="C67" s="520">
        <v>1</v>
      </c>
      <c r="D67" s="20"/>
      <c r="E67" s="521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87"/>
      <c r="Q67" s="790"/>
      <c r="R67" s="522"/>
      <c r="S67" s="522"/>
      <c r="T67" s="522"/>
      <c r="U67" s="522"/>
      <c r="V67" s="522"/>
      <c r="W67" s="522"/>
      <c r="X67" s="522"/>
      <c r="Y67" s="522"/>
      <c r="Z67" s="522"/>
      <c r="AA67" s="522"/>
      <c r="AB67" s="756"/>
      <c r="AC67" s="522"/>
      <c r="AD67" s="310"/>
      <c r="AE67" s="310"/>
      <c r="AF67" s="310"/>
      <c r="AG67" s="310"/>
      <c r="AH67" s="310"/>
      <c r="AI67" s="310"/>
      <c r="AJ67" s="310"/>
      <c r="AK67" s="310"/>
      <c r="AL67" s="310"/>
      <c r="AM67" s="310"/>
      <c r="AN67" s="311"/>
      <c r="AO67" s="280">
        <f t="shared" ref="AO67:CJ67" si="50">Q65*$C66</f>
        <v>0</v>
      </c>
      <c r="AP67" s="280">
        <f t="shared" si="50"/>
        <v>0</v>
      </c>
      <c r="AQ67" s="280">
        <f t="shared" si="50"/>
        <v>0</v>
      </c>
      <c r="AR67" s="280">
        <f t="shared" si="50"/>
        <v>0</v>
      </c>
      <c r="AS67" s="280">
        <f t="shared" si="50"/>
        <v>0</v>
      </c>
      <c r="AT67" s="280">
        <f t="shared" si="50"/>
        <v>0</v>
      </c>
      <c r="AU67" s="280">
        <f t="shared" si="50"/>
        <v>0</v>
      </c>
      <c r="AV67" s="280">
        <f t="shared" si="50"/>
        <v>0</v>
      </c>
      <c r="AW67" s="280">
        <f t="shared" si="50"/>
        <v>0</v>
      </c>
      <c r="AX67" s="280">
        <f t="shared" si="50"/>
        <v>0</v>
      </c>
      <c r="AY67" s="280">
        <f t="shared" si="50"/>
        <v>0</v>
      </c>
      <c r="AZ67" s="731">
        <f t="shared" si="50"/>
        <v>0</v>
      </c>
      <c r="BA67" s="280">
        <f t="shared" si="50"/>
        <v>0</v>
      </c>
      <c r="BB67" s="280">
        <f t="shared" si="50"/>
        <v>12730.319548162888</v>
      </c>
      <c r="BC67" s="280">
        <f t="shared" si="50"/>
        <v>21920.214076572483</v>
      </c>
      <c r="BD67" s="280">
        <f t="shared" si="50"/>
        <v>30655.719745929007</v>
      </c>
      <c r="BE67" s="280">
        <f t="shared" si="50"/>
        <v>64260.81235625963</v>
      </c>
      <c r="BF67" s="280">
        <f t="shared" si="50"/>
        <v>86859.84122322395</v>
      </c>
      <c r="BG67" s="280">
        <f t="shared" si="50"/>
        <v>104934.17012329849</v>
      </c>
      <c r="BH67" s="280">
        <f t="shared" si="50"/>
        <v>142865.76710760177</v>
      </c>
      <c r="BI67" s="280">
        <f t="shared" si="50"/>
        <v>142821.26703252958</v>
      </c>
      <c r="BJ67" s="280">
        <f t="shared" si="50"/>
        <v>135056.34643131678</v>
      </c>
      <c r="BK67" s="280">
        <f t="shared" si="50"/>
        <v>139099.23403028841</v>
      </c>
      <c r="BL67" s="731">
        <f t="shared" si="50"/>
        <v>106996.19871761937</v>
      </c>
      <c r="BM67" s="280">
        <f t="shared" si="50"/>
        <v>165798.92581768552</v>
      </c>
      <c r="BN67" s="280">
        <f t="shared" si="50"/>
        <v>211898.88061896103</v>
      </c>
      <c r="BO67" s="280">
        <f t="shared" si="50"/>
        <v>246702.5827357886</v>
      </c>
      <c r="BP67" s="280">
        <f t="shared" si="50"/>
        <v>217023.40897529974</v>
      </c>
      <c r="BQ67" s="280">
        <f t="shared" si="50"/>
        <v>171155.55570503033</v>
      </c>
      <c r="BR67" s="280">
        <f t="shared" si="50"/>
        <v>176225.74747666001</v>
      </c>
      <c r="BS67" s="280">
        <f t="shared" si="50"/>
        <v>137958.89242028387</v>
      </c>
      <c r="BT67" s="280">
        <f t="shared" si="50"/>
        <v>103843.94675845811</v>
      </c>
      <c r="BU67" s="280">
        <f t="shared" si="50"/>
        <v>89785.099620540845</v>
      </c>
      <c r="BV67" s="280">
        <f t="shared" si="50"/>
        <v>50647.618974347381</v>
      </c>
      <c r="BW67" s="280">
        <f t="shared" si="50"/>
        <v>8539.772239665821</v>
      </c>
      <c r="BX67" s="731">
        <f t="shared" si="50"/>
        <v>0</v>
      </c>
      <c r="BY67" s="280">
        <f t="shared" si="50"/>
        <v>0</v>
      </c>
      <c r="BZ67" s="280">
        <f t="shared" si="50"/>
        <v>0</v>
      </c>
      <c r="CA67" s="280">
        <f t="shared" si="50"/>
        <v>0</v>
      </c>
      <c r="CB67" s="280">
        <f t="shared" si="50"/>
        <v>0</v>
      </c>
      <c r="CC67" s="280">
        <f t="shared" si="50"/>
        <v>0</v>
      </c>
      <c r="CD67" s="280">
        <f t="shared" si="50"/>
        <v>0</v>
      </c>
      <c r="CE67" s="280">
        <f t="shared" si="50"/>
        <v>0</v>
      </c>
      <c r="CF67" s="280">
        <f t="shared" si="50"/>
        <v>0</v>
      </c>
      <c r="CG67" s="280">
        <f t="shared" si="50"/>
        <v>0</v>
      </c>
      <c r="CH67" s="280">
        <f t="shared" si="50"/>
        <v>0</v>
      </c>
      <c r="CI67" s="280">
        <f t="shared" si="50"/>
        <v>0</v>
      </c>
      <c r="CJ67" s="731">
        <f t="shared" si="50"/>
        <v>0</v>
      </c>
      <c r="CK67" s="280"/>
      <c r="CL67" s="310"/>
      <c r="CM67" s="310"/>
      <c r="CN67" s="310"/>
      <c r="CO67" s="310"/>
      <c r="CP67" s="310"/>
      <c r="CQ67" s="310"/>
      <c r="CR67" s="310"/>
      <c r="CS67" s="310"/>
      <c r="CT67" s="310"/>
      <c r="CU67" s="310"/>
      <c r="CV67" s="311"/>
      <c r="CW67" s="280"/>
      <c r="CX67" s="310"/>
      <c r="CY67" s="310"/>
      <c r="CZ67" s="310"/>
      <c r="DA67" s="310"/>
      <c r="DB67" s="310"/>
      <c r="DC67" s="310"/>
      <c r="DD67" s="310"/>
      <c r="DE67" s="310"/>
      <c r="DF67" s="310"/>
      <c r="DG67" s="310"/>
      <c r="DH67" s="311"/>
      <c r="DI67" s="280"/>
      <c r="DJ67" s="310"/>
      <c r="DK67" s="310"/>
      <c r="DL67" s="310"/>
      <c r="DM67" s="310"/>
      <c r="DN67" s="310"/>
      <c r="DO67" s="310"/>
      <c r="DP67" s="310"/>
      <c r="DQ67" s="310"/>
      <c r="DR67" s="310"/>
      <c r="DS67" s="310"/>
      <c r="DT67" s="311"/>
      <c r="DU67" s="3"/>
    </row>
    <row r="68" spans="1:16384" ht="15" x14ac:dyDescent="0.25">
      <c r="B68" s="519" t="s">
        <v>389</v>
      </c>
      <c r="C68" s="520">
        <v>1</v>
      </c>
      <c r="D68" s="20"/>
      <c r="E68" s="521"/>
      <c r="F68" s="463"/>
      <c r="G68" s="463"/>
      <c r="H68" s="463"/>
      <c r="I68" s="463"/>
      <c r="J68" s="463"/>
      <c r="K68" s="463"/>
      <c r="L68" s="463"/>
      <c r="M68" s="463"/>
      <c r="N68" s="463"/>
      <c r="O68" s="463"/>
      <c r="P68" s="487"/>
      <c r="Q68" s="790"/>
      <c r="R68" s="522"/>
      <c r="S68" s="522"/>
      <c r="T68" s="522"/>
      <c r="U68" s="522"/>
      <c r="V68" s="522"/>
      <c r="W68" s="522"/>
      <c r="X68" s="522"/>
      <c r="Y68" s="522"/>
      <c r="Z68" s="522"/>
      <c r="AA68" s="522"/>
      <c r="AB68" s="756"/>
      <c r="AC68" s="522"/>
      <c r="AD68" s="522"/>
      <c r="AE68" s="522"/>
      <c r="AF68" s="310"/>
      <c r="AG68" s="310"/>
      <c r="AH68" s="310"/>
      <c r="AI68" s="310"/>
      <c r="AJ68" s="310"/>
      <c r="AK68" s="310"/>
      <c r="AL68" s="310"/>
      <c r="AM68" s="310"/>
      <c r="AN68" s="311"/>
      <c r="AO68" s="280"/>
      <c r="AP68" s="310"/>
      <c r="AQ68" s="310"/>
      <c r="AR68" s="310"/>
      <c r="AS68" s="310"/>
      <c r="AT68" s="310"/>
      <c r="AU68" s="310"/>
      <c r="AV68" s="310"/>
      <c r="AW68" s="310"/>
      <c r="AX68" s="310"/>
      <c r="AY68" s="310"/>
      <c r="AZ68" s="311"/>
      <c r="BA68" s="280">
        <f t="shared" ref="BA68:CN68" si="51">Q65*$C68</f>
        <v>0</v>
      </c>
      <c r="BB68" s="280">
        <f t="shared" si="51"/>
        <v>0</v>
      </c>
      <c r="BC68" s="280">
        <f t="shared" si="51"/>
        <v>0</v>
      </c>
      <c r="BD68" s="280">
        <f t="shared" si="51"/>
        <v>0</v>
      </c>
      <c r="BE68" s="280">
        <f t="shared" si="51"/>
        <v>0</v>
      </c>
      <c r="BF68" s="280">
        <f t="shared" si="51"/>
        <v>0</v>
      </c>
      <c r="BG68" s="280">
        <f t="shared" si="51"/>
        <v>0</v>
      </c>
      <c r="BH68" s="280">
        <f t="shared" si="51"/>
        <v>0</v>
      </c>
      <c r="BI68" s="280">
        <f t="shared" si="51"/>
        <v>0</v>
      </c>
      <c r="BJ68" s="280">
        <f t="shared" si="51"/>
        <v>0</v>
      </c>
      <c r="BK68" s="280">
        <f t="shared" si="51"/>
        <v>0</v>
      </c>
      <c r="BL68" s="731">
        <f t="shared" si="51"/>
        <v>0</v>
      </c>
      <c r="BM68" s="280">
        <f t="shared" si="51"/>
        <v>0</v>
      </c>
      <c r="BN68" s="280">
        <f t="shared" si="51"/>
        <v>12730.319548162888</v>
      </c>
      <c r="BO68" s="280">
        <f t="shared" si="51"/>
        <v>21920.214076572483</v>
      </c>
      <c r="BP68" s="280">
        <f t="shared" si="51"/>
        <v>30655.719745929007</v>
      </c>
      <c r="BQ68" s="280">
        <f t="shared" si="51"/>
        <v>64260.81235625963</v>
      </c>
      <c r="BR68" s="280">
        <f t="shared" si="51"/>
        <v>86859.84122322395</v>
      </c>
      <c r="BS68" s="280">
        <f t="shared" si="51"/>
        <v>104934.17012329849</v>
      </c>
      <c r="BT68" s="280">
        <f t="shared" si="51"/>
        <v>142865.76710760177</v>
      </c>
      <c r="BU68" s="280">
        <f t="shared" si="51"/>
        <v>142821.26703252958</v>
      </c>
      <c r="BV68" s="280">
        <f t="shared" si="51"/>
        <v>135056.34643131678</v>
      </c>
      <c r="BW68" s="280">
        <f t="shared" si="51"/>
        <v>139099.23403028841</v>
      </c>
      <c r="BX68" s="731">
        <f t="shared" si="51"/>
        <v>106996.19871761937</v>
      </c>
      <c r="BY68" s="280">
        <f t="shared" si="51"/>
        <v>165798.92581768552</v>
      </c>
      <c r="BZ68" s="280">
        <f t="shared" si="51"/>
        <v>211898.88061896103</v>
      </c>
      <c r="CA68" s="280">
        <f t="shared" si="51"/>
        <v>246702.5827357886</v>
      </c>
      <c r="CB68" s="280">
        <f t="shared" si="51"/>
        <v>217023.40897529974</v>
      </c>
      <c r="CC68" s="280">
        <f t="shared" si="51"/>
        <v>171155.55570503033</v>
      </c>
      <c r="CD68" s="280">
        <f t="shared" si="51"/>
        <v>176225.74747666001</v>
      </c>
      <c r="CE68" s="280">
        <f t="shared" si="51"/>
        <v>137958.89242028387</v>
      </c>
      <c r="CF68" s="280">
        <f t="shared" si="51"/>
        <v>103843.94675845811</v>
      </c>
      <c r="CG68" s="280">
        <f t="shared" si="51"/>
        <v>89785.099620540845</v>
      </c>
      <c r="CH68" s="280">
        <f t="shared" si="51"/>
        <v>50647.618974347381</v>
      </c>
      <c r="CI68" s="280">
        <f t="shared" si="51"/>
        <v>8539.772239665821</v>
      </c>
      <c r="CJ68" s="731">
        <f t="shared" si="51"/>
        <v>0</v>
      </c>
      <c r="CK68" s="280">
        <f t="shared" si="51"/>
        <v>0</v>
      </c>
      <c r="CL68" s="280">
        <f t="shared" si="51"/>
        <v>0</v>
      </c>
      <c r="CM68" s="280">
        <f t="shared" si="51"/>
        <v>0</v>
      </c>
      <c r="CN68" s="280">
        <f t="shared" si="51"/>
        <v>0</v>
      </c>
      <c r="CO68" s="310"/>
      <c r="CP68" s="310"/>
      <c r="CQ68" s="310"/>
      <c r="CR68" s="310"/>
      <c r="CS68" s="310"/>
      <c r="CT68" s="310"/>
      <c r="CU68" s="310"/>
      <c r="CV68" s="311"/>
      <c r="CW68" s="280"/>
      <c r="CX68" s="310"/>
      <c r="CY68" s="310"/>
      <c r="CZ68" s="310"/>
      <c r="DA68" s="310"/>
      <c r="DB68" s="310"/>
      <c r="DC68" s="310"/>
      <c r="DD68" s="310"/>
      <c r="DE68" s="310"/>
      <c r="DF68" s="310"/>
      <c r="DG68" s="310"/>
      <c r="DH68" s="311"/>
      <c r="DI68" s="280"/>
      <c r="DJ68" s="310"/>
      <c r="DK68" s="310"/>
      <c r="DL68" s="310"/>
      <c r="DM68" s="310"/>
      <c r="DN68" s="310"/>
      <c r="DO68" s="310"/>
      <c r="DP68" s="310"/>
      <c r="DQ68" s="310"/>
      <c r="DR68" s="310"/>
      <c r="DS68" s="310"/>
      <c r="DT68" s="311"/>
      <c r="DU68" s="3"/>
    </row>
    <row r="69" spans="1:16384" ht="15" x14ac:dyDescent="0.25">
      <c r="B69" s="519" t="s">
        <v>390</v>
      </c>
      <c r="C69" s="520">
        <v>1</v>
      </c>
      <c r="D69" s="20"/>
      <c r="E69" s="521"/>
      <c r="F69" s="463"/>
      <c r="G69" s="463"/>
      <c r="H69" s="463"/>
      <c r="I69" s="463"/>
      <c r="J69" s="463"/>
      <c r="K69" s="463"/>
      <c r="L69" s="463"/>
      <c r="M69" s="463"/>
      <c r="N69" s="463"/>
      <c r="O69" s="463"/>
      <c r="P69" s="487"/>
      <c r="Q69" s="790"/>
      <c r="R69" s="310"/>
      <c r="S69" s="310"/>
      <c r="T69" s="310"/>
      <c r="U69" s="310"/>
      <c r="V69" s="310"/>
      <c r="W69" s="310"/>
      <c r="X69" s="310"/>
      <c r="Y69" s="310"/>
      <c r="Z69" s="310"/>
      <c r="AA69" s="310"/>
      <c r="AB69" s="311"/>
      <c r="AC69" s="280"/>
      <c r="AD69" s="310"/>
      <c r="AE69" s="310"/>
      <c r="AF69" s="310"/>
      <c r="AG69" s="310"/>
      <c r="AH69" s="310"/>
      <c r="AI69" s="310"/>
      <c r="AJ69" s="310"/>
      <c r="AK69" s="310"/>
      <c r="AL69" s="310"/>
      <c r="AM69" s="310"/>
      <c r="AN69" s="311"/>
      <c r="AO69" s="280"/>
      <c r="AP69" s="310"/>
      <c r="AQ69" s="310"/>
      <c r="AR69" s="310"/>
      <c r="AS69" s="310"/>
      <c r="AT69" s="310"/>
      <c r="AU69" s="310"/>
      <c r="AV69" s="310"/>
      <c r="AW69" s="310"/>
      <c r="AX69" s="310"/>
      <c r="AY69" s="310"/>
      <c r="AZ69" s="311"/>
      <c r="BA69" s="280"/>
      <c r="BB69" s="310"/>
      <c r="BC69" s="310"/>
      <c r="BD69" s="310"/>
      <c r="BE69" s="310"/>
      <c r="BF69" s="310"/>
      <c r="BG69" s="310"/>
      <c r="BH69" s="310"/>
      <c r="BI69" s="310"/>
      <c r="BJ69" s="310"/>
      <c r="BK69" s="310"/>
      <c r="BL69" s="311"/>
      <c r="BM69" s="280">
        <f t="shared" ref="BM69:CX69" si="52">Q65*$C69</f>
        <v>0</v>
      </c>
      <c r="BN69" s="280">
        <f t="shared" si="52"/>
        <v>0</v>
      </c>
      <c r="BO69" s="280">
        <f t="shared" si="52"/>
        <v>0</v>
      </c>
      <c r="BP69" s="280">
        <f t="shared" si="52"/>
        <v>0</v>
      </c>
      <c r="BQ69" s="280">
        <f t="shared" si="52"/>
        <v>0</v>
      </c>
      <c r="BR69" s="280">
        <f t="shared" si="52"/>
        <v>0</v>
      </c>
      <c r="BS69" s="280">
        <f t="shared" si="52"/>
        <v>0</v>
      </c>
      <c r="BT69" s="280">
        <f t="shared" si="52"/>
        <v>0</v>
      </c>
      <c r="BU69" s="280">
        <f t="shared" si="52"/>
        <v>0</v>
      </c>
      <c r="BV69" s="280">
        <f t="shared" si="52"/>
        <v>0</v>
      </c>
      <c r="BW69" s="280">
        <f t="shared" si="52"/>
        <v>0</v>
      </c>
      <c r="BX69" s="731">
        <f t="shared" si="52"/>
        <v>0</v>
      </c>
      <c r="BY69" s="280">
        <f t="shared" si="52"/>
        <v>0</v>
      </c>
      <c r="BZ69" s="280">
        <f t="shared" si="52"/>
        <v>12730.319548162888</v>
      </c>
      <c r="CA69" s="280">
        <f t="shared" si="52"/>
        <v>21920.214076572483</v>
      </c>
      <c r="CB69" s="280">
        <f t="shared" si="52"/>
        <v>30655.719745929007</v>
      </c>
      <c r="CC69" s="280">
        <f t="shared" si="52"/>
        <v>64260.81235625963</v>
      </c>
      <c r="CD69" s="280">
        <f t="shared" si="52"/>
        <v>86859.84122322395</v>
      </c>
      <c r="CE69" s="280">
        <f t="shared" si="52"/>
        <v>104934.17012329849</v>
      </c>
      <c r="CF69" s="280">
        <f t="shared" si="52"/>
        <v>142865.76710760177</v>
      </c>
      <c r="CG69" s="280">
        <f t="shared" si="52"/>
        <v>142821.26703252958</v>
      </c>
      <c r="CH69" s="280">
        <f t="shared" si="52"/>
        <v>135056.34643131678</v>
      </c>
      <c r="CI69" s="280">
        <f t="shared" si="52"/>
        <v>139099.23403028841</v>
      </c>
      <c r="CJ69" s="731">
        <f t="shared" si="52"/>
        <v>106996.19871761937</v>
      </c>
      <c r="CK69" s="280">
        <f t="shared" si="52"/>
        <v>165798.92581768552</v>
      </c>
      <c r="CL69" s="280">
        <f t="shared" si="52"/>
        <v>211898.88061896103</v>
      </c>
      <c r="CM69" s="280">
        <f t="shared" si="52"/>
        <v>246702.5827357886</v>
      </c>
      <c r="CN69" s="280">
        <f t="shared" si="52"/>
        <v>217023.40897529974</v>
      </c>
      <c r="CO69" s="280">
        <f t="shared" si="52"/>
        <v>171155.55570503033</v>
      </c>
      <c r="CP69" s="280">
        <f t="shared" si="52"/>
        <v>176225.74747666001</v>
      </c>
      <c r="CQ69" s="280">
        <f t="shared" si="52"/>
        <v>137958.89242028387</v>
      </c>
      <c r="CR69" s="280">
        <f t="shared" si="52"/>
        <v>103843.94675845811</v>
      </c>
      <c r="CS69" s="280">
        <f t="shared" si="52"/>
        <v>89785.099620540845</v>
      </c>
      <c r="CT69" s="280">
        <f t="shared" si="52"/>
        <v>50647.618974347381</v>
      </c>
      <c r="CU69" s="280">
        <f t="shared" si="52"/>
        <v>8539.772239665821</v>
      </c>
      <c r="CV69" s="731">
        <f t="shared" si="52"/>
        <v>0</v>
      </c>
      <c r="CW69" s="280">
        <f t="shared" si="52"/>
        <v>0</v>
      </c>
      <c r="CX69" s="280">
        <f t="shared" si="52"/>
        <v>0</v>
      </c>
      <c r="CY69" s="310"/>
      <c r="CZ69" s="310"/>
      <c r="DA69" s="310"/>
      <c r="DB69" s="310"/>
      <c r="DC69" s="310"/>
      <c r="DD69" s="310"/>
      <c r="DE69" s="310"/>
      <c r="DF69" s="310"/>
      <c r="DG69" s="310"/>
      <c r="DH69" s="311"/>
      <c r="DI69" s="280"/>
      <c r="DJ69" s="310"/>
      <c r="DK69" s="310"/>
      <c r="DL69" s="310"/>
      <c r="DM69" s="310"/>
      <c r="DN69" s="310"/>
      <c r="DO69" s="310"/>
      <c r="DP69" s="310"/>
      <c r="DQ69" s="310"/>
      <c r="DR69" s="310"/>
      <c r="DS69" s="310"/>
      <c r="DT69" s="311"/>
      <c r="DU69" s="3"/>
    </row>
    <row r="70" spans="1:16384" ht="15" x14ac:dyDescent="0.25">
      <c r="B70" s="519" t="s">
        <v>391</v>
      </c>
      <c r="C70" s="520">
        <v>1</v>
      </c>
      <c r="D70" s="20"/>
      <c r="E70" s="521"/>
      <c r="F70" s="463"/>
      <c r="G70" s="463"/>
      <c r="H70" s="463"/>
      <c r="I70" s="463"/>
      <c r="J70" s="463"/>
      <c r="K70" s="463"/>
      <c r="L70" s="463"/>
      <c r="M70" s="463"/>
      <c r="N70" s="463"/>
      <c r="O70" s="463"/>
      <c r="P70" s="487"/>
      <c r="Q70" s="790"/>
      <c r="R70" s="522"/>
      <c r="S70" s="522"/>
      <c r="T70" s="522"/>
      <c r="U70" s="522"/>
      <c r="V70" s="522"/>
      <c r="W70" s="522"/>
      <c r="X70" s="522"/>
      <c r="Y70" s="522"/>
      <c r="Z70" s="522"/>
      <c r="AA70" s="522"/>
      <c r="AB70" s="311"/>
      <c r="AC70" s="280"/>
      <c r="AD70" s="310"/>
      <c r="AE70" s="310"/>
      <c r="AF70" s="310"/>
      <c r="AG70" s="310"/>
      <c r="AH70" s="310"/>
      <c r="AI70" s="310"/>
      <c r="AJ70" s="310"/>
      <c r="AK70" s="310"/>
      <c r="AL70" s="310"/>
      <c r="AM70" s="310"/>
      <c r="AN70" s="311"/>
      <c r="AO70" s="280"/>
      <c r="AP70" s="310"/>
      <c r="AQ70" s="310"/>
      <c r="AR70" s="310"/>
      <c r="AS70" s="310"/>
      <c r="AT70" s="310"/>
      <c r="AU70" s="310"/>
      <c r="AV70" s="310"/>
      <c r="AW70" s="310"/>
      <c r="AX70" s="310"/>
      <c r="AY70" s="310"/>
      <c r="AZ70" s="311"/>
      <c r="BA70" s="280"/>
      <c r="BB70" s="310"/>
      <c r="BC70" s="310"/>
      <c r="BD70" s="310"/>
      <c r="BE70" s="310"/>
      <c r="BF70" s="310"/>
      <c r="BG70" s="310"/>
      <c r="BH70" s="310"/>
      <c r="BI70" s="310"/>
      <c r="BJ70" s="310"/>
      <c r="BK70" s="310"/>
      <c r="BL70" s="311"/>
      <c r="BM70" s="280"/>
      <c r="BN70" s="310"/>
      <c r="BO70" s="310"/>
      <c r="BP70" s="310"/>
      <c r="BQ70" s="310"/>
      <c r="BR70" s="310"/>
      <c r="BS70" s="310"/>
      <c r="BT70" s="310"/>
      <c r="BU70" s="310"/>
      <c r="BV70" s="310"/>
      <c r="BW70" s="310"/>
      <c r="BX70" s="311"/>
      <c r="BY70" s="280">
        <f t="shared" ref="BY70:DL70" si="53">Q65*$C70</f>
        <v>0</v>
      </c>
      <c r="BZ70" s="280">
        <f t="shared" si="53"/>
        <v>0</v>
      </c>
      <c r="CA70" s="280">
        <f t="shared" si="53"/>
        <v>0</v>
      </c>
      <c r="CB70" s="280">
        <f t="shared" si="53"/>
        <v>0</v>
      </c>
      <c r="CC70" s="280">
        <f t="shared" si="53"/>
        <v>0</v>
      </c>
      <c r="CD70" s="280">
        <f t="shared" si="53"/>
        <v>0</v>
      </c>
      <c r="CE70" s="280">
        <f t="shared" si="53"/>
        <v>0</v>
      </c>
      <c r="CF70" s="280">
        <f t="shared" si="53"/>
        <v>0</v>
      </c>
      <c r="CG70" s="280">
        <f t="shared" si="53"/>
        <v>0</v>
      </c>
      <c r="CH70" s="280">
        <f t="shared" si="53"/>
        <v>0</v>
      </c>
      <c r="CI70" s="280">
        <f t="shared" si="53"/>
        <v>0</v>
      </c>
      <c r="CJ70" s="731">
        <f t="shared" si="53"/>
        <v>0</v>
      </c>
      <c r="CK70" s="280">
        <f t="shared" si="53"/>
        <v>0</v>
      </c>
      <c r="CL70" s="280">
        <f t="shared" si="53"/>
        <v>12730.319548162888</v>
      </c>
      <c r="CM70" s="280">
        <f t="shared" si="53"/>
        <v>21920.214076572483</v>
      </c>
      <c r="CN70" s="280">
        <f t="shared" si="53"/>
        <v>30655.719745929007</v>
      </c>
      <c r="CO70" s="280">
        <f t="shared" si="53"/>
        <v>64260.81235625963</v>
      </c>
      <c r="CP70" s="280">
        <f t="shared" si="53"/>
        <v>86859.84122322395</v>
      </c>
      <c r="CQ70" s="280">
        <f t="shared" si="53"/>
        <v>104934.17012329849</v>
      </c>
      <c r="CR70" s="280">
        <f t="shared" si="53"/>
        <v>142865.76710760177</v>
      </c>
      <c r="CS70" s="280">
        <f t="shared" si="53"/>
        <v>142821.26703252958</v>
      </c>
      <c r="CT70" s="280">
        <f t="shared" si="53"/>
        <v>135056.34643131678</v>
      </c>
      <c r="CU70" s="280">
        <f t="shared" si="53"/>
        <v>139099.23403028841</v>
      </c>
      <c r="CV70" s="731">
        <f t="shared" si="53"/>
        <v>106996.19871761937</v>
      </c>
      <c r="CW70" s="280">
        <f t="shared" si="53"/>
        <v>165798.92581768552</v>
      </c>
      <c r="CX70" s="280">
        <f t="shared" si="53"/>
        <v>211898.88061896103</v>
      </c>
      <c r="CY70" s="280">
        <f t="shared" si="53"/>
        <v>246702.5827357886</v>
      </c>
      <c r="CZ70" s="280">
        <f t="shared" si="53"/>
        <v>217023.40897529974</v>
      </c>
      <c r="DA70" s="280">
        <f t="shared" si="53"/>
        <v>171155.55570503033</v>
      </c>
      <c r="DB70" s="280">
        <f t="shared" si="53"/>
        <v>176225.74747666001</v>
      </c>
      <c r="DC70" s="280">
        <f t="shared" si="53"/>
        <v>137958.89242028387</v>
      </c>
      <c r="DD70" s="280">
        <f t="shared" si="53"/>
        <v>103843.94675845811</v>
      </c>
      <c r="DE70" s="280">
        <f t="shared" si="53"/>
        <v>89785.099620540845</v>
      </c>
      <c r="DF70" s="280">
        <f t="shared" si="53"/>
        <v>50647.618974347381</v>
      </c>
      <c r="DG70" s="280">
        <f t="shared" si="53"/>
        <v>8539.772239665821</v>
      </c>
      <c r="DH70" s="731">
        <f t="shared" si="53"/>
        <v>0</v>
      </c>
      <c r="DI70" s="280">
        <f t="shared" si="53"/>
        <v>0</v>
      </c>
      <c r="DJ70" s="280">
        <f t="shared" si="53"/>
        <v>0</v>
      </c>
      <c r="DK70" s="280">
        <f t="shared" si="53"/>
        <v>0</v>
      </c>
      <c r="DL70" s="280">
        <f t="shared" si="53"/>
        <v>0</v>
      </c>
      <c r="DM70" s="310"/>
      <c r="DN70" s="310"/>
      <c r="DO70" s="310"/>
      <c r="DP70" s="310"/>
      <c r="DQ70" s="310"/>
      <c r="DR70" s="310"/>
      <c r="DS70" s="310"/>
      <c r="DT70" s="311"/>
      <c r="DU70" s="3"/>
    </row>
    <row r="71" spans="1:16384" ht="15" x14ac:dyDescent="0.25">
      <c r="B71" s="519" t="s">
        <v>392</v>
      </c>
      <c r="C71" s="524">
        <v>1</v>
      </c>
      <c r="D71" s="20"/>
      <c r="E71" s="525"/>
      <c r="F71" s="525"/>
      <c r="G71" s="525"/>
      <c r="H71" s="525"/>
      <c r="I71" s="525"/>
      <c r="J71" s="525"/>
      <c r="K71" s="525"/>
      <c r="L71" s="525"/>
      <c r="M71" s="525"/>
      <c r="N71" s="525"/>
      <c r="O71" s="525"/>
      <c r="P71" s="526"/>
      <c r="Q71" s="791"/>
      <c r="R71" s="405"/>
      <c r="S71" s="405"/>
      <c r="T71" s="405"/>
      <c r="U71" s="405"/>
      <c r="V71" s="405"/>
      <c r="W71" s="405"/>
      <c r="X71" s="405"/>
      <c r="Y71" s="405"/>
      <c r="Z71" s="405"/>
      <c r="AA71" s="405"/>
      <c r="AB71" s="729"/>
      <c r="AC71" s="405"/>
      <c r="AD71" s="405"/>
      <c r="AE71" s="405"/>
      <c r="AF71" s="405"/>
      <c r="AG71" s="405"/>
      <c r="AH71" s="405"/>
      <c r="AI71" s="405"/>
      <c r="AJ71" s="405"/>
      <c r="AK71" s="405"/>
      <c r="AL71" s="405"/>
      <c r="AM71" s="405"/>
      <c r="AN71" s="729"/>
      <c r="AO71" s="405"/>
      <c r="AP71" s="405"/>
      <c r="AQ71" s="405"/>
      <c r="AR71" s="405"/>
      <c r="AS71" s="405"/>
      <c r="AT71" s="405"/>
      <c r="AU71" s="405"/>
      <c r="AV71" s="405"/>
      <c r="AW71" s="405"/>
      <c r="AX71" s="405"/>
      <c r="AY71" s="405"/>
      <c r="AZ71" s="729"/>
      <c r="BA71" s="280"/>
      <c r="BB71" s="405"/>
      <c r="BC71" s="405"/>
      <c r="BD71" s="405"/>
      <c r="BE71" s="405"/>
      <c r="BF71" s="405"/>
      <c r="BG71" s="405"/>
      <c r="BH71" s="405"/>
      <c r="BI71" s="405"/>
      <c r="BJ71" s="405"/>
      <c r="BK71" s="405"/>
      <c r="BL71" s="729"/>
      <c r="BM71" s="405"/>
      <c r="BN71" s="405"/>
      <c r="BO71" s="405"/>
      <c r="BP71" s="405"/>
      <c r="BQ71" s="405"/>
      <c r="BR71" s="405"/>
      <c r="BS71" s="405"/>
      <c r="BT71" s="405"/>
      <c r="BU71" s="405"/>
      <c r="BV71" s="405"/>
      <c r="BW71" s="405"/>
      <c r="BX71" s="729"/>
      <c r="BY71" s="405"/>
      <c r="BZ71" s="405"/>
      <c r="CA71" s="405"/>
      <c r="CB71" s="405"/>
      <c r="CC71" s="405"/>
      <c r="CD71" s="405"/>
      <c r="CE71" s="405"/>
      <c r="CF71" s="405"/>
      <c r="CG71" s="405"/>
      <c r="CH71" s="405"/>
      <c r="CI71" s="405"/>
      <c r="CJ71" s="729"/>
      <c r="CK71" s="405">
        <f t="shared" ref="CK71:DT71" si="54">Q65*$C71</f>
        <v>0</v>
      </c>
      <c r="CL71" s="405">
        <f t="shared" si="54"/>
        <v>0</v>
      </c>
      <c r="CM71" s="405">
        <f t="shared" si="54"/>
        <v>0</v>
      </c>
      <c r="CN71" s="405">
        <f t="shared" si="54"/>
        <v>0</v>
      </c>
      <c r="CO71" s="405">
        <f t="shared" si="54"/>
        <v>0</v>
      </c>
      <c r="CP71" s="405">
        <f t="shared" si="54"/>
        <v>0</v>
      </c>
      <c r="CQ71" s="405">
        <f t="shared" si="54"/>
        <v>0</v>
      </c>
      <c r="CR71" s="405">
        <f t="shared" si="54"/>
        <v>0</v>
      </c>
      <c r="CS71" s="405">
        <f t="shared" si="54"/>
        <v>0</v>
      </c>
      <c r="CT71" s="405">
        <f t="shared" si="54"/>
        <v>0</v>
      </c>
      <c r="CU71" s="405">
        <f t="shared" si="54"/>
        <v>0</v>
      </c>
      <c r="CV71" s="729">
        <f t="shared" si="54"/>
        <v>0</v>
      </c>
      <c r="CW71" s="405">
        <f t="shared" si="54"/>
        <v>0</v>
      </c>
      <c r="CX71" s="405">
        <f t="shared" si="54"/>
        <v>12730.319548162888</v>
      </c>
      <c r="CY71" s="405">
        <f t="shared" si="54"/>
        <v>21920.214076572483</v>
      </c>
      <c r="CZ71" s="405">
        <f t="shared" si="54"/>
        <v>30655.719745929007</v>
      </c>
      <c r="DA71" s="405">
        <f t="shared" si="54"/>
        <v>64260.81235625963</v>
      </c>
      <c r="DB71" s="405">
        <f t="shared" si="54"/>
        <v>86859.84122322395</v>
      </c>
      <c r="DC71" s="405">
        <f t="shared" si="54"/>
        <v>104934.17012329849</v>
      </c>
      <c r="DD71" s="405">
        <f t="shared" si="54"/>
        <v>142865.76710760177</v>
      </c>
      <c r="DE71" s="405">
        <f t="shared" si="54"/>
        <v>142821.26703252958</v>
      </c>
      <c r="DF71" s="405">
        <f t="shared" si="54"/>
        <v>135056.34643131678</v>
      </c>
      <c r="DG71" s="405">
        <f t="shared" si="54"/>
        <v>139099.23403028841</v>
      </c>
      <c r="DH71" s="729">
        <f t="shared" si="54"/>
        <v>106996.19871761937</v>
      </c>
      <c r="DI71" s="405">
        <f t="shared" si="54"/>
        <v>165798.92581768552</v>
      </c>
      <c r="DJ71" s="405">
        <f t="shared" si="54"/>
        <v>211898.88061896103</v>
      </c>
      <c r="DK71" s="405">
        <f t="shared" si="54"/>
        <v>246702.5827357886</v>
      </c>
      <c r="DL71" s="405">
        <f t="shared" si="54"/>
        <v>217023.40897529974</v>
      </c>
      <c r="DM71" s="405">
        <f t="shared" si="54"/>
        <v>171155.55570503033</v>
      </c>
      <c r="DN71" s="405">
        <f t="shared" si="54"/>
        <v>176225.74747666001</v>
      </c>
      <c r="DO71" s="405">
        <f t="shared" si="54"/>
        <v>137958.89242028387</v>
      </c>
      <c r="DP71" s="405">
        <f t="shared" si="54"/>
        <v>103843.94675845811</v>
      </c>
      <c r="DQ71" s="405">
        <f t="shared" si="54"/>
        <v>89785.099620540845</v>
      </c>
      <c r="DR71" s="405">
        <f t="shared" si="54"/>
        <v>50647.618974347381</v>
      </c>
      <c r="DS71" s="405">
        <f t="shared" si="54"/>
        <v>8539.772239665821</v>
      </c>
      <c r="DT71" s="729">
        <f t="shared" si="54"/>
        <v>0</v>
      </c>
      <c r="DU71" s="3"/>
    </row>
    <row r="72" spans="1:16384" ht="15" x14ac:dyDescent="0.25">
      <c r="B72" s="519" t="s">
        <v>393</v>
      </c>
      <c r="C72" s="524">
        <v>1</v>
      </c>
      <c r="D72" s="20"/>
      <c r="E72" s="525"/>
      <c r="F72" s="525"/>
      <c r="G72" s="525"/>
      <c r="H72" s="525"/>
      <c r="I72" s="525"/>
      <c r="J72" s="525"/>
      <c r="K72" s="525"/>
      <c r="L72" s="525"/>
      <c r="M72" s="525"/>
      <c r="N72" s="525"/>
      <c r="O72" s="525"/>
      <c r="P72" s="526"/>
      <c r="Q72" s="791"/>
      <c r="R72" s="405"/>
      <c r="S72" s="405"/>
      <c r="T72" s="405"/>
      <c r="U72" s="405"/>
      <c r="V72" s="405"/>
      <c r="W72" s="405"/>
      <c r="X72" s="405"/>
      <c r="Y72" s="405"/>
      <c r="Z72" s="405"/>
      <c r="AA72" s="405"/>
      <c r="AB72" s="729"/>
      <c r="AC72" s="405"/>
      <c r="AD72" s="405"/>
      <c r="AE72" s="405"/>
      <c r="AF72" s="405"/>
      <c r="AG72" s="405"/>
      <c r="AH72" s="405"/>
      <c r="AI72" s="405"/>
      <c r="AJ72" s="405"/>
      <c r="AK72" s="405"/>
      <c r="AL72" s="405"/>
      <c r="AM72" s="405"/>
      <c r="AN72" s="729"/>
      <c r="AO72" s="405"/>
      <c r="AP72" s="405"/>
      <c r="AQ72" s="405"/>
      <c r="AR72" s="405"/>
      <c r="AS72" s="405"/>
      <c r="AT72" s="405"/>
      <c r="AU72" s="405"/>
      <c r="AV72" s="405"/>
      <c r="AW72" s="405"/>
      <c r="AX72" s="405"/>
      <c r="AY72" s="405"/>
      <c r="AZ72" s="729"/>
      <c r="BA72" s="405"/>
      <c r="BB72" s="405"/>
      <c r="BC72" s="405"/>
      <c r="BD72" s="405"/>
      <c r="BE72" s="405"/>
      <c r="BF72" s="405"/>
      <c r="BG72" s="405"/>
      <c r="BH72" s="405"/>
      <c r="BI72" s="405"/>
      <c r="BJ72" s="405"/>
      <c r="BK72" s="405"/>
      <c r="BL72" s="729"/>
      <c r="BM72" s="405"/>
      <c r="BN72" s="405"/>
      <c r="BO72" s="405"/>
      <c r="BP72" s="405"/>
      <c r="BQ72" s="405"/>
      <c r="BR72" s="405"/>
      <c r="BS72" s="405"/>
      <c r="BT72" s="405"/>
      <c r="BU72" s="405"/>
      <c r="BV72" s="405"/>
      <c r="BW72" s="405"/>
      <c r="BX72" s="729"/>
      <c r="BY72" s="405"/>
      <c r="BZ72" s="405"/>
      <c r="CA72" s="405"/>
      <c r="CB72" s="405"/>
      <c r="CC72" s="405"/>
      <c r="CD72" s="405"/>
      <c r="CE72" s="405"/>
      <c r="CF72" s="405"/>
      <c r="CG72" s="405"/>
      <c r="CH72" s="405"/>
      <c r="CI72" s="405"/>
      <c r="CJ72" s="729"/>
      <c r="CK72" s="405"/>
      <c r="CL72" s="405"/>
      <c r="CM72" s="405"/>
      <c r="CN72" s="405"/>
      <c r="CO72" s="405"/>
      <c r="CP72" s="405"/>
      <c r="CQ72" s="405"/>
      <c r="CR72" s="405"/>
      <c r="CS72" s="405"/>
      <c r="CT72" s="405"/>
      <c r="CU72" s="405"/>
      <c r="CV72" s="729"/>
      <c r="CW72" s="405">
        <f t="shared" ref="CW72:DT72" si="55">Q65*$C72</f>
        <v>0</v>
      </c>
      <c r="CX72" s="405">
        <f t="shared" si="55"/>
        <v>0</v>
      </c>
      <c r="CY72" s="405">
        <f t="shared" si="55"/>
        <v>0</v>
      </c>
      <c r="CZ72" s="405">
        <f t="shared" si="55"/>
        <v>0</v>
      </c>
      <c r="DA72" s="405">
        <f t="shared" si="55"/>
        <v>0</v>
      </c>
      <c r="DB72" s="405">
        <f t="shared" si="55"/>
        <v>0</v>
      </c>
      <c r="DC72" s="405">
        <f t="shared" si="55"/>
        <v>0</v>
      </c>
      <c r="DD72" s="405">
        <f t="shared" si="55"/>
        <v>0</v>
      </c>
      <c r="DE72" s="405">
        <f t="shared" si="55"/>
        <v>0</v>
      </c>
      <c r="DF72" s="405">
        <f t="shared" si="55"/>
        <v>0</v>
      </c>
      <c r="DG72" s="405">
        <f t="shared" si="55"/>
        <v>0</v>
      </c>
      <c r="DH72" s="729">
        <f t="shared" si="55"/>
        <v>0</v>
      </c>
      <c r="DI72" s="405">
        <f t="shared" si="55"/>
        <v>0</v>
      </c>
      <c r="DJ72" s="405">
        <f t="shared" si="55"/>
        <v>12730.319548162888</v>
      </c>
      <c r="DK72" s="405">
        <f t="shared" si="55"/>
        <v>21920.214076572483</v>
      </c>
      <c r="DL72" s="405">
        <f t="shared" si="55"/>
        <v>30655.719745929007</v>
      </c>
      <c r="DM72" s="405">
        <f t="shared" si="55"/>
        <v>64260.81235625963</v>
      </c>
      <c r="DN72" s="405">
        <f t="shared" si="55"/>
        <v>86859.84122322395</v>
      </c>
      <c r="DO72" s="405">
        <f t="shared" si="55"/>
        <v>104934.17012329849</v>
      </c>
      <c r="DP72" s="405">
        <f t="shared" si="55"/>
        <v>142865.76710760177</v>
      </c>
      <c r="DQ72" s="405">
        <f t="shared" si="55"/>
        <v>142821.26703252958</v>
      </c>
      <c r="DR72" s="405">
        <f t="shared" si="55"/>
        <v>135056.34643131678</v>
      </c>
      <c r="DS72" s="405">
        <f t="shared" si="55"/>
        <v>139099.23403028841</v>
      </c>
      <c r="DT72" s="729">
        <f t="shared" si="55"/>
        <v>106996.19871761937</v>
      </c>
      <c r="DU72" s="3"/>
    </row>
    <row r="73" spans="1:16384" ht="15" x14ac:dyDescent="0.25">
      <c r="B73" s="519" t="s">
        <v>394</v>
      </c>
      <c r="C73" s="524">
        <v>1</v>
      </c>
      <c r="D73" s="20"/>
      <c r="E73" s="406"/>
      <c r="F73" s="406"/>
      <c r="G73" s="406"/>
      <c r="H73" s="406"/>
      <c r="I73" s="406"/>
      <c r="J73" s="406"/>
      <c r="K73" s="406"/>
      <c r="L73" s="406"/>
      <c r="M73" s="406"/>
      <c r="N73" s="406"/>
      <c r="O73" s="406"/>
      <c r="P73" s="488"/>
      <c r="Q73" s="792"/>
      <c r="R73" s="312"/>
      <c r="S73" s="312"/>
      <c r="T73" s="312"/>
      <c r="U73" s="312"/>
      <c r="V73" s="312"/>
      <c r="W73" s="312"/>
      <c r="X73" s="312"/>
      <c r="Y73" s="312"/>
      <c r="Z73" s="312"/>
      <c r="AA73" s="312"/>
      <c r="AB73" s="313"/>
      <c r="AC73" s="312"/>
      <c r="AD73" s="312"/>
      <c r="AE73" s="312"/>
      <c r="AF73" s="312"/>
      <c r="AG73" s="312"/>
      <c r="AH73" s="312"/>
      <c r="AI73" s="312"/>
      <c r="AJ73" s="312"/>
      <c r="AK73" s="312"/>
      <c r="AL73" s="312"/>
      <c r="AM73" s="312"/>
      <c r="AN73" s="313"/>
      <c r="AO73" s="312"/>
      <c r="AP73" s="312"/>
      <c r="AQ73" s="312"/>
      <c r="AR73" s="312"/>
      <c r="AS73" s="312"/>
      <c r="AT73" s="312"/>
      <c r="AU73" s="312"/>
      <c r="AV73" s="312"/>
      <c r="AW73" s="312"/>
      <c r="AX73" s="312"/>
      <c r="AY73" s="312"/>
      <c r="AZ73" s="313"/>
      <c r="BA73" s="312"/>
      <c r="BB73" s="312"/>
      <c r="BC73" s="312"/>
      <c r="BD73" s="312"/>
      <c r="BE73" s="312"/>
      <c r="BF73" s="312"/>
      <c r="BG73" s="312"/>
      <c r="BH73" s="312"/>
      <c r="BI73" s="312"/>
      <c r="BJ73" s="312"/>
      <c r="BK73" s="312"/>
      <c r="BL73" s="313"/>
      <c r="BM73" s="312"/>
      <c r="BN73" s="312"/>
      <c r="BO73" s="312"/>
      <c r="BP73" s="312"/>
      <c r="BQ73" s="312"/>
      <c r="BR73" s="312"/>
      <c r="BS73" s="312"/>
      <c r="BT73" s="312"/>
      <c r="BU73" s="312"/>
      <c r="BV73" s="312"/>
      <c r="BW73" s="312"/>
      <c r="BX73" s="313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3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90"/>
      <c r="CX73" s="312"/>
      <c r="CY73" s="312"/>
      <c r="CZ73" s="312"/>
      <c r="DA73" s="312"/>
      <c r="DB73" s="312"/>
      <c r="DC73" s="312"/>
      <c r="DD73" s="312"/>
      <c r="DE73" s="312"/>
      <c r="DF73" s="312"/>
      <c r="DG73" s="312"/>
      <c r="DH73" s="313"/>
      <c r="DI73" s="312">
        <f t="shared" ref="DI73:DT73" si="56">Q65*$C73</f>
        <v>0</v>
      </c>
      <c r="DJ73" s="312">
        <f t="shared" si="56"/>
        <v>0</v>
      </c>
      <c r="DK73" s="312">
        <f t="shared" si="56"/>
        <v>0</v>
      </c>
      <c r="DL73" s="312">
        <f t="shared" si="56"/>
        <v>0</v>
      </c>
      <c r="DM73" s="312">
        <f t="shared" si="56"/>
        <v>0</v>
      </c>
      <c r="DN73" s="312">
        <f t="shared" si="56"/>
        <v>0</v>
      </c>
      <c r="DO73" s="312">
        <f t="shared" si="56"/>
        <v>0</v>
      </c>
      <c r="DP73" s="312">
        <f t="shared" si="56"/>
        <v>0</v>
      </c>
      <c r="DQ73" s="312">
        <f t="shared" si="56"/>
        <v>0</v>
      </c>
      <c r="DR73" s="312">
        <f t="shared" si="56"/>
        <v>0</v>
      </c>
      <c r="DS73" s="312">
        <f t="shared" si="56"/>
        <v>0</v>
      </c>
      <c r="DT73" s="313">
        <f t="shared" si="56"/>
        <v>0</v>
      </c>
      <c r="DU73" s="3"/>
    </row>
    <row r="74" spans="1:16384" ht="15" x14ac:dyDescent="0.25">
      <c r="B74" s="519" t="s">
        <v>395</v>
      </c>
      <c r="C74" s="524">
        <v>1</v>
      </c>
      <c r="D74" s="20"/>
      <c r="E74" s="406"/>
      <c r="F74" s="406"/>
      <c r="G74" s="406"/>
      <c r="H74" s="406"/>
      <c r="I74" s="406"/>
      <c r="J74" s="406"/>
      <c r="K74" s="406"/>
      <c r="L74" s="406"/>
      <c r="M74" s="406"/>
      <c r="N74" s="406"/>
      <c r="O74" s="406"/>
      <c r="P74" s="488"/>
      <c r="Q74" s="792"/>
      <c r="R74" s="312"/>
      <c r="S74" s="312"/>
      <c r="T74" s="312"/>
      <c r="U74" s="312"/>
      <c r="V74" s="312"/>
      <c r="W74" s="312"/>
      <c r="X74" s="312"/>
      <c r="Y74" s="312"/>
      <c r="Z74" s="312"/>
      <c r="AA74" s="312"/>
      <c r="AB74" s="313"/>
      <c r="AC74" s="312"/>
      <c r="AD74" s="312"/>
      <c r="AE74" s="312"/>
      <c r="AF74" s="312"/>
      <c r="AG74" s="312"/>
      <c r="AH74" s="312"/>
      <c r="AI74" s="312"/>
      <c r="AJ74" s="312"/>
      <c r="AK74" s="312"/>
      <c r="AL74" s="312"/>
      <c r="AM74" s="312"/>
      <c r="AN74" s="313"/>
      <c r="AO74" s="312"/>
      <c r="AP74" s="312"/>
      <c r="AQ74" s="312"/>
      <c r="AR74" s="312"/>
      <c r="AS74" s="312"/>
      <c r="AT74" s="312"/>
      <c r="AU74" s="312"/>
      <c r="AV74" s="312"/>
      <c r="AW74" s="312"/>
      <c r="AX74" s="312"/>
      <c r="AY74" s="312"/>
      <c r="AZ74" s="313"/>
      <c r="BA74" s="312"/>
      <c r="BB74" s="312"/>
      <c r="BC74" s="312"/>
      <c r="BD74" s="312"/>
      <c r="BE74" s="312"/>
      <c r="BF74" s="312"/>
      <c r="BG74" s="312"/>
      <c r="BH74" s="312"/>
      <c r="BI74" s="312"/>
      <c r="BJ74" s="312"/>
      <c r="BK74" s="312"/>
      <c r="BL74" s="313"/>
      <c r="BM74" s="312"/>
      <c r="BN74" s="312"/>
      <c r="BO74" s="312"/>
      <c r="BP74" s="312"/>
      <c r="BQ74" s="312"/>
      <c r="BR74" s="312"/>
      <c r="BS74" s="312"/>
      <c r="BT74" s="312"/>
      <c r="BU74" s="312"/>
      <c r="BV74" s="312"/>
      <c r="BW74" s="312"/>
      <c r="BX74" s="313"/>
      <c r="BY74" s="312"/>
      <c r="BZ74" s="312"/>
      <c r="CA74" s="312"/>
      <c r="CB74" s="312"/>
      <c r="CC74" s="312"/>
      <c r="CD74" s="312"/>
      <c r="CE74" s="312"/>
      <c r="CF74" s="312"/>
      <c r="CG74" s="312"/>
      <c r="CH74" s="312"/>
      <c r="CI74" s="312"/>
      <c r="CJ74" s="313"/>
      <c r="CK74" s="312"/>
      <c r="CL74" s="312"/>
      <c r="CM74" s="312"/>
      <c r="CN74" s="312"/>
      <c r="CO74" s="312"/>
      <c r="CP74" s="312"/>
      <c r="CQ74" s="312"/>
      <c r="CR74" s="312"/>
      <c r="CS74" s="312"/>
      <c r="CT74" s="312"/>
      <c r="CU74" s="312"/>
      <c r="CV74" s="313"/>
      <c r="CW74" s="390"/>
      <c r="CX74" s="312"/>
      <c r="CY74" s="312"/>
      <c r="CZ74" s="312"/>
      <c r="DA74" s="312"/>
      <c r="DB74" s="312"/>
      <c r="DC74" s="312"/>
      <c r="DD74" s="312"/>
      <c r="DE74" s="312"/>
      <c r="DF74" s="312"/>
      <c r="DG74" s="312"/>
      <c r="DH74" s="313"/>
      <c r="DI74" s="312"/>
      <c r="DJ74" s="312"/>
      <c r="DK74" s="312"/>
      <c r="DL74" s="312"/>
      <c r="DM74" s="312"/>
      <c r="DN74" s="312"/>
      <c r="DO74" s="312"/>
      <c r="DP74" s="312"/>
      <c r="DQ74" s="312"/>
      <c r="DR74" s="312"/>
      <c r="DS74" s="312"/>
      <c r="DT74" s="313"/>
      <c r="DU74" s="3"/>
    </row>
    <row r="75" spans="1:16384" ht="19.5" thickBot="1" x14ac:dyDescent="0.35">
      <c r="B75" s="161" t="s">
        <v>649</v>
      </c>
      <c r="C75" s="85"/>
      <c r="D75" s="7"/>
      <c r="E75" s="527"/>
      <c r="F75" s="527"/>
      <c r="G75" s="527"/>
      <c r="H75" s="527"/>
      <c r="I75" s="527"/>
      <c r="J75" s="527"/>
      <c r="K75" s="527">
        <f t="shared" ref="K75:P75" si="57">SUM(K62:K74)</f>
        <v>0</v>
      </c>
      <c r="L75" s="527">
        <f t="shared" si="57"/>
        <v>0</v>
      </c>
      <c r="M75" s="527">
        <f t="shared" si="57"/>
        <v>0</v>
      </c>
      <c r="N75" s="527">
        <f t="shared" si="57"/>
        <v>0</v>
      </c>
      <c r="O75" s="527">
        <f t="shared" si="57"/>
        <v>0</v>
      </c>
      <c r="P75" s="752">
        <f t="shared" si="57"/>
        <v>0</v>
      </c>
      <c r="Q75" s="793">
        <f t="shared" ref="Q75:AV75" si="58">SUM(Q65:Q74)</f>
        <v>0</v>
      </c>
      <c r="R75" s="391">
        <f t="shared" si="58"/>
        <v>0</v>
      </c>
      <c r="S75" s="391">
        <f t="shared" si="58"/>
        <v>0</v>
      </c>
      <c r="T75" s="391">
        <f t="shared" si="58"/>
        <v>0</v>
      </c>
      <c r="U75" s="391">
        <f t="shared" si="58"/>
        <v>0</v>
      </c>
      <c r="V75" s="391">
        <f t="shared" si="58"/>
        <v>0</v>
      </c>
      <c r="W75" s="391">
        <f t="shared" si="58"/>
        <v>0</v>
      </c>
      <c r="X75" s="391">
        <f t="shared" si="58"/>
        <v>0</v>
      </c>
      <c r="Y75" s="391">
        <f t="shared" si="58"/>
        <v>0</v>
      </c>
      <c r="Z75" s="391">
        <f t="shared" si="58"/>
        <v>0</v>
      </c>
      <c r="AA75" s="391">
        <f t="shared" si="58"/>
        <v>0</v>
      </c>
      <c r="AB75" s="757">
        <f t="shared" si="58"/>
        <v>0</v>
      </c>
      <c r="AC75" s="391">
        <f t="shared" si="58"/>
        <v>0</v>
      </c>
      <c r="AD75" s="391">
        <f t="shared" si="58"/>
        <v>12730.319548162888</v>
      </c>
      <c r="AE75" s="391">
        <f t="shared" si="58"/>
        <v>21920.214076572483</v>
      </c>
      <c r="AF75" s="391">
        <f t="shared" si="58"/>
        <v>30655.719745929007</v>
      </c>
      <c r="AG75" s="391">
        <f t="shared" si="58"/>
        <v>64260.81235625963</v>
      </c>
      <c r="AH75" s="391">
        <f t="shared" si="58"/>
        <v>86859.84122322395</v>
      </c>
      <c r="AI75" s="391">
        <f t="shared" si="58"/>
        <v>104934.17012329849</v>
      </c>
      <c r="AJ75" s="391">
        <f t="shared" si="58"/>
        <v>142865.76710760177</v>
      </c>
      <c r="AK75" s="391">
        <f t="shared" si="58"/>
        <v>142821.26703252958</v>
      </c>
      <c r="AL75" s="391">
        <f t="shared" si="58"/>
        <v>135056.34643131678</v>
      </c>
      <c r="AM75" s="391">
        <f t="shared" si="58"/>
        <v>139099.23403028841</v>
      </c>
      <c r="AN75" s="757">
        <f t="shared" si="58"/>
        <v>106996.19871761937</v>
      </c>
      <c r="AO75" s="391">
        <f t="shared" si="58"/>
        <v>165798.92581768552</v>
      </c>
      <c r="AP75" s="391">
        <f t="shared" si="58"/>
        <v>224629.20016712393</v>
      </c>
      <c r="AQ75" s="391">
        <f t="shared" si="58"/>
        <v>268622.79681236111</v>
      </c>
      <c r="AR75" s="391">
        <f t="shared" si="58"/>
        <v>247679.12872122874</v>
      </c>
      <c r="AS75" s="391">
        <f t="shared" si="58"/>
        <v>235416.36806128995</v>
      </c>
      <c r="AT75" s="391">
        <f t="shared" si="58"/>
        <v>263085.58869988396</v>
      </c>
      <c r="AU75" s="391">
        <f t="shared" si="58"/>
        <v>242893.06254358235</v>
      </c>
      <c r="AV75" s="391">
        <f t="shared" si="58"/>
        <v>246709.7138660599</v>
      </c>
      <c r="AW75" s="391">
        <f t="shared" ref="AW75:CB75" si="59">SUM(AW65:AW74)</f>
        <v>232606.36665307044</v>
      </c>
      <c r="AX75" s="391">
        <f t="shared" si="59"/>
        <v>185703.96540566417</v>
      </c>
      <c r="AY75" s="391">
        <f t="shared" si="59"/>
        <v>147639.00626995423</v>
      </c>
      <c r="AZ75" s="757">
        <f t="shared" si="59"/>
        <v>106996.19871761937</v>
      </c>
      <c r="BA75" s="391">
        <f t="shared" si="59"/>
        <v>165798.92581768552</v>
      </c>
      <c r="BB75" s="391">
        <f t="shared" si="59"/>
        <v>224629.20016712393</v>
      </c>
      <c r="BC75" s="391">
        <f t="shared" si="59"/>
        <v>268622.79681236111</v>
      </c>
      <c r="BD75" s="391">
        <f t="shared" si="59"/>
        <v>247679.12872122874</v>
      </c>
      <c r="BE75" s="391">
        <f t="shared" si="59"/>
        <v>235416.36806128995</v>
      </c>
      <c r="BF75" s="391">
        <f t="shared" si="59"/>
        <v>263085.58869988396</v>
      </c>
      <c r="BG75" s="391">
        <f t="shared" si="59"/>
        <v>242893.06254358235</v>
      </c>
      <c r="BH75" s="391">
        <f t="shared" si="59"/>
        <v>246709.7138660599</v>
      </c>
      <c r="BI75" s="391">
        <f t="shared" si="59"/>
        <v>232606.36665307044</v>
      </c>
      <c r="BJ75" s="391">
        <f t="shared" si="59"/>
        <v>185703.96540566417</v>
      </c>
      <c r="BK75" s="391">
        <f t="shared" si="59"/>
        <v>147639.00626995423</v>
      </c>
      <c r="BL75" s="757">
        <f t="shared" si="59"/>
        <v>106996.19871761937</v>
      </c>
      <c r="BM75" s="391">
        <f t="shared" si="59"/>
        <v>165798.92581768552</v>
      </c>
      <c r="BN75" s="391">
        <f t="shared" si="59"/>
        <v>224629.20016712393</v>
      </c>
      <c r="BO75" s="391">
        <f t="shared" si="59"/>
        <v>268622.79681236111</v>
      </c>
      <c r="BP75" s="391">
        <f t="shared" si="59"/>
        <v>247679.12872122874</v>
      </c>
      <c r="BQ75" s="391">
        <f t="shared" si="59"/>
        <v>235416.36806128995</v>
      </c>
      <c r="BR75" s="391">
        <f t="shared" si="59"/>
        <v>263085.58869988396</v>
      </c>
      <c r="BS75" s="391">
        <f t="shared" si="59"/>
        <v>242893.06254358235</v>
      </c>
      <c r="BT75" s="391">
        <f t="shared" si="59"/>
        <v>246709.7138660599</v>
      </c>
      <c r="BU75" s="391">
        <f t="shared" si="59"/>
        <v>232606.36665307044</v>
      </c>
      <c r="BV75" s="391">
        <f t="shared" si="59"/>
        <v>185703.96540566417</v>
      </c>
      <c r="BW75" s="391">
        <f t="shared" si="59"/>
        <v>147639.00626995423</v>
      </c>
      <c r="BX75" s="757">
        <f t="shared" si="59"/>
        <v>106996.19871761937</v>
      </c>
      <c r="BY75" s="391">
        <f t="shared" si="59"/>
        <v>165798.92581768552</v>
      </c>
      <c r="BZ75" s="391">
        <f t="shared" si="59"/>
        <v>224629.20016712393</v>
      </c>
      <c r="CA75" s="391">
        <f t="shared" si="59"/>
        <v>268622.79681236111</v>
      </c>
      <c r="CB75" s="391">
        <f t="shared" si="59"/>
        <v>247679.12872122874</v>
      </c>
      <c r="CC75" s="391">
        <f t="shared" ref="CC75:DH75" si="60">SUM(CC65:CC74)</f>
        <v>235416.36806128995</v>
      </c>
      <c r="CD75" s="391">
        <f t="shared" si="60"/>
        <v>263085.58869988396</v>
      </c>
      <c r="CE75" s="391">
        <f t="shared" si="60"/>
        <v>242893.06254358235</v>
      </c>
      <c r="CF75" s="391">
        <f t="shared" si="60"/>
        <v>246709.7138660599</v>
      </c>
      <c r="CG75" s="391">
        <f t="shared" si="60"/>
        <v>232606.36665307044</v>
      </c>
      <c r="CH75" s="391">
        <f t="shared" si="60"/>
        <v>185703.96540566417</v>
      </c>
      <c r="CI75" s="391">
        <f t="shared" si="60"/>
        <v>147639.00626995423</v>
      </c>
      <c r="CJ75" s="757">
        <f t="shared" si="60"/>
        <v>106996.19871761937</v>
      </c>
      <c r="CK75" s="391">
        <f t="shared" si="60"/>
        <v>165798.92581768552</v>
      </c>
      <c r="CL75" s="391">
        <f t="shared" si="60"/>
        <v>224629.20016712393</v>
      </c>
      <c r="CM75" s="391">
        <f t="shared" si="60"/>
        <v>268622.79681236111</v>
      </c>
      <c r="CN75" s="391">
        <f t="shared" si="60"/>
        <v>247679.12872122874</v>
      </c>
      <c r="CO75" s="391">
        <f t="shared" si="60"/>
        <v>235416.36806128995</v>
      </c>
      <c r="CP75" s="391">
        <f t="shared" si="60"/>
        <v>263085.58869988396</v>
      </c>
      <c r="CQ75" s="391">
        <f t="shared" si="60"/>
        <v>242893.06254358235</v>
      </c>
      <c r="CR75" s="391">
        <f t="shared" si="60"/>
        <v>246709.7138660599</v>
      </c>
      <c r="CS75" s="391">
        <f t="shared" si="60"/>
        <v>232606.36665307044</v>
      </c>
      <c r="CT75" s="391">
        <f t="shared" si="60"/>
        <v>185703.96540566417</v>
      </c>
      <c r="CU75" s="391">
        <f t="shared" si="60"/>
        <v>147639.00626995423</v>
      </c>
      <c r="CV75" s="757">
        <f t="shared" si="60"/>
        <v>106996.19871761937</v>
      </c>
      <c r="CW75" s="391">
        <f t="shared" si="60"/>
        <v>165798.92581768552</v>
      </c>
      <c r="CX75" s="391">
        <f t="shared" si="60"/>
        <v>224629.20016712393</v>
      </c>
      <c r="CY75" s="391">
        <f t="shared" si="60"/>
        <v>268622.79681236111</v>
      </c>
      <c r="CZ75" s="391">
        <f t="shared" si="60"/>
        <v>247679.12872122874</v>
      </c>
      <c r="DA75" s="391">
        <f t="shared" si="60"/>
        <v>235416.36806128995</v>
      </c>
      <c r="DB75" s="391">
        <f t="shared" si="60"/>
        <v>263085.58869988396</v>
      </c>
      <c r="DC75" s="391">
        <f t="shared" si="60"/>
        <v>242893.06254358235</v>
      </c>
      <c r="DD75" s="391">
        <f t="shared" si="60"/>
        <v>246709.7138660599</v>
      </c>
      <c r="DE75" s="391">
        <f t="shared" si="60"/>
        <v>232606.36665307044</v>
      </c>
      <c r="DF75" s="391">
        <f t="shared" si="60"/>
        <v>185703.96540566417</v>
      </c>
      <c r="DG75" s="391">
        <f t="shared" si="60"/>
        <v>147639.00626995423</v>
      </c>
      <c r="DH75" s="757">
        <f t="shared" si="60"/>
        <v>106996.19871761937</v>
      </c>
      <c r="DI75" s="391">
        <f t="shared" ref="DI75:DT75" si="61">SUM(DI65:DI74)</f>
        <v>165798.92581768552</v>
      </c>
      <c r="DJ75" s="391">
        <f t="shared" si="61"/>
        <v>224629.20016712393</v>
      </c>
      <c r="DK75" s="391">
        <f t="shared" si="61"/>
        <v>268622.79681236111</v>
      </c>
      <c r="DL75" s="391">
        <f t="shared" si="61"/>
        <v>247679.12872122874</v>
      </c>
      <c r="DM75" s="391">
        <f t="shared" si="61"/>
        <v>235416.36806128995</v>
      </c>
      <c r="DN75" s="391">
        <f t="shared" si="61"/>
        <v>263085.58869988396</v>
      </c>
      <c r="DO75" s="391">
        <f t="shared" si="61"/>
        <v>242893.06254358235</v>
      </c>
      <c r="DP75" s="391">
        <f t="shared" si="61"/>
        <v>246709.7138660599</v>
      </c>
      <c r="DQ75" s="391">
        <f t="shared" si="61"/>
        <v>232606.36665307044</v>
      </c>
      <c r="DR75" s="391">
        <f t="shared" si="61"/>
        <v>185703.96540566417</v>
      </c>
      <c r="DS75" s="391">
        <f t="shared" si="61"/>
        <v>147639.00626995423</v>
      </c>
      <c r="DT75" s="757">
        <f t="shared" si="61"/>
        <v>106996.19871761937</v>
      </c>
      <c r="DU75" s="3"/>
    </row>
    <row r="76" spans="1:16384" s="8" customFormat="1" ht="15" x14ac:dyDescent="0.25">
      <c r="B76" s="163"/>
      <c r="C76" s="85"/>
      <c r="D76" s="7"/>
      <c r="E76" s="537"/>
      <c r="F76" s="537"/>
      <c r="G76" s="537"/>
      <c r="H76" s="537"/>
      <c r="I76" s="537"/>
      <c r="J76" s="537"/>
      <c r="K76" s="537"/>
      <c r="L76" s="537"/>
      <c r="M76" s="537"/>
      <c r="N76" s="537"/>
      <c r="O76" s="537"/>
      <c r="P76" s="753"/>
      <c r="Q76" s="796"/>
      <c r="R76" s="392"/>
      <c r="S76" s="392"/>
      <c r="T76" s="392"/>
      <c r="U76" s="392"/>
      <c r="V76" s="392"/>
      <c r="W76" s="392"/>
      <c r="X76" s="392"/>
      <c r="Y76" s="392"/>
      <c r="Z76" s="392"/>
      <c r="AA76" s="392"/>
      <c r="AB76" s="755"/>
      <c r="AC76" s="392"/>
      <c r="AD76" s="392"/>
      <c r="AE76" s="392"/>
      <c r="AF76" s="392"/>
      <c r="AG76" s="392"/>
      <c r="AH76" s="392"/>
      <c r="AI76" s="392"/>
      <c r="AJ76" s="392"/>
      <c r="AK76" s="392"/>
      <c r="AL76" s="392"/>
      <c r="AM76" s="392"/>
      <c r="AN76" s="755"/>
      <c r="AO76" s="392"/>
      <c r="AP76" s="392"/>
      <c r="AQ76" s="392"/>
      <c r="AR76" s="392"/>
      <c r="AS76" s="392"/>
      <c r="AT76" s="392"/>
      <c r="AU76" s="392"/>
      <c r="AV76" s="392"/>
      <c r="AW76" s="392"/>
      <c r="AX76" s="392"/>
      <c r="AY76" s="392"/>
      <c r="AZ76" s="755"/>
      <c r="BA76" s="392"/>
      <c r="BB76" s="392"/>
      <c r="BC76" s="392"/>
      <c r="BD76" s="392"/>
      <c r="BE76" s="392"/>
      <c r="BF76" s="392"/>
      <c r="BG76" s="392"/>
      <c r="BH76" s="392"/>
      <c r="BI76" s="392"/>
      <c r="BJ76" s="392"/>
      <c r="BK76" s="392"/>
      <c r="BL76" s="755"/>
      <c r="BM76" s="392"/>
      <c r="BN76" s="392"/>
      <c r="BO76" s="392"/>
      <c r="BP76" s="392"/>
      <c r="BQ76" s="392"/>
      <c r="BR76" s="392"/>
      <c r="BS76" s="392"/>
      <c r="BT76" s="392"/>
      <c r="BU76" s="392"/>
      <c r="BV76" s="392"/>
      <c r="BW76" s="392"/>
      <c r="BX76" s="755"/>
      <c r="BY76" s="392"/>
      <c r="BZ76" s="392"/>
      <c r="CA76" s="392"/>
      <c r="CB76" s="392"/>
      <c r="CC76" s="392"/>
      <c r="CD76" s="392"/>
      <c r="CE76" s="392"/>
      <c r="CF76" s="392"/>
      <c r="CG76" s="392"/>
      <c r="CH76" s="392"/>
      <c r="CI76" s="392"/>
      <c r="CJ76" s="755"/>
      <c r="CK76" s="392"/>
      <c r="CL76" s="392"/>
      <c r="CM76" s="392"/>
      <c r="CN76" s="392"/>
      <c r="CO76" s="392"/>
      <c r="CP76" s="392"/>
      <c r="CQ76" s="392"/>
      <c r="CR76" s="392"/>
      <c r="CS76" s="392"/>
      <c r="CT76" s="392"/>
      <c r="CU76" s="392"/>
      <c r="CV76" s="755"/>
      <c r="CW76" s="393"/>
      <c r="CX76" s="392"/>
      <c r="CY76" s="392"/>
      <c r="CZ76" s="392"/>
      <c r="DA76" s="392"/>
      <c r="DB76" s="392"/>
      <c r="DC76" s="392"/>
      <c r="DD76" s="392"/>
      <c r="DE76" s="392"/>
      <c r="DF76" s="392"/>
      <c r="DG76" s="392"/>
      <c r="DH76" s="755"/>
      <c r="DI76" s="392"/>
      <c r="DJ76" s="392"/>
      <c r="DK76" s="392"/>
      <c r="DL76" s="392"/>
      <c r="DM76" s="392"/>
      <c r="DN76" s="392"/>
      <c r="DO76" s="392"/>
      <c r="DP76" s="392"/>
      <c r="DQ76" s="392"/>
      <c r="DR76" s="392"/>
      <c r="DS76" s="392"/>
      <c r="DT76" s="755"/>
      <c r="DU76" s="3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  <c r="XFA76" s="2"/>
      <c r="XFB76" s="2"/>
      <c r="XFC76" s="2"/>
      <c r="XFD76" s="2"/>
    </row>
    <row r="77" spans="1:16384" ht="18.75" x14ac:dyDescent="0.3">
      <c r="A77" s="15"/>
      <c r="B77" s="161" t="s">
        <v>301</v>
      </c>
      <c r="C77" s="125"/>
      <c r="D77" s="7"/>
      <c r="E77" s="485"/>
      <c r="F77" s="485"/>
      <c r="G77" s="485"/>
      <c r="H77" s="485"/>
      <c r="I77" s="485"/>
      <c r="J77" s="485"/>
      <c r="K77" s="485"/>
      <c r="L77" s="485"/>
      <c r="M77" s="485"/>
      <c r="N77" s="485"/>
      <c r="O77" s="485"/>
      <c r="P77" s="513"/>
      <c r="Q77" s="789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739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739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739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739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739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739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739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112"/>
      <c r="DH77" s="739"/>
      <c r="DI77" s="112"/>
      <c r="DJ77" s="112"/>
      <c r="DK77" s="112"/>
      <c r="DL77" s="112"/>
      <c r="DM77" s="112"/>
      <c r="DN77" s="112"/>
      <c r="DO77" s="112"/>
      <c r="DP77" s="112"/>
      <c r="DQ77" s="112"/>
      <c r="DR77" s="112"/>
      <c r="DS77" s="112"/>
      <c r="DT77" s="739"/>
      <c r="DU77" s="3"/>
    </row>
    <row r="78" spans="1:16384" s="3" customFormat="1" ht="15" x14ac:dyDescent="0.25">
      <c r="A78" s="16"/>
      <c r="B78" s="529" t="s">
        <v>384</v>
      </c>
      <c r="C78" s="503"/>
      <c r="D78" s="530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532"/>
      <c r="Q78" s="790">
        <f>'Smolt Production'!E68</f>
        <v>0</v>
      </c>
      <c r="R78" s="522">
        <f>'Smolt Production'!F68</f>
        <v>0</v>
      </c>
      <c r="S78" s="522">
        <f>'Smolt Production'!G68</f>
        <v>0</v>
      </c>
      <c r="T78" s="522">
        <f>'Smolt Production'!H68</f>
        <v>0</v>
      </c>
      <c r="U78" s="522">
        <f>'Smolt Production'!I68</f>
        <v>0</v>
      </c>
      <c r="V78" s="522">
        <f>'Smolt Production'!J68</f>
        <v>0</v>
      </c>
      <c r="W78" s="522">
        <f>'Smolt Production'!K68</f>
        <v>0</v>
      </c>
      <c r="X78" s="522"/>
      <c r="Y78" s="522">
        <f>'Smolt Production'!M68</f>
        <v>0</v>
      </c>
      <c r="Z78" s="522">
        <f>'Smolt Production'!N68</f>
        <v>0</v>
      </c>
      <c r="AA78" s="522"/>
      <c r="AB78" s="756"/>
      <c r="AC78" s="522"/>
      <c r="AD78" s="522"/>
      <c r="AE78" s="522"/>
      <c r="AF78" s="522"/>
      <c r="AG78" s="522"/>
      <c r="AH78" s="522"/>
      <c r="AI78" s="522"/>
      <c r="AJ78" s="522"/>
      <c r="AK78" s="522"/>
      <c r="AL78" s="522"/>
      <c r="AM78" s="522"/>
      <c r="AN78" s="756"/>
      <c r="AO78" s="522"/>
      <c r="AP78" s="522"/>
      <c r="AQ78" s="522"/>
      <c r="AR78" s="522">
        <f>'Batch1 - S0 Smolts'!R65</f>
        <v>259793.67825593904</v>
      </c>
      <c r="AS78" s="522">
        <f>'Batch1 - S0 Smolts'!S65</f>
        <v>309013.54580521834</v>
      </c>
      <c r="AT78" s="522">
        <f>'Batch1 - S0 Smolts'!T65</f>
        <v>122798.17690662858</v>
      </c>
      <c r="AU78" s="522">
        <f>'Batch1 - S0 Smolts'!U65</f>
        <v>0</v>
      </c>
      <c r="AV78" s="522">
        <f>'Batch1 - S0 Smolts'!V65</f>
        <v>0</v>
      </c>
      <c r="AW78" s="522">
        <f>'Batch1 - S0 Smolts'!W65</f>
        <v>0</v>
      </c>
      <c r="AX78" s="522">
        <f>'Batch1 - S0 Smolts'!X65</f>
        <v>0</v>
      </c>
      <c r="AY78" s="522"/>
      <c r="AZ78" s="756"/>
      <c r="BA78" s="522"/>
      <c r="BB78" s="522"/>
      <c r="BC78" s="522"/>
      <c r="BD78" s="522"/>
      <c r="BE78" s="522"/>
      <c r="BF78" s="522"/>
      <c r="BG78" s="522"/>
      <c r="BH78" s="522"/>
      <c r="BI78" s="522"/>
      <c r="BJ78" s="522"/>
      <c r="BK78" s="522"/>
      <c r="BL78" s="756"/>
      <c r="BM78" s="522"/>
      <c r="BN78" s="522"/>
      <c r="BO78" s="522"/>
      <c r="BP78" s="522"/>
      <c r="BQ78" s="522"/>
      <c r="BR78" s="522"/>
      <c r="BS78" s="522"/>
      <c r="BT78" s="522"/>
      <c r="BU78" s="522"/>
      <c r="BV78" s="522"/>
      <c r="BW78" s="522"/>
      <c r="BX78" s="756"/>
      <c r="BY78" s="522"/>
      <c r="BZ78" s="522"/>
      <c r="CA78" s="522"/>
      <c r="CB78" s="522"/>
      <c r="CC78" s="522"/>
      <c r="CD78" s="522"/>
      <c r="CE78" s="522"/>
      <c r="CF78" s="522"/>
      <c r="CG78" s="522"/>
      <c r="CH78" s="522"/>
      <c r="CI78" s="522"/>
      <c r="CJ78" s="756"/>
      <c r="CK78" s="522"/>
      <c r="CL78" s="522"/>
      <c r="CM78" s="522"/>
      <c r="CN78" s="522"/>
      <c r="CO78" s="522"/>
      <c r="CP78" s="522"/>
      <c r="CQ78" s="522"/>
      <c r="CR78" s="522"/>
      <c r="CS78" s="522"/>
      <c r="CT78" s="522"/>
      <c r="CU78" s="522"/>
      <c r="CV78" s="756"/>
      <c r="CW78" s="522"/>
      <c r="CX78" s="522"/>
      <c r="CY78" s="522"/>
      <c r="CZ78" s="522"/>
      <c r="DA78" s="522"/>
      <c r="DB78" s="522"/>
      <c r="DC78" s="522"/>
      <c r="DD78" s="522"/>
      <c r="DE78" s="522"/>
      <c r="DF78" s="522"/>
      <c r="DG78" s="522"/>
      <c r="DH78" s="756"/>
      <c r="DI78" s="522"/>
      <c r="DJ78" s="522"/>
      <c r="DK78" s="522"/>
      <c r="DL78" s="522"/>
      <c r="DM78" s="522"/>
      <c r="DN78" s="522"/>
      <c r="DO78" s="522"/>
      <c r="DP78" s="522"/>
      <c r="DQ78" s="522"/>
      <c r="DR78" s="522"/>
      <c r="DS78" s="522"/>
      <c r="DT78" s="756"/>
    </row>
    <row r="79" spans="1:16384" s="3" customFormat="1" ht="15" x14ac:dyDescent="0.25">
      <c r="A79" s="16"/>
      <c r="B79" s="529" t="s">
        <v>385</v>
      </c>
      <c r="C79" s="538"/>
      <c r="D79" s="530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532"/>
      <c r="Q79" s="792"/>
      <c r="R79" s="312"/>
      <c r="S79" s="312"/>
      <c r="T79" s="312">
        <f>'Batch2 - S0 Smolts'!E65</f>
        <v>0</v>
      </c>
      <c r="U79" s="312">
        <f>'Batch2 - S0 Smolts'!F65</f>
        <v>0</v>
      </c>
      <c r="V79" s="312">
        <f>'Batch2 - S0 Smolts'!G65</f>
        <v>0</v>
      </c>
      <c r="W79" s="312">
        <f>'Batch2 - S0 Smolts'!H65</f>
        <v>0</v>
      </c>
      <c r="X79" s="312">
        <f>'Batch2 - S0 Smolts'!I65</f>
        <v>0</v>
      </c>
      <c r="Y79" s="312">
        <f>'Batch2 - S0 Smolts'!J65</f>
        <v>0</v>
      </c>
      <c r="Z79" s="312">
        <f>'Batch2 - S0 Smolts'!K65</f>
        <v>0</v>
      </c>
      <c r="AA79" s="312">
        <f>'Batch2 - S0 Smolts'!L65</f>
        <v>0</v>
      </c>
      <c r="AB79" s="313"/>
      <c r="AC79" s="312"/>
      <c r="AD79" s="312">
        <f>'Batch2 - S0 Smolts'!O65</f>
        <v>0</v>
      </c>
      <c r="AE79" s="312"/>
      <c r="AF79" s="312"/>
      <c r="AG79" s="312"/>
      <c r="AH79" s="312"/>
      <c r="AI79" s="312"/>
      <c r="AJ79" s="312"/>
      <c r="AK79" s="312"/>
      <c r="AL79" s="312"/>
      <c r="AM79" s="312"/>
      <c r="AN79" s="313"/>
      <c r="AO79" s="312"/>
      <c r="AP79" s="312">
        <f>'Batch2 - S0 Smolts'!M65</f>
        <v>78862.145266744701</v>
      </c>
      <c r="AQ79" s="312">
        <f>'Batch2 - S0 Smolts'!N65</f>
        <v>71153.519213771171</v>
      </c>
      <c r="AR79" s="312">
        <f>'Batch2 - S0 Smolts'!O65</f>
        <v>0</v>
      </c>
      <c r="AS79" s="312">
        <f>'Batch2 - S0 Smolts'!P65</f>
        <v>0</v>
      </c>
      <c r="AT79" s="312">
        <f>'Batch2 - S0 Smolts'!Q65</f>
        <v>0</v>
      </c>
      <c r="AU79" s="312">
        <f>'Batch2 - S0 Smolts'!R65</f>
        <v>176906.59164156171</v>
      </c>
      <c r="AV79" s="312">
        <f>'Batch2 - S0 Smolts'!S65</f>
        <v>206073.52733018948</v>
      </c>
      <c r="AW79" s="312">
        <f>'Batch2 - S0 Smolts'!T65</f>
        <v>72541.964389768254</v>
      </c>
      <c r="AX79" s="312">
        <f>'Batch2 - S0 Smolts'!U65</f>
        <v>0</v>
      </c>
      <c r="AY79" s="312">
        <f>'Batch2 - S0 Smolts'!V65</f>
        <v>0</v>
      </c>
      <c r="AZ79" s="313">
        <f>'Batch2 - S0 Smolts'!W65</f>
        <v>0</v>
      </c>
      <c r="BA79" s="312"/>
      <c r="BB79" s="312"/>
      <c r="BC79" s="312"/>
      <c r="BD79" s="312"/>
      <c r="BE79" s="312"/>
      <c r="BF79" s="312"/>
      <c r="BG79" s="312"/>
      <c r="BH79" s="312"/>
      <c r="BI79" s="312"/>
      <c r="BJ79" s="312"/>
      <c r="BK79" s="312"/>
      <c r="BL79" s="313"/>
      <c r="BM79" s="312"/>
      <c r="BN79" s="312"/>
      <c r="BO79" s="312"/>
      <c r="BP79" s="312"/>
      <c r="BQ79" s="312"/>
      <c r="BR79" s="312"/>
      <c r="BS79" s="312"/>
      <c r="BT79" s="312"/>
      <c r="BU79" s="312"/>
      <c r="BV79" s="312"/>
      <c r="BW79" s="312"/>
      <c r="BX79" s="313"/>
      <c r="BY79" s="312"/>
      <c r="BZ79" s="312"/>
      <c r="CA79" s="312"/>
      <c r="CB79" s="312"/>
      <c r="CC79" s="108"/>
      <c r="CD79" s="108"/>
      <c r="CE79" s="108"/>
      <c r="CF79" s="108"/>
      <c r="CG79" s="108"/>
      <c r="CH79" s="108"/>
      <c r="CI79" s="108"/>
      <c r="CJ79" s="110"/>
      <c r="CK79" s="109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10"/>
      <c r="CW79" s="109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10"/>
      <c r="DI79" s="109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10"/>
    </row>
    <row r="80" spans="1:16384" s="3" customFormat="1" ht="15" x14ac:dyDescent="0.25">
      <c r="A80" s="16"/>
      <c r="B80" s="529" t="s">
        <v>386</v>
      </c>
      <c r="C80" s="538"/>
      <c r="D80" s="530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532"/>
      <c r="Q80" s="792"/>
      <c r="R80" s="312"/>
      <c r="S80" s="312"/>
      <c r="T80" s="312"/>
      <c r="U80" s="312"/>
      <c r="V80" s="312"/>
      <c r="W80" s="312">
        <f>'Batch 3 - S1 Smolts'!E65</f>
        <v>0</v>
      </c>
      <c r="X80" s="312">
        <f>'Batch 3 - S1 Smolts'!F65</f>
        <v>0</v>
      </c>
      <c r="Y80" s="312">
        <f>'Batch 3 - S1 Smolts'!G65</f>
        <v>0</v>
      </c>
      <c r="Z80" s="312">
        <f>'Batch 3 - S1 Smolts'!H65</f>
        <v>0</v>
      </c>
      <c r="AA80" s="312">
        <f>'Batch 3 - S1 Smolts'!I65</f>
        <v>0</v>
      </c>
      <c r="AB80" s="313"/>
      <c r="AC80" s="312"/>
      <c r="AD80" s="312">
        <f>'Batch 3 - S1 Smolts'!L65</f>
        <v>0</v>
      </c>
      <c r="AE80" s="312">
        <f>'Batch 3 - S1 Smolts'!M65</f>
        <v>0</v>
      </c>
      <c r="AF80" s="312">
        <f>'Batch 3 - S1 Smolts'!N65</f>
        <v>0</v>
      </c>
      <c r="AG80" s="312">
        <f>'Batch 3 - S1 Smolts'!O65</f>
        <v>0</v>
      </c>
      <c r="AH80" s="312"/>
      <c r="AI80" s="312"/>
      <c r="AJ80" s="312"/>
      <c r="AK80" s="312"/>
      <c r="AL80" s="312"/>
      <c r="AM80" s="312"/>
      <c r="AN80" s="313"/>
      <c r="AO80" s="312"/>
      <c r="AP80" s="312">
        <f>'Batch 3 - S1 Smolts'!J65</f>
        <v>18673.804068757243</v>
      </c>
      <c r="AQ80" s="312">
        <f>'Batch 3 - S1 Smolts'!K65</f>
        <v>21262.048941675796</v>
      </c>
      <c r="AR80" s="312">
        <f>'Batch 3 - S1 Smolts'!L65</f>
        <v>0</v>
      </c>
      <c r="AS80" s="312">
        <f>'Batch 3 - S1 Smolts'!M65</f>
        <v>0</v>
      </c>
      <c r="AT80" s="312">
        <f>'Batch 3 - S1 Smolts'!N65</f>
        <v>0</v>
      </c>
      <c r="AU80" s="312">
        <f>'Batch 3 - S1 Smolts'!O65</f>
        <v>0</v>
      </c>
      <c r="AV80" s="312">
        <f>'Batch 3 - S1 Smolts'!P65</f>
        <v>0</v>
      </c>
      <c r="AW80" s="312">
        <f>'Batch 3 - S1 Smolts'!Q65</f>
        <v>0</v>
      </c>
      <c r="AX80" s="312">
        <f>'Batch 3 - S1 Smolts'!R65</f>
        <v>189364.50472295342</v>
      </c>
      <c r="AY80" s="312">
        <f>'Batch 3 - S1 Smolts'!S65</f>
        <v>207791.36688554633</v>
      </c>
      <c r="AZ80" s="313">
        <f>'Batch 3 - S1 Smolts'!T65</f>
        <v>215867.11454519042</v>
      </c>
      <c r="BA80" s="312">
        <f>'Batch 3 - S1 Smolts'!U65</f>
        <v>95765.600068576954</v>
      </c>
      <c r="BB80" s="312">
        <f>'Batch 3 - S1 Smolts'!V65</f>
        <v>0</v>
      </c>
      <c r="BC80" s="312">
        <f>'Batch 3 - S1 Smolts'!W65</f>
        <v>0</v>
      </c>
      <c r="BD80" s="312">
        <f>'Batch 3 - S1 Smolts'!X65</f>
        <v>0</v>
      </c>
      <c r="BE80" s="312"/>
      <c r="BF80" s="312"/>
      <c r="BG80" s="312"/>
      <c r="BH80" s="312"/>
      <c r="BI80" s="312"/>
      <c r="BJ80" s="312"/>
      <c r="BK80" s="312"/>
      <c r="BL80" s="313"/>
      <c r="BM80" s="312"/>
      <c r="BN80" s="312"/>
      <c r="BO80" s="312"/>
      <c r="BP80" s="312"/>
      <c r="BQ80" s="312"/>
      <c r="BR80" s="312"/>
      <c r="BS80" s="312"/>
      <c r="BT80" s="312"/>
      <c r="BU80" s="312"/>
      <c r="BV80" s="312"/>
      <c r="BW80" s="312"/>
      <c r="BX80" s="313"/>
      <c r="BY80" s="312"/>
      <c r="BZ80" s="312"/>
      <c r="CA80" s="312"/>
      <c r="CB80" s="312"/>
      <c r="CC80" s="108"/>
      <c r="CD80" s="108"/>
      <c r="CE80" s="108"/>
      <c r="CF80" s="108"/>
      <c r="CG80" s="108"/>
      <c r="CH80" s="108"/>
      <c r="CI80" s="108"/>
      <c r="CJ80" s="110"/>
      <c r="CK80" s="109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10"/>
      <c r="CW80" s="109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10"/>
      <c r="DI80" s="109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10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  <c r="XES80" s="2"/>
      <c r="XET80" s="2"/>
      <c r="XEU80" s="2"/>
      <c r="XEV80" s="2"/>
      <c r="XEW80" s="2"/>
      <c r="XEX80" s="2"/>
      <c r="XEY80" s="2"/>
      <c r="XEZ80" s="2"/>
      <c r="XFA80" s="2"/>
      <c r="XFB80" s="2"/>
      <c r="XFC80" s="2"/>
      <c r="XFD80" s="2"/>
    </row>
    <row r="81" spans="2:16384" ht="15" x14ac:dyDescent="0.25">
      <c r="B81" s="404" t="s">
        <v>372</v>
      </c>
      <c r="C81" s="85"/>
      <c r="D81" s="7"/>
      <c r="E81" s="403"/>
      <c r="F81" s="403"/>
      <c r="G81" s="403"/>
      <c r="H81" s="403"/>
      <c r="I81" s="403"/>
      <c r="J81" s="403"/>
      <c r="K81" s="403"/>
      <c r="L81" s="403"/>
      <c r="M81" s="403"/>
      <c r="N81" s="403"/>
      <c r="O81" s="403"/>
      <c r="P81" s="486"/>
      <c r="Q81" s="792">
        <f>SUM(Q78:Q80)</f>
        <v>0</v>
      </c>
      <c r="R81" s="312">
        <f t="shared" ref="R81:BA81" si="62">SUM(R78:R80)</f>
        <v>0</v>
      </c>
      <c r="S81" s="312">
        <f t="shared" si="62"/>
        <v>0</v>
      </c>
      <c r="T81" s="312">
        <f t="shared" si="62"/>
        <v>0</v>
      </c>
      <c r="U81" s="312">
        <f t="shared" si="62"/>
        <v>0</v>
      </c>
      <c r="V81" s="312">
        <f t="shared" si="62"/>
        <v>0</v>
      </c>
      <c r="W81" s="312">
        <f t="shared" si="62"/>
        <v>0</v>
      </c>
      <c r="X81" s="312">
        <f t="shared" si="62"/>
        <v>0</v>
      </c>
      <c r="Y81" s="312">
        <f t="shared" si="62"/>
        <v>0</v>
      </c>
      <c r="Z81" s="312">
        <f t="shared" si="62"/>
        <v>0</v>
      </c>
      <c r="AA81" s="312">
        <f t="shared" si="62"/>
        <v>0</v>
      </c>
      <c r="AB81" s="313">
        <f t="shared" si="62"/>
        <v>0</v>
      </c>
      <c r="AC81" s="312">
        <f t="shared" si="62"/>
        <v>0</v>
      </c>
      <c r="AD81" s="312">
        <f t="shared" si="62"/>
        <v>0</v>
      </c>
      <c r="AE81" s="312">
        <f t="shared" si="62"/>
        <v>0</v>
      </c>
      <c r="AF81" s="312">
        <f t="shared" si="62"/>
        <v>0</v>
      </c>
      <c r="AG81" s="312">
        <f t="shared" si="62"/>
        <v>0</v>
      </c>
      <c r="AH81" s="312">
        <f t="shared" si="62"/>
        <v>0</v>
      </c>
      <c r="AI81" s="312">
        <f t="shared" si="62"/>
        <v>0</v>
      </c>
      <c r="AJ81" s="312">
        <f t="shared" si="62"/>
        <v>0</v>
      </c>
      <c r="AK81" s="312">
        <f t="shared" si="62"/>
        <v>0</v>
      </c>
      <c r="AL81" s="312">
        <f t="shared" si="62"/>
        <v>0</v>
      </c>
      <c r="AM81" s="312">
        <f t="shared" si="62"/>
        <v>0</v>
      </c>
      <c r="AN81" s="313">
        <f t="shared" si="62"/>
        <v>0</v>
      </c>
      <c r="AO81" s="312">
        <f t="shared" si="62"/>
        <v>0</v>
      </c>
      <c r="AP81" s="312">
        <f t="shared" si="62"/>
        <v>97535.949335501937</v>
      </c>
      <c r="AQ81" s="312">
        <f t="shared" si="62"/>
        <v>92415.568155446963</v>
      </c>
      <c r="AR81" s="312">
        <f t="shared" si="62"/>
        <v>259793.67825593904</v>
      </c>
      <c r="AS81" s="312">
        <f t="shared" si="62"/>
        <v>309013.54580521834</v>
      </c>
      <c r="AT81" s="312">
        <f t="shared" si="62"/>
        <v>122798.17690662858</v>
      </c>
      <c r="AU81" s="312">
        <f t="shared" si="62"/>
        <v>176906.59164156171</v>
      </c>
      <c r="AV81" s="312">
        <f t="shared" si="62"/>
        <v>206073.52733018948</v>
      </c>
      <c r="AW81" s="312">
        <f t="shared" si="62"/>
        <v>72541.964389768254</v>
      </c>
      <c r="AX81" s="312">
        <f t="shared" si="62"/>
        <v>189364.50472295342</v>
      </c>
      <c r="AY81" s="312">
        <f t="shared" si="62"/>
        <v>207791.36688554633</v>
      </c>
      <c r="AZ81" s="313">
        <f t="shared" si="62"/>
        <v>215867.11454519042</v>
      </c>
      <c r="BA81" s="313">
        <f t="shared" si="62"/>
        <v>95765.600068576954</v>
      </c>
      <c r="BB81" s="312"/>
      <c r="BC81" s="312"/>
      <c r="BD81" s="312"/>
      <c r="BE81" s="312"/>
      <c r="BF81" s="312"/>
      <c r="BG81" s="312"/>
      <c r="BH81" s="312"/>
      <c r="BI81" s="312"/>
      <c r="BJ81" s="312"/>
      <c r="BK81" s="312"/>
      <c r="BL81" s="313"/>
      <c r="BM81" s="312"/>
      <c r="BN81" s="312"/>
      <c r="BO81" s="312"/>
      <c r="BP81" s="312"/>
      <c r="BQ81" s="312"/>
      <c r="BR81" s="312"/>
      <c r="BS81" s="312"/>
      <c r="BT81" s="312"/>
      <c r="BU81" s="312"/>
      <c r="BV81" s="312"/>
      <c r="BW81" s="312"/>
      <c r="BX81" s="313"/>
      <c r="BY81" s="312"/>
      <c r="BZ81" s="312"/>
      <c r="CA81" s="312"/>
      <c r="CB81" s="312"/>
      <c r="CC81" s="108"/>
      <c r="CD81" s="108"/>
      <c r="CE81" s="108"/>
      <c r="CF81" s="108"/>
      <c r="CG81" s="108"/>
      <c r="CH81" s="108"/>
      <c r="CI81" s="108"/>
      <c r="CJ81" s="110"/>
      <c r="CK81" s="109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10"/>
      <c r="CW81" s="109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10"/>
      <c r="DI81" s="109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10"/>
      <c r="DU81" s="3"/>
    </row>
    <row r="82" spans="2:16384" ht="15" x14ac:dyDescent="0.25">
      <c r="B82" s="404" t="s">
        <v>387</v>
      </c>
      <c r="C82" s="85">
        <v>1</v>
      </c>
      <c r="D82" s="7"/>
      <c r="E82" s="403"/>
      <c r="F82" s="403"/>
      <c r="G82" s="403"/>
      <c r="H82" s="403"/>
      <c r="I82" s="403"/>
      <c r="J82" s="403"/>
      <c r="K82" s="403"/>
      <c r="L82" s="403"/>
      <c r="M82" s="403"/>
      <c r="N82" s="403"/>
      <c r="O82" s="403"/>
      <c r="P82" s="486"/>
      <c r="Q82" s="792"/>
      <c r="R82" s="312"/>
      <c r="S82" s="312"/>
      <c r="T82" s="312"/>
      <c r="U82" s="312"/>
      <c r="V82" s="312"/>
      <c r="W82" s="312"/>
      <c r="X82" s="312"/>
      <c r="Y82" s="312"/>
      <c r="Z82" s="312"/>
      <c r="AA82" s="312"/>
      <c r="AB82" s="313"/>
      <c r="AC82" s="312">
        <f>Q81*$C82</f>
        <v>0</v>
      </c>
      <c r="AD82" s="312">
        <f t="shared" ref="AD82:AZ82" si="63">R81*$C82</f>
        <v>0</v>
      </c>
      <c r="AE82" s="312">
        <f t="shared" si="63"/>
        <v>0</v>
      </c>
      <c r="AF82" s="312">
        <f t="shared" si="63"/>
        <v>0</v>
      </c>
      <c r="AG82" s="312">
        <f t="shared" si="63"/>
        <v>0</v>
      </c>
      <c r="AH82" s="312">
        <f t="shared" si="63"/>
        <v>0</v>
      </c>
      <c r="AI82" s="312">
        <f t="shared" si="63"/>
        <v>0</v>
      </c>
      <c r="AJ82" s="312">
        <f t="shared" si="63"/>
        <v>0</v>
      </c>
      <c r="AK82" s="312">
        <f t="shared" si="63"/>
        <v>0</v>
      </c>
      <c r="AL82" s="312">
        <f t="shared" si="63"/>
        <v>0</v>
      </c>
      <c r="AM82" s="312">
        <f t="shared" si="63"/>
        <v>0</v>
      </c>
      <c r="AN82" s="313">
        <f t="shared" si="63"/>
        <v>0</v>
      </c>
      <c r="AO82" s="312">
        <f t="shared" si="63"/>
        <v>0</v>
      </c>
      <c r="AP82" s="312">
        <f t="shared" si="63"/>
        <v>0</v>
      </c>
      <c r="AQ82" s="312">
        <f t="shared" si="63"/>
        <v>0</v>
      </c>
      <c r="AR82" s="312">
        <f t="shared" si="63"/>
        <v>0</v>
      </c>
      <c r="AS82" s="312">
        <f t="shared" si="63"/>
        <v>0</v>
      </c>
      <c r="AT82" s="312">
        <f t="shared" si="63"/>
        <v>0</v>
      </c>
      <c r="AU82" s="312">
        <f t="shared" si="63"/>
        <v>0</v>
      </c>
      <c r="AV82" s="312">
        <f t="shared" si="63"/>
        <v>0</v>
      </c>
      <c r="AW82" s="312">
        <f t="shared" si="63"/>
        <v>0</v>
      </c>
      <c r="AX82" s="312">
        <f t="shared" si="63"/>
        <v>0</v>
      </c>
      <c r="AY82" s="312">
        <f t="shared" si="63"/>
        <v>0</v>
      </c>
      <c r="AZ82" s="313">
        <f t="shared" si="63"/>
        <v>0</v>
      </c>
      <c r="BA82" s="312">
        <f t="shared" ref="BA82:BM82" si="64">AO81*$C82</f>
        <v>0</v>
      </c>
      <c r="BB82" s="312">
        <f t="shared" si="64"/>
        <v>97535.949335501937</v>
      </c>
      <c r="BC82" s="312">
        <f t="shared" si="64"/>
        <v>92415.568155446963</v>
      </c>
      <c r="BD82" s="312">
        <f t="shared" si="64"/>
        <v>259793.67825593904</v>
      </c>
      <c r="BE82" s="312">
        <f t="shared" si="64"/>
        <v>309013.54580521834</v>
      </c>
      <c r="BF82" s="312">
        <f t="shared" si="64"/>
        <v>122798.17690662858</v>
      </c>
      <c r="BG82" s="312">
        <f t="shared" si="64"/>
        <v>176906.59164156171</v>
      </c>
      <c r="BH82" s="312">
        <f t="shared" si="64"/>
        <v>206073.52733018948</v>
      </c>
      <c r="BI82" s="312">
        <f t="shared" si="64"/>
        <v>72541.964389768254</v>
      </c>
      <c r="BJ82" s="312">
        <f t="shared" si="64"/>
        <v>189364.50472295342</v>
      </c>
      <c r="BK82" s="312">
        <f t="shared" si="64"/>
        <v>207791.36688554633</v>
      </c>
      <c r="BL82" s="313">
        <f t="shared" si="64"/>
        <v>215867.11454519042</v>
      </c>
      <c r="BM82" s="313">
        <f t="shared" si="64"/>
        <v>95765.600068576954</v>
      </c>
      <c r="BN82" s="312"/>
      <c r="BO82" s="312"/>
      <c r="BP82" s="312"/>
      <c r="BQ82" s="312"/>
      <c r="BR82" s="312"/>
      <c r="BS82" s="312"/>
      <c r="BT82" s="312"/>
      <c r="BU82" s="312"/>
      <c r="BV82" s="312"/>
      <c r="BW82" s="312"/>
      <c r="BX82" s="313"/>
      <c r="BY82" s="312"/>
      <c r="BZ82" s="312"/>
      <c r="CA82" s="312"/>
      <c r="CB82" s="312"/>
      <c r="CC82" s="108"/>
      <c r="CD82" s="108"/>
      <c r="CE82" s="108"/>
      <c r="CF82" s="108"/>
      <c r="CG82" s="108"/>
      <c r="CH82" s="108"/>
      <c r="CI82" s="108"/>
      <c r="CJ82" s="110"/>
      <c r="CK82" s="109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10"/>
      <c r="CW82" s="109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10"/>
      <c r="DI82" s="109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10"/>
      <c r="DU82" s="3"/>
    </row>
    <row r="83" spans="2:16384" ht="15" x14ac:dyDescent="0.25">
      <c r="B83" s="404" t="s">
        <v>388</v>
      </c>
      <c r="C83" s="85">
        <v>1</v>
      </c>
      <c r="D83" s="7"/>
      <c r="E83" s="403"/>
      <c r="F83" s="403"/>
      <c r="G83" s="403"/>
      <c r="H83" s="403"/>
      <c r="I83" s="403"/>
      <c r="J83" s="403"/>
      <c r="K83" s="403"/>
      <c r="L83" s="403"/>
      <c r="M83" s="403"/>
      <c r="N83" s="403"/>
      <c r="O83" s="403"/>
      <c r="P83" s="486"/>
      <c r="Q83" s="795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10"/>
      <c r="AC83" s="280"/>
      <c r="AD83" s="255"/>
      <c r="AE83" s="108"/>
      <c r="AF83" s="108"/>
      <c r="AG83" s="108"/>
      <c r="AH83" s="108"/>
      <c r="AI83" s="108"/>
      <c r="AJ83" s="108"/>
      <c r="AK83" s="108"/>
      <c r="AL83" s="108"/>
      <c r="AM83" s="108"/>
      <c r="AN83" s="110"/>
      <c r="AO83" s="109">
        <f>Q81*$C83</f>
        <v>0</v>
      </c>
      <c r="AP83" s="109">
        <f t="shared" ref="AP83:BL83" si="65">R81*$C83</f>
        <v>0</v>
      </c>
      <c r="AQ83" s="109">
        <f t="shared" si="65"/>
        <v>0</v>
      </c>
      <c r="AR83" s="109">
        <f t="shared" si="65"/>
        <v>0</v>
      </c>
      <c r="AS83" s="109">
        <f t="shared" si="65"/>
        <v>0</v>
      </c>
      <c r="AT83" s="109">
        <f t="shared" si="65"/>
        <v>0</v>
      </c>
      <c r="AU83" s="109">
        <f t="shared" si="65"/>
        <v>0</v>
      </c>
      <c r="AV83" s="109">
        <f t="shared" si="65"/>
        <v>0</v>
      </c>
      <c r="AW83" s="109">
        <f t="shared" si="65"/>
        <v>0</v>
      </c>
      <c r="AX83" s="109">
        <f t="shared" si="65"/>
        <v>0</v>
      </c>
      <c r="AY83" s="109">
        <f t="shared" si="65"/>
        <v>0</v>
      </c>
      <c r="AZ83" s="695">
        <f t="shared" si="65"/>
        <v>0</v>
      </c>
      <c r="BA83" s="109">
        <f t="shared" si="65"/>
        <v>0</v>
      </c>
      <c r="BB83" s="109">
        <f t="shared" si="65"/>
        <v>0</v>
      </c>
      <c r="BC83" s="109">
        <f t="shared" si="65"/>
        <v>0</v>
      </c>
      <c r="BD83" s="109">
        <f t="shared" si="65"/>
        <v>0</v>
      </c>
      <c r="BE83" s="109">
        <f t="shared" si="65"/>
        <v>0</v>
      </c>
      <c r="BF83" s="109">
        <f t="shared" si="65"/>
        <v>0</v>
      </c>
      <c r="BG83" s="109">
        <f t="shared" si="65"/>
        <v>0</v>
      </c>
      <c r="BH83" s="109">
        <f t="shared" si="65"/>
        <v>0</v>
      </c>
      <c r="BI83" s="109">
        <f t="shared" si="65"/>
        <v>0</v>
      </c>
      <c r="BJ83" s="109">
        <f t="shared" si="65"/>
        <v>0</v>
      </c>
      <c r="BK83" s="109">
        <f t="shared" si="65"/>
        <v>0</v>
      </c>
      <c r="BL83" s="695">
        <f t="shared" si="65"/>
        <v>0</v>
      </c>
      <c r="BM83" s="109">
        <f t="shared" ref="BM83:CJ83" si="66">AO81*$C83</f>
        <v>0</v>
      </c>
      <c r="BN83" s="109">
        <f t="shared" si="66"/>
        <v>97535.949335501937</v>
      </c>
      <c r="BO83" s="109">
        <f t="shared" si="66"/>
        <v>92415.568155446963</v>
      </c>
      <c r="BP83" s="109">
        <f t="shared" si="66"/>
        <v>259793.67825593904</v>
      </c>
      <c r="BQ83" s="109">
        <f t="shared" si="66"/>
        <v>309013.54580521834</v>
      </c>
      <c r="BR83" s="109">
        <f t="shared" si="66"/>
        <v>122798.17690662858</v>
      </c>
      <c r="BS83" s="109">
        <f t="shared" si="66"/>
        <v>176906.59164156171</v>
      </c>
      <c r="BT83" s="109">
        <f t="shared" si="66"/>
        <v>206073.52733018948</v>
      </c>
      <c r="BU83" s="109">
        <f t="shared" si="66"/>
        <v>72541.964389768254</v>
      </c>
      <c r="BV83" s="109">
        <f t="shared" si="66"/>
        <v>189364.50472295342</v>
      </c>
      <c r="BW83" s="109">
        <f t="shared" si="66"/>
        <v>207791.36688554633</v>
      </c>
      <c r="BX83" s="695">
        <f t="shared" si="66"/>
        <v>215867.11454519042</v>
      </c>
      <c r="BY83" s="109">
        <f t="shared" si="66"/>
        <v>95765.600068576954</v>
      </c>
      <c r="BZ83" s="109">
        <f t="shared" si="66"/>
        <v>0</v>
      </c>
      <c r="CA83" s="109">
        <f t="shared" si="66"/>
        <v>0</v>
      </c>
      <c r="CB83" s="109">
        <f t="shared" si="66"/>
        <v>0</v>
      </c>
      <c r="CC83" s="109">
        <f t="shared" si="66"/>
        <v>0</v>
      </c>
      <c r="CD83" s="109">
        <f t="shared" si="66"/>
        <v>0</v>
      </c>
      <c r="CE83" s="109">
        <f t="shared" si="66"/>
        <v>0</v>
      </c>
      <c r="CF83" s="109">
        <f t="shared" si="66"/>
        <v>0</v>
      </c>
      <c r="CG83" s="109">
        <f t="shared" si="66"/>
        <v>0</v>
      </c>
      <c r="CH83" s="109">
        <f t="shared" si="66"/>
        <v>0</v>
      </c>
      <c r="CI83" s="109">
        <f t="shared" si="66"/>
        <v>0</v>
      </c>
      <c r="CJ83" s="695">
        <f t="shared" si="66"/>
        <v>0</v>
      </c>
      <c r="CK83" s="109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10"/>
      <c r="CW83" s="109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10"/>
      <c r="DI83" s="109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10"/>
      <c r="DU83" s="3"/>
    </row>
    <row r="84" spans="2:16384" ht="15" x14ac:dyDescent="0.25">
      <c r="B84" s="404" t="s">
        <v>389</v>
      </c>
      <c r="C84" s="85">
        <v>1</v>
      </c>
      <c r="D84" s="7"/>
      <c r="E84" s="534"/>
      <c r="F84" s="534"/>
      <c r="G84" s="534"/>
      <c r="H84" s="534"/>
      <c r="I84" s="534"/>
      <c r="J84" s="534"/>
      <c r="K84" s="463"/>
      <c r="L84" s="463"/>
      <c r="M84" s="463"/>
      <c r="N84" s="463"/>
      <c r="O84" s="463"/>
      <c r="P84" s="487"/>
      <c r="Q84" s="790"/>
      <c r="R84" s="310"/>
      <c r="S84" s="310"/>
      <c r="T84" s="310"/>
      <c r="U84" s="310"/>
      <c r="V84" s="310"/>
      <c r="W84" s="310"/>
      <c r="X84" s="310"/>
      <c r="Y84" s="310"/>
      <c r="Z84" s="310"/>
      <c r="AA84" s="310"/>
      <c r="AB84" s="311"/>
      <c r="AC84" s="280"/>
      <c r="AD84" s="310"/>
      <c r="AE84" s="310"/>
      <c r="AF84" s="310"/>
      <c r="AG84" s="108"/>
      <c r="AH84" s="108"/>
      <c r="AI84" s="108"/>
      <c r="AJ84" s="108"/>
      <c r="AK84" s="108"/>
      <c r="AL84" s="108"/>
      <c r="AM84" s="108"/>
      <c r="AN84" s="110"/>
      <c r="AO84" s="109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10"/>
      <c r="BA84" s="109">
        <f>Q81*$C84</f>
        <v>0</v>
      </c>
      <c r="BB84" s="109">
        <f t="shared" ref="BB84:BX84" si="67">R81*$C84</f>
        <v>0</v>
      </c>
      <c r="BC84" s="109">
        <f t="shared" si="67"/>
        <v>0</v>
      </c>
      <c r="BD84" s="109">
        <f t="shared" si="67"/>
        <v>0</v>
      </c>
      <c r="BE84" s="109">
        <f t="shared" si="67"/>
        <v>0</v>
      </c>
      <c r="BF84" s="109">
        <f t="shared" si="67"/>
        <v>0</v>
      </c>
      <c r="BG84" s="109">
        <f t="shared" si="67"/>
        <v>0</v>
      </c>
      <c r="BH84" s="109">
        <f t="shared" si="67"/>
        <v>0</v>
      </c>
      <c r="BI84" s="109">
        <f t="shared" si="67"/>
        <v>0</v>
      </c>
      <c r="BJ84" s="109">
        <f t="shared" si="67"/>
        <v>0</v>
      </c>
      <c r="BK84" s="109">
        <f t="shared" si="67"/>
        <v>0</v>
      </c>
      <c r="BL84" s="695">
        <f t="shared" si="67"/>
        <v>0</v>
      </c>
      <c r="BM84" s="109">
        <f t="shared" si="67"/>
        <v>0</v>
      </c>
      <c r="BN84" s="109">
        <f t="shared" si="67"/>
        <v>0</v>
      </c>
      <c r="BO84" s="109">
        <f t="shared" si="67"/>
        <v>0</v>
      </c>
      <c r="BP84" s="109">
        <f t="shared" si="67"/>
        <v>0</v>
      </c>
      <c r="BQ84" s="109">
        <f t="shared" si="67"/>
        <v>0</v>
      </c>
      <c r="BR84" s="109">
        <f t="shared" si="67"/>
        <v>0</v>
      </c>
      <c r="BS84" s="109">
        <f t="shared" si="67"/>
        <v>0</v>
      </c>
      <c r="BT84" s="109">
        <f t="shared" si="67"/>
        <v>0</v>
      </c>
      <c r="BU84" s="109">
        <f t="shared" si="67"/>
        <v>0</v>
      </c>
      <c r="BV84" s="109">
        <f t="shared" si="67"/>
        <v>0</v>
      </c>
      <c r="BW84" s="109">
        <f t="shared" si="67"/>
        <v>0</v>
      </c>
      <c r="BX84" s="695">
        <f t="shared" si="67"/>
        <v>0</v>
      </c>
      <c r="BY84" s="109">
        <f t="shared" ref="BY84:CK84" si="68">AO81*$C84</f>
        <v>0</v>
      </c>
      <c r="BZ84" s="109">
        <f t="shared" si="68"/>
        <v>97535.949335501937</v>
      </c>
      <c r="CA84" s="109">
        <f t="shared" si="68"/>
        <v>92415.568155446963</v>
      </c>
      <c r="CB84" s="109">
        <f t="shared" si="68"/>
        <v>259793.67825593904</v>
      </c>
      <c r="CC84" s="109">
        <f t="shared" si="68"/>
        <v>309013.54580521834</v>
      </c>
      <c r="CD84" s="109">
        <f t="shared" si="68"/>
        <v>122798.17690662858</v>
      </c>
      <c r="CE84" s="109">
        <f t="shared" si="68"/>
        <v>176906.59164156171</v>
      </c>
      <c r="CF84" s="109">
        <f t="shared" si="68"/>
        <v>206073.52733018948</v>
      </c>
      <c r="CG84" s="109">
        <f t="shared" si="68"/>
        <v>72541.964389768254</v>
      </c>
      <c r="CH84" s="109">
        <f t="shared" si="68"/>
        <v>189364.50472295342</v>
      </c>
      <c r="CI84" s="109">
        <f t="shared" si="68"/>
        <v>207791.36688554633</v>
      </c>
      <c r="CJ84" s="695">
        <f t="shared" si="68"/>
        <v>215867.11454519042</v>
      </c>
      <c r="CK84" s="109">
        <f t="shared" si="68"/>
        <v>95765.600068576954</v>
      </c>
      <c r="CL84" s="388"/>
      <c r="CM84" s="388"/>
      <c r="CN84" s="388"/>
      <c r="CO84" s="388"/>
      <c r="CP84" s="388"/>
      <c r="CQ84" s="388"/>
      <c r="CR84" s="388"/>
      <c r="CS84" s="388"/>
      <c r="CT84" s="388"/>
      <c r="CU84" s="388"/>
      <c r="CV84" s="389"/>
      <c r="CW84" s="388"/>
      <c r="CX84" s="388"/>
      <c r="CY84" s="388"/>
      <c r="CZ84" s="388"/>
      <c r="DA84" s="388"/>
      <c r="DB84" s="388"/>
      <c r="DC84" s="388"/>
      <c r="DD84" s="388"/>
      <c r="DE84" s="388"/>
      <c r="DF84" s="388"/>
      <c r="DG84" s="388"/>
      <c r="DH84" s="389"/>
      <c r="DI84" s="388"/>
      <c r="DJ84" s="388"/>
      <c r="DK84" s="388"/>
      <c r="DL84" s="388"/>
      <c r="DM84" s="388"/>
      <c r="DN84" s="388"/>
      <c r="DO84" s="388"/>
      <c r="DP84" s="388"/>
      <c r="DQ84" s="388"/>
      <c r="DR84" s="388"/>
      <c r="DS84" s="388"/>
      <c r="DT84" s="389"/>
      <c r="DU84" s="3"/>
    </row>
    <row r="85" spans="2:16384" ht="15" x14ac:dyDescent="0.25">
      <c r="B85" s="404" t="s">
        <v>390</v>
      </c>
      <c r="C85" s="85">
        <v>1</v>
      </c>
      <c r="D85" s="7"/>
      <c r="E85" s="534"/>
      <c r="F85" s="534"/>
      <c r="G85" s="534"/>
      <c r="H85" s="534"/>
      <c r="I85" s="534"/>
      <c r="J85" s="534"/>
      <c r="K85" s="403"/>
      <c r="L85" s="403"/>
      <c r="M85" s="403"/>
      <c r="N85" s="403"/>
      <c r="O85" s="403"/>
      <c r="P85" s="486"/>
      <c r="Q85" s="795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10"/>
      <c r="AC85" s="254"/>
      <c r="AD85" s="255"/>
      <c r="AE85" s="108"/>
      <c r="AF85" s="108"/>
      <c r="AG85" s="108"/>
      <c r="AH85" s="108"/>
      <c r="AI85" s="108"/>
      <c r="AJ85" s="108"/>
      <c r="AK85" s="108"/>
      <c r="AL85" s="108"/>
      <c r="AM85" s="108"/>
      <c r="AN85" s="110"/>
      <c r="AO85" s="109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10"/>
      <c r="BA85" s="109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10"/>
      <c r="BM85" s="109">
        <f>Q81*$C85</f>
        <v>0</v>
      </c>
      <c r="BN85" s="109">
        <f t="shared" ref="BN85:CJ85" si="69">R81*$C85</f>
        <v>0</v>
      </c>
      <c r="BO85" s="109">
        <f t="shared" si="69"/>
        <v>0</v>
      </c>
      <c r="BP85" s="109">
        <f t="shared" si="69"/>
        <v>0</v>
      </c>
      <c r="BQ85" s="109">
        <f t="shared" si="69"/>
        <v>0</v>
      </c>
      <c r="BR85" s="109">
        <f t="shared" si="69"/>
        <v>0</v>
      </c>
      <c r="BS85" s="109">
        <f t="shared" si="69"/>
        <v>0</v>
      </c>
      <c r="BT85" s="109">
        <f t="shared" si="69"/>
        <v>0</v>
      </c>
      <c r="BU85" s="109">
        <f t="shared" si="69"/>
        <v>0</v>
      </c>
      <c r="BV85" s="109">
        <f t="shared" si="69"/>
        <v>0</v>
      </c>
      <c r="BW85" s="109">
        <f t="shared" si="69"/>
        <v>0</v>
      </c>
      <c r="BX85" s="695">
        <f t="shared" si="69"/>
        <v>0</v>
      </c>
      <c r="BY85" s="109">
        <f t="shared" si="69"/>
        <v>0</v>
      </c>
      <c r="BZ85" s="109">
        <f t="shared" si="69"/>
        <v>0</v>
      </c>
      <c r="CA85" s="109">
        <f t="shared" si="69"/>
        <v>0</v>
      </c>
      <c r="CB85" s="109">
        <f t="shared" si="69"/>
        <v>0</v>
      </c>
      <c r="CC85" s="109">
        <f t="shared" si="69"/>
        <v>0</v>
      </c>
      <c r="CD85" s="109">
        <f t="shared" si="69"/>
        <v>0</v>
      </c>
      <c r="CE85" s="109">
        <f t="shared" si="69"/>
        <v>0</v>
      </c>
      <c r="CF85" s="109">
        <f t="shared" si="69"/>
        <v>0</v>
      </c>
      <c r="CG85" s="109">
        <f t="shared" si="69"/>
        <v>0</v>
      </c>
      <c r="CH85" s="109">
        <f t="shared" si="69"/>
        <v>0</v>
      </c>
      <c r="CI85" s="109">
        <f t="shared" si="69"/>
        <v>0</v>
      </c>
      <c r="CJ85" s="695">
        <f t="shared" si="69"/>
        <v>0</v>
      </c>
      <c r="CK85" s="109">
        <f t="shared" ref="CK85:DD85" si="70">AO81*$C85</f>
        <v>0</v>
      </c>
      <c r="CL85" s="109">
        <f t="shared" si="70"/>
        <v>97535.949335501937</v>
      </c>
      <c r="CM85" s="109">
        <f t="shared" si="70"/>
        <v>92415.568155446963</v>
      </c>
      <c r="CN85" s="109">
        <f t="shared" si="70"/>
        <v>259793.67825593904</v>
      </c>
      <c r="CO85" s="109">
        <f t="shared" si="70"/>
        <v>309013.54580521834</v>
      </c>
      <c r="CP85" s="109">
        <f t="shared" si="70"/>
        <v>122798.17690662858</v>
      </c>
      <c r="CQ85" s="109">
        <f t="shared" si="70"/>
        <v>176906.59164156171</v>
      </c>
      <c r="CR85" s="109">
        <f t="shared" si="70"/>
        <v>206073.52733018948</v>
      </c>
      <c r="CS85" s="109">
        <f t="shared" si="70"/>
        <v>72541.964389768254</v>
      </c>
      <c r="CT85" s="109">
        <f t="shared" si="70"/>
        <v>189364.50472295342</v>
      </c>
      <c r="CU85" s="109">
        <f t="shared" si="70"/>
        <v>207791.36688554633</v>
      </c>
      <c r="CV85" s="695">
        <f t="shared" si="70"/>
        <v>215867.11454519042</v>
      </c>
      <c r="CW85" s="109">
        <f t="shared" si="70"/>
        <v>95765.600068576954</v>
      </c>
      <c r="CX85" s="109">
        <f t="shared" si="70"/>
        <v>0</v>
      </c>
      <c r="CY85" s="109">
        <f t="shared" si="70"/>
        <v>0</v>
      </c>
      <c r="CZ85" s="109">
        <f t="shared" si="70"/>
        <v>0</v>
      </c>
      <c r="DA85" s="109">
        <f t="shared" si="70"/>
        <v>0</v>
      </c>
      <c r="DB85" s="109">
        <f t="shared" si="70"/>
        <v>0</v>
      </c>
      <c r="DC85" s="109">
        <f t="shared" si="70"/>
        <v>0</v>
      </c>
      <c r="DD85" s="109">
        <f t="shared" si="70"/>
        <v>0</v>
      </c>
      <c r="DE85" s="388"/>
      <c r="DF85" s="388"/>
      <c r="DG85" s="388"/>
      <c r="DH85" s="389"/>
      <c r="DI85" s="388"/>
      <c r="DJ85" s="388"/>
      <c r="DK85" s="388"/>
      <c r="DL85" s="388"/>
      <c r="DM85" s="388"/>
      <c r="DN85" s="388"/>
      <c r="DO85" s="388"/>
      <c r="DP85" s="388"/>
      <c r="DQ85" s="388"/>
      <c r="DR85" s="388"/>
      <c r="DS85" s="388"/>
      <c r="DT85" s="389"/>
      <c r="DU85" s="3"/>
    </row>
    <row r="86" spans="2:16384" ht="15" x14ac:dyDescent="0.25">
      <c r="B86" s="404" t="s">
        <v>391</v>
      </c>
      <c r="C86" s="85">
        <v>1</v>
      </c>
      <c r="D86" s="7"/>
      <c r="E86" s="406"/>
      <c r="F86" s="406"/>
      <c r="G86" s="406"/>
      <c r="H86" s="406"/>
      <c r="I86" s="406"/>
      <c r="J86" s="406"/>
      <c r="K86" s="406"/>
      <c r="L86" s="406"/>
      <c r="M86" s="406"/>
      <c r="N86" s="406"/>
      <c r="O86" s="406"/>
      <c r="P86" s="488"/>
      <c r="Q86" s="792"/>
      <c r="R86" s="312"/>
      <c r="S86" s="312"/>
      <c r="T86" s="312"/>
      <c r="U86" s="312"/>
      <c r="V86" s="312"/>
      <c r="W86" s="312"/>
      <c r="X86" s="312"/>
      <c r="Y86" s="312"/>
      <c r="Z86" s="312"/>
      <c r="AA86" s="312"/>
      <c r="AB86" s="313"/>
      <c r="AC86" s="312"/>
      <c r="AD86" s="312"/>
      <c r="AE86" s="312"/>
      <c r="AF86" s="312"/>
      <c r="AG86" s="312"/>
      <c r="AH86" s="312"/>
      <c r="AI86" s="312"/>
      <c r="AJ86" s="312"/>
      <c r="AK86" s="312"/>
      <c r="AL86" s="312"/>
      <c r="AM86" s="312"/>
      <c r="AN86" s="313"/>
      <c r="AO86" s="312"/>
      <c r="AP86" s="312"/>
      <c r="AQ86" s="312"/>
      <c r="AR86" s="312"/>
      <c r="AS86" s="312"/>
      <c r="AT86" s="312"/>
      <c r="AU86" s="312"/>
      <c r="AV86" s="312"/>
      <c r="AW86" s="312"/>
      <c r="AX86" s="312"/>
      <c r="AY86" s="312"/>
      <c r="AZ86" s="313"/>
      <c r="BA86" s="312"/>
      <c r="BB86" s="312"/>
      <c r="BC86" s="312"/>
      <c r="BD86" s="312"/>
      <c r="BE86" s="312"/>
      <c r="BF86" s="312"/>
      <c r="BG86" s="312"/>
      <c r="BH86" s="312"/>
      <c r="BI86" s="312"/>
      <c r="BJ86" s="312"/>
      <c r="BK86" s="312"/>
      <c r="BL86" s="313"/>
      <c r="BM86" s="312"/>
      <c r="BN86" s="312"/>
      <c r="BO86" s="312"/>
      <c r="BP86" s="312"/>
      <c r="BQ86" s="312"/>
      <c r="BR86" s="312"/>
      <c r="BS86" s="312"/>
      <c r="BT86" s="312"/>
      <c r="BU86" s="312"/>
      <c r="BV86" s="312"/>
      <c r="BW86" s="312"/>
      <c r="BX86" s="313"/>
      <c r="BY86" s="312">
        <f>Q81*$C86</f>
        <v>0</v>
      </c>
      <c r="BZ86" s="312">
        <f t="shared" ref="BZ86:CV86" si="71">R81*$C86</f>
        <v>0</v>
      </c>
      <c r="CA86" s="312">
        <f t="shared" si="71"/>
        <v>0</v>
      </c>
      <c r="CB86" s="312">
        <f t="shared" si="71"/>
        <v>0</v>
      </c>
      <c r="CC86" s="312">
        <f t="shared" si="71"/>
        <v>0</v>
      </c>
      <c r="CD86" s="312">
        <f t="shared" si="71"/>
        <v>0</v>
      </c>
      <c r="CE86" s="312">
        <f t="shared" si="71"/>
        <v>0</v>
      </c>
      <c r="CF86" s="312">
        <f t="shared" si="71"/>
        <v>0</v>
      </c>
      <c r="CG86" s="312">
        <f t="shared" si="71"/>
        <v>0</v>
      </c>
      <c r="CH86" s="312">
        <f t="shared" si="71"/>
        <v>0</v>
      </c>
      <c r="CI86" s="312">
        <f t="shared" si="71"/>
        <v>0</v>
      </c>
      <c r="CJ86" s="313">
        <f t="shared" si="71"/>
        <v>0</v>
      </c>
      <c r="CK86" s="312">
        <f t="shared" si="71"/>
        <v>0</v>
      </c>
      <c r="CL86" s="312">
        <f t="shared" si="71"/>
        <v>0</v>
      </c>
      <c r="CM86" s="312">
        <f t="shared" si="71"/>
        <v>0</v>
      </c>
      <c r="CN86" s="312">
        <f t="shared" si="71"/>
        <v>0</v>
      </c>
      <c r="CO86" s="312">
        <f t="shared" si="71"/>
        <v>0</v>
      </c>
      <c r="CP86" s="312">
        <f t="shared" si="71"/>
        <v>0</v>
      </c>
      <c r="CQ86" s="312">
        <f t="shared" si="71"/>
        <v>0</v>
      </c>
      <c r="CR86" s="312">
        <f t="shared" si="71"/>
        <v>0</v>
      </c>
      <c r="CS86" s="312">
        <f t="shared" si="71"/>
        <v>0</v>
      </c>
      <c r="CT86" s="312">
        <f t="shared" si="71"/>
        <v>0</v>
      </c>
      <c r="CU86" s="312">
        <f t="shared" si="71"/>
        <v>0</v>
      </c>
      <c r="CV86" s="313">
        <f t="shared" si="71"/>
        <v>0</v>
      </c>
      <c r="CW86" s="312">
        <f t="shared" ref="CW86:DI86" si="72">AO81*$C86</f>
        <v>0</v>
      </c>
      <c r="CX86" s="312">
        <f t="shared" si="72"/>
        <v>97535.949335501937</v>
      </c>
      <c r="CY86" s="312">
        <f t="shared" si="72"/>
        <v>92415.568155446963</v>
      </c>
      <c r="CZ86" s="312">
        <f t="shared" si="72"/>
        <v>259793.67825593904</v>
      </c>
      <c r="DA86" s="312">
        <f t="shared" si="72"/>
        <v>309013.54580521834</v>
      </c>
      <c r="DB86" s="312">
        <f t="shared" si="72"/>
        <v>122798.17690662858</v>
      </c>
      <c r="DC86" s="312">
        <f t="shared" si="72"/>
        <v>176906.59164156171</v>
      </c>
      <c r="DD86" s="312">
        <f t="shared" si="72"/>
        <v>206073.52733018948</v>
      </c>
      <c r="DE86" s="312">
        <f t="shared" si="72"/>
        <v>72541.964389768254</v>
      </c>
      <c r="DF86" s="312">
        <f t="shared" si="72"/>
        <v>189364.50472295342</v>
      </c>
      <c r="DG86" s="312">
        <f t="shared" si="72"/>
        <v>207791.36688554633</v>
      </c>
      <c r="DH86" s="313">
        <f t="shared" si="72"/>
        <v>215867.11454519042</v>
      </c>
      <c r="DI86" s="313">
        <f t="shared" si="72"/>
        <v>95765.600068576954</v>
      </c>
      <c r="DJ86" s="312"/>
      <c r="DK86" s="312"/>
      <c r="DL86" s="312"/>
      <c r="DM86" s="312"/>
      <c r="DN86" s="312"/>
      <c r="DO86" s="312"/>
      <c r="DP86" s="312"/>
      <c r="DQ86" s="312"/>
      <c r="DR86" s="312"/>
      <c r="DS86" s="312"/>
      <c r="DT86" s="313"/>
      <c r="DU86" s="3"/>
    </row>
    <row r="87" spans="2:16384" ht="15" x14ac:dyDescent="0.25">
      <c r="B87" s="404" t="s">
        <v>392</v>
      </c>
      <c r="C87" s="85">
        <v>1</v>
      </c>
      <c r="D87" s="7"/>
      <c r="E87" s="406"/>
      <c r="F87" s="406"/>
      <c r="G87" s="406"/>
      <c r="H87" s="406"/>
      <c r="I87" s="406"/>
      <c r="J87" s="406"/>
      <c r="K87" s="406"/>
      <c r="L87" s="406"/>
      <c r="M87" s="406"/>
      <c r="N87" s="406"/>
      <c r="O87" s="406"/>
      <c r="P87" s="488"/>
      <c r="Q87" s="792"/>
      <c r="R87" s="312"/>
      <c r="S87" s="312"/>
      <c r="T87" s="312"/>
      <c r="U87" s="312"/>
      <c r="V87" s="312"/>
      <c r="W87" s="312"/>
      <c r="X87" s="312"/>
      <c r="Y87" s="312"/>
      <c r="Z87" s="312"/>
      <c r="AA87" s="312"/>
      <c r="AB87" s="313"/>
      <c r="AC87" s="312"/>
      <c r="AD87" s="312"/>
      <c r="AE87" s="312"/>
      <c r="AF87" s="312"/>
      <c r="AG87" s="312"/>
      <c r="AH87" s="312"/>
      <c r="AI87" s="312"/>
      <c r="AJ87" s="312"/>
      <c r="AK87" s="312"/>
      <c r="AL87" s="312"/>
      <c r="AM87" s="312"/>
      <c r="AN87" s="313"/>
      <c r="AO87" s="312"/>
      <c r="AP87" s="312"/>
      <c r="AQ87" s="312"/>
      <c r="AR87" s="312"/>
      <c r="AS87" s="312"/>
      <c r="AT87" s="312"/>
      <c r="AU87" s="312"/>
      <c r="AV87" s="312"/>
      <c r="AW87" s="312"/>
      <c r="AX87" s="312"/>
      <c r="AY87" s="312"/>
      <c r="AZ87" s="313"/>
      <c r="BA87" s="312"/>
      <c r="BB87" s="312"/>
      <c r="BC87" s="312"/>
      <c r="BD87" s="312"/>
      <c r="BE87" s="312"/>
      <c r="BF87" s="312"/>
      <c r="BG87" s="312"/>
      <c r="BH87" s="312"/>
      <c r="BI87" s="312"/>
      <c r="BJ87" s="312"/>
      <c r="BK87" s="312"/>
      <c r="BL87" s="313"/>
      <c r="BM87" s="312"/>
      <c r="BN87" s="312"/>
      <c r="BO87" s="312"/>
      <c r="BP87" s="312"/>
      <c r="BQ87" s="312"/>
      <c r="BR87" s="312"/>
      <c r="BS87" s="312"/>
      <c r="BT87" s="312"/>
      <c r="BU87" s="312"/>
      <c r="BV87" s="312"/>
      <c r="BW87" s="312"/>
      <c r="BX87" s="313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3"/>
      <c r="CK87" s="312">
        <f>Q81*$C87</f>
        <v>0</v>
      </c>
      <c r="CL87" s="312">
        <f t="shared" ref="CL87:DH87" si="73">R81*$C87</f>
        <v>0</v>
      </c>
      <c r="CM87" s="312">
        <f t="shared" si="73"/>
        <v>0</v>
      </c>
      <c r="CN87" s="312">
        <f t="shared" si="73"/>
        <v>0</v>
      </c>
      <c r="CO87" s="312">
        <f t="shared" si="73"/>
        <v>0</v>
      </c>
      <c r="CP87" s="312">
        <f t="shared" si="73"/>
        <v>0</v>
      </c>
      <c r="CQ87" s="312">
        <f t="shared" si="73"/>
        <v>0</v>
      </c>
      <c r="CR87" s="312">
        <f t="shared" si="73"/>
        <v>0</v>
      </c>
      <c r="CS87" s="312">
        <f t="shared" si="73"/>
        <v>0</v>
      </c>
      <c r="CT87" s="312">
        <f t="shared" si="73"/>
        <v>0</v>
      </c>
      <c r="CU87" s="312">
        <f t="shared" si="73"/>
        <v>0</v>
      </c>
      <c r="CV87" s="313">
        <f t="shared" si="73"/>
        <v>0</v>
      </c>
      <c r="CW87" s="312">
        <f t="shared" si="73"/>
        <v>0</v>
      </c>
      <c r="CX87" s="312">
        <f t="shared" si="73"/>
        <v>0</v>
      </c>
      <c r="CY87" s="312">
        <f t="shared" si="73"/>
        <v>0</v>
      </c>
      <c r="CZ87" s="312">
        <f t="shared" si="73"/>
        <v>0</v>
      </c>
      <c r="DA87" s="312">
        <f t="shared" si="73"/>
        <v>0</v>
      </c>
      <c r="DB87" s="312">
        <f t="shared" si="73"/>
        <v>0</v>
      </c>
      <c r="DC87" s="312">
        <f t="shared" si="73"/>
        <v>0</v>
      </c>
      <c r="DD87" s="312">
        <f t="shared" si="73"/>
        <v>0</v>
      </c>
      <c r="DE87" s="312">
        <f t="shared" si="73"/>
        <v>0</v>
      </c>
      <c r="DF87" s="312">
        <f t="shared" si="73"/>
        <v>0</v>
      </c>
      <c r="DG87" s="312">
        <f t="shared" si="73"/>
        <v>0</v>
      </c>
      <c r="DH87" s="313">
        <f t="shared" si="73"/>
        <v>0</v>
      </c>
      <c r="DI87" s="312">
        <f t="shared" ref="DI87:DT87" si="74">AO81*$C87</f>
        <v>0</v>
      </c>
      <c r="DJ87" s="312">
        <f t="shared" si="74"/>
        <v>97535.949335501937</v>
      </c>
      <c r="DK87" s="312">
        <f t="shared" si="74"/>
        <v>92415.568155446963</v>
      </c>
      <c r="DL87" s="312">
        <f t="shared" si="74"/>
        <v>259793.67825593904</v>
      </c>
      <c r="DM87" s="312">
        <f t="shared" si="74"/>
        <v>309013.54580521834</v>
      </c>
      <c r="DN87" s="312">
        <f t="shared" si="74"/>
        <v>122798.17690662858</v>
      </c>
      <c r="DO87" s="312">
        <f t="shared" si="74"/>
        <v>176906.59164156171</v>
      </c>
      <c r="DP87" s="312">
        <f t="shared" si="74"/>
        <v>206073.52733018948</v>
      </c>
      <c r="DQ87" s="312">
        <f t="shared" si="74"/>
        <v>72541.964389768254</v>
      </c>
      <c r="DR87" s="312">
        <f t="shared" si="74"/>
        <v>189364.50472295342</v>
      </c>
      <c r="DS87" s="312">
        <f t="shared" si="74"/>
        <v>207791.36688554633</v>
      </c>
      <c r="DT87" s="313">
        <f t="shared" si="74"/>
        <v>215867.11454519042</v>
      </c>
      <c r="DU87" s="3"/>
    </row>
    <row r="88" spans="2:16384" ht="15" x14ac:dyDescent="0.25">
      <c r="B88" s="404" t="s">
        <v>393</v>
      </c>
      <c r="C88" s="85">
        <v>1</v>
      </c>
      <c r="D88" s="7"/>
      <c r="E88" s="406"/>
      <c r="F88" s="406"/>
      <c r="G88" s="406"/>
      <c r="H88" s="406"/>
      <c r="I88" s="406"/>
      <c r="J88" s="406"/>
      <c r="K88" s="406"/>
      <c r="L88" s="406"/>
      <c r="M88" s="406"/>
      <c r="N88" s="406"/>
      <c r="O88" s="406"/>
      <c r="P88" s="488"/>
      <c r="Q88" s="792"/>
      <c r="R88" s="312"/>
      <c r="S88" s="312"/>
      <c r="T88" s="312"/>
      <c r="U88" s="312"/>
      <c r="V88" s="312"/>
      <c r="W88" s="312"/>
      <c r="X88" s="312"/>
      <c r="Y88" s="312"/>
      <c r="Z88" s="312"/>
      <c r="AA88" s="312"/>
      <c r="AB88" s="313"/>
      <c r="AC88" s="312"/>
      <c r="AD88" s="312"/>
      <c r="AE88" s="312"/>
      <c r="AF88" s="312"/>
      <c r="AG88" s="312"/>
      <c r="AH88" s="312"/>
      <c r="AI88" s="312"/>
      <c r="AJ88" s="312"/>
      <c r="AK88" s="312"/>
      <c r="AL88" s="312"/>
      <c r="AM88" s="312"/>
      <c r="AN88" s="313"/>
      <c r="AO88" s="312"/>
      <c r="AP88" s="312"/>
      <c r="AQ88" s="312"/>
      <c r="AR88" s="312"/>
      <c r="AS88" s="312"/>
      <c r="AT88" s="312"/>
      <c r="AU88" s="312"/>
      <c r="AV88" s="312"/>
      <c r="AW88" s="312"/>
      <c r="AX88" s="312"/>
      <c r="AY88" s="312"/>
      <c r="AZ88" s="313"/>
      <c r="BA88" s="312"/>
      <c r="BB88" s="312"/>
      <c r="BC88" s="312"/>
      <c r="BD88" s="312"/>
      <c r="BE88" s="312"/>
      <c r="BF88" s="312"/>
      <c r="BG88" s="312"/>
      <c r="BH88" s="312"/>
      <c r="BI88" s="312"/>
      <c r="BJ88" s="312"/>
      <c r="BK88" s="312"/>
      <c r="BL88" s="313"/>
      <c r="BM88" s="312"/>
      <c r="BN88" s="312"/>
      <c r="BO88" s="312"/>
      <c r="BP88" s="312"/>
      <c r="BQ88" s="312"/>
      <c r="BR88" s="312"/>
      <c r="BS88" s="312"/>
      <c r="BT88" s="312"/>
      <c r="BU88" s="312"/>
      <c r="BV88" s="312"/>
      <c r="BW88" s="312"/>
      <c r="BX88" s="313"/>
      <c r="BY88" s="312"/>
      <c r="BZ88" s="312"/>
      <c r="CA88" s="312"/>
      <c r="CB88" s="312"/>
      <c r="CC88" s="312"/>
      <c r="CD88" s="312"/>
      <c r="CE88" s="312"/>
      <c r="CF88" s="312"/>
      <c r="CG88" s="312"/>
      <c r="CH88" s="312"/>
      <c r="CI88" s="312"/>
      <c r="CJ88" s="313"/>
      <c r="CK88" s="312"/>
      <c r="CL88" s="312"/>
      <c r="CM88" s="312"/>
      <c r="CN88" s="312"/>
      <c r="CO88" s="312"/>
      <c r="CP88" s="312"/>
      <c r="CQ88" s="312"/>
      <c r="CR88" s="312"/>
      <c r="CS88" s="312"/>
      <c r="CT88" s="312"/>
      <c r="CU88" s="312"/>
      <c r="CV88" s="313"/>
      <c r="CW88" s="390">
        <f>Q81*$C88</f>
        <v>0</v>
      </c>
      <c r="CX88" s="390">
        <f t="shared" ref="CX88:DT88" si="75">R81*$C88</f>
        <v>0</v>
      </c>
      <c r="CY88" s="390">
        <f t="shared" si="75"/>
        <v>0</v>
      </c>
      <c r="CZ88" s="390">
        <f t="shared" si="75"/>
        <v>0</v>
      </c>
      <c r="DA88" s="390">
        <f t="shared" si="75"/>
        <v>0</v>
      </c>
      <c r="DB88" s="390">
        <f t="shared" si="75"/>
        <v>0</v>
      </c>
      <c r="DC88" s="390">
        <f t="shared" si="75"/>
        <v>0</v>
      </c>
      <c r="DD88" s="390">
        <f t="shared" si="75"/>
        <v>0</v>
      </c>
      <c r="DE88" s="390">
        <f t="shared" si="75"/>
        <v>0</v>
      </c>
      <c r="DF88" s="390">
        <f t="shared" si="75"/>
        <v>0</v>
      </c>
      <c r="DG88" s="390">
        <f t="shared" si="75"/>
        <v>0</v>
      </c>
      <c r="DH88" s="761">
        <f t="shared" si="75"/>
        <v>0</v>
      </c>
      <c r="DI88" s="390">
        <f t="shared" si="75"/>
        <v>0</v>
      </c>
      <c r="DJ88" s="390">
        <f t="shared" si="75"/>
        <v>0</v>
      </c>
      <c r="DK88" s="390">
        <f t="shared" si="75"/>
        <v>0</v>
      </c>
      <c r="DL88" s="390">
        <f t="shared" si="75"/>
        <v>0</v>
      </c>
      <c r="DM88" s="390">
        <f t="shared" si="75"/>
        <v>0</v>
      </c>
      <c r="DN88" s="390">
        <f t="shared" si="75"/>
        <v>0</v>
      </c>
      <c r="DO88" s="390">
        <f t="shared" si="75"/>
        <v>0</v>
      </c>
      <c r="DP88" s="390">
        <f t="shared" si="75"/>
        <v>0</v>
      </c>
      <c r="DQ88" s="390">
        <f t="shared" si="75"/>
        <v>0</v>
      </c>
      <c r="DR88" s="390">
        <f t="shared" si="75"/>
        <v>0</v>
      </c>
      <c r="DS88" s="390">
        <f t="shared" si="75"/>
        <v>0</v>
      </c>
      <c r="DT88" s="761">
        <f t="shared" si="75"/>
        <v>0</v>
      </c>
      <c r="DU88" s="3"/>
    </row>
    <row r="89" spans="2:16384" ht="15" x14ac:dyDescent="0.25">
      <c r="B89" s="404" t="s">
        <v>394</v>
      </c>
      <c r="C89" s="85">
        <v>1</v>
      </c>
      <c r="D89" s="7"/>
      <c r="E89" s="406"/>
      <c r="F89" s="406"/>
      <c r="G89" s="406"/>
      <c r="H89" s="406"/>
      <c r="I89" s="406"/>
      <c r="J89" s="406"/>
      <c r="K89" s="406"/>
      <c r="L89" s="406"/>
      <c r="M89" s="406"/>
      <c r="N89" s="406"/>
      <c r="O89" s="406"/>
      <c r="P89" s="488"/>
      <c r="Q89" s="792"/>
      <c r="R89" s="312"/>
      <c r="S89" s="312"/>
      <c r="T89" s="312"/>
      <c r="U89" s="312"/>
      <c r="V89" s="312"/>
      <c r="W89" s="312"/>
      <c r="X89" s="312"/>
      <c r="Y89" s="312"/>
      <c r="Z89" s="312"/>
      <c r="AA89" s="312"/>
      <c r="AB89" s="313"/>
      <c r="AC89" s="312"/>
      <c r="AD89" s="312"/>
      <c r="AE89" s="312"/>
      <c r="AF89" s="312"/>
      <c r="AG89" s="312"/>
      <c r="AH89" s="312"/>
      <c r="AI89" s="312"/>
      <c r="AJ89" s="312"/>
      <c r="AK89" s="312"/>
      <c r="AL89" s="312"/>
      <c r="AM89" s="312"/>
      <c r="AN89" s="313"/>
      <c r="AO89" s="312"/>
      <c r="AP89" s="312"/>
      <c r="AQ89" s="312"/>
      <c r="AR89" s="312"/>
      <c r="AS89" s="312"/>
      <c r="AT89" s="312"/>
      <c r="AU89" s="312"/>
      <c r="AV89" s="312"/>
      <c r="AW89" s="312"/>
      <c r="AX89" s="312"/>
      <c r="AY89" s="312"/>
      <c r="AZ89" s="313"/>
      <c r="BA89" s="312"/>
      <c r="BB89" s="312"/>
      <c r="BC89" s="312"/>
      <c r="BD89" s="312"/>
      <c r="BE89" s="312"/>
      <c r="BF89" s="312"/>
      <c r="BG89" s="312"/>
      <c r="BH89" s="312"/>
      <c r="BI89" s="312"/>
      <c r="BJ89" s="312"/>
      <c r="BK89" s="312"/>
      <c r="BL89" s="313"/>
      <c r="BM89" s="312"/>
      <c r="BN89" s="312"/>
      <c r="BO89" s="312"/>
      <c r="BP89" s="312"/>
      <c r="BQ89" s="312"/>
      <c r="BR89" s="312"/>
      <c r="BS89" s="312"/>
      <c r="BT89" s="312"/>
      <c r="BU89" s="312"/>
      <c r="BV89" s="312"/>
      <c r="BW89" s="312"/>
      <c r="BX89" s="313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3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90"/>
      <c r="CX89" s="312"/>
      <c r="CY89" s="312"/>
      <c r="CZ89" s="312"/>
      <c r="DA89" s="312"/>
      <c r="DB89" s="312"/>
      <c r="DC89" s="312"/>
      <c r="DD89" s="312"/>
      <c r="DE89" s="312"/>
      <c r="DF89" s="312"/>
      <c r="DG89" s="312"/>
      <c r="DH89" s="313"/>
      <c r="DI89" s="312">
        <f>Q81*$C89</f>
        <v>0</v>
      </c>
      <c r="DJ89" s="312">
        <f t="shared" ref="DJ89:DT89" si="76">R81*$C89</f>
        <v>0</v>
      </c>
      <c r="DK89" s="312">
        <f t="shared" si="76"/>
        <v>0</v>
      </c>
      <c r="DL89" s="312">
        <f t="shared" si="76"/>
        <v>0</v>
      </c>
      <c r="DM89" s="312">
        <f t="shared" si="76"/>
        <v>0</v>
      </c>
      <c r="DN89" s="312">
        <f t="shared" si="76"/>
        <v>0</v>
      </c>
      <c r="DO89" s="312">
        <f t="shared" si="76"/>
        <v>0</v>
      </c>
      <c r="DP89" s="312">
        <f t="shared" si="76"/>
        <v>0</v>
      </c>
      <c r="DQ89" s="312">
        <f t="shared" si="76"/>
        <v>0</v>
      </c>
      <c r="DR89" s="312">
        <f t="shared" si="76"/>
        <v>0</v>
      </c>
      <c r="DS89" s="312">
        <f t="shared" si="76"/>
        <v>0</v>
      </c>
      <c r="DT89" s="313">
        <f t="shared" si="76"/>
        <v>0</v>
      </c>
      <c r="DU89" s="3"/>
    </row>
    <row r="90" spans="2:16384" ht="15" x14ac:dyDescent="0.25">
      <c r="B90" s="404" t="s">
        <v>395</v>
      </c>
      <c r="C90" s="85">
        <v>1</v>
      </c>
      <c r="D90" s="7"/>
      <c r="E90" s="406"/>
      <c r="F90" s="406"/>
      <c r="G90" s="406"/>
      <c r="H90" s="406"/>
      <c r="I90" s="406"/>
      <c r="J90" s="406"/>
      <c r="K90" s="406"/>
      <c r="L90" s="406"/>
      <c r="M90" s="406"/>
      <c r="N90" s="406"/>
      <c r="O90" s="406"/>
      <c r="P90" s="488"/>
      <c r="Q90" s="792"/>
      <c r="R90" s="312"/>
      <c r="S90" s="312"/>
      <c r="T90" s="312"/>
      <c r="U90" s="312"/>
      <c r="V90" s="312"/>
      <c r="W90" s="312"/>
      <c r="X90" s="312"/>
      <c r="Y90" s="312"/>
      <c r="Z90" s="312"/>
      <c r="AA90" s="312"/>
      <c r="AB90" s="313"/>
      <c r="AC90" s="312"/>
      <c r="AD90" s="312"/>
      <c r="AE90" s="312"/>
      <c r="AF90" s="312"/>
      <c r="AG90" s="312"/>
      <c r="AH90" s="312"/>
      <c r="AI90" s="312"/>
      <c r="AJ90" s="312"/>
      <c r="AK90" s="312"/>
      <c r="AL90" s="312"/>
      <c r="AM90" s="312"/>
      <c r="AN90" s="313"/>
      <c r="AO90" s="312"/>
      <c r="AP90" s="312"/>
      <c r="AQ90" s="312"/>
      <c r="AR90" s="312"/>
      <c r="AS90" s="312"/>
      <c r="AT90" s="312"/>
      <c r="AU90" s="312"/>
      <c r="AV90" s="312"/>
      <c r="AW90" s="312"/>
      <c r="AX90" s="312"/>
      <c r="AY90" s="312"/>
      <c r="AZ90" s="313"/>
      <c r="BA90" s="312"/>
      <c r="BB90" s="312"/>
      <c r="BC90" s="312"/>
      <c r="BD90" s="312"/>
      <c r="BE90" s="312"/>
      <c r="BF90" s="312"/>
      <c r="BG90" s="312"/>
      <c r="BH90" s="312"/>
      <c r="BI90" s="312"/>
      <c r="BJ90" s="312"/>
      <c r="BK90" s="312"/>
      <c r="BL90" s="313"/>
      <c r="BM90" s="312"/>
      <c r="BN90" s="312"/>
      <c r="BO90" s="312"/>
      <c r="BP90" s="312"/>
      <c r="BQ90" s="312"/>
      <c r="BR90" s="312"/>
      <c r="BS90" s="312"/>
      <c r="BT90" s="312"/>
      <c r="BU90" s="312"/>
      <c r="BV90" s="312"/>
      <c r="BW90" s="312"/>
      <c r="BX90" s="313"/>
      <c r="BY90" s="312"/>
      <c r="BZ90" s="312"/>
      <c r="CA90" s="312"/>
      <c r="CB90" s="312"/>
      <c r="CC90" s="312"/>
      <c r="CD90" s="312"/>
      <c r="CE90" s="312"/>
      <c r="CF90" s="312"/>
      <c r="CG90" s="312"/>
      <c r="CH90" s="312"/>
      <c r="CI90" s="312"/>
      <c r="CJ90" s="313"/>
      <c r="CK90" s="312"/>
      <c r="CL90" s="312"/>
      <c r="CM90" s="312"/>
      <c r="CN90" s="312"/>
      <c r="CO90" s="312"/>
      <c r="CP90" s="312"/>
      <c r="CQ90" s="312"/>
      <c r="CR90" s="312"/>
      <c r="CS90" s="312"/>
      <c r="CT90" s="312"/>
      <c r="CU90" s="312"/>
      <c r="CV90" s="313"/>
      <c r="CW90" s="390"/>
      <c r="CX90" s="312"/>
      <c r="CY90" s="312"/>
      <c r="CZ90" s="312"/>
      <c r="DA90" s="312"/>
      <c r="DB90" s="312"/>
      <c r="DC90" s="312"/>
      <c r="DD90" s="312"/>
      <c r="DE90" s="312"/>
      <c r="DF90" s="312"/>
      <c r="DG90" s="312"/>
      <c r="DH90" s="313"/>
      <c r="DI90" s="312"/>
      <c r="DJ90" s="312"/>
      <c r="DK90" s="312"/>
      <c r="DL90" s="312"/>
      <c r="DM90" s="312"/>
      <c r="DN90" s="312"/>
      <c r="DO90" s="312"/>
      <c r="DP90" s="312"/>
      <c r="DQ90" s="312"/>
      <c r="DR90" s="312"/>
      <c r="DS90" s="312"/>
      <c r="DT90" s="313"/>
      <c r="DU90" s="3"/>
    </row>
    <row r="91" spans="2:16384" ht="15" x14ac:dyDescent="0.25">
      <c r="B91" s="404"/>
      <c r="C91" s="85"/>
      <c r="D91" s="7"/>
      <c r="E91" s="539"/>
      <c r="F91" s="406"/>
      <c r="G91" s="406"/>
      <c r="H91" s="406"/>
      <c r="I91" s="406"/>
      <c r="J91" s="406"/>
      <c r="K91" s="406"/>
      <c r="L91" s="406"/>
      <c r="M91" s="406"/>
      <c r="N91" s="406"/>
      <c r="O91" s="406"/>
      <c r="P91" s="488"/>
      <c r="Q91" s="473"/>
      <c r="R91" s="312"/>
      <c r="S91" s="312"/>
      <c r="T91" s="312"/>
      <c r="U91" s="312"/>
      <c r="V91" s="312"/>
      <c r="W91" s="312"/>
      <c r="X91" s="312"/>
      <c r="Y91" s="312"/>
      <c r="Z91" s="312"/>
      <c r="AA91" s="312"/>
      <c r="AB91" s="313"/>
      <c r="AC91" s="312"/>
      <c r="AD91" s="312"/>
      <c r="AE91" s="312"/>
      <c r="AF91" s="312"/>
      <c r="AG91" s="312"/>
      <c r="AH91" s="312"/>
      <c r="AI91" s="312"/>
      <c r="AJ91" s="312"/>
      <c r="AK91" s="312"/>
      <c r="AL91" s="312"/>
      <c r="AM91" s="312"/>
      <c r="AN91" s="313"/>
      <c r="AO91" s="312"/>
      <c r="AP91" s="312"/>
      <c r="AQ91" s="312"/>
      <c r="AR91" s="312"/>
      <c r="AS91" s="312"/>
      <c r="AT91" s="312"/>
      <c r="AU91" s="312"/>
      <c r="AV91" s="312"/>
      <c r="AW91" s="312"/>
      <c r="AX91" s="312"/>
      <c r="AY91" s="312"/>
      <c r="AZ91" s="313"/>
      <c r="BA91" s="312"/>
      <c r="BB91" s="312"/>
      <c r="BC91" s="312"/>
      <c r="BD91" s="312"/>
      <c r="BE91" s="312"/>
      <c r="BF91" s="312"/>
      <c r="BG91" s="312"/>
      <c r="BH91" s="312"/>
      <c r="BI91" s="312"/>
      <c r="BJ91" s="312"/>
      <c r="BK91" s="312"/>
      <c r="BL91" s="313"/>
      <c r="BM91" s="312"/>
      <c r="BN91" s="312"/>
      <c r="BO91" s="312"/>
      <c r="BP91" s="312"/>
      <c r="BQ91" s="312"/>
      <c r="BR91" s="312"/>
      <c r="BS91" s="312"/>
      <c r="BT91" s="312"/>
      <c r="BU91" s="312"/>
      <c r="BV91" s="312"/>
      <c r="BW91" s="312"/>
      <c r="BX91" s="313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3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90"/>
      <c r="CX91" s="312"/>
      <c r="CY91" s="312"/>
      <c r="CZ91" s="312"/>
      <c r="DA91" s="312"/>
      <c r="DB91" s="312"/>
      <c r="DC91" s="312"/>
      <c r="DD91" s="312"/>
      <c r="DE91" s="312"/>
      <c r="DF91" s="312"/>
      <c r="DG91" s="312"/>
      <c r="DH91" s="313"/>
      <c r="DI91" s="312"/>
      <c r="DJ91" s="312"/>
      <c r="DK91" s="312"/>
      <c r="DL91" s="312"/>
      <c r="DM91" s="312"/>
      <c r="DN91" s="312"/>
      <c r="DO91" s="312"/>
      <c r="DP91" s="312"/>
      <c r="DQ91" s="312"/>
      <c r="DR91" s="312"/>
      <c r="DS91" s="312"/>
      <c r="DT91" s="313"/>
      <c r="DU91" s="3"/>
    </row>
    <row r="92" spans="2:16384" ht="19.5" thickBot="1" x14ac:dyDescent="0.35">
      <c r="B92" s="161" t="s">
        <v>302</v>
      </c>
      <c r="C92" s="85"/>
      <c r="D92" s="7"/>
      <c r="E92" s="527"/>
      <c r="F92" s="527"/>
      <c r="G92" s="527"/>
      <c r="H92" s="527"/>
      <c r="I92" s="527"/>
      <c r="J92" s="527"/>
      <c r="K92" s="527">
        <f t="shared" ref="K92:P92" si="77">SUM(K78:K91)</f>
        <v>0</v>
      </c>
      <c r="L92" s="527">
        <f t="shared" si="77"/>
        <v>0</v>
      </c>
      <c r="M92" s="527">
        <f t="shared" si="77"/>
        <v>0</v>
      </c>
      <c r="N92" s="527">
        <f t="shared" si="77"/>
        <v>0</v>
      </c>
      <c r="O92" s="527">
        <f t="shared" si="77"/>
        <v>0</v>
      </c>
      <c r="P92" s="752">
        <f t="shared" si="77"/>
        <v>0</v>
      </c>
      <c r="Q92" s="793">
        <f>SUM(Q81:Q91)</f>
        <v>0</v>
      </c>
      <c r="R92" s="391">
        <f t="shared" ref="R92:AO92" si="78">SUM(R81:R91)</f>
        <v>0</v>
      </c>
      <c r="S92" s="391">
        <f t="shared" si="78"/>
        <v>0</v>
      </c>
      <c r="T92" s="391">
        <f t="shared" si="78"/>
        <v>0</v>
      </c>
      <c r="U92" s="391">
        <f t="shared" si="78"/>
        <v>0</v>
      </c>
      <c r="V92" s="391">
        <f t="shared" si="78"/>
        <v>0</v>
      </c>
      <c r="W92" s="391">
        <f t="shared" si="78"/>
        <v>0</v>
      </c>
      <c r="X92" s="391">
        <f t="shared" si="78"/>
        <v>0</v>
      </c>
      <c r="Y92" s="391">
        <f t="shared" si="78"/>
        <v>0</v>
      </c>
      <c r="Z92" s="391">
        <f t="shared" si="78"/>
        <v>0</v>
      </c>
      <c r="AA92" s="391">
        <f t="shared" si="78"/>
        <v>0</v>
      </c>
      <c r="AB92" s="757">
        <f t="shared" si="78"/>
        <v>0</v>
      </c>
      <c r="AC92" s="391">
        <f t="shared" si="78"/>
        <v>0</v>
      </c>
      <c r="AD92" s="391">
        <f t="shared" si="78"/>
        <v>0</v>
      </c>
      <c r="AE92" s="391">
        <f t="shared" si="78"/>
        <v>0</v>
      </c>
      <c r="AF92" s="391">
        <f t="shared" si="78"/>
        <v>0</v>
      </c>
      <c r="AG92" s="391">
        <f t="shared" si="78"/>
        <v>0</v>
      </c>
      <c r="AH92" s="391">
        <f t="shared" si="78"/>
        <v>0</v>
      </c>
      <c r="AI92" s="391">
        <f t="shared" si="78"/>
        <v>0</v>
      </c>
      <c r="AJ92" s="391">
        <f t="shared" si="78"/>
        <v>0</v>
      </c>
      <c r="AK92" s="391">
        <f t="shared" si="78"/>
        <v>0</v>
      </c>
      <c r="AL92" s="391">
        <f t="shared" si="78"/>
        <v>0</v>
      </c>
      <c r="AM92" s="391">
        <f t="shared" si="78"/>
        <v>0</v>
      </c>
      <c r="AN92" s="757">
        <f t="shared" si="78"/>
        <v>0</v>
      </c>
      <c r="AO92" s="391">
        <f t="shared" si="78"/>
        <v>0</v>
      </c>
      <c r="AP92" s="391">
        <f>SUM(AP81:AP90)</f>
        <v>97535.949335501937</v>
      </c>
      <c r="AQ92" s="391">
        <f t="shared" ref="AQ92:DB92" si="79">SUM(AQ81:AQ90)</f>
        <v>92415.568155446963</v>
      </c>
      <c r="AR92" s="391">
        <f t="shared" si="79"/>
        <v>259793.67825593904</v>
      </c>
      <c r="AS92" s="391">
        <f t="shared" si="79"/>
        <v>309013.54580521834</v>
      </c>
      <c r="AT92" s="391">
        <f t="shared" si="79"/>
        <v>122798.17690662858</v>
      </c>
      <c r="AU92" s="391">
        <f t="shared" si="79"/>
        <v>176906.59164156171</v>
      </c>
      <c r="AV92" s="391">
        <f t="shared" si="79"/>
        <v>206073.52733018948</v>
      </c>
      <c r="AW92" s="391">
        <f t="shared" si="79"/>
        <v>72541.964389768254</v>
      </c>
      <c r="AX92" s="391">
        <f t="shared" si="79"/>
        <v>189364.50472295342</v>
      </c>
      <c r="AY92" s="391">
        <f t="shared" si="79"/>
        <v>207791.36688554633</v>
      </c>
      <c r="AZ92" s="757">
        <f t="shared" si="79"/>
        <v>215867.11454519042</v>
      </c>
      <c r="BA92" s="391">
        <f t="shared" si="79"/>
        <v>95765.600068576954</v>
      </c>
      <c r="BB92" s="391">
        <f t="shared" si="79"/>
        <v>97535.949335501937</v>
      </c>
      <c r="BC92" s="391">
        <f t="shared" si="79"/>
        <v>92415.568155446963</v>
      </c>
      <c r="BD92" s="391">
        <f t="shared" si="79"/>
        <v>259793.67825593904</v>
      </c>
      <c r="BE92" s="391">
        <f t="shared" si="79"/>
        <v>309013.54580521834</v>
      </c>
      <c r="BF92" s="391">
        <f t="shared" si="79"/>
        <v>122798.17690662858</v>
      </c>
      <c r="BG92" s="391">
        <f t="shared" si="79"/>
        <v>176906.59164156171</v>
      </c>
      <c r="BH92" s="391">
        <f t="shared" si="79"/>
        <v>206073.52733018948</v>
      </c>
      <c r="BI92" s="391">
        <f t="shared" si="79"/>
        <v>72541.964389768254</v>
      </c>
      <c r="BJ92" s="391">
        <f t="shared" si="79"/>
        <v>189364.50472295342</v>
      </c>
      <c r="BK92" s="391">
        <f t="shared" si="79"/>
        <v>207791.36688554633</v>
      </c>
      <c r="BL92" s="757">
        <f t="shared" si="79"/>
        <v>215867.11454519042</v>
      </c>
      <c r="BM92" s="391">
        <f t="shared" si="79"/>
        <v>95765.600068576954</v>
      </c>
      <c r="BN92" s="391">
        <f t="shared" si="79"/>
        <v>97535.949335501937</v>
      </c>
      <c r="BO92" s="391">
        <f t="shared" si="79"/>
        <v>92415.568155446963</v>
      </c>
      <c r="BP92" s="391">
        <f t="shared" si="79"/>
        <v>259793.67825593904</v>
      </c>
      <c r="BQ92" s="391">
        <f t="shared" si="79"/>
        <v>309013.54580521834</v>
      </c>
      <c r="BR92" s="391">
        <f t="shared" si="79"/>
        <v>122798.17690662858</v>
      </c>
      <c r="BS92" s="391">
        <f t="shared" si="79"/>
        <v>176906.59164156171</v>
      </c>
      <c r="BT92" s="391">
        <f t="shared" si="79"/>
        <v>206073.52733018948</v>
      </c>
      <c r="BU92" s="391">
        <f t="shared" si="79"/>
        <v>72541.964389768254</v>
      </c>
      <c r="BV92" s="391">
        <f t="shared" si="79"/>
        <v>189364.50472295342</v>
      </c>
      <c r="BW92" s="391">
        <f t="shared" si="79"/>
        <v>207791.36688554633</v>
      </c>
      <c r="BX92" s="757">
        <f t="shared" si="79"/>
        <v>215867.11454519042</v>
      </c>
      <c r="BY92" s="391">
        <f t="shared" si="79"/>
        <v>95765.600068576954</v>
      </c>
      <c r="BZ92" s="391">
        <f t="shared" si="79"/>
        <v>97535.949335501937</v>
      </c>
      <c r="CA92" s="391">
        <f t="shared" si="79"/>
        <v>92415.568155446963</v>
      </c>
      <c r="CB92" s="391">
        <f t="shared" si="79"/>
        <v>259793.67825593904</v>
      </c>
      <c r="CC92" s="391">
        <f t="shared" si="79"/>
        <v>309013.54580521834</v>
      </c>
      <c r="CD92" s="391">
        <f t="shared" si="79"/>
        <v>122798.17690662858</v>
      </c>
      <c r="CE92" s="391">
        <f t="shared" si="79"/>
        <v>176906.59164156171</v>
      </c>
      <c r="CF92" s="391">
        <f t="shared" si="79"/>
        <v>206073.52733018948</v>
      </c>
      <c r="CG92" s="391">
        <f t="shared" si="79"/>
        <v>72541.964389768254</v>
      </c>
      <c r="CH92" s="391">
        <f t="shared" si="79"/>
        <v>189364.50472295342</v>
      </c>
      <c r="CI92" s="391">
        <f t="shared" si="79"/>
        <v>207791.36688554633</v>
      </c>
      <c r="CJ92" s="757">
        <f t="shared" si="79"/>
        <v>215867.11454519042</v>
      </c>
      <c r="CK92" s="391">
        <f t="shared" si="79"/>
        <v>95765.600068576954</v>
      </c>
      <c r="CL92" s="391">
        <f t="shared" si="79"/>
        <v>97535.949335501937</v>
      </c>
      <c r="CM92" s="391">
        <f t="shared" si="79"/>
        <v>92415.568155446963</v>
      </c>
      <c r="CN92" s="391">
        <f t="shared" si="79"/>
        <v>259793.67825593904</v>
      </c>
      <c r="CO92" s="391">
        <f t="shared" si="79"/>
        <v>309013.54580521834</v>
      </c>
      <c r="CP92" s="391">
        <f t="shared" si="79"/>
        <v>122798.17690662858</v>
      </c>
      <c r="CQ92" s="391">
        <f t="shared" si="79"/>
        <v>176906.59164156171</v>
      </c>
      <c r="CR92" s="391">
        <f t="shared" si="79"/>
        <v>206073.52733018948</v>
      </c>
      <c r="CS92" s="391">
        <f t="shared" si="79"/>
        <v>72541.964389768254</v>
      </c>
      <c r="CT92" s="391">
        <f t="shared" si="79"/>
        <v>189364.50472295342</v>
      </c>
      <c r="CU92" s="391">
        <f t="shared" si="79"/>
        <v>207791.36688554633</v>
      </c>
      <c r="CV92" s="757">
        <f t="shared" si="79"/>
        <v>215867.11454519042</v>
      </c>
      <c r="CW92" s="391">
        <f t="shared" si="79"/>
        <v>95765.600068576954</v>
      </c>
      <c r="CX92" s="391">
        <f t="shared" si="79"/>
        <v>97535.949335501937</v>
      </c>
      <c r="CY92" s="391">
        <f t="shared" si="79"/>
        <v>92415.568155446963</v>
      </c>
      <c r="CZ92" s="391">
        <f t="shared" si="79"/>
        <v>259793.67825593904</v>
      </c>
      <c r="DA92" s="391">
        <f t="shared" si="79"/>
        <v>309013.54580521834</v>
      </c>
      <c r="DB92" s="391">
        <f t="shared" si="79"/>
        <v>122798.17690662858</v>
      </c>
      <c r="DC92" s="391">
        <f t="shared" ref="DC92:DT92" si="80">SUM(DC81:DC90)</f>
        <v>176906.59164156171</v>
      </c>
      <c r="DD92" s="391">
        <f t="shared" si="80"/>
        <v>206073.52733018948</v>
      </c>
      <c r="DE92" s="391">
        <f t="shared" si="80"/>
        <v>72541.964389768254</v>
      </c>
      <c r="DF92" s="391">
        <f t="shared" si="80"/>
        <v>189364.50472295342</v>
      </c>
      <c r="DG92" s="391">
        <f t="shared" si="80"/>
        <v>207791.36688554633</v>
      </c>
      <c r="DH92" s="757">
        <f t="shared" si="80"/>
        <v>215867.11454519042</v>
      </c>
      <c r="DI92" s="391">
        <f t="shared" si="80"/>
        <v>95765.600068576954</v>
      </c>
      <c r="DJ92" s="391">
        <f t="shared" si="80"/>
        <v>97535.949335501937</v>
      </c>
      <c r="DK92" s="391">
        <f t="shared" si="80"/>
        <v>92415.568155446963</v>
      </c>
      <c r="DL92" s="391">
        <f t="shared" si="80"/>
        <v>259793.67825593904</v>
      </c>
      <c r="DM92" s="391">
        <f t="shared" si="80"/>
        <v>309013.54580521834</v>
      </c>
      <c r="DN92" s="391">
        <f t="shared" si="80"/>
        <v>122798.17690662858</v>
      </c>
      <c r="DO92" s="391">
        <f t="shared" si="80"/>
        <v>176906.59164156171</v>
      </c>
      <c r="DP92" s="391">
        <f t="shared" si="80"/>
        <v>206073.52733018948</v>
      </c>
      <c r="DQ92" s="391">
        <f t="shared" si="80"/>
        <v>72541.964389768254</v>
      </c>
      <c r="DR92" s="391">
        <f t="shared" si="80"/>
        <v>189364.50472295342</v>
      </c>
      <c r="DS92" s="391">
        <f t="shared" si="80"/>
        <v>207791.36688554633</v>
      </c>
      <c r="DT92" s="757">
        <f t="shared" si="80"/>
        <v>215867.11454519042</v>
      </c>
      <c r="DU92" s="3"/>
    </row>
    <row r="93" spans="2:16384" ht="19.5" thickBot="1" x14ac:dyDescent="0.35">
      <c r="B93" s="161"/>
      <c r="C93" s="85"/>
      <c r="D93" s="7"/>
      <c r="E93" s="895"/>
      <c r="F93" s="895"/>
      <c r="G93" s="895"/>
      <c r="H93" s="895"/>
      <c r="I93" s="895"/>
      <c r="J93" s="895"/>
      <c r="K93" s="895"/>
      <c r="L93" s="895"/>
      <c r="M93" s="895"/>
      <c r="N93" s="895"/>
      <c r="O93" s="895"/>
      <c r="P93" s="896"/>
      <c r="Q93" s="897"/>
      <c r="R93" s="898"/>
      <c r="S93" s="898"/>
      <c r="T93" s="898"/>
      <c r="U93" s="898"/>
      <c r="V93" s="898"/>
      <c r="W93" s="898"/>
      <c r="X93" s="898"/>
      <c r="Y93" s="898"/>
      <c r="Z93" s="898"/>
      <c r="AA93" s="898"/>
      <c r="AB93" s="899"/>
      <c r="AC93" s="898"/>
      <c r="AD93" s="898"/>
      <c r="AE93" s="898"/>
      <c r="AF93" s="898"/>
      <c r="AG93" s="898"/>
      <c r="AH93" s="898"/>
      <c r="AI93" s="898"/>
      <c r="AJ93" s="898"/>
      <c r="AK93" s="898"/>
      <c r="AL93" s="898"/>
      <c r="AM93" s="898"/>
      <c r="AN93" s="899"/>
      <c r="AO93" s="898"/>
      <c r="AP93" s="898"/>
      <c r="AQ93" s="898"/>
      <c r="AR93" s="898"/>
      <c r="AS93" s="898"/>
      <c r="AT93" s="898"/>
      <c r="AU93" s="898"/>
      <c r="AV93" s="898"/>
      <c r="AW93" s="898"/>
      <c r="AX93" s="898"/>
      <c r="AY93" s="898"/>
      <c r="AZ93" s="899"/>
      <c r="BA93" s="898"/>
      <c r="BB93" s="898"/>
      <c r="BC93" s="898"/>
      <c r="BD93" s="898"/>
      <c r="BE93" s="898"/>
      <c r="BF93" s="898"/>
      <c r="BG93" s="898"/>
      <c r="BH93" s="898"/>
      <c r="BI93" s="898"/>
      <c r="BJ93" s="898"/>
      <c r="BK93" s="898"/>
      <c r="BL93" s="899"/>
      <c r="BM93" s="898"/>
      <c r="BN93" s="898"/>
      <c r="BO93" s="898"/>
      <c r="BP93" s="898"/>
      <c r="BQ93" s="898"/>
      <c r="BR93" s="898"/>
      <c r="BS93" s="898"/>
      <c r="BT93" s="898"/>
      <c r="BU93" s="898"/>
      <c r="BV93" s="898"/>
      <c r="BW93" s="898"/>
      <c r="BX93" s="899"/>
      <c r="BY93" s="898"/>
      <c r="BZ93" s="898"/>
      <c r="CA93" s="898"/>
      <c r="CB93" s="898"/>
      <c r="CC93" s="898"/>
      <c r="CD93" s="898"/>
      <c r="CE93" s="898"/>
      <c r="CF93" s="898"/>
      <c r="CG93" s="898"/>
      <c r="CH93" s="898"/>
      <c r="CI93" s="898"/>
      <c r="CJ93" s="899"/>
      <c r="CK93" s="898"/>
      <c r="CL93" s="898"/>
      <c r="CM93" s="898"/>
      <c r="CN93" s="898"/>
      <c r="CO93" s="898"/>
      <c r="CP93" s="898"/>
      <c r="CQ93" s="898"/>
      <c r="CR93" s="898"/>
      <c r="CS93" s="898"/>
      <c r="CT93" s="898"/>
      <c r="CU93" s="898"/>
      <c r="CV93" s="899"/>
      <c r="CW93" s="898"/>
      <c r="CX93" s="898"/>
      <c r="CY93" s="898"/>
      <c r="CZ93" s="898"/>
      <c r="DA93" s="898"/>
      <c r="DB93" s="898"/>
      <c r="DC93" s="898"/>
      <c r="DD93" s="898"/>
      <c r="DE93" s="898"/>
      <c r="DF93" s="898"/>
      <c r="DG93" s="898"/>
      <c r="DH93" s="899"/>
      <c r="DI93" s="898"/>
      <c r="DJ93" s="898"/>
      <c r="DK93" s="898"/>
      <c r="DL93" s="898"/>
      <c r="DM93" s="898"/>
      <c r="DN93" s="898"/>
      <c r="DO93" s="898"/>
      <c r="DP93" s="898"/>
      <c r="DQ93" s="898"/>
      <c r="DR93" s="898"/>
      <c r="DS93" s="898"/>
      <c r="DT93" s="899"/>
      <c r="DU93" s="3"/>
    </row>
    <row r="94" spans="2:16384" ht="18.75" x14ac:dyDescent="0.3">
      <c r="B94" s="161" t="s">
        <v>651</v>
      </c>
      <c r="C94" s="85"/>
      <c r="D94" s="85"/>
      <c r="E94" s="485"/>
      <c r="F94" s="485"/>
      <c r="G94" s="485"/>
      <c r="H94" s="485"/>
      <c r="I94" s="485"/>
      <c r="J94" s="485"/>
      <c r="K94" s="485"/>
      <c r="L94" s="485"/>
      <c r="M94" s="485"/>
      <c r="N94" s="485"/>
      <c r="O94" s="485"/>
      <c r="P94" s="513"/>
      <c r="Q94" s="797"/>
      <c r="R94" s="784"/>
      <c r="S94" s="784"/>
      <c r="T94" s="784"/>
      <c r="U94" s="784"/>
      <c r="V94" s="784"/>
      <c r="W94" s="784"/>
      <c r="X94" s="784"/>
      <c r="Y94" s="784"/>
      <c r="Z94" s="784"/>
      <c r="AA94" s="784"/>
      <c r="AB94" s="785"/>
      <c r="AC94" s="783"/>
      <c r="AD94" s="784"/>
      <c r="AE94" s="784"/>
      <c r="AF94" s="784"/>
      <c r="AG94" s="784"/>
      <c r="AH94" s="784"/>
      <c r="AI94" s="784"/>
      <c r="AJ94" s="784"/>
      <c r="AK94" s="784"/>
      <c r="AL94" s="784"/>
      <c r="AM94" s="784"/>
      <c r="AN94" s="785"/>
      <c r="AO94" s="783"/>
      <c r="AP94" s="784"/>
      <c r="AQ94" s="784"/>
      <c r="AR94" s="784"/>
      <c r="AS94" s="784"/>
      <c r="AT94" s="784"/>
      <c r="AU94" s="784"/>
      <c r="AV94" s="784"/>
      <c r="AW94" s="784"/>
      <c r="AX94" s="784"/>
      <c r="AY94" s="784"/>
      <c r="AZ94" s="785"/>
      <c r="BA94" s="783"/>
      <c r="BB94" s="784"/>
      <c r="BC94" s="784"/>
      <c r="BD94" s="784"/>
      <c r="BE94" s="784"/>
      <c r="BF94" s="784"/>
      <c r="BG94" s="784"/>
      <c r="BH94" s="784"/>
      <c r="BI94" s="784"/>
      <c r="BJ94" s="784"/>
      <c r="BK94" s="784"/>
      <c r="BL94" s="785"/>
      <c r="BM94" s="783"/>
      <c r="BN94" s="784"/>
      <c r="BO94" s="784"/>
      <c r="BP94" s="784"/>
      <c r="BQ94" s="784"/>
      <c r="BR94" s="784"/>
      <c r="BS94" s="784"/>
      <c r="BT94" s="784"/>
      <c r="BU94" s="784"/>
      <c r="BV94" s="784"/>
      <c r="BW94" s="784"/>
      <c r="BX94" s="785"/>
      <c r="BY94" s="783"/>
      <c r="BZ94" s="784"/>
      <c r="CA94" s="784"/>
      <c r="CB94" s="784"/>
      <c r="CC94" s="784"/>
      <c r="CD94" s="784"/>
      <c r="CE94" s="784"/>
      <c r="CF94" s="784"/>
      <c r="CG94" s="784"/>
      <c r="CH94" s="784"/>
      <c r="CI94" s="784"/>
      <c r="CJ94" s="785"/>
      <c r="CK94" s="783"/>
      <c r="CL94" s="784"/>
      <c r="CM94" s="784"/>
      <c r="CN94" s="784"/>
      <c r="CO94" s="784"/>
      <c r="CP94" s="784"/>
      <c r="CQ94" s="784"/>
      <c r="CR94" s="784"/>
      <c r="CS94" s="784"/>
      <c r="CT94" s="784"/>
      <c r="CU94" s="784"/>
      <c r="CV94" s="785"/>
      <c r="CW94" s="783"/>
      <c r="CX94" s="784"/>
      <c r="CY94" s="784"/>
      <c r="CZ94" s="784"/>
      <c r="DA94" s="784"/>
      <c r="DB94" s="784"/>
      <c r="DC94" s="784"/>
      <c r="DD94" s="784"/>
      <c r="DE94" s="784"/>
      <c r="DF94" s="784"/>
      <c r="DG94" s="784"/>
      <c r="DH94" s="785"/>
      <c r="DI94" s="783"/>
      <c r="DJ94" s="784"/>
      <c r="DK94" s="784"/>
      <c r="DL94" s="784"/>
      <c r="DM94" s="784"/>
      <c r="DN94" s="784"/>
      <c r="DO94" s="784"/>
      <c r="DP94" s="784"/>
      <c r="DQ94" s="784"/>
      <c r="DR94" s="784"/>
      <c r="DS94" s="784"/>
      <c r="DT94" s="785"/>
      <c r="DU94" s="786"/>
      <c r="DV94" s="786"/>
      <c r="DW94" s="786"/>
      <c r="DX94" s="786"/>
      <c r="DY94" s="786"/>
      <c r="DZ94" s="786"/>
      <c r="EA94" s="786"/>
      <c r="EB94" s="786"/>
      <c r="EC94" s="786"/>
      <c r="ED94" s="786"/>
      <c r="EE94" s="786"/>
      <c r="EF94" s="786"/>
      <c r="EG94" s="786"/>
      <c r="EH94" s="786"/>
      <c r="EI94" s="786"/>
      <c r="EJ94" s="786"/>
      <c r="EK94" s="786"/>
      <c r="EL94" s="786"/>
      <c r="EM94" s="786"/>
      <c r="EN94" s="786"/>
      <c r="EO94" s="786"/>
      <c r="EP94" s="786"/>
      <c r="EQ94" s="786"/>
      <c r="ER94" s="786"/>
      <c r="ES94" s="786"/>
      <c r="ET94" s="786"/>
      <c r="EU94" s="786"/>
      <c r="EV94" s="786"/>
      <c r="EW94" s="786"/>
      <c r="EX94" s="786"/>
      <c r="EY94" s="786"/>
      <c r="EZ94" s="786"/>
      <c r="FA94" s="786"/>
      <c r="FB94" s="786"/>
      <c r="FC94" s="786"/>
      <c r="FD94" s="786"/>
      <c r="FE94" s="786"/>
      <c r="FF94" s="786"/>
      <c r="FG94" s="786"/>
      <c r="FH94" s="786"/>
      <c r="FI94" s="786"/>
      <c r="FJ94" s="786"/>
      <c r="FK94" s="786"/>
      <c r="FL94" s="786"/>
      <c r="FM94" s="786"/>
      <c r="FN94" s="786"/>
      <c r="FO94" s="786"/>
      <c r="FP94" s="786"/>
      <c r="FQ94" s="786"/>
      <c r="FR94" s="786"/>
      <c r="FS94" s="786"/>
      <c r="FT94" s="786"/>
      <c r="FU94" s="786"/>
      <c r="FV94" s="786"/>
      <c r="FW94" s="786"/>
      <c r="FX94" s="786"/>
      <c r="FY94" s="786"/>
      <c r="FZ94" s="786"/>
      <c r="GA94" s="786"/>
      <c r="GB94" s="786"/>
      <c r="GC94" s="786"/>
      <c r="GD94" s="786"/>
      <c r="GE94" s="786"/>
      <c r="GF94" s="786"/>
      <c r="GG94" s="786"/>
      <c r="GH94" s="786"/>
      <c r="GI94" s="786"/>
      <c r="GJ94" s="786"/>
      <c r="GK94" s="786"/>
      <c r="GL94" s="786"/>
      <c r="GM94" s="786"/>
      <c r="GN94" s="786"/>
      <c r="GO94" s="786"/>
      <c r="GP94" s="786"/>
      <c r="GQ94" s="786"/>
      <c r="GR94" s="786"/>
      <c r="GS94" s="786"/>
      <c r="GT94" s="786"/>
      <c r="GU94" s="786"/>
      <c r="GV94" s="786"/>
      <c r="GW94" s="786"/>
      <c r="GX94" s="786"/>
      <c r="GY94" s="786"/>
      <c r="GZ94" s="786"/>
      <c r="HA94" s="786"/>
      <c r="HB94" s="786"/>
      <c r="HC94" s="786"/>
      <c r="HD94" s="786"/>
      <c r="HE94" s="786"/>
      <c r="HF94" s="786"/>
      <c r="HG94" s="786"/>
      <c r="HH94" s="786"/>
      <c r="HI94" s="786"/>
      <c r="HJ94" s="786"/>
      <c r="HK94" s="786"/>
      <c r="HL94" s="786"/>
      <c r="HM94" s="786"/>
      <c r="HN94" s="786"/>
      <c r="HO94" s="786"/>
      <c r="HP94" s="786"/>
      <c r="HQ94" s="786"/>
      <c r="HR94" s="786"/>
      <c r="HS94" s="786"/>
      <c r="HT94" s="786"/>
      <c r="HU94" s="786"/>
      <c r="HV94" s="786"/>
      <c r="HW94" s="786"/>
      <c r="HX94" s="786"/>
      <c r="HY94" s="786"/>
      <c r="HZ94" s="786"/>
      <c r="IA94" s="786"/>
      <c r="IB94" s="786"/>
      <c r="IC94" s="786"/>
      <c r="ID94" s="786"/>
      <c r="IE94" s="786"/>
      <c r="IF94" s="786"/>
      <c r="IG94" s="786"/>
      <c r="IH94" s="786"/>
      <c r="II94" s="786"/>
      <c r="IJ94" s="786"/>
      <c r="IK94" s="786"/>
      <c r="IL94" s="786"/>
      <c r="IM94" s="786"/>
      <c r="IN94" s="786"/>
      <c r="IO94" s="786"/>
      <c r="IP94" s="786"/>
      <c r="IQ94" s="786"/>
      <c r="IR94" s="786"/>
      <c r="IS94" s="786"/>
      <c r="IT94" s="786"/>
      <c r="IU94" s="786"/>
      <c r="IV94" s="786"/>
      <c r="IW94" s="786"/>
      <c r="IX94" s="786"/>
      <c r="IY94" s="786"/>
      <c r="IZ94" s="786"/>
      <c r="JA94" s="786"/>
      <c r="JB94" s="786"/>
      <c r="JC94" s="786"/>
      <c r="JD94" s="786"/>
      <c r="JE94" s="786"/>
      <c r="JF94" s="786"/>
      <c r="JG94" s="786"/>
      <c r="JH94" s="786"/>
      <c r="JI94" s="786"/>
      <c r="JJ94" s="786"/>
      <c r="JK94" s="786"/>
      <c r="JL94" s="786"/>
      <c r="JM94" s="786"/>
      <c r="JN94" s="786"/>
      <c r="JO94" s="786"/>
      <c r="JP94" s="786"/>
      <c r="JQ94" s="786"/>
      <c r="JR94" s="786"/>
      <c r="JS94" s="786"/>
      <c r="JT94" s="786"/>
      <c r="JU94" s="786"/>
      <c r="JV94" s="786"/>
      <c r="JW94" s="786"/>
      <c r="JX94" s="786"/>
      <c r="JY94" s="786"/>
      <c r="JZ94" s="786"/>
      <c r="KA94" s="786"/>
      <c r="KB94" s="786"/>
      <c r="KC94" s="786"/>
      <c r="KD94" s="786"/>
      <c r="KE94" s="786"/>
      <c r="KF94" s="786"/>
      <c r="KG94" s="786"/>
      <c r="KH94" s="786"/>
      <c r="KI94" s="786"/>
      <c r="KJ94" s="786"/>
      <c r="KK94" s="786"/>
      <c r="KL94" s="786"/>
      <c r="KM94" s="786"/>
      <c r="KN94" s="786"/>
      <c r="KO94" s="786"/>
      <c r="KP94" s="786"/>
      <c r="KQ94" s="786"/>
      <c r="KR94" s="786"/>
      <c r="KS94" s="786"/>
      <c r="KT94" s="786"/>
      <c r="KU94" s="786"/>
      <c r="KV94" s="786"/>
      <c r="KW94" s="786"/>
      <c r="KX94" s="786"/>
      <c r="KY94" s="786"/>
      <c r="KZ94" s="786"/>
      <c r="LA94" s="786"/>
      <c r="LB94" s="786"/>
      <c r="LC94" s="786"/>
      <c r="LD94" s="786"/>
      <c r="LE94" s="786"/>
      <c r="LF94" s="786"/>
      <c r="LG94" s="786"/>
      <c r="LH94" s="786"/>
      <c r="LI94" s="786"/>
      <c r="LJ94" s="786"/>
      <c r="LK94" s="786"/>
      <c r="LL94" s="786"/>
      <c r="LM94" s="786"/>
      <c r="LN94" s="786"/>
      <c r="LO94" s="786"/>
      <c r="LP94" s="786"/>
      <c r="LQ94" s="786"/>
      <c r="LR94" s="786"/>
      <c r="LS94" s="786"/>
      <c r="LT94" s="786"/>
      <c r="LU94" s="786"/>
      <c r="LV94" s="786"/>
      <c r="LW94" s="786"/>
      <c r="LX94" s="786"/>
      <c r="LY94" s="786"/>
      <c r="LZ94" s="786"/>
      <c r="MA94" s="786"/>
      <c r="MB94" s="786"/>
      <c r="MC94" s="786"/>
      <c r="MD94" s="786"/>
      <c r="ME94" s="786"/>
      <c r="MF94" s="786"/>
      <c r="MG94" s="786"/>
      <c r="MH94" s="786"/>
      <c r="MI94" s="786"/>
      <c r="MJ94" s="786"/>
      <c r="MK94" s="786"/>
      <c r="ML94" s="786"/>
      <c r="MM94" s="786"/>
      <c r="MN94" s="786"/>
      <c r="MO94" s="786"/>
      <c r="MP94" s="786"/>
      <c r="MQ94" s="786"/>
      <c r="MR94" s="786"/>
      <c r="MS94" s="786"/>
      <c r="MT94" s="786"/>
      <c r="MU94" s="786"/>
      <c r="MV94" s="786"/>
      <c r="MW94" s="786"/>
      <c r="MX94" s="786"/>
      <c r="MY94" s="786"/>
      <c r="MZ94" s="786"/>
      <c r="NA94" s="786"/>
      <c r="NB94" s="786"/>
      <c r="NC94" s="786"/>
      <c r="ND94" s="786"/>
      <c r="NE94" s="786"/>
      <c r="NF94" s="786"/>
      <c r="NG94" s="786"/>
      <c r="NH94" s="786"/>
      <c r="NI94" s="786"/>
      <c r="NJ94" s="786"/>
      <c r="NK94" s="786"/>
      <c r="NL94" s="786"/>
      <c r="NM94" s="786"/>
      <c r="NN94" s="786"/>
      <c r="NO94" s="786"/>
      <c r="NP94" s="786"/>
      <c r="NQ94" s="786"/>
      <c r="NR94" s="786"/>
      <c r="NS94" s="786"/>
      <c r="NT94" s="786"/>
      <c r="NU94" s="786"/>
      <c r="NV94" s="786"/>
      <c r="NW94" s="786"/>
      <c r="NX94" s="786"/>
      <c r="NY94" s="786"/>
      <c r="NZ94" s="786"/>
      <c r="OA94" s="786"/>
      <c r="OB94" s="786"/>
      <c r="OC94" s="786"/>
      <c r="OD94" s="786"/>
      <c r="OE94" s="786"/>
      <c r="OF94" s="786"/>
      <c r="OG94" s="786"/>
      <c r="OH94" s="786"/>
      <c r="OI94" s="786"/>
      <c r="OJ94" s="786"/>
      <c r="OK94" s="786"/>
      <c r="OL94" s="786"/>
      <c r="OM94" s="786"/>
      <c r="ON94" s="786"/>
      <c r="OO94" s="786"/>
      <c r="OP94" s="786"/>
      <c r="OQ94" s="786"/>
      <c r="OR94" s="786"/>
      <c r="OS94" s="786"/>
      <c r="OT94" s="786"/>
      <c r="OU94" s="786"/>
      <c r="OV94" s="786"/>
      <c r="OW94" s="786"/>
      <c r="OX94" s="786"/>
      <c r="OY94" s="786"/>
      <c r="OZ94" s="786"/>
      <c r="PA94" s="786"/>
      <c r="PB94" s="786"/>
      <c r="PC94" s="786"/>
      <c r="PD94" s="786"/>
      <c r="PE94" s="786"/>
      <c r="PF94" s="786"/>
      <c r="PG94" s="786"/>
      <c r="PH94" s="786"/>
      <c r="PI94" s="786"/>
      <c r="PJ94" s="786"/>
      <c r="PK94" s="786"/>
      <c r="PL94" s="786"/>
      <c r="PM94" s="786"/>
      <c r="PN94" s="786"/>
      <c r="PO94" s="786"/>
      <c r="PP94" s="786"/>
      <c r="PQ94" s="786"/>
      <c r="PR94" s="786"/>
      <c r="PS94" s="786"/>
      <c r="PT94" s="786"/>
      <c r="PU94" s="786"/>
      <c r="PV94" s="786"/>
      <c r="PW94" s="786"/>
      <c r="PX94" s="786"/>
      <c r="PY94" s="786"/>
      <c r="PZ94" s="786"/>
      <c r="QA94" s="786"/>
      <c r="QB94" s="786"/>
      <c r="QC94" s="786"/>
      <c r="QD94" s="786"/>
      <c r="QE94" s="786"/>
      <c r="QF94" s="786"/>
      <c r="QG94" s="786"/>
      <c r="QH94" s="786"/>
      <c r="QI94" s="786"/>
      <c r="QJ94" s="786"/>
      <c r="QK94" s="786"/>
      <c r="QL94" s="786"/>
      <c r="QM94" s="786"/>
      <c r="QN94" s="786"/>
      <c r="QO94" s="786"/>
      <c r="QP94" s="786"/>
      <c r="QQ94" s="786"/>
      <c r="QR94" s="786"/>
      <c r="QS94" s="786"/>
      <c r="QT94" s="786"/>
      <c r="QU94" s="786"/>
      <c r="QV94" s="786"/>
      <c r="QW94" s="786"/>
      <c r="QX94" s="786"/>
      <c r="QY94" s="786"/>
      <c r="QZ94" s="786"/>
      <c r="RA94" s="786"/>
      <c r="RB94" s="786"/>
      <c r="RC94" s="786"/>
      <c r="RD94" s="786"/>
      <c r="RE94" s="786"/>
      <c r="RF94" s="786"/>
      <c r="RG94" s="786"/>
      <c r="RH94" s="786"/>
      <c r="RI94" s="786"/>
      <c r="RJ94" s="786"/>
      <c r="RK94" s="786"/>
      <c r="RL94" s="786"/>
      <c r="RM94" s="786"/>
      <c r="RN94" s="786"/>
      <c r="RO94" s="786"/>
      <c r="RP94" s="786"/>
      <c r="RQ94" s="786"/>
      <c r="RR94" s="786"/>
      <c r="RS94" s="786"/>
      <c r="RT94" s="786"/>
      <c r="RU94" s="786"/>
      <c r="RV94" s="786"/>
      <c r="RW94" s="786"/>
      <c r="RX94" s="786"/>
      <c r="RY94" s="786"/>
      <c r="RZ94" s="786"/>
      <c r="SA94" s="786"/>
      <c r="SB94" s="786"/>
      <c r="SC94" s="786"/>
      <c r="SD94" s="786"/>
      <c r="SE94" s="786"/>
      <c r="SF94" s="786"/>
      <c r="SG94" s="786"/>
      <c r="SH94" s="786"/>
      <c r="SI94" s="786"/>
      <c r="SJ94" s="786"/>
      <c r="SK94" s="786"/>
      <c r="SL94" s="786"/>
      <c r="SM94" s="786"/>
      <c r="SN94" s="786"/>
      <c r="SO94" s="786"/>
      <c r="SP94" s="786"/>
      <c r="SQ94" s="786"/>
      <c r="SR94" s="786"/>
      <c r="SS94" s="786"/>
      <c r="ST94" s="786"/>
      <c r="SU94" s="786"/>
      <c r="SV94" s="786"/>
      <c r="SW94" s="786"/>
      <c r="SX94" s="786"/>
      <c r="SY94" s="786"/>
      <c r="SZ94" s="786"/>
      <c r="TA94" s="786"/>
      <c r="TB94" s="786"/>
      <c r="TC94" s="786"/>
      <c r="TD94" s="786"/>
      <c r="TE94" s="786"/>
      <c r="TF94" s="786"/>
      <c r="TG94" s="786"/>
      <c r="TH94" s="786"/>
      <c r="TI94" s="786"/>
      <c r="TJ94" s="786"/>
      <c r="TK94" s="786"/>
      <c r="TL94" s="786"/>
      <c r="TM94" s="786"/>
      <c r="TN94" s="786"/>
      <c r="TO94" s="786"/>
      <c r="TP94" s="786"/>
      <c r="TQ94" s="786"/>
      <c r="TR94" s="786"/>
      <c r="TS94" s="786"/>
      <c r="TT94" s="786"/>
      <c r="TU94" s="786"/>
      <c r="TV94" s="786"/>
      <c r="TW94" s="786"/>
      <c r="TX94" s="786"/>
      <c r="TY94" s="786"/>
      <c r="TZ94" s="786"/>
      <c r="UA94" s="786"/>
      <c r="UB94" s="786"/>
      <c r="UC94" s="786"/>
      <c r="UD94" s="786"/>
      <c r="UE94" s="786"/>
      <c r="UF94" s="786"/>
      <c r="UG94" s="786"/>
      <c r="UH94" s="786"/>
      <c r="UI94" s="786"/>
      <c r="UJ94" s="786"/>
      <c r="UK94" s="786"/>
      <c r="UL94" s="786"/>
      <c r="UM94" s="786"/>
      <c r="UN94" s="786"/>
      <c r="UO94" s="786"/>
      <c r="UP94" s="786"/>
      <c r="UQ94" s="786"/>
      <c r="UR94" s="786"/>
      <c r="US94" s="786"/>
      <c r="UT94" s="786"/>
      <c r="UU94" s="786"/>
      <c r="UV94" s="786"/>
      <c r="UW94" s="786"/>
      <c r="UX94" s="786"/>
      <c r="UY94" s="786"/>
      <c r="UZ94" s="786"/>
      <c r="VA94" s="786"/>
      <c r="VB94" s="786"/>
      <c r="VC94" s="786"/>
      <c r="VD94" s="786"/>
      <c r="VE94" s="786"/>
      <c r="VF94" s="786"/>
      <c r="VG94" s="786"/>
      <c r="VH94" s="786"/>
      <c r="VI94" s="786"/>
      <c r="VJ94" s="786"/>
      <c r="VK94" s="786"/>
      <c r="VL94" s="786"/>
      <c r="VM94" s="786"/>
      <c r="VN94" s="786"/>
      <c r="VO94" s="786"/>
      <c r="VP94" s="786"/>
      <c r="VQ94" s="786"/>
      <c r="VR94" s="786"/>
      <c r="VS94" s="786"/>
      <c r="VT94" s="786"/>
      <c r="VU94" s="786"/>
      <c r="VV94" s="786"/>
      <c r="VW94" s="786"/>
      <c r="VX94" s="786"/>
      <c r="VY94" s="786"/>
      <c r="VZ94" s="786"/>
      <c r="WA94" s="786"/>
      <c r="WB94" s="786"/>
      <c r="WC94" s="786"/>
      <c r="WD94" s="786"/>
      <c r="WE94" s="786"/>
      <c r="WF94" s="786"/>
      <c r="WG94" s="786"/>
      <c r="WH94" s="786"/>
      <c r="WI94" s="786"/>
      <c r="WJ94" s="786"/>
      <c r="WK94" s="786"/>
      <c r="WL94" s="786"/>
      <c r="WM94" s="786"/>
      <c r="WN94" s="786"/>
      <c r="WO94" s="786"/>
      <c r="WP94" s="786"/>
      <c r="WQ94" s="786"/>
      <c r="WR94" s="786"/>
      <c r="WS94" s="786"/>
      <c r="WT94" s="786"/>
      <c r="WU94" s="786"/>
      <c r="WV94" s="786"/>
      <c r="WW94" s="786"/>
      <c r="WX94" s="786"/>
      <c r="WY94" s="786"/>
      <c r="WZ94" s="786"/>
      <c r="XA94" s="786"/>
      <c r="XB94" s="786"/>
      <c r="XC94" s="786"/>
      <c r="XD94" s="786"/>
      <c r="XE94" s="786"/>
      <c r="XF94" s="786"/>
      <c r="XG94" s="786"/>
      <c r="XH94" s="786"/>
      <c r="XI94" s="786"/>
      <c r="XJ94" s="786"/>
      <c r="XK94" s="786"/>
      <c r="XL94" s="786"/>
      <c r="XM94" s="786"/>
      <c r="XN94" s="786"/>
      <c r="XO94" s="786"/>
      <c r="XP94" s="786"/>
      <c r="XQ94" s="786"/>
      <c r="XR94" s="786"/>
      <c r="XS94" s="786"/>
      <c r="XT94" s="786"/>
      <c r="XU94" s="786"/>
      <c r="XV94" s="786"/>
      <c r="XW94" s="786"/>
      <c r="XX94" s="786"/>
      <c r="XY94" s="786"/>
      <c r="XZ94" s="786"/>
      <c r="YA94" s="786"/>
      <c r="YB94" s="786"/>
      <c r="YC94" s="786"/>
      <c r="YD94" s="786"/>
      <c r="YE94" s="786"/>
      <c r="YF94" s="786"/>
      <c r="YG94" s="786"/>
      <c r="YH94" s="786"/>
      <c r="YI94" s="786"/>
      <c r="YJ94" s="786"/>
      <c r="YK94" s="786"/>
      <c r="YL94" s="786"/>
      <c r="YM94" s="786"/>
      <c r="YN94" s="786"/>
      <c r="YO94" s="786"/>
      <c r="YP94" s="786"/>
      <c r="YQ94" s="786"/>
      <c r="YR94" s="786"/>
      <c r="YS94" s="786"/>
      <c r="YT94" s="786"/>
      <c r="YU94" s="786"/>
      <c r="YV94" s="786"/>
      <c r="YW94" s="786"/>
      <c r="YX94" s="786"/>
      <c r="YY94" s="786"/>
      <c r="YZ94" s="786"/>
      <c r="ZA94" s="786"/>
      <c r="ZB94" s="786"/>
      <c r="ZC94" s="786"/>
      <c r="ZD94" s="786"/>
      <c r="ZE94" s="786"/>
      <c r="ZF94" s="786"/>
      <c r="ZG94" s="786"/>
      <c r="ZH94" s="786"/>
      <c r="ZI94" s="786"/>
      <c r="ZJ94" s="786"/>
      <c r="ZK94" s="786"/>
      <c r="ZL94" s="786"/>
      <c r="ZM94" s="786"/>
      <c r="ZN94" s="786"/>
      <c r="ZO94" s="786"/>
      <c r="ZP94" s="786"/>
      <c r="ZQ94" s="786"/>
      <c r="ZR94" s="786"/>
      <c r="ZS94" s="786"/>
      <c r="ZT94" s="786"/>
      <c r="ZU94" s="786"/>
      <c r="ZV94" s="786"/>
      <c r="ZW94" s="786"/>
      <c r="ZX94" s="786"/>
      <c r="ZY94" s="786"/>
      <c r="ZZ94" s="786"/>
      <c r="AAA94" s="786"/>
      <c r="AAB94" s="786"/>
      <c r="AAC94" s="786"/>
      <c r="AAD94" s="786"/>
      <c r="AAE94" s="786"/>
      <c r="AAF94" s="786"/>
      <c r="AAG94" s="786"/>
      <c r="AAH94" s="786"/>
      <c r="AAI94" s="786"/>
      <c r="AAJ94" s="786"/>
      <c r="AAK94" s="786"/>
      <c r="AAL94" s="786"/>
      <c r="AAM94" s="786"/>
      <c r="AAN94" s="786"/>
      <c r="AAO94" s="786"/>
      <c r="AAP94" s="786"/>
      <c r="AAQ94" s="786"/>
      <c r="AAR94" s="786"/>
      <c r="AAS94" s="786"/>
      <c r="AAT94" s="786"/>
      <c r="AAU94" s="786"/>
      <c r="AAV94" s="786"/>
      <c r="AAW94" s="786"/>
      <c r="AAX94" s="786"/>
      <c r="AAY94" s="786"/>
      <c r="AAZ94" s="786"/>
      <c r="ABA94" s="786"/>
      <c r="ABB94" s="786"/>
      <c r="ABC94" s="786"/>
      <c r="ABD94" s="786"/>
      <c r="ABE94" s="786"/>
      <c r="ABF94" s="786"/>
      <c r="ABG94" s="786"/>
      <c r="ABH94" s="786"/>
      <c r="ABI94" s="786"/>
      <c r="ABJ94" s="786"/>
      <c r="ABK94" s="786"/>
      <c r="ABL94" s="786"/>
      <c r="ABM94" s="786"/>
      <c r="ABN94" s="786"/>
      <c r="ABO94" s="786"/>
      <c r="ABP94" s="786"/>
      <c r="ABQ94" s="786"/>
      <c r="ABR94" s="786"/>
      <c r="ABS94" s="786"/>
      <c r="ABT94" s="786"/>
      <c r="ABU94" s="786"/>
      <c r="ABV94" s="786"/>
      <c r="ABW94" s="786"/>
      <c r="ABX94" s="786"/>
      <c r="ABY94" s="786"/>
      <c r="ABZ94" s="786"/>
      <c r="ACA94" s="786"/>
      <c r="ACB94" s="786"/>
      <c r="ACC94" s="786"/>
      <c r="ACD94" s="786"/>
      <c r="ACE94" s="786"/>
      <c r="ACF94" s="786"/>
      <c r="ACG94" s="786"/>
      <c r="ACH94" s="786"/>
      <c r="ACI94" s="786"/>
      <c r="ACJ94" s="786"/>
      <c r="ACK94" s="786"/>
      <c r="ACL94" s="786"/>
      <c r="ACM94" s="786"/>
      <c r="ACN94" s="786"/>
      <c r="ACO94" s="786"/>
      <c r="ACP94" s="786"/>
      <c r="ACQ94" s="786"/>
      <c r="ACR94" s="786"/>
      <c r="ACS94" s="786"/>
      <c r="ACT94" s="786"/>
      <c r="ACU94" s="786"/>
      <c r="ACV94" s="786"/>
      <c r="ACW94" s="786"/>
      <c r="ACX94" s="786"/>
      <c r="ACY94" s="786"/>
      <c r="ACZ94" s="786"/>
      <c r="ADA94" s="786"/>
      <c r="ADB94" s="786"/>
      <c r="ADC94" s="786"/>
      <c r="ADD94" s="786"/>
      <c r="ADE94" s="786"/>
      <c r="ADF94" s="786"/>
      <c r="ADG94" s="786"/>
      <c r="ADH94" s="786"/>
      <c r="ADI94" s="786"/>
      <c r="ADJ94" s="786"/>
      <c r="ADK94" s="786"/>
      <c r="ADL94" s="786"/>
      <c r="ADM94" s="786"/>
      <c r="ADN94" s="786"/>
      <c r="ADO94" s="786"/>
      <c r="ADP94" s="786"/>
      <c r="ADQ94" s="786"/>
      <c r="ADR94" s="786"/>
      <c r="ADS94" s="786"/>
      <c r="ADT94" s="786"/>
      <c r="ADU94" s="786"/>
      <c r="ADV94" s="786"/>
      <c r="ADW94" s="786"/>
      <c r="ADX94" s="786"/>
      <c r="ADY94" s="786"/>
      <c r="ADZ94" s="786"/>
      <c r="AEA94" s="786"/>
      <c r="AEB94" s="786"/>
      <c r="AEC94" s="786"/>
      <c r="AED94" s="786"/>
      <c r="AEE94" s="786"/>
      <c r="AEF94" s="786"/>
      <c r="AEG94" s="786"/>
      <c r="AEH94" s="786"/>
      <c r="AEI94" s="786"/>
      <c r="AEJ94" s="786"/>
      <c r="AEK94" s="786"/>
      <c r="AEL94" s="786"/>
      <c r="AEM94" s="786"/>
      <c r="AEN94" s="786"/>
      <c r="AEO94" s="786"/>
      <c r="AEP94" s="786"/>
      <c r="AEQ94" s="786"/>
      <c r="AER94" s="786"/>
      <c r="AES94" s="786"/>
      <c r="AET94" s="786"/>
      <c r="AEU94" s="786"/>
      <c r="AEV94" s="786"/>
      <c r="AEW94" s="786"/>
      <c r="AEX94" s="786"/>
      <c r="AEY94" s="786"/>
      <c r="AEZ94" s="786"/>
      <c r="AFA94" s="786"/>
      <c r="AFB94" s="786"/>
      <c r="AFC94" s="786"/>
      <c r="AFD94" s="786"/>
      <c r="AFE94" s="786"/>
      <c r="AFF94" s="786"/>
      <c r="AFG94" s="786"/>
      <c r="AFH94" s="786"/>
      <c r="AFI94" s="786"/>
      <c r="AFJ94" s="786"/>
      <c r="AFK94" s="786"/>
      <c r="AFL94" s="786"/>
      <c r="AFM94" s="786"/>
      <c r="AFN94" s="786"/>
      <c r="AFO94" s="786"/>
      <c r="AFP94" s="786"/>
      <c r="AFQ94" s="786"/>
      <c r="AFR94" s="786"/>
      <c r="AFS94" s="786"/>
      <c r="AFT94" s="786"/>
      <c r="AFU94" s="786"/>
      <c r="AFV94" s="786"/>
      <c r="AFW94" s="786"/>
      <c r="AFX94" s="786"/>
      <c r="AFY94" s="786"/>
      <c r="AFZ94" s="786"/>
      <c r="AGA94" s="786"/>
      <c r="AGB94" s="786"/>
      <c r="AGC94" s="786"/>
      <c r="AGD94" s="786"/>
      <c r="AGE94" s="786"/>
      <c r="AGF94" s="786"/>
      <c r="AGG94" s="786"/>
      <c r="AGH94" s="786"/>
      <c r="AGI94" s="786"/>
      <c r="AGJ94" s="786"/>
      <c r="AGK94" s="786"/>
      <c r="AGL94" s="786"/>
      <c r="AGM94" s="786"/>
      <c r="AGN94" s="786"/>
      <c r="AGO94" s="786"/>
      <c r="AGP94" s="786"/>
      <c r="AGQ94" s="786"/>
      <c r="AGR94" s="786"/>
      <c r="AGS94" s="786"/>
      <c r="AGT94" s="786"/>
      <c r="AGU94" s="786"/>
      <c r="AGV94" s="786"/>
      <c r="AGW94" s="786"/>
      <c r="AGX94" s="786"/>
      <c r="AGY94" s="786"/>
      <c r="AGZ94" s="786"/>
      <c r="AHA94" s="786"/>
      <c r="AHB94" s="786"/>
      <c r="AHC94" s="786"/>
      <c r="AHD94" s="786"/>
      <c r="AHE94" s="786"/>
      <c r="AHF94" s="786"/>
      <c r="AHG94" s="786"/>
      <c r="AHH94" s="786"/>
      <c r="AHI94" s="786"/>
      <c r="AHJ94" s="786"/>
      <c r="AHK94" s="786"/>
      <c r="AHL94" s="786"/>
      <c r="AHM94" s="786"/>
      <c r="AHN94" s="786"/>
      <c r="AHO94" s="786"/>
      <c r="AHP94" s="786"/>
      <c r="AHQ94" s="786"/>
      <c r="AHR94" s="786"/>
      <c r="AHS94" s="786"/>
      <c r="AHT94" s="786"/>
      <c r="AHU94" s="786"/>
      <c r="AHV94" s="786"/>
      <c r="AHW94" s="786"/>
      <c r="AHX94" s="786"/>
      <c r="AHY94" s="786"/>
      <c r="AHZ94" s="786"/>
      <c r="AIA94" s="786"/>
      <c r="AIB94" s="786"/>
      <c r="AIC94" s="786"/>
      <c r="AID94" s="786"/>
      <c r="AIE94" s="786"/>
      <c r="AIF94" s="786"/>
      <c r="AIG94" s="786"/>
      <c r="AIH94" s="786"/>
      <c r="AII94" s="786"/>
      <c r="AIJ94" s="786"/>
      <c r="AIK94" s="786"/>
      <c r="AIL94" s="786"/>
      <c r="AIM94" s="786"/>
      <c r="AIN94" s="786"/>
      <c r="AIO94" s="786"/>
      <c r="AIP94" s="786"/>
      <c r="AIQ94" s="786"/>
      <c r="AIR94" s="786"/>
      <c r="AIS94" s="786"/>
      <c r="AIT94" s="786"/>
      <c r="AIU94" s="786"/>
      <c r="AIV94" s="786"/>
      <c r="AIW94" s="786"/>
      <c r="AIX94" s="786"/>
      <c r="AIY94" s="786"/>
      <c r="AIZ94" s="786"/>
      <c r="AJA94" s="786"/>
      <c r="AJB94" s="786"/>
      <c r="AJC94" s="786"/>
      <c r="AJD94" s="786"/>
      <c r="AJE94" s="786"/>
      <c r="AJF94" s="786"/>
      <c r="AJG94" s="786"/>
      <c r="AJH94" s="786"/>
      <c r="AJI94" s="786"/>
      <c r="AJJ94" s="786"/>
      <c r="AJK94" s="786"/>
      <c r="AJL94" s="786"/>
      <c r="AJM94" s="786"/>
      <c r="AJN94" s="786"/>
      <c r="AJO94" s="786"/>
      <c r="AJP94" s="786"/>
      <c r="AJQ94" s="786"/>
      <c r="AJR94" s="786"/>
      <c r="AJS94" s="786"/>
      <c r="AJT94" s="786"/>
      <c r="AJU94" s="786"/>
      <c r="AJV94" s="786"/>
      <c r="AJW94" s="786"/>
      <c r="AJX94" s="786"/>
      <c r="AJY94" s="786"/>
      <c r="AJZ94" s="786"/>
      <c r="AKA94" s="786"/>
      <c r="AKB94" s="786"/>
      <c r="AKC94" s="786"/>
      <c r="AKD94" s="786"/>
      <c r="AKE94" s="786"/>
      <c r="AKF94" s="786"/>
      <c r="AKG94" s="786"/>
      <c r="AKH94" s="786"/>
      <c r="AKI94" s="786"/>
      <c r="AKJ94" s="786"/>
      <c r="AKK94" s="786"/>
      <c r="AKL94" s="786"/>
      <c r="AKM94" s="786"/>
      <c r="AKN94" s="786"/>
      <c r="AKO94" s="786"/>
      <c r="AKP94" s="786"/>
      <c r="AKQ94" s="786"/>
      <c r="AKR94" s="786"/>
      <c r="AKS94" s="786"/>
      <c r="AKT94" s="786"/>
      <c r="AKU94" s="786"/>
      <c r="AKV94" s="786"/>
      <c r="AKW94" s="786"/>
      <c r="AKX94" s="786"/>
      <c r="AKY94" s="786"/>
      <c r="AKZ94" s="786"/>
      <c r="ALA94" s="786"/>
      <c r="ALB94" s="786"/>
      <c r="ALC94" s="786"/>
      <c r="ALD94" s="786"/>
      <c r="ALE94" s="786"/>
      <c r="ALF94" s="786"/>
      <c r="ALG94" s="786"/>
      <c r="ALH94" s="786"/>
      <c r="ALI94" s="786"/>
      <c r="ALJ94" s="786"/>
      <c r="ALK94" s="786"/>
      <c r="ALL94" s="786"/>
      <c r="ALM94" s="786"/>
      <c r="ALN94" s="786"/>
      <c r="ALO94" s="786"/>
      <c r="ALP94" s="786"/>
      <c r="ALQ94" s="786"/>
      <c r="ALR94" s="786"/>
      <c r="ALS94" s="786"/>
      <c r="ALT94" s="786"/>
      <c r="ALU94" s="786"/>
      <c r="ALV94" s="786"/>
      <c r="ALW94" s="786"/>
      <c r="ALX94" s="786"/>
      <c r="ALY94" s="786"/>
      <c r="ALZ94" s="786"/>
      <c r="AMA94" s="786"/>
      <c r="AMB94" s="786"/>
      <c r="AMC94" s="786"/>
      <c r="AMD94" s="786"/>
      <c r="AME94" s="786"/>
      <c r="AMF94" s="786"/>
      <c r="AMG94" s="786"/>
      <c r="AMH94" s="786"/>
      <c r="AMI94" s="786"/>
      <c r="AMJ94" s="786"/>
      <c r="AMK94" s="786"/>
      <c r="AML94" s="786"/>
      <c r="AMM94" s="786"/>
      <c r="AMN94" s="786"/>
      <c r="AMO94" s="786"/>
      <c r="AMP94" s="786"/>
      <c r="AMQ94" s="786"/>
      <c r="AMR94" s="786"/>
      <c r="AMS94" s="786"/>
      <c r="AMT94" s="786"/>
      <c r="AMU94" s="786"/>
      <c r="AMV94" s="786"/>
      <c r="AMW94" s="786"/>
      <c r="AMX94" s="786"/>
      <c r="AMY94" s="786"/>
      <c r="AMZ94" s="786"/>
      <c r="ANA94" s="786"/>
      <c r="ANB94" s="786"/>
      <c r="ANC94" s="786"/>
      <c r="AND94" s="786"/>
      <c r="ANE94" s="786"/>
      <c r="ANF94" s="786"/>
      <c r="ANG94" s="786"/>
      <c r="ANH94" s="786"/>
      <c r="ANI94" s="786"/>
      <c r="ANJ94" s="786"/>
      <c r="ANK94" s="786"/>
      <c r="ANL94" s="786"/>
      <c r="ANM94" s="786"/>
      <c r="ANN94" s="786"/>
      <c r="ANO94" s="786"/>
      <c r="ANP94" s="786"/>
      <c r="ANQ94" s="786"/>
      <c r="ANR94" s="786"/>
      <c r="ANS94" s="786"/>
      <c r="ANT94" s="786"/>
      <c r="ANU94" s="786"/>
      <c r="ANV94" s="786"/>
      <c r="ANW94" s="786"/>
      <c r="ANX94" s="786"/>
      <c r="ANY94" s="786"/>
      <c r="ANZ94" s="786"/>
      <c r="AOA94" s="786"/>
      <c r="AOB94" s="786"/>
      <c r="AOC94" s="786"/>
      <c r="AOD94" s="786"/>
      <c r="AOE94" s="786"/>
      <c r="AOF94" s="786"/>
      <c r="AOG94" s="786"/>
      <c r="AOH94" s="786"/>
      <c r="AOI94" s="786"/>
      <c r="AOJ94" s="786"/>
      <c r="AOK94" s="786"/>
      <c r="AOL94" s="786"/>
      <c r="AOM94" s="786"/>
      <c r="AON94" s="786"/>
      <c r="AOO94" s="786"/>
      <c r="AOP94" s="786"/>
      <c r="AOQ94" s="786"/>
      <c r="AOR94" s="786"/>
      <c r="AOS94" s="786"/>
      <c r="AOT94" s="786"/>
      <c r="AOU94" s="786"/>
      <c r="AOV94" s="786"/>
      <c r="AOW94" s="786"/>
      <c r="AOX94" s="786"/>
      <c r="AOY94" s="786"/>
      <c r="AOZ94" s="786"/>
      <c r="APA94" s="786"/>
      <c r="APB94" s="786"/>
      <c r="APC94" s="786"/>
      <c r="APD94" s="786"/>
      <c r="APE94" s="786"/>
      <c r="APF94" s="786"/>
      <c r="APG94" s="786"/>
      <c r="APH94" s="786"/>
      <c r="API94" s="786"/>
      <c r="APJ94" s="786"/>
      <c r="APK94" s="786"/>
      <c r="APL94" s="786"/>
      <c r="APM94" s="786"/>
      <c r="APN94" s="786"/>
      <c r="APO94" s="786"/>
      <c r="APP94" s="786"/>
      <c r="APQ94" s="786"/>
      <c r="APR94" s="786"/>
      <c r="APS94" s="786"/>
      <c r="APT94" s="786"/>
      <c r="APU94" s="786"/>
      <c r="APV94" s="786"/>
      <c r="APW94" s="786"/>
      <c r="APX94" s="786"/>
      <c r="APY94" s="786"/>
      <c r="APZ94" s="786"/>
      <c r="AQA94" s="786"/>
      <c r="AQB94" s="786"/>
      <c r="AQC94" s="786"/>
      <c r="AQD94" s="786"/>
      <c r="AQE94" s="786"/>
      <c r="AQF94" s="786"/>
      <c r="AQG94" s="786"/>
      <c r="AQH94" s="786"/>
      <c r="AQI94" s="786"/>
      <c r="AQJ94" s="786"/>
      <c r="AQK94" s="786"/>
      <c r="AQL94" s="786"/>
      <c r="AQM94" s="786"/>
      <c r="AQN94" s="786"/>
      <c r="AQO94" s="786"/>
      <c r="AQP94" s="786"/>
      <c r="AQQ94" s="786"/>
      <c r="AQR94" s="786"/>
      <c r="AQS94" s="786"/>
      <c r="AQT94" s="786"/>
      <c r="AQU94" s="786"/>
      <c r="AQV94" s="786"/>
      <c r="AQW94" s="786"/>
      <c r="AQX94" s="786"/>
      <c r="AQY94" s="786"/>
      <c r="AQZ94" s="786"/>
      <c r="ARA94" s="786"/>
      <c r="ARB94" s="786"/>
      <c r="ARC94" s="786"/>
      <c r="ARD94" s="786"/>
      <c r="ARE94" s="786"/>
      <c r="ARF94" s="786"/>
      <c r="ARG94" s="786"/>
      <c r="ARH94" s="786"/>
      <c r="ARI94" s="786"/>
      <c r="ARJ94" s="786"/>
      <c r="ARK94" s="786"/>
      <c r="ARL94" s="786"/>
      <c r="ARM94" s="786"/>
      <c r="ARN94" s="786"/>
      <c r="ARO94" s="786"/>
      <c r="ARP94" s="786"/>
      <c r="ARQ94" s="786"/>
      <c r="ARR94" s="786"/>
      <c r="ARS94" s="786"/>
      <c r="ART94" s="786"/>
      <c r="ARU94" s="786"/>
      <c r="ARV94" s="786"/>
      <c r="ARW94" s="786"/>
      <c r="ARX94" s="786"/>
      <c r="ARY94" s="786"/>
      <c r="ARZ94" s="786"/>
      <c r="ASA94" s="786"/>
      <c r="ASB94" s="786"/>
      <c r="ASC94" s="786"/>
      <c r="ASD94" s="786"/>
      <c r="ASE94" s="786"/>
      <c r="ASF94" s="786"/>
      <c r="ASG94" s="786"/>
      <c r="ASH94" s="786"/>
      <c r="ASI94" s="786"/>
      <c r="ASJ94" s="786"/>
      <c r="ASK94" s="786"/>
      <c r="ASL94" s="786"/>
      <c r="ASM94" s="786"/>
      <c r="ASN94" s="786"/>
      <c r="ASO94" s="786"/>
      <c r="ASP94" s="786"/>
      <c r="ASQ94" s="786"/>
      <c r="ASR94" s="786"/>
      <c r="ASS94" s="786"/>
      <c r="AST94" s="786"/>
      <c r="ASU94" s="786"/>
      <c r="ASV94" s="786"/>
      <c r="ASW94" s="786"/>
      <c r="ASX94" s="786"/>
      <c r="ASY94" s="786"/>
      <c r="ASZ94" s="786"/>
      <c r="ATA94" s="786"/>
      <c r="ATB94" s="786"/>
      <c r="ATC94" s="786"/>
      <c r="ATD94" s="786"/>
      <c r="ATE94" s="786"/>
      <c r="ATF94" s="786"/>
      <c r="ATG94" s="786"/>
      <c r="ATH94" s="786"/>
      <c r="ATI94" s="786"/>
      <c r="ATJ94" s="786"/>
      <c r="ATK94" s="786"/>
      <c r="ATL94" s="786"/>
      <c r="ATM94" s="786"/>
      <c r="ATN94" s="786"/>
      <c r="ATO94" s="786"/>
      <c r="ATP94" s="786"/>
      <c r="ATQ94" s="786"/>
      <c r="ATR94" s="786"/>
      <c r="ATS94" s="786"/>
      <c r="ATT94" s="786"/>
      <c r="ATU94" s="786"/>
      <c r="ATV94" s="786"/>
      <c r="ATW94" s="786"/>
      <c r="ATX94" s="786"/>
      <c r="ATY94" s="786"/>
      <c r="ATZ94" s="786"/>
      <c r="AUA94" s="786"/>
      <c r="AUB94" s="786"/>
      <c r="AUC94" s="786"/>
      <c r="AUD94" s="786"/>
      <c r="AUE94" s="786"/>
      <c r="AUF94" s="786"/>
      <c r="AUG94" s="786"/>
      <c r="AUH94" s="786"/>
      <c r="AUI94" s="786"/>
      <c r="AUJ94" s="786"/>
      <c r="AUK94" s="786"/>
      <c r="AUL94" s="786"/>
      <c r="AUM94" s="786"/>
      <c r="AUN94" s="786"/>
      <c r="AUO94" s="786"/>
      <c r="AUP94" s="786"/>
      <c r="AUQ94" s="786"/>
      <c r="AUR94" s="786"/>
      <c r="AUS94" s="786"/>
      <c r="AUT94" s="786"/>
      <c r="AUU94" s="786"/>
      <c r="AUV94" s="786"/>
      <c r="AUW94" s="786"/>
      <c r="AUX94" s="786"/>
      <c r="AUY94" s="786"/>
      <c r="AUZ94" s="786"/>
      <c r="AVA94" s="786"/>
      <c r="AVB94" s="786"/>
      <c r="AVC94" s="786"/>
      <c r="AVD94" s="786"/>
      <c r="AVE94" s="786"/>
      <c r="AVF94" s="786"/>
      <c r="AVG94" s="786"/>
      <c r="AVH94" s="786"/>
      <c r="AVI94" s="786"/>
      <c r="AVJ94" s="786"/>
      <c r="AVK94" s="786"/>
      <c r="AVL94" s="786"/>
      <c r="AVM94" s="786"/>
      <c r="AVN94" s="786"/>
      <c r="AVO94" s="786"/>
      <c r="AVP94" s="786"/>
      <c r="AVQ94" s="786"/>
      <c r="AVR94" s="786"/>
      <c r="AVS94" s="786"/>
      <c r="AVT94" s="786"/>
      <c r="AVU94" s="786"/>
      <c r="AVV94" s="786"/>
      <c r="AVW94" s="786"/>
      <c r="AVX94" s="786"/>
      <c r="AVY94" s="786"/>
      <c r="AVZ94" s="786"/>
      <c r="AWA94" s="786"/>
      <c r="AWB94" s="786"/>
      <c r="AWC94" s="786"/>
      <c r="AWD94" s="786"/>
      <c r="AWE94" s="786"/>
      <c r="AWF94" s="786"/>
      <c r="AWG94" s="786"/>
      <c r="AWH94" s="786"/>
      <c r="AWI94" s="786"/>
      <c r="AWJ94" s="786"/>
      <c r="AWK94" s="786"/>
      <c r="AWL94" s="786"/>
      <c r="AWM94" s="786"/>
      <c r="AWN94" s="786"/>
      <c r="AWO94" s="786"/>
      <c r="AWP94" s="786"/>
      <c r="AWQ94" s="786"/>
      <c r="AWR94" s="786"/>
      <c r="AWS94" s="786"/>
      <c r="AWT94" s="786"/>
      <c r="AWU94" s="786"/>
      <c r="AWV94" s="786"/>
      <c r="AWW94" s="786"/>
      <c r="AWX94" s="786"/>
      <c r="AWY94" s="786"/>
      <c r="AWZ94" s="786"/>
      <c r="AXA94" s="786"/>
      <c r="AXB94" s="786"/>
      <c r="AXC94" s="786"/>
      <c r="AXD94" s="786"/>
      <c r="AXE94" s="786"/>
      <c r="AXF94" s="786"/>
      <c r="AXG94" s="786"/>
      <c r="AXH94" s="786"/>
      <c r="AXI94" s="786"/>
      <c r="AXJ94" s="786"/>
      <c r="AXK94" s="786"/>
      <c r="AXL94" s="786"/>
      <c r="AXM94" s="786"/>
      <c r="AXN94" s="786"/>
      <c r="AXO94" s="786"/>
      <c r="AXP94" s="786"/>
      <c r="AXQ94" s="786"/>
      <c r="AXR94" s="786"/>
      <c r="AXS94" s="786"/>
      <c r="AXT94" s="786"/>
      <c r="AXU94" s="786"/>
      <c r="AXV94" s="786"/>
      <c r="AXW94" s="786"/>
      <c r="AXX94" s="786"/>
      <c r="AXY94" s="786"/>
      <c r="AXZ94" s="786"/>
      <c r="AYA94" s="786"/>
      <c r="AYB94" s="786"/>
      <c r="AYC94" s="786"/>
      <c r="AYD94" s="786"/>
      <c r="AYE94" s="786"/>
      <c r="AYF94" s="786"/>
      <c r="AYG94" s="786"/>
      <c r="AYH94" s="786"/>
      <c r="AYI94" s="786"/>
      <c r="AYJ94" s="786"/>
      <c r="AYK94" s="786"/>
      <c r="AYL94" s="786"/>
      <c r="AYM94" s="786"/>
      <c r="AYN94" s="786"/>
      <c r="AYO94" s="786"/>
      <c r="AYP94" s="786"/>
      <c r="AYQ94" s="786"/>
      <c r="AYR94" s="786"/>
      <c r="AYS94" s="786"/>
      <c r="AYT94" s="786"/>
      <c r="AYU94" s="786"/>
      <c r="AYV94" s="786"/>
      <c r="AYW94" s="786"/>
      <c r="AYX94" s="786"/>
      <c r="AYY94" s="786"/>
      <c r="AYZ94" s="786"/>
      <c r="AZA94" s="786"/>
      <c r="AZB94" s="786"/>
      <c r="AZC94" s="786"/>
      <c r="AZD94" s="786"/>
      <c r="AZE94" s="786"/>
      <c r="AZF94" s="786"/>
      <c r="AZG94" s="786"/>
      <c r="AZH94" s="786"/>
      <c r="AZI94" s="786"/>
      <c r="AZJ94" s="786"/>
      <c r="AZK94" s="786"/>
      <c r="AZL94" s="786"/>
      <c r="AZM94" s="786"/>
      <c r="AZN94" s="786"/>
      <c r="AZO94" s="786"/>
      <c r="AZP94" s="786"/>
      <c r="AZQ94" s="786"/>
      <c r="AZR94" s="786"/>
      <c r="AZS94" s="786"/>
      <c r="AZT94" s="786"/>
      <c r="AZU94" s="786"/>
      <c r="AZV94" s="786"/>
      <c r="AZW94" s="786"/>
      <c r="AZX94" s="786"/>
      <c r="AZY94" s="786"/>
      <c r="AZZ94" s="786"/>
      <c r="BAA94" s="786"/>
      <c r="BAB94" s="786"/>
      <c r="BAC94" s="786"/>
      <c r="BAD94" s="786"/>
      <c r="BAE94" s="786"/>
      <c r="BAF94" s="786"/>
      <c r="BAG94" s="786"/>
      <c r="BAH94" s="786"/>
      <c r="BAI94" s="786"/>
      <c r="BAJ94" s="786"/>
      <c r="BAK94" s="786"/>
      <c r="BAL94" s="786"/>
      <c r="BAM94" s="786"/>
      <c r="BAN94" s="786"/>
      <c r="BAO94" s="786"/>
      <c r="BAP94" s="786"/>
      <c r="BAQ94" s="786"/>
      <c r="BAR94" s="786"/>
      <c r="BAS94" s="786"/>
      <c r="BAT94" s="786"/>
      <c r="BAU94" s="786"/>
      <c r="BAV94" s="786"/>
      <c r="BAW94" s="786"/>
      <c r="BAX94" s="786"/>
      <c r="BAY94" s="786"/>
      <c r="BAZ94" s="786"/>
      <c r="BBA94" s="786"/>
      <c r="BBB94" s="786"/>
      <c r="BBC94" s="786"/>
      <c r="BBD94" s="786"/>
      <c r="BBE94" s="786"/>
      <c r="BBF94" s="786"/>
      <c r="BBG94" s="786"/>
      <c r="BBH94" s="786"/>
      <c r="BBI94" s="786"/>
      <c r="BBJ94" s="786"/>
      <c r="BBK94" s="786"/>
      <c r="BBL94" s="786"/>
      <c r="BBM94" s="786"/>
      <c r="BBN94" s="786"/>
      <c r="BBO94" s="786"/>
      <c r="BBP94" s="786"/>
      <c r="BBQ94" s="786"/>
      <c r="BBR94" s="786"/>
      <c r="BBS94" s="786"/>
      <c r="BBT94" s="786"/>
      <c r="BBU94" s="786"/>
      <c r="BBV94" s="786"/>
      <c r="BBW94" s="786"/>
      <c r="BBX94" s="786"/>
      <c r="BBY94" s="786"/>
      <c r="BBZ94" s="786"/>
      <c r="BCA94" s="786"/>
      <c r="BCB94" s="786"/>
      <c r="BCC94" s="786"/>
      <c r="BCD94" s="786"/>
      <c r="BCE94" s="786"/>
      <c r="BCF94" s="786"/>
      <c r="BCG94" s="786"/>
      <c r="BCH94" s="786"/>
      <c r="BCI94" s="786"/>
      <c r="BCJ94" s="786"/>
      <c r="BCK94" s="786"/>
      <c r="BCL94" s="786"/>
      <c r="BCM94" s="786"/>
      <c r="BCN94" s="786"/>
      <c r="BCO94" s="786"/>
      <c r="BCP94" s="786"/>
      <c r="BCQ94" s="786"/>
      <c r="BCR94" s="786"/>
      <c r="BCS94" s="786"/>
      <c r="BCT94" s="786"/>
      <c r="BCU94" s="786"/>
      <c r="BCV94" s="786"/>
      <c r="BCW94" s="786"/>
      <c r="BCX94" s="786"/>
      <c r="BCY94" s="786"/>
      <c r="BCZ94" s="786"/>
      <c r="BDA94" s="786"/>
      <c r="BDB94" s="786"/>
      <c r="BDC94" s="786"/>
      <c r="BDD94" s="786"/>
      <c r="BDE94" s="786"/>
      <c r="BDF94" s="786"/>
      <c r="BDG94" s="786"/>
      <c r="BDH94" s="786"/>
      <c r="BDI94" s="786"/>
      <c r="BDJ94" s="786"/>
      <c r="BDK94" s="786"/>
      <c r="BDL94" s="786"/>
      <c r="BDM94" s="786"/>
      <c r="BDN94" s="786"/>
      <c r="BDO94" s="786"/>
      <c r="BDP94" s="786"/>
      <c r="BDQ94" s="786"/>
      <c r="BDR94" s="786"/>
      <c r="BDS94" s="786"/>
      <c r="BDT94" s="786"/>
      <c r="BDU94" s="786"/>
      <c r="BDV94" s="786"/>
      <c r="BDW94" s="786"/>
      <c r="BDX94" s="786"/>
      <c r="BDY94" s="786"/>
      <c r="BDZ94" s="786"/>
      <c r="BEA94" s="786"/>
      <c r="BEB94" s="786"/>
      <c r="BEC94" s="786"/>
      <c r="BED94" s="786"/>
      <c r="BEE94" s="786"/>
      <c r="BEF94" s="786"/>
      <c r="BEG94" s="786"/>
      <c r="BEH94" s="786"/>
      <c r="BEI94" s="786"/>
      <c r="BEJ94" s="786"/>
      <c r="BEK94" s="786"/>
      <c r="BEL94" s="786"/>
      <c r="BEM94" s="786"/>
      <c r="BEN94" s="786"/>
      <c r="BEO94" s="786"/>
      <c r="BEP94" s="786"/>
      <c r="BEQ94" s="786"/>
      <c r="BER94" s="786"/>
      <c r="BES94" s="786"/>
      <c r="BET94" s="786"/>
      <c r="BEU94" s="786"/>
      <c r="BEV94" s="786"/>
      <c r="BEW94" s="786"/>
      <c r="BEX94" s="786"/>
      <c r="BEY94" s="786"/>
      <c r="BEZ94" s="786"/>
      <c r="BFA94" s="786"/>
      <c r="BFB94" s="786"/>
      <c r="BFC94" s="786"/>
      <c r="BFD94" s="786"/>
      <c r="BFE94" s="786"/>
      <c r="BFF94" s="786"/>
      <c r="BFG94" s="786"/>
      <c r="BFH94" s="786"/>
      <c r="BFI94" s="786"/>
      <c r="BFJ94" s="786"/>
      <c r="BFK94" s="786"/>
      <c r="BFL94" s="786"/>
      <c r="BFM94" s="786"/>
      <c r="BFN94" s="786"/>
      <c r="BFO94" s="786"/>
      <c r="BFP94" s="786"/>
      <c r="BFQ94" s="786"/>
      <c r="BFR94" s="786"/>
      <c r="BFS94" s="786"/>
      <c r="BFT94" s="786"/>
      <c r="BFU94" s="786"/>
      <c r="BFV94" s="786"/>
      <c r="BFW94" s="786"/>
      <c r="BFX94" s="786"/>
      <c r="BFY94" s="786"/>
      <c r="BFZ94" s="786"/>
      <c r="BGA94" s="786"/>
      <c r="BGB94" s="786"/>
      <c r="BGC94" s="786"/>
      <c r="BGD94" s="786"/>
      <c r="BGE94" s="786"/>
      <c r="BGF94" s="786"/>
      <c r="BGG94" s="786"/>
      <c r="BGH94" s="786"/>
      <c r="BGI94" s="786"/>
      <c r="BGJ94" s="786"/>
      <c r="BGK94" s="786"/>
      <c r="BGL94" s="786"/>
      <c r="BGM94" s="786"/>
      <c r="BGN94" s="786"/>
      <c r="BGO94" s="786"/>
      <c r="BGP94" s="786"/>
      <c r="BGQ94" s="786"/>
      <c r="BGR94" s="786"/>
      <c r="BGS94" s="786"/>
      <c r="BGT94" s="786"/>
      <c r="BGU94" s="786"/>
      <c r="BGV94" s="786"/>
      <c r="BGW94" s="786"/>
      <c r="BGX94" s="786"/>
      <c r="BGY94" s="786"/>
      <c r="BGZ94" s="786"/>
      <c r="BHA94" s="786"/>
      <c r="BHB94" s="786"/>
      <c r="BHC94" s="786"/>
      <c r="BHD94" s="786"/>
      <c r="BHE94" s="786"/>
      <c r="BHF94" s="786"/>
      <c r="BHG94" s="786"/>
      <c r="BHH94" s="786"/>
      <c r="BHI94" s="786"/>
      <c r="BHJ94" s="786"/>
      <c r="BHK94" s="786"/>
      <c r="BHL94" s="786"/>
      <c r="BHM94" s="786"/>
      <c r="BHN94" s="786"/>
      <c r="BHO94" s="786"/>
      <c r="BHP94" s="786"/>
      <c r="BHQ94" s="786"/>
      <c r="BHR94" s="786"/>
      <c r="BHS94" s="786"/>
      <c r="BHT94" s="786"/>
      <c r="BHU94" s="786"/>
      <c r="BHV94" s="786"/>
      <c r="BHW94" s="786"/>
      <c r="BHX94" s="786"/>
      <c r="BHY94" s="786"/>
      <c r="BHZ94" s="786"/>
      <c r="BIA94" s="786"/>
      <c r="BIB94" s="786"/>
      <c r="BIC94" s="786"/>
      <c r="BID94" s="786"/>
      <c r="BIE94" s="786"/>
      <c r="BIF94" s="786"/>
      <c r="BIG94" s="786"/>
      <c r="BIH94" s="786"/>
      <c r="BII94" s="786"/>
      <c r="BIJ94" s="786"/>
      <c r="BIK94" s="786"/>
      <c r="BIL94" s="786"/>
      <c r="BIM94" s="786"/>
      <c r="BIN94" s="786"/>
      <c r="BIO94" s="786"/>
      <c r="BIP94" s="786"/>
      <c r="BIQ94" s="786"/>
      <c r="BIR94" s="786"/>
      <c r="BIS94" s="786"/>
      <c r="BIT94" s="786"/>
      <c r="BIU94" s="786"/>
      <c r="BIV94" s="786"/>
      <c r="BIW94" s="786"/>
      <c r="BIX94" s="786"/>
      <c r="BIY94" s="786"/>
      <c r="BIZ94" s="786"/>
      <c r="BJA94" s="786"/>
      <c r="BJB94" s="786"/>
      <c r="BJC94" s="786"/>
      <c r="BJD94" s="786"/>
      <c r="BJE94" s="786"/>
      <c r="BJF94" s="786"/>
      <c r="BJG94" s="786"/>
      <c r="BJH94" s="786"/>
      <c r="BJI94" s="786"/>
      <c r="BJJ94" s="786"/>
      <c r="BJK94" s="786"/>
      <c r="BJL94" s="786"/>
      <c r="BJM94" s="786"/>
      <c r="BJN94" s="786"/>
      <c r="BJO94" s="786"/>
      <c r="BJP94" s="786"/>
      <c r="BJQ94" s="786"/>
      <c r="BJR94" s="786"/>
      <c r="BJS94" s="786"/>
      <c r="BJT94" s="786"/>
      <c r="BJU94" s="786"/>
      <c r="BJV94" s="786"/>
      <c r="BJW94" s="786"/>
      <c r="BJX94" s="786"/>
      <c r="BJY94" s="786"/>
      <c r="BJZ94" s="786"/>
      <c r="BKA94" s="786"/>
      <c r="BKB94" s="786"/>
      <c r="BKC94" s="786"/>
      <c r="BKD94" s="786"/>
      <c r="BKE94" s="786"/>
      <c r="BKF94" s="786"/>
      <c r="BKG94" s="786"/>
      <c r="BKH94" s="786"/>
      <c r="BKI94" s="786"/>
      <c r="BKJ94" s="786"/>
      <c r="BKK94" s="786"/>
      <c r="BKL94" s="786"/>
      <c r="BKM94" s="786"/>
      <c r="BKN94" s="786"/>
      <c r="BKO94" s="786"/>
      <c r="BKP94" s="786"/>
      <c r="BKQ94" s="786"/>
      <c r="BKR94" s="786"/>
      <c r="BKS94" s="786"/>
      <c r="BKT94" s="786"/>
      <c r="BKU94" s="786"/>
      <c r="BKV94" s="786"/>
      <c r="BKW94" s="786"/>
      <c r="BKX94" s="786"/>
      <c r="BKY94" s="786"/>
      <c r="BKZ94" s="786"/>
      <c r="BLA94" s="786"/>
      <c r="BLB94" s="786"/>
      <c r="BLC94" s="786"/>
      <c r="BLD94" s="786"/>
      <c r="BLE94" s="786"/>
      <c r="BLF94" s="786"/>
      <c r="BLG94" s="786"/>
      <c r="BLH94" s="786"/>
      <c r="BLI94" s="786"/>
      <c r="BLJ94" s="786"/>
      <c r="BLK94" s="786"/>
      <c r="BLL94" s="786"/>
      <c r="BLM94" s="786"/>
      <c r="BLN94" s="786"/>
      <c r="BLO94" s="786"/>
      <c r="BLP94" s="786"/>
      <c r="BLQ94" s="786"/>
      <c r="BLR94" s="786"/>
      <c r="BLS94" s="786"/>
      <c r="BLT94" s="786"/>
      <c r="BLU94" s="786"/>
      <c r="BLV94" s="786"/>
      <c r="BLW94" s="786"/>
      <c r="BLX94" s="786"/>
      <c r="BLY94" s="786"/>
      <c r="BLZ94" s="786"/>
      <c r="BMA94" s="786"/>
      <c r="BMB94" s="786"/>
      <c r="BMC94" s="786"/>
      <c r="BMD94" s="786"/>
      <c r="BME94" s="786"/>
      <c r="BMF94" s="786"/>
      <c r="BMG94" s="786"/>
      <c r="BMH94" s="786"/>
      <c r="BMI94" s="786"/>
      <c r="BMJ94" s="786"/>
      <c r="BMK94" s="786"/>
      <c r="BML94" s="786"/>
      <c r="BMM94" s="786"/>
      <c r="BMN94" s="786"/>
      <c r="BMO94" s="786"/>
      <c r="BMP94" s="786"/>
      <c r="BMQ94" s="786"/>
      <c r="BMR94" s="786"/>
      <c r="BMS94" s="786"/>
      <c r="BMT94" s="786"/>
      <c r="BMU94" s="786"/>
      <c r="BMV94" s="786"/>
      <c r="BMW94" s="786"/>
      <c r="BMX94" s="786"/>
      <c r="BMY94" s="786"/>
      <c r="BMZ94" s="786"/>
      <c r="BNA94" s="786"/>
      <c r="BNB94" s="786"/>
      <c r="BNC94" s="786"/>
      <c r="BND94" s="786"/>
      <c r="BNE94" s="786"/>
      <c r="BNF94" s="786"/>
      <c r="BNG94" s="786"/>
      <c r="BNH94" s="786"/>
      <c r="BNI94" s="786"/>
      <c r="BNJ94" s="786"/>
      <c r="BNK94" s="786"/>
      <c r="BNL94" s="786"/>
      <c r="BNM94" s="786"/>
      <c r="BNN94" s="786"/>
      <c r="BNO94" s="786"/>
      <c r="BNP94" s="786"/>
      <c r="BNQ94" s="786"/>
      <c r="BNR94" s="786"/>
      <c r="BNS94" s="786"/>
      <c r="BNT94" s="786"/>
      <c r="BNU94" s="786"/>
      <c r="BNV94" s="786"/>
      <c r="BNW94" s="786"/>
      <c r="BNX94" s="786"/>
      <c r="BNY94" s="786"/>
      <c r="BNZ94" s="786"/>
      <c r="BOA94" s="786"/>
      <c r="BOB94" s="786"/>
      <c r="BOC94" s="786"/>
      <c r="BOD94" s="786"/>
      <c r="BOE94" s="786"/>
      <c r="BOF94" s="786"/>
      <c r="BOG94" s="786"/>
      <c r="BOH94" s="786"/>
      <c r="BOI94" s="786"/>
      <c r="BOJ94" s="786"/>
      <c r="BOK94" s="786"/>
      <c r="BOL94" s="786"/>
      <c r="BOM94" s="786"/>
      <c r="BON94" s="786"/>
      <c r="BOO94" s="786"/>
      <c r="BOP94" s="786"/>
      <c r="BOQ94" s="786"/>
      <c r="BOR94" s="786"/>
      <c r="BOS94" s="786"/>
      <c r="BOT94" s="786"/>
      <c r="BOU94" s="786"/>
      <c r="BOV94" s="786"/>
      <c r="BOW94" s="786"/>
      <c r="BOX94" s="786"/>
      <c r="BOY94" s="786"/>
      <c r="BOZ94" s="786"/>
      <c r="BPA94" s="786"/>
      <c r="BPB94" s="786"/>
      <c r="BPC94" s="786"/>
      <c r="BPD94" s="786"/>
      <c r="BPE94" s="786"/>
      <c r="BPF94" s="786"/>
      <c r="BPG94" s="786"/>
      <c r="BPH94" s="786"/>
      <c r="BPI94" s="786"/>
      <c r="BPJ94" s="786"/>
      <c r="BPK94" s="786"/>
      <c r="BPL94" s="786"/>
      <c r="BPM94" s="786"/>
      <c r="BPN94" s="786"/>
      <c r="BPO94" s="786"/>
      <c r="BPP94" s="786"/>
      <c r="BPQ94" s="786"/>
      <c r="BPR94" s="786"/>
      <c r="BPS94" s="786"/>
      <c r="BPT94" s="786"/>
      <c r="BPU94" s="786"/>
      <c r="BPV94" s="786"/>
      <c r="BPW94" s="786"/>
      <c r="BPX94" s="786"/>
      <c r="BPY94" s="786"/>
      <c r="BPZ94" s="786"/>
      <c r="BQA94" s="786"/>
      <c r="BQB94" s="786"/>
      <c r="BQC94" s="786"/>
      <c r="BQD94" s="786"/>
      <c r="BQE94" s="786"/>
      <c r="BQF94" s="786"/>
      <c r="BQG94" s="786"/>
      <c r="BQH94" s="786"/>
      <c r="BQI94" s="786"/>
      <c r="BQJ94" s="786"/>
      <c r="BQK94" s="786"/>
      <c r="BQL94" s="786"/>
      <c r="BQM94" s="786"/>
      <c r="BQN94" s="786"/>
      <c r="BQO94" s="786"/>
      <c r="BQP94" s="786"/>
      <c r="BQQ94" s="786"/>
      <c r="BQR94" s="786"/>
      <c r="BQS94" s="786"/>
      <c r="BQT94" s="786"/>
      <c r="BQU94" s="786"/>
      <c r="BQV94" s="786"/>
      <c r="BQW94" s="786"/>
      <c r="BQX94" s="786"/>
      <c r="BQY94" s="786"/>
      <c r="BQZ94" s="786"/>
      <c r="BRA94" s="786"/>
      <c r="BRB94" s="786"/>
      <c r="BRC94" s="786"/>
      <c r="BRD94" s="786"/>
      <c r="BRE94" s="786"/>
      <c r="BRF94" s="786"/>
      <c r="BRG94" s="786"/>
      <c r="BRH94" s="786"/>
      <c r="BRI94" s="786"/>
      <c r="BRJ94" s="786"/>
      <c r="BRK94" s="786"/>
      <c r="BRL94" s="786"/>
      <c r="BRM94" s="786"/>
      <c r="BRN94" s="786"/>
      <c r="BRO94" s="786"/>
      <c r="BRP94" s="786"/>
      <c r="BRQ94" s="786"/>
      <c r="BRR94" s="786"/>
      <c r="BRS94" s="786"/>
      <c r="BRT94" s="786"/>
      <c r="BRU94" s="786"/>
      <c r="BRV94" s="786"/>
      <c r="BRW94" s="786"/>
      <c r="BRX94" s="786"/>
      <c r="BRY94" s="786"/>
      <c r="BRZ94" s="786"/>
      <c r="BSA94" s="786"/>
      <c r="BSB94" s="786"/>
      <c r="BSC94" s="786"/>
      <c r="BSD94" s="786"/>
      <c r="BSE94" s="786"/>
      <c r="BSF94" s="786"/>
      <c r="BSG94" s="786"/>
      <c r="BSH94" s="786"/>
      <c r="BSI94" s="786"/>
      <c r="BSJ94" s="786"/>
      <c r="BSK94" s="786"/>
      <c r="BSL94" s="786"/>
      <c r="BSM94" s="786"/>
      <c r="BSN94" s="786"/>
      <c r="BSO94" s="786"/>
      <c r="BSP94" s="786"/>
      <c r="BSQ94" s="786"/>
      <c r="BSR94" s="786"/>
      <c r="BSS94" s="786"/>
      <c r="BST94" s="786"/>
      <c r="BSU94" s="786"/>
      <c r="BSV94" s="786"/>
      <c r="BSW94" s="786"/>
      <c r="BSX94" s="786"/>
      <c r="BSY94" s="786"/>
      <c r="BSZ94" s="786"/>
      <c r="BTA94" s="786"/>
      <c r="BTB94" s="786"/>
      <c r="BTC94" s="786"/>
      <c r="BTD94" s="786"/>
      <c r="BTE94" s="786"/>
      <c r="BTF94" s="786"/>
      <c r="BTG94" s="786"/>
      <c r="BTH94" s="786"/>
      <c r="BTI94" s="786"/>
      <c r="BTJ94" s="786"/>
      <c r="BTK94" s="786"/>
      <c r="BTL94" s="786"/>
      <c r="BTM94" s="786"/>
      <c r="BTN94" s="786"/>
      <c r="BTO94" s="786"/>
      <c r="BTP94" s="786"/>
      <c r="BTQ94" s="786"/>
      <c r="BTR94" s="786"/>
      <c r="BTS94" s="786"/>
      <c r="BTT94" s="786"/>
      <c r="BTU94" s="786"/>
      <c r="BTV94" s="786"/>
      <c r="BTW94" s="786"/>
      <c r="BTX94" s="786"/>
      <c r="BTY94" s="786"/>
      <c r="BTZ94" s="786"/>
      <c r="BUA94" s="786"/>
      <c r="BUB94" s="786"/>
      <c r="BUC94" s="786"/>
      <c r="BUD94" s="786"/>
      <c r="BUE94" s="786"/>
      <c r="BUF94" s="786"/>
      <c r="BUG94" s="786"/>
      <c r="BUH94" s="786"/>
      <c r="BUI94" s="786"/>
      <c r="BUJ94" s="786"/>
      <c r="BUK94" s="786"/>
      <c r="BUL94" s="786"/>
      <c r="BUM94" s="786"/>
      <c r="BUN94" s="786"/>
      <c r="BUO94" s="786"/>
      <c r="BUP94" s="786"/>
      <c r="BUQ94" s="786"/>
      <c r="BUR94" s="786"/>
      <c r="BUS94" s="786"/>
      <c r="BUT94" s="786"/>
      <c r="BUU94" s="786"/>
      <c r="BUV94" s="786"/>
      <c r="BUW94" s="786"/>
      <c r="BUX94" s="786"/>
      <c r="BUY94" s="786"/>
      <c r="BUZ94" s="786"/>
      <c r="BVA94" s="786"/>
      <c r="BVB94" s="786"/>
      <c r="BVC94" s="786"/>
      <c r="BVD94" s="786"/>
      <c r="BVE94" s="786"/>
      <c r="BVF94" s="786"/>
      <c r="BVG94" s="786"/>
      <c r="BVH94" s="786"/>
      <c r="BVI94" s="786"/>
      <c r="BVJ94" s="786"/>
      <c r="BVK94" s="786"/>
      <c r="BVL94" s="786"/>
      <c r="BVM94" s="786"/>
      <c r="BVN94" s="786"/>
      <c r="BVO94" s="786"/>
      <c r="BVP94" s="786"/>
      <c r="BVQ94" s="786"/>
      <c r="BVR94" s="786"/>
      <c r="BVS94" s="786"/>
      <c r="BVT94" s="786"/>
      <c r="BVU94" s="786"/>
      <c r="BVV94" s="786"/>
      <c r="BVW94" s="786"/>
      <c r="BVX94" s="786"/>
      <c r="BVY94" s="786"/>
      <c r="BVZ94" s="786"/>
      <c r="BWA94" s="786"/>
      <c r="BWB94" s="786"/>
      <c r="BWC94" s="786"/>
      <c r="BWD94" s="786"/>
      <c r="BWE94" s="786"/>
      <c r="BWF94" s="786"/>
      <c r="BWG94" s="786"/>
      <c r="BWH94" s="786"/>
      <c r="BWI94" s="786"/>
      <c r="BWJ94" s="786"/>
      <c r="BWK94" s="786"/>
      <c r="BWL94" s="786"/>
      <c r="BWM94" s="786"/>
      <c r="BWN94" s="786"/>
      <c r="BWO94" s="786"/>
      <c r="BWP94" s="786"/>
      <c r="BWQ94" s="786"/>
      <c r="BWR94" s="786"/>
      <c r="BWS94" s="786"/>
      <c r="BWT94" s="786"/>
      <c r="BWU94" s="786"/>
      <c r="BWV94" s="786"/>
      <c r="BWW94" s="786"/>
      <c r="BWX94" s="786"/>
      <c r="BWY94" s="786"/>
      <c r="BWZ94" s="786"/>
      <c r="BXA94" s="786"/>
      <c r="BXB94" s="786"/>
      <c r="BXC94" s="786"/>
      <c r="BXD94" s="786"/>
      <c r="BXE94" s="786"/>
      <c r="BXF94" s="786"/>
      <c r="BXG94" s="786"/>
      <c r="BXH94" s="786"/>
      <c r="BXI94" s="786"/>
      <c r="BXJ94" s="786"/>
      <c r="BXK94" s="786"/>
      <c r="BXL94" s="786"/>
      <c r="BXM94" s="786"/>
      <c r="BXN94" s="786"/>
      <c r="BXO94" s="786"/>
      <c r="BXP94" s="786"/>
      <c r="BXQ94" s="786"/>
      <c r="BXR94" s="786"/>
      <c r="BXS94" s="786"/>
      <c r="BXT94" s="786"/>
      <c r="BXU94" s="786"/>
      <c r="BXV94" s="786"/>
      <c r="BXW94" s="786"/>
      <c r="BXX94" s="786"/>
      <c r="BXY94" s="786"/>
      <c r="BXZ94" s="786"/>
      <c r="BYA94" s="786"/>
      <c r="BYB94" s="786"/>
      <c r="BYC94" s="786"/>
      <c r="BYD94" s="786"/>
      <c r="BYE94" s="786"/>
      <c r="BYF94" s="786"/>
      <c r="BYG94" s="786"/>
      <c r="BYH94" s="786"/>
      <c r="BYI94" s="786"/>
      <c r="BYJ94" s="786"/>
      <c r="BYK94" s="786"/>
      <c r="BYL94" s="786"/>
      <c r="BYM94" s="786"/>
      <c r="BYN94" s="786"/>
      <c r="BYO94" s="786"/>
      <c r="BYP94" s="786"/>
      <c r="BYQ94" s="786"/>
      <c r="BYR94" s="786"/>
      <c r="BYS94" s="786"/>
      <c r="BYT94" s="786"/>
      <c r="BYU94" s="786"/>
      <c r="BYV94" s="786"/>
      <c r="BYW94" s="786"/>
      <c r="BYX94" s="786"/>
      <c r="BYY94" s="786"/>
      <c r="BYZ94" s="786"/>
      <c r="BZA94" s="786"/>
      <c r="BZB94" s="786"/>
      <c r="BZC94" s="786"/>
      <c r="BZD94" s="786"/>
      <c r="BZE94" s="786"/>
      <c r="BZF94" s="786"/>
      <c r="BZG94" s="786"/>
      <c r="BZH94" s="786"/>
      <c r="BZI94" s="786"/>
      <c r="BZJ94" s="786"/>
      <c r="BZK94" s="786"/>
      <c r="BZL94" s="786"/>
      <c r="BZM94" s="786"/>
      <c r="BZN94" s="786"/>
      <c r="BZO94" s="786"/>
      <c r="BZP94" s="786"/>
      <c r="BZQ94" s="786"/>
      <c r="BZR94" s="786"/>
      <c r="BZS94" s="786"/>
      <c r="BZT94" s="786"/>
      <c r="BZU94" s="786"/>
      <c r="BZV94" s="786"/>
      <c r="BZW94" s="786"/>
      <c r="BZX94" s="786"/>
      <c r="BZY94" s="786"/>
      <c r="BZZ94" s="786"/>
      <c r="CAA94" s="786"/>
      <c r="CAB94" s="786"/>
      <c r="CAC94" s="786"/>
      <c r="CAD94" s="786"/>
      <c r="CAE94" s="786"/>
      <c r="CAF94" s="786"/>
      <c r="CAG94" s="786"/>
      <c r="CAH94" s="786"/>
      <c r="CAI94" s="786"/>
      <c r="CAJ94" s="786"/>
      <c r="CAK94" s="786"/>
      <c r="CAL94" s="786"/>
      <c r="CAM94" s="786"/>
      <c r="CAN94" s="786"/>
      <c r="CAO94" s="786"/>
      <c r="CAP94" s="786"/>
      <c r="CAQ94" s="786"/>
      <c r="CAR94" s="786"/>
      <c r="CAS94" s="786"/>
      <c r="CAT94" s="786"/>
      <c r="CAU94" s="786"/>
      <c r="CAV94" s="786"/>
      <c r="CAW94" s="786"/>
      <c r="CAX94" s="786"/>
      <c r="CAY94" s="786"/>
      <c r="CAZ94" s="786"/>
      <c r="CBA94" s="786"/>
      <c r="CBB94" s="786"/>
      <c r="CBC94" s="786"/>
      <c r="CBD94" s="786"/>
      <c r="CBE94" s="786"/>
      <c r="CBF94" s="786"/>
      <c r="CBG94" s="786"/>
      <c r="CBH94" s="786"/>
      <c r="CBI94" s="786"/>
      <c r="CBJ94" s="786"/>
      <c r="CBK94" s="786"/>
      <c r="CBL94" s="786"/>
      <c r="CBM94" s="786"/>
      <c r="CBN94" s="786"/>
      <c r="CBO94" s="786"/>
      <c r="CBP94" s="786"/>
      <c r="CBQ94" s="786"/>
      <c r="CBR94" s="786"/>
      <c r="CBS94" s="786"/>
      <c r="CBT94" s="786"/>
      <c r="CBU94" s="786"/>
      <c r="CBV94" s="786"/>
      <c r="CBW94" s="786"/>
      <c r="CBX94" s="786"/>
      <c r="CBY94" s="786"/>
      <c r="CBZ94" s="786"/>
      <c r="CCA94" s="786"/>
      <c r="CCB94" s="786"/>
      <c r="CCC94" s="786"/>
      <c r="CCD94" s="786"/>
      <c r="CCE94" s="786"/>
      <c r="CCF94" s="786"/>
      <c r="CCG94" s="786"/>
      <c r="CCH94" s="786"/>
      <c r="CCI94" s="786"/>
      <c r="CCJ94" s="786"/>
      <c r="CCK94" s="786"/>
      <c r="CCL94" s="786"/>
      <c r="CCM94" s="786"/>
      <c r="CCN94" s="786"/>
      <c r="CCO94" s="786"/>
      <c r="CCP94" s="786"/>
      <c r="CCQ94" s="786"/>
      <c r="CCR94" s="786"/>
      <c r="CCS94" s="786"/>
      <c r="CCT94" s="786"/>
      <c r="CCU94" s="786"/>
      <c r="CCV94" s="786"/>
      <c r="CCW94" s="786"/>
      <c r="CCX94" s="786"/>
      <c r="CCY94" s="786"/>
      <c r="CCZ94" s="786"/>
      <c r="CDA94" s="786"/>
      <c r="CDB94" s="786"/>
      <c r="CDC94" s="786"/>
      <c r="CDD94" s="786"/>
      <c r="CDE94" s="786"/>
      <c r="CDF94" s="786"/>
      <c r="CDG94" s="786"/>
      <c r="CDH94" s="786"/>
      <c r="CDI94" s="786"/>
      <c r="CDJ94" s="786"/>
      <c r="CDK94" s="786"/>
      <c r="CDL94" s="786"/>
      <c r="CDM94" s="786"/>
      <c r="CDN94" s="786"/>
      <c r="CDO94" s="786"/>
      <c r="CDP94" s="786"/>
      <c r="CDQ94" s="786"/>
      <c r="CDR94" s="786"/>
      <c r="CDS94" s="786"/>
      <c r="CDT94" s="786"/>
      <c r="CDU94" s="786"/>
      <c r="CDV94" s="786"/>
      <c r="CDW94" s="786"/>
      <c r="CDX94" s="786"/>
      <c r="CDY94" s="786"/>
      <c r="CDZ94" s="786"/>
      <c r="CEA94" s="786"/>
      <c r="CEB94" s="786"/>
      <c r="CEC94" s="786"/>
      <c r="CED94" s="786"/>
      <c r="CEE94" s="786"/>
      <c r="CEF94" s="786"/>
      <c r="CEG94" s="786"/>
      <c r="CEH94" s="786"/>
      <c r="CEI94" s="786"/>
      <c r="CEJ94" s="786"/>
      <c r="CEK94" s="786"/>
      <c r="CEL94" s="786"/>
      <c r="CEM94" s="786"/>
      <c r="CEN94" s="786"/>
      <c r="CEO94" s="786"/>
      <c r="CEP94" s="786"/>
      <c r="CEQ94" s="786"/>
      <c r="CER94" s="786"/>
      <c r="CES94" s="786"/>
      <c r="CET94" s="786"/>
      <c r="CEU94" s="786"/>
      <c r="CEV94" s="786"/>
      <c r="CEW94" s="786"/>
      <c r="CEX94" s="786"/>
      <c r="CEY94" s="786"/>
      <c r="CEZ94" s="786"/>
      <c r="CFA94" s="786"/>
      <c r="CFB94" s="786"/>
      <c r="CFC94" s="786"/>
      <c r="CFD94" s="786"/>
      <c r="CFE94" s="786"/>
      <c r="CFF94" s="786"/>
      <c r="CFG94" s="786"/>
      <c r="CFH94" s="786"/>
      <c r="CFI94" s="786"/>
      <c r="CFJ94" s="786"/>
      <c r="CFK94" s="786"/>
      <c r="CFL94" s="786"/>
      <c r="CFM94" s="786"/>
      <c r="CFN94" s="786"/>
      <c r="CFO94" s="786"/>
      <c r="CFP94" s="786"/>
      <c r="CFQ94" s="786"/>
      <c r="CFR94" s="786"/>
      <c r="CFS94" s="786"/>
      <c r="CFT94" s="786"/>
      <c r="CFU94" s="786"/>
      <c r="CFV94" s="786"/>
      <c r="CFW94" s="786"/>
      <c r="CFX94" s="786"/>
      <c r="CFY94" s="786"/>
      <c r="CFZ94" s="786"/>
      <c r="CGA94" s="786"/>
      <c r="CGB94" s="786"/>
      <c r="CGC94" s="786"/>
      <c r="CGD94" s="786"/>
      <c r="CGE94" s="786"/>
      <c r="CGF94" s="786"/>
      <c r="CGG94" s="786"/>
      <c r="CGH94" s="786"/>
      <c r="CGI94" s="786"/>
      <c r="CGJ94" s="786"/>
      <c r="CGK94" s="786"/>
      <c r="CGL94" s="786"/>
      <c r="CGM94" s="786"/>
      <c r="CGN94" s="786"/>
      <c r="CGO94" s="786"/>
      <c r="CGP94" s="786"/>
      <c r="CGQ94" s="786"/>
      <c r="CGR94" s="786"/>
      <c r="CGS94" s="786"/>
      <c r="CGT94" s="786"/>
      <c r="CGU94" s="786"/>
      <c r="CGV94" s="786"/>
      <c r="CGW94" s="786"/>
      <c r="CGX94" s="786"/>
      <c r="CGY94" s="786"/>
      <c r="CGZ94" s="786"/>
      <c r="CHA94" s="786"/>
      <c r="CHB94" s="786"/>
      <c r="CHC94" s="786"/>
      <c r="CHD94" s="786"/>
      <c r="CHE94" s="786"/>
      <c r="CHF94" s="786"/>
      <c r="CHG94" s="786"/>
      <c r="CHH94" s="786"/>
      <c r="CHI94" s="786"/>
      <c r="CHJ94" s="786"/>
      <c r="CHK94" s="786"/>
      <c r="CHL94" s="786"/>
      <c r="CHM94" s="786"/>
      <c r="CHN94" s="786"/>
      <c r="CHO94" s="786"/>
      <c r="CHP94" s="786"/>
      <c r="CHQ94" s="786"/>
      <c r="CHR94" s="786"/>
      <c r="CHS94" s="786"/>
      <c r="CHT94" s="786"/>
      <c r="CHU94" s="786"/>
      <c r="CHV94" s="786"/>
      <c r="CHW94" s="786"/>
      <c r="CHX94" s="786"/>
      <c r="CHY94" s="786"/>
      <c r="CHZ94" s="786"/>
      <c r="CIA94" s="786"/>
      <c r="CIB94" s="786"/>
      <c r="CIC94" s="786"/>
      <c r="CID94" s="786"/>
      <c r="CIE94" s="786"/>
      <c r="CIF94" s="786"/>
      <c r="CIG94" s="786"/>
      <c r="CIH94" s="786"/>
      <c r="CII94" s="786"/>
      <c r="CIJ94" s="786"/>
      <c r="CIK94" s="786"/>
      <c r="CIL94" s="786"/>
      <c r="CIM94" s="786"/>
      <c r="CIN94" s="786"/>
      <c r="CIO94" s="786"/>
      <c r="CIP94" s="786"/>
      <c r="CIQ94" s="786"/>
      <c r="CIR94" s="786"/>
      <c r="CIS94" s="786"/>
      <c r="CIT94" s="786"/>
      <c r="CIU94" s="786"/>
      <c r="CIV94" s="786"/>
      <c r="CIW94" s="786"/>
      <c r="CIX94" s="786"/>
      <c r="CIY94" s="786"/>
      <c r="CIZ94" s="786"/>
      <c r="CJA94" s="786"/>
      <c r="CJB94" s="786"/>
      <c r="CJC94" s="786"/>
      <c r="CJD94" s="786"/>
      <c r="CJE94" s="786"/>
      <c r="CJF94" s="786"/>
      <c r="CJG94" s="786"/>
      <c r="CJH94" s="786"/>
      <c r="CJI94" s="786"/>
      <c r="CJJ94" s="786"/>
      <c r="CJK94" s="786"/>
      <c r="CJL94" s="786"/>
      <c r="CJM94" s="786"/>
      <c r="CJN94" s="786"/>
      <c r="CJO94" s="786"/>
      <c r="CJP94" s="786"/>
      <c r="CJQ94" s="786"/>
      <c r="CJR94" s="786"/>
      <c r="CJS94" s="786"/>
      <c r="CJT94" s="786"/>
      <c r="CJU94" s="786"/>
      <c r="CJV94" s="786"/>
      <c r="CJW94" s="786"/>
      <c r="CJX94" s="786"/>
      <c r="CJY94" s="786"/>
      <c r="CJZ94" s="786"/>
      <c r="CKA94" s="786"/>
      <c r="CKB94" s="786"/>
      <c r="CKC94" s="786"/>
      <c r="CKD94" s="786"/>
      <c r="CKE94" s="786"/>
      <c r="CKF94" s="786"/>
      <c r="CKG94" s="786"/>
      <c r="CKH94" s="786"/>
      <c r="CKI94" s="786"/>
      <c r="CKJ94" s="786"/>
      <c r="CKK94" s="786"/>
      <c r="CKL94" s="786"/>
      <c r="CKM94" s="786"/>
      <c r="CKN94" s="786"/>
      <c r="CKO94" s="786"/>
      <c r="CKP94" s="786"/>
      <c r="CKQ94" s="786"/>
      <c r="CKR94" s="786"/>
      <c r="CKS94" s="786"/>
      <c r="CKT94" s="786"/>
      <c r="CKU94" s="786"/>
      <c r="CKV94" s="786"/>
      <c r="CKW94" s="786"/>
      <c r="CKX94" s="786"/>
      <c r="CKY94" s="786"/>
      <c r="CKZ94" s="786"/>
      <c r="CLA94" s="786"/>
      <c r="CLB94" s="786"/>
      <c r="CLC94" s="786"/>
      <c r="CLD94" s="786"/>
      <c r="CLE94" s="786"/>
      <c r="CLF94" s="786"/>
      <c r="CLG94" s="786"/>
      <c r="CLH94" s="786"/>
      <c r="CLI94" s="786"/>
      <c r="CLJ94" s="786"/>
      <c r="CLK94" s="786"/>
      <c r="CLL94" s="786"/>
      <c r="CLM94" s="786"/>
      <c r="CLN94" s="786"/>
      <c r="CLO94" s="786"/>
      <c r="CLP94" s="786"/>
      <c r="CLQ94" s="786"/>
      <c r="CLR94" s="786"/>
      <c r="CLS94" s="786"/>
      <c r="CLT94" s="786"/>
      <c r="CLU94" s="786"/>
      <c r="CLV94" s="786"/>
      <c r="CLW94" s="786"/>
      <c r="CLX94" s="786"/>
      <c r="CLY94" s="786"/>
      <c r="CLZ94" s="786"/>
      <c r="CMA94" s="786"/>
      <c r="CMB94" s="786"/>
      <c r="CMC94" s="786"/>
      <c r="CMD94" s="786"/>
      <c r="CME94" s="786"/>
      <c r="CMF94" s="786"/>
      <c r="CMG94" s="786"/>
      <c r="CMH94" s="786"/>
      <c r="CMI94" s="786"/>
      <c r="CMJ94" s="786"/>
      <c r="CMK94" s="786"/>
      <c r="CML94" s="786"/>
      <c r="CMM94" s="786"/>
      <c r="CMN94" s="786"/>
      <c r="CMO94" s="786"/>
      <c r="CMP94" s="786"/>
      <c r="CMQ94" s="786"/>
      <c r="CMR94" s="786"/>
      <c r="CMS94" s="786"/>
      <c r="CMT94" s="786"/>
      <c r="CMU94" s="786"/>
      <c r="CMV94" s="786"/>
      <c r="CMW94" s="786"/>
      <c r="CMX94" s="786"/>
      <c r="CMY94" s="786"/>
      <c r="CMZ94" s="786"/>
      <c r="CNA94" s="786"/>
      <c r="CNB94" s="786"/>
      <c r="CNC94" s="786"/>
      <c r="CND94" s="786"/>
      <c r="CNE94" s="786"/>
      <c r="CNF94" s="786"/>
      <c r="CNG94" s="786"/>
      <c r="CNH94" s="786"/>
      <c r="CNI94" s="786"/>
      <c r="CNJ94" s="786"/>
      <c r="CNK94" s="786"/>
      <c r="CNL94" s="786"/>
      <c r="CNM94" s="786"/>
      <c r="CNN94" s="786"/>
      <c r="CNO94" s="786"/>
      <c r="CNP94" s="786"/>
      <c r="CNQ94" s="786"/>
      <c r="CNR94" s="786"/>
      <c r="CNS94" s="786"/>
      <c r="CNT94" s="786"/>
      <c r="CNU94" s="786"/>
      <c r="CNV94" s="786"/>
      <c r="CNW94" s="786"/>
      <c r="CNX94" s="786"/>
      <c r="CNY94" s="786"/>
      <c r="CNZ94" s="786"/>
      <c r="COA94" s="786"/>
      <c r="COB94" s="786"/>
      <c r="COC94" s="786"/>
      <c r="COD94" s="786"/>
      <c r="COE94" s="786"/>
      <c r="COF94" s="786"/>
      <c r="COG94" s="786"/>
      <c r="COH94" s="786"/>
      <c r="COI94" s="786"/>
      <c r="COJ94" s="786"/>
      <c r="COK94" s="786"/>
      <c r="COL94" s="786"/>
      <c r="COM94" s="786"/>
      <c r="CON94" s="786"/>
      <c r="COO94" s="786"/>
      <c r="COP94" s="786"/>
      <c r="COQ94" s="786"/>
      <c r="COR94" s="786"/>
      <c r="COS94" s="786"/>
      <c r="COT94" s="786"/>
      <c r="COU94" s="786"/>
      <c r="COV94" s="786"/>
      <c r="COW94" s="786"/>
      <c r="COX94" s="786"/>
      <c r="COY94" s="786"/>
      <c r="COZ94" s="786"/>
      <c r="CPA94" s="786"/>
      <c r="CPB94" s="786"/>
      <c r="CPC94" s="786"/>
      <c r="CPD94" s="786"/>
      <c r="CPE94" s="786"/>
      <c r="CPF94" s="786"/>
      <c r="CPG94" s="786"/>
      <c r="CPH94" s="786"/>
      <c r="CPI94" s="786"/>
      <c r="CPJ94" s="786"/>
      <c r="CPK94" s="786"/>
      <c r="CPL94" s="786"/>
      <c r="CPM94" s="786"/>
      <c r="CPN94" s="786"/>
      <c r="CPO94" s="786"/>
      <c r="CPP94" s="786"/>
      <c r="CPQ94" s="786"/>
      <c r="CPR94" s="786"/>
      <c r="CPS94" s="786"/>
      <c r="CPT94" s="786"/>
      <c r="CPU94" s="786"/>
      <c r="CPV94" s="786"/>
      <c r="CPW94" s="786"/>
      <c r="CPX94" s="786"/>
      <c r="CPY94" s="786"/>
      <c r="CPZ94" s="786"/>
      <c r="CQA94" s="786"/>
      <c r="CQB94" s="786"/>
      <c r="CQC94" s="786"/>
      <c r="CQD94" s="786"/>
      <c r="CQE94" s="786"/>
      <c r="CQF94" s="786"/>
      <c r="CQG94" s="786"/>
      <c r="CQH94" s="786"/>
      <c r="CQI94" s="786"/>
      <c r="CQJ94" s="786"/>
      <c r="CQK94" s="786"/>
      <c r="CQL94" s="786"/>
      <c r="CQM94" s="786"/>
      <c r="CQN94" s="786"/>
      <c r="CQO94" s="786"/>
      <c r="CQP94" s="786"/>
      <c r="CQQ94" s="786"/>
      <c r="CQR94" s="786"/>
      <c r="CQS94" s="786"/>
      <c r="CQT94" s="786"/>
      <c r="CQU94" s="786"/>
      <c r="CQV94" s="786"/>
      <c r="CQW94" s="786"/>
      <c r="CQX94" s="786"/>
      <c r="CQY94" s="786"/>
      <c r="CQZ94" s="786"/>
      <c r="CRA94" s="786"/>
      <c r="CRB94" s="786"/>
      <c r="CRC94" s="786"/>
      <c r="CRD94" s="786"/>
      <c r="CRE94" s="786"/>
      <c r="CRF94" s="786"/>
      <c r="CRG94" s="786"/>
      <c r="CRH94" s="786"/>
      <c r="CRI94" s="786"/>
      <c r="CRJ94" s="786"/>
      <c r="CRK94" s="786"/>
      <c r="CRL94" s="786"/>
      <c r="CRM94" s="786"/>
      <c r="CRN94" s="786"/>
      <c r="CRO94" s="786"/>
      <c r="CRP94" s="786"/>
      <c r="CRQ94" s="786"/>
      <c r="CRR94" s="786"/>
      <c r="CRS94" s="786"/>
      <c r="CRT94" s="786"/>
      <c r="CRU94" s="786"/>
      <c r="CRV94" s="786"/>
      <c r="CRW94" s="786"/>
      <c r="CRX94" s="786"/>
      <c r="CRY94" s="786"/>
      <c r="CRZ94" s="786"/>
      <c r="CSA94" s="786"/>
      <c r="CSB94" s="786"/>
      <c r="CSC94" s="786"/>
      <c r="CSD94" s="786"/>
      <c r="CSE94" s="786"/>
      <c r="CSF94" s="786"/>
      <c r="CSG94" s="786"/>
      <c r="CSH94" s="786"/>
      <c r="CSI94" s="786"/>
      <c r="CSJ94" s="786"/>
      <c r="CSK94" s="786"/>
      <c r="CSL94" s="786"/>
      <c r="CSM94" s="786"/>
      <c r="CSN94" s="786"/>
      <c r="CSO94" s="786"/>
      <c r="CSP94" s="786"/>
      <c r="CSQ94" s="786"/>
      <c r="CSR94" s="786"/>
      <c r="CSS94" s="786"/>
      <c r="CST94" s="786"/>
      <c r="CSU94" s="786"/>
      <c r="CSV94" s="786"/>
      <c r="CSW94" s="786"/>
      <c r="CSX94" s="786"/>
      <c r="CSY94" s="786"/>
      <c r="CSZ94" s="786"/>
      <c r="CTA94" s="786"/>
      <c r="CTB94" s="786"/>
      <c r="CTC94" s="786"/>
      <c r="CTD94" s="786"/>
      <c r="CTE94" s="786"/>
      <c r="CTF94" s="786"/>
      <c r="CTG94" s="786"/>
      <c r="CTH94" s="786"/>
      <c r="CTI94" s="786"/>
      <c r="CTJ94" s="786"/>
      <c r="CTK94" s="786"/>
      <c r="CTL94" s="786"/>
      <c r="CTM94" s="786"/>
      <c r="CTN94" s="786"/>
      <c r="CTO94" s="786"/>
      <c r="CTP94" s="786"/>
      <c r="CTQ94" s="786"/>
      <c r="CTR94" s="786"/>
      <c r="CTS94" s="786"/>
      <c r="CTT94" s="786"/>
      <c r="CTU94" s="786"/>
      <c r="CTV94" s="786"/>
      <c r="CTW94" s="786"/>
      <c r="CTX94" s="786"/>
      <c r="CTY94" s="786"/>
      <c r="CTZ94" s="786"/>
      <c r="CUA94" s="786"/>
      <c r="CUB94" s="786"/>
      <c r="CUC94" s="786"/>
      <c r="CUD94" s="786"/>
      <c r="CUE94" s="786"/>
      <c r="CUF94" s="786"/>
      <c r="CUG94" s="786"/>
      <c r="CUH94" s="786"/>
      <c r="CUI94" s="786"/>
      <c r="CUJ94" s="786"/>
      <c r="CUK94" s="786"/>
      <c r="CUL94" s="786"/>
      <c r="CUM94" s="786"/>
      <c r="CUN94" s="786"/>
      <c r="CUO94" s="786"/>
      <c r="CUP94" s="786"/>
      <c r="CUQ94" s="786"/>
      <c r="CUR94" s="786"/>
      <c r="CUS94" s="786"/>
      <c r="CUT94" s="786"/>
      <c r="CUU94" s="786"/>
      <c r="CUV94" s="786"/>
      <c r="CUW94" s="786"/>
      <c r="CUX94" s="786"/>
      <c r="CUY94" s="786"/>
      <c r="CUZ94" s="786"/>
      <c r="CVA94" s="786"/>
      <c r="CVB94" s="786"/>
      <c r="CVC94" s="786"/>
      <c r="CVD94" s="786"/>
      <c r="CVE94" s="786"/>
      <c r="CVF94" s="786"/>
      <c r="CVG94" s="786"/>
      <c r="CVH94" s="786"/>
      <c r="CVI94" s="786"/>
      <c r="CVJ94" s="786"/>
      <c r="CVK94" s="786"/>
      <c r="CVL94" s="786"/>
      <c r="CVM94" s="786"/>
      <c r="CVN94" s="786"/>
      <c r="CVO94" s="786"/>
      <c r="CVP94" s="786"/>
      <c r="CVQ94" s="786"/>
      <c r="CVR94" s="786"/>
      <c r="CVS94" s="786"/>
      <c r="CVT94" s="786"/>
      <c r="CVU94" s="786"/>
      <c r="CVV94" s="786"/>
      <c r="CVW94" s="786"/>
      <c r="CVX94" s="786"/>
      <c r="CVY94" s="786"/>
      <c r="CVZ94" s="786"/>
      <c r="CWA94" s="786"/>
      <c r="CWB94" s="786"/>
      <c r="CWC94" s="786"/>
      <c r="CWD94" s="786"/>
      <c r="CWE94" s="786"/>
      <c r="CWF94" s="786"/>
      <c r="CWG94" s="786"/>
      <c r="CWH94" s="786"/>
      <c r="CWI94" s="786"/>
      <c r="CWJ94" s="786"/>
      <c r="CWK94" s="786"/>
      <c r="CWL94" s="786"/>
      <c r="CWM94" s="786"/>
      <c r="CWN94" s="786"/>
      <c r="CWO94" s="786"/>
      <c r="CWP94" s="786"/>
      <c r="CWQ94" s="786"/>
      <c r="CWR94" s="786"/>
      <c r="CWS94" s="786"/>
      <c r="CWT94" s="786"/>
      <c r="CWU94" s="786"/>
      <c r="CWV94" s="786"/>
      <c r="CWW94" s="786"/>
      <c r="CWX94" s="786"/>
      <c r="CWY94" s="786"/>
      <c r="CWZ94" s="786"/>
      <c r="CXA94" s="786"/>
      <c r="CXB94" s="786"/>
      <c r="CXC94" s="786"/>
      <c r="CXD94" s="786"/>
      <c r="CXE94" s="786"/>
      <c r="CXF94" s="786"/>
      <c r="CXG94" s="786"/>
      <c r="CXH94" s="786"/>
      <c r="CXI94" s="786"/>
      <c r="CXJ94" s="786"/>
      <c r="CXK94" s="786"/>
      <c r="CXL94" s="786"/>
      <c r="CXM94" s="786"/>
      <c r="CXN94" s="786"/>
      <c r="CXO94" s="786"/>
      <c r="CXP94" s="786"/>
      <c r="CXQ94" s="786"/>
      <c r="CXR94" s="786"/>
      <c r="CXS94" s="786"/>
      <c r="CXT94" s="786"/>
      <c r="CXU94" s="786"/>
      <c r="CXV94" s="786"/>
      <c r="CXW94" s="786"/>
      <c r="CXX94" s="786"/>
      <c r="CXY94" s="786"/>
      <c r="CXZ94" s="786"/>
      <c r="CYA94" s="786"/>
      <c r="CYB94" s="786"/>
      <c r="CYC94" s="786"/>
      <c r="CYD94" s="786"/>
      <c r="CYE94" s="786"/>
      <c r="CYF94" s="786"/>
      <c r="CYG94" s="786"/>
      <c r="CYH94" s="786"/>
      <c r="CYI94" s="786"/>
      <c r="CYJ94" s="786"/>
      <c r="CYK94" s="786"/>
      <c r="CYL94" s="786"/>
      <c r="CYM94" s="786"/>
      <c r="CYN94" s="786"/>
      <c r="CYO94" s="786"/>
      <c r="CYP94" s="786"/>
      <c r="CYQ94" s="786"/>
      <c r="CYR94" s="786"/>
      <c r="CYS94" s="786"/>
      <c r="CYT94" s="786"/>
      <c r="CYU94" s="786"/>
      <c r="CYV94" s="786"/>
      <c r="CYW94" s="786"/>
      <c r="CYX94" s="786"/>
      <c r="CYY94" s="786"/>
      <c r="CYZ94" s="786"/>
      <c r="CZA94" s="786"/>
      <c r="CZB94" s="786"/>
      <c r="CZC94" s="786"/>
      <c r="CZD94" s="786"/>
      <c r="CZE94" s="786"/>
      <c r="CZF94" s="786"/>
      <c r="CZG94" s="786"/>
      <c r="CZH94" s="786"/>
      <c r="CZI94" s="786"/>
      <c r="CZJ94" s="786"/>
      <c r="CZK94" s="786"/>
      <c r="CZL94" s="786"/>
      <c r="CZM94" s="786"/>
      <c r="CZN94" s="786"/>
      <c r="CZO94" s="786"/>
      <c r="CZP94" s="786"/>
      <c r="CZQ94" s="786"/>
      <c r="CZR94" s="786"/>
      <c r="CZS94" s="786"/>
      <c r="CZT94" s="786"/>
      <c r="CZU94" s="786"/>
      <c r="CZV94" s="786"/>
      <c r="CZW94" s="786"/>
      <c r="CZX94" s="786"/>
      <c r="CZY94" s="786"/>
      <c r="CZZ94" s="786"/>
      <c r="DAA94" s="786"/>
      <c r="DAB94" s="786"/>
      <c r="DAC94" s="786"/>
      <c r="DAD94" s="786"/>
      <c r="DAE94" s="786"/>
      <c r="DAF94" s="786"/>
      <c r="DAG94" s="786"/>
      <c r="DAH94" s="786"/>
      <c r="DAI94" s="786"/>
      <c r="DAJ94" s="786"/>
      <c r="DAK94" s="786"/>
      <c r="DAL94" s="786"/>
      <c r="DAM94" s="786"/>
      <c r="DAN94" s="786"/>
      <c r="DAO94" s="786"/>
      <c r="DAP94" s="786"/>
      <c r="DAQ94" s="786"/>
      <c r="DAR94" s="786"/>
      <c r="DAS94" s="786"/>
      <c r="DAT94" s="786"/>
      <c r="DAU94" s="786"/>
      <c r="DAV94" s="786"/>
      <c r="DAW94" s="786"/>
      <c r="DAX94" s="786"/>
      <c r="DAY94" s="786"/>
      <c r="DAZ94" s="786"/>
      <c r="DBA94" s="786"/>
      <c r="DBB94" s="786"/>
      <c r="DBC94" s="786"/>
      <c r="DBD94" s="786"/>
      <c r="DBE94" s="786"/>
      <c r="DBF94" s="786"/>
      <c r="DBG94" s="786"/>
      <c r="DBH94" s="786"/>
      <c r="DBI94" s="786"/>
      <c r="DBJ94" s="786"/>
      <c r="DBK94" s="786"/>
      <c r="DBL94" s="786"/>
      <c r="DBM94" s="786"/>
      <c r="DBN94" s="786"/>
      <c r="DBO94" s="786"/>
      <c r="DBP94" s="786"/>
      <c r="DBQ94" s="786"/>
      <c r="DBR94" s="786"/>
      <c r="DBS94" s="786"/>
      <c r="DBT94" s="786"/>
      <c r="DBU94" s="786"/>
      <c r="DBV94" s="786"/>
      <c r="DBW94" s="786"/>
      <c r="DBX94" s="786"/>
      <c r="DBY94" s="786"/>
      <c r="DBZ94" s="786"/>
      <c r="DCA94" s="786"/>
      <c r="DCB94" s="786"/>
      <c r="DCC94" s="786"/>
      <c r="DCD94" s="786"/>
      <c r="DCE94" s="786"/>
      <c r="DCF94" s="786"/>
      <c r="DCG94" s="786"/>
      <c r="DCH94" s="786"/>
      <c r="DCI94" s="786"/>
      <c r="DCJ94" s="786"/>
      <c r="DCK94" s="786"/>
      <c r="DCL94" s="786"/>
      <c r="DCM94" s="786"/>
      <c r="DCN94" s="786"/>
      <c r="DCO94" s="786"/>
      <c r="DCP94" s="786"/>
      <c r="DCQ94" s="786"/>
      <c r="DCR94" s="786"/>
      <c r="DCS94" s="786"/>
      <c r="DCT94" s="786"/>
      <c r="DCU94" s="786"/>
      <c r="DCV94" s="786"/>
      <c r="DCW94" s="786"/>
      <c r="DCX94" s="786"/>
      <c r="DCY94" s="786"/>
      <c r="DCZ94" s="786"/>
      <c r="DDA94" s="786"/>
      <c r="DDB94" s="786"/>
      <c r="DDC94" s="786"/>
      <c r="DDD94" s="786"/>
      <c r="DDE94" s="786"/>
      <c r="DDF94" s="786"/>
      <c r="DDG94" s="786"/>
      <c r="DDH94" s="786"/>
      <c r="DDI94" s="786"/>
      <c r="DDJ94" s="786"/>
      <c r="DDK94" s="786"/>
      <c r="DDL94" s="786"/>
      <c r="DDM94" s="786"/>
      <c r="DDN94" s="786"/>
      <c r="DDO94" s="786"/>
      <c r="DDP94" s="786"/>
      <c r="DDQ94" s="786"/>
      <c r="DDR94" s="786"/>
      <c r="DDS94" s="786"/>
      <c r="DDT94" s="786"/>
      <c r="DDU94" s="786"/>
      <c r="DDV94" s="786"/>
      <c r="DDW94" s="786"/>
      <c r="DDX94" s="786"/>
      <c r="DDY94" s="786"/>
      <c r="DDZ94" s="786"/>
      <c r="DEA94" s="786"/>
      <c r="DEB94" s="786"/>
      <c r="DEC94" s="786"/>
      <c r="DED94" s="786"/>
      <c r="DEE94" s="786"/>
      <c r="DEF94" s="786"/>
      <c r="DEG94" s="786"/>
      <c r="DEH94" s="786"/>
      <c r="DEI94" s="786"/>
      <c r="DEJ94" s="786"/>
      <c r="DEK94" s="786"/>
      <c r="DEL94" s="786"/>
      <c r="DEM94" s="786"/>
      <c r="DEN94" s="786"/>
      <c r="DEO94" s="786"/>
      <c r="DEP94" s="786"/>
      <c r="DEQ94" s="786"/>
      <c r="DER94" s="786"/>
      <c r="DES94" s="786"/>
      <c r="DET94" s="786"/>
      <c r="DEU94" s="786"/>
      <c r="DEV94" s="786"/>
      <c r="DEW94" s="786"/>
      <c r="DEX94" s="786"/>
      <c r="DEY94" s="786"/>
      <c r="DEZ94" s="786"/>
      <c r="DFA94" s="786"/>
      <c r="DFB94" s="786"/>
      <c r="DFC94" s="786"/>
      <c r="DFD94" s="786"/>
      <c r="DFE94" s="786"/>
      <c r="DFF94" s="786"/>
      <c r="DFG94" s="786"/>
      <c r="DFH94" s="786"/>
      <c r="DFI94" s="786"/>
      <c r="DFJ94" s="786"/>
      <c r="DFK94" s="786"/>
      <c r="DFL94" s="786"/>
      <c r="DFM94" s="786"/>
      <c r="DFN94" s="786"/>
      <c r="DFO94" s="786"/>
      <c r="DFP94" s="786"/>
      <c r="DFQ94" s="786"/>
      <c r="DFR94" s="786"/>
      <c r="DFS94" s="786"/>
      <c r="DFT94" s="786"/>
      <c r="DFU94" s="786"/>
      <c r="DFV94" s="786"/>
      <c r="DFW94" s="786"/>
      <c r="DFX94" s="786"/>
      <c r="DFY94" s="786"/>
      <c r="DFZ94" s="786"/>
      <c r="DGA94" s="786"/>
      <c r="DGB94" s="786"/>
      <c r="DGC94" s="786"/>
      <c r="DGD94" s="786"/>
      <c r="DGE94" s="786"/>
      <c r="DGF94" s="786"/>
      <c r="DGG94" s="786"/>
      <c r="DGH94" s="786"/>
      <c r="DGI94" s="786"/>
      <c r="DGJ94" s="786"/>
      <c r="DGK94" s="786"/>
      <c r="DGL94" s="786"/>
      <c r="DGM94" s="786"/>
      <c r="DGN94" s="786"/>
      <c r="DGO94" s="786"/>
      <c r="DGP94" s="786"/>
      <c r="DGQ94" s="786"/>
      <c r="DGR94" s="786"/>
      <c r="DGS94" s="786"/>
      <c r="DGT94" s="786"/>
      <c r="DGU94" s="786"/>
      <c r="DGV94" s="786"/>
      <c r="DGW94" s="786"/>
      <c r="DGX94" s="786"/>
      <c r="DGY94" s="786"/>
      <c r="DGZ94" s="786"/>
      <c r="DHA94" s="786"/>
      <c r="DHB94" s="786"/>
      <c r="DHC94" s="786"/>
      <c r="DHD94" s="786"/>
      <c r="DHE94" s="786"/>
      <c r="DHF94" s="786"/>
      <c r="DHG94" s="786"/>
      <c r="DHH94" s="786"/>
      <c r="DHI94" s="786"/>
      <c r="DHJ94" s="786"/>
      <c r="DHK94" s="786"/>
      <c r="DHL94" s="786"/>
      <c r="DHM94" s="786"/>
      <c r="DHN94" s="786"/>
      <c r="DHO94" s="786"/>
      <c r="DHP94" s="786"/>
      <c r="DHQ94" s="786"/>
      <c r="DHR94" s="786"/>
      <c r="DHS94" s="786"/>
      <c r="DHT94" s="786"/>
      <c r="DHU94" s="786"/>
      <c r="DHV94" s="786"/>
      <c r="DHW94" s="786"/>
      <c r="DHX94" s="786"/>
      <c r="DHY94" s="786"/>
      <c r="DHZ94" s="786"/>
      <c r="DIA94" s="786"/>
      <c r="DIB94" s="786"/>
      <c r="DIC94" s="786"/>
      <c r="DID94" s="786"/>
      <c r="DIE94" s="786"/>
      <c r="DIF94" s="786"/>
      <c r="DIG94" s="786"/>
      <c r="DIH94" s="786"/>
      <c r="DII94" s="786"/>
      <c r="DIJ94" s="786"/>
      <c r="DIK94" s="786"/>
      <c r="DIL94" s="786"/>
      <c r="DIM94" s="786"/>
      <c r="DIN94" s="786"/>
      <c r="DIO94" s="786"/>
      <c r="DIP94" s="786"/>
      <c r="DIQ94" s="786"/>
      <c r="DIR94" s="786"/>
      <c r="DIS94" s="786"/>
      <c r="DIT94" s="786"/>
      <c r="DIU94" s="786"/>
      <c r="DIV94" s="786"/>
      <c r="DIW94" s="786"/>
      <c r="DIX94" s="786"/>
      <c r="DIY94" s="786"/>
      <c r="DIZ94" s="786"/>
      <c r="DJA94" s="786"/>
      <c r="DJB94" s="786"/>
      <c r="DJC94" s="786"/>
      <c r="DJD94" s="786"/>
      <c r="DJE94" s="786"/>
      <c r="DJF94" s="786"/>
      <c r="DJG94" s="786"/>
      <c r="DJH94" s="786"/>
      <c r="DJI94" s="786"/>
      <c r="DJJ94" s="786"/>
      <c r="DJK94" s="786"/>
      <c r="DJL94" s="786"/>
      <c r="DJM94" s="786"/>
      <c r="DJN94" s="786"/>
      <c r="DJO94" s="786"/>
      <c r="DJP94" s="786"/>
      <c r="DJQ94" s="786"/>
      <c r="DJR94" s="786"/>
      <c r="DJS94" s="786"/>
      <c r="DJT94" s="786"/>
      <c r="DJU94" s="786"/>
      <c r="DJV94" s="786"/>
      <c r="DJW94" s="786"/>
      <c r="DJX94" s="786"/>
      <c r="DJY94" s="786"/>
      <c r="DJZ94" s="786"/>
      <c r="DKA94" s="786"/>
      <c r="DKB94" s="786"/>
      <c r="DKC94" s="786"/>
      <c r="DKD94" s="786"/>
      <c r="DKE94" s="786"/>
      <c r="DKF94" s="786"/>
      <c r="DKG94" s="786"/>
      <c r="DKH94" s="786"/>
      <c r="DKI94" s="786"/>
      <c r="DKJ94" s="786"/>
      <c r="DKK94" s="786"/>
      <c r="DKL94" s="786"/>
      <c r="DKM94" s="786"/>
      <c r="DKN94" s="786"/>
      <c r="DKO94" s="786"/>
      <c r="DKP94" s="786"/>
      <c r="DKQ94" s="786"/>
      <c r="DKR94" s="786"/>
      <c r="DKS94" s="786"/>
      <c r="DKT94" s="786"/>
      <c r="DKU94" s="786"/>
      <c r="DKV94" s="786"/>
      <c r="DKW94" s="786"/>
      <c r="DKX94" s="786"/>
      <c r="DKY94" s="786"/>
      <c r="DKZ94" s="786"/>
      <c r="DLA94" s="786"/>
      <c r="DLB94" s="786"/>
      <c r="DLC94" s="786"/>
      <c r="DLD94" s="786"/>
      <c r="DLE94" s="786"/>
      <c r="DLF94" s="786"/>
      <c r="DLG94" s="786"/>
      <c r="DLH94" s="786"/>
      <c r="DLI94" s="786"/>
      <c r="DLJ94" s="786"/>
      <c r="DLK94" s="786"/>
      <c r="DLL94" s="786"/>
      <c r="DLM94" s="786"/>
      <c r="DLN94" s="786"/>
      <c r="DLO94" s="786"/>
      <c r="DLP94" s="786"/>
      <c r="DLQ94" s="786"/>
      <c r="DLR94" s="786"/>
      <c r="DLS94" s="786"/>
      <c r="DLT94" s="786"/>
      <c r="DLU94" s="786"/>
      <c r="DLV94" s="786"/>
      <c r="DLW94" s="786"/>
      <c r="DLX94" s="786"/>
      <c r="DLY94" s="786"/>
      <c r="DLZ94" s="786"/>
      <c r="DMA94" s="786"/>
      <c r="DMB94" s="786"/>
      <c r="DMC94" s="786"/>
      <c r="DMD94" s="786"/>
      <c r="DME94" s="786"/>
      <c r="DMF94" s="786"/>
      <c r="DMG94" s="786"/>
      <c r="DMH94" s="786"/>
      <c r="DMI94" s="786"/>
      <c r="DMJ94" s="786"/>
      <c r="DMK94" s="786"/>
      <c r="DML94" s="786"/>
      <c r="DMM94" s="786"/>
      <c r="DMN94" s="786"/>
      <c r="DMO94" s="786"/>
      <c r="DMP94" s="786"/>
      <c r="DMQ94" s="786"/>
      <c r="DMR94" s="786"/>
      <c r="DMS94" s="786"/>
      <c r="DMT94" s="786"/>
      <c r="DMU94" s="786"/>
      <c r="DMV94" s="786"/>
      <c r="DMW94" s="786"/>
      <c r="DMX94" s="786"/>
      <c r="DMY94" s="786"/>
      <c r="DMZ94" s="786"/>
      <c r="DNA94" s="786"/>
      <c r="DNB94" s="786"/>
      <c r="DNC94" s="786"/>
      <c r="DND94" s="786"/>
      <c r="DNE94" s="786"/>
      <c r="DNF94" s="786"/>
      <c r="DNG94" s="786"/>
      <c r="DNH94" s="786"/>
      <c r="DNI94" s="786"/>
      <c r="DNJ94" s="786"/>
      <c r="DNK94" s="786"/>
      <c r="DNL94" s="786"/>
      <c r="DNM94" s="786"/>
      <c r="DNN94" s="786"/>
      <c r="DNO94" s="786"/>
      <c r="DNP94" s="786"/>
      <c r="DNQ94" s="786"/>
      <c r="DNR94" s="786"/>
      <c r="DNS94" s="786"/>
      <c r="DNT94" s="786"/>
      <c r="DNU94" s="786"/>
      <c r="DNV94" s="786"/>
      <c r="DNW94" s="786"/>
      <c r="DNX94" s="786"/>
      <c r="DNY94" s="786"/>
      <c r="DNZ94" s="786"/>
      <c r="DOA94" s="786"/>
      <c r="DOB94" s="786"/>
      <c r="DOC94" s="786"/>
      <c r="DOD94" s="786"/>
      <c r="DOE94" s="786"/>
      <c r="DOF94" s="786"/>
      <c r="DOG94" s="786"/>
      <c r="DOH94" s="786"/>
      <c r="DOI94" s="786"/>
      <c r="DOJ94" s="786"/>
      <c r="DOK94" s="786"/>
      <c r="DOL94" s="786"/>
      <c r="DOM94" s="786"/>
      <c r="DON94" s="786"/>
      <c r="DOO94" s="786"/>
      <c r="DOP94" s="786"/>
      <c r="DOQ94" s="786"/>
      <c r="DOR94" s="786"/>
      <c r="DOS94" s="786"/>
      <c r="DOT94" s="786"/>
      <c r="DOU94" s="786"/>
      <c r="DOV94" s="786"/>
      <c r="DOW94" s="786"/>
      <c r="DOX94" s="786"/>
      <c r="DOY94" s="786"/>
      <c r="DOZ94" s="786"/>
      <c r="DPA94" s="786"/>
      <c r="DPB94" s="786"/>
      <c r="DPC94" s="786"/>
      <c r="DPD94" s="786"/>
      <c r="DPE94" s="786"/>
      <c r="DPF94" s="786"/>
      <c r="DPG94" s="786"/>
      <c r="DPH94" s="786"/>
      <c r="DPI94" s="786"/>
      <c r="DPJ94" s="786"/>
      <c r="DPK94" s="786"/>
      <c r="DPL94" s="786"/>
      <c r="DPM94" s="786"/>
      <c r="DPN94" s="786"/>
      <c r="DPO94" s="786"/>
      <c r="DPP94" s="786"/>
      <c r="DPQ94" s="786"/>
      <c r="DPR94" s="786"/>
      <c r="DPS94" s="786"/>
      <c r="DPT94" s="786"/>
      <c r="DPU94" s="786"/>
      <c r="DPV94" s="786"/>
      <c r="DPW94" s="786"/>
      <c r="DPX94" s="786"/>
      <c r="DPY94" s="786"/>
      <c r="DPZ94" s="786"/>
      <c r="DQA94" s="786"/>
      <c r="DQB94" s="786"/>
      <c r="DQC94" s="786"/>
      <c r="DQD94" s="786"/>
      <c r="DQE94" s="786"/>
      <c r="DQF94" s="786"/>
      <c r="DQG94" s="786"/>
      <c r="DQH94" s="786"/>
      <c r="DQI94" s="786"/>
      <c r="DQJ94" s="786"/>
      <c r="DQK94" s="786"/>
      <c r="DQL94" s="786"/>
      <c r="DQM94" s="786"/>
      <c r="DQN94" s="786"/>
      <c r="DQO94" s="786"/>
      <c r="DQP94" s="786"/>
      <c r="DQQ94" s="786"/>
      <c r="DQR94" s="786"/>
      <c r="DQS94" s="786"/>
      <c r="DQT94" s="786"/>
      <c r="DQU94" s="786"/>
      <c r="DQV94" s="786"/>
      <c r="DQW94" s="786"/>
      <c r="DQX94" s="786"/>
      <c r="DQY94" s="786"/>
      <c r="DQZ94" s="786"/>
      <c r="DRA94" s="786"/>
      <c r="DRB94" s="786"/>
      <c r="DRC94" s="786"/>
      <c r="DRD94" s="786"/>
      <c r="DRE94" s="786"/>
      <c r="DRF94" s="786"/>
      <c r="DRG94" s="786"/>
      <c r="DRH94" s="786"/>
      <c r="DRI94" s="786"/>
      <c r="DRJ94" s="786"/>
      <c r="DRK94" s="786"/>
      <c r="DRL94" s="786"/>
      <c r="DRM94" s="786"/>
      <c r="DRN94" s="786"/>
      <c r="DRO94" s="786"/>
      <c r="DRP94" s="786"/>
      <c r="DRQ94" s="786"/>
      <c r="DRR94" s="786"/>
      <c r="DRS94" s="786"/>
      <c r="DRT94" s="786"/>
      <c r="DRU94" s="786"/>
      <c r="DRV94" s="786"/>
      <c r="DRW94" s="786"/>
      <c r="DRX94" s="786"/>
      <c r="DRY94" s="786"/>
      <c r="DRZ94" s="786"/>
      <c r="DSA94" s="786"/>
      <c r="DSB94" s="786"/>
      <c r="DSC94" s="786"/>
      <c r="DSD94" s="786"/>
      <c r="DSE94" s="786"/>
      <c r="DSF94" s="786"/>
      <c r="DSG94" s="786"/>
      <c r="DSH94" s="786"/>
      <c r="DSI94" s="786"/>
      <c r="DSJ94" s="786"/>
      <c r="DSK94" s="786"/>
      <c r="DSL94" s="786"/>
      <c r="DSM94" s="786"/>
      <c r="DSN94" s="786"/>
      <c r="DSO94" s="786"/>
      <c r="DSP94" s="786"/>
      <c r="DSQ94" s="786"/>
      <c r="DSR94" s="786"/>
      <c r="DSS94" s="786"/>
      <c r="DST94" s="786"/>
      <c r="DSU94" s="786"/>
      <c r="DSV94" s="786"/>
      <c r="DSW94" s="786"/>
      <c r="DSX94" s="786"/>
      <c r="DSY94" s="786"/>
      <c r="DSZ94" s="786"/>
      <c r="DTA94" s="786"/>
      <c r="DTB94" s="786"/>
      <c r="DTC94" s="786"/>
      <c r="DTD94" s="786"/>
      <c r="DTE94" s="786"/>
      <c r="DTF94" s="786"/>
      <c r="DTG94" s="786"/>
      <c r="DTH94" s="786"/>
      <c r="DTI94" s="786"/>
      <c r="DTJ94" s="786"/>
      <c r="DTK94" s="786"/>
      <c r="DTL94" s="786"/>
      <c r="DTM94" s="786"/>
      <c r="DTN94" s="786"/>
      <c r="DTO94" s="786"/>
      <c r="DTP94" s="786"/>
      <c r="DTQ94" s="786"/>
      <c r="DTR94" s="786"/>
      <c r="DTS94" s="786"/>
      <c r="DTT94" s="786"/>
      <c r="DTU94" s="786"/>
      <c r="DTV94" s="786"/>
      <c r="DTW94" s="786"/>
      <c r="DTX94" s="786"/>
      <c r="DTY94" s="786"/>
      <c r="DTZ94" s="786"/>
      <c r="DUA94" s="786"/>
      <c r="DUB94" s="786"/>
      <c r="DUC94" s="786"/>
      <c r="DUD94" s="786"/>
      <c r="DUE94" s="786"/>
      <c r="DUF94" s="786"/>
      <c r="DUG94" s="786"/>
      <c r="DUH94" s="786"/>
      <c r="DUI94" s="786"/>
      <c r="DUJ94" s="786"/>
      <c r="DUK94" s="786"/>
      <c r="DUL94" s="786"/>
      <c r="DUM94" s="786"/>
      <c r="DUN94" s="786"/>
      <c r="DUO94" s="786"/>
      <c r="DUP94" s="786"/>
      <c r="DUQ94" s="786"/>
      <c r="DUR94" s="786"/>
      <c r="DUS94" s="786"/>
      <c r="DUT94" s="786"/>
      <c r="DUU94" s="786"/>
      <c r="DUV94" s="786"/>
      <c r="DUW94" s="786"/>
      <c r="DUX94" s="786"/>
      <c r="DUY94" s="786"/>
      <c r="DUZ94" s="786"/>
      <c r="DVA94" s="786"/>
      <c r="DVB94" s="786"/>
      <c r="DVC94" s="786"/>
      <c r="DVD94" s="786"/>
      <c r="DVE94" s="786"/>
      <c r="DVF94" s="786"/>
      <c r="DVG94" s="786"/>
      <c r="DVH94" s="786"/>
      <c r="DVI94" s="786"/>
      <c r="DVJ94" s="786"/>
      <c r="DVK94" s="786"/>
      <c r="DVL94" s="786"/>
      <c r="DVM94" s="786"/>
      <c r="DVN94" s="786"/>
      <c r="DVO94" s="786"/>
      <c r="DVP94" s="786"/>
      <c r="DVQ94" s="786"/>
      <c r="DVR94" s="786"/>
      <c r="DVS94" s="786"/>
      <c r="DVT94" s="786"/>
      <c r="DVU94" s="786"/>
      <c r="DVV94" s="786"/>
      <c r="DVW94" s="786"/>
      <c r="DVX94" s="786"/>
      <c r="DVY94" s="786"/>
      <c r="DVZ94" s="786"/>
      <c r="DWA94" s="786"/>
      <c r="DWB94" s="786"/>
      <c r="DWC94" s="786"/>
      <c r="DWD94" s="786"/>
      <c r="DWE94" s="786"/>
      <c r="DWF94" s="786"/>
      <c r="DWG94" s="786"/>
      <c r="DWH94" s="786"/>
      <c r="DWI94" s="786"/>
      <c r="DWJ94" s="786"/>
      <c r="DWK94" s="786"/>
      <c r="DWL94" s="786"/>
      <c r="DWM94" s="786"/>
      <c r="DWN94" s="786"/>
      <c r="DWO94" s="786"/>
      <c r="DWP94" s="786"/>
      <c r="DWQ94" s="786"/>
      <c r="DWR94" s="786"/>
      <c r="DWS94" s="786"/>
      <c r="DWT94" s="786"/>
      <c r="DWU94" s="786"/>
      <c r="DWV94" s="786"/>
      <c r="DWW94" s="786"/>
      <c r="DWX94" s="786"/>
      <c r="DWY94" s="786"/>
      <c r="DWZ94" s="786"/>
      <c r="DXA94" s="786"/>
      <c r="DXB94" s="786"/>
      <c r="DXC94" s="786"/>
      <c r="DXD94" s="786"/>
      <c r="DXE94" s="786"/>
      <c r="DXF94" s="786"/>
      <c r="DXG94" s="786"/>
      <c r="DXH94" s="786"/>
      <c r="DXI94" s="786"/>
      <c r="DXJ94" s="786"/>
      <c r="DXK94" s="786"/>
      <c r="DXL94" s="786"/>
      <c r="DXM94" s="786"/>
      <c r="DXN94" s="786"/>
      <c r="DXO94" s="786"/>
      <c r="DXP94" s="786"/>
      <c r="DXQ94" s="786"/>
      <c r="DXR94" s="786"/>
      <c r="DXS94" s="786"/>
      <c r="DXT94" s="786"/>
      <c r="DXU94" s="786"/>
      <c r="DXV94" s="786"/>
      <c r="DXW94" s="786"/>
      <c r="DXX94" s="786"/>
      <c r="DXY94" s="786"/>
      <c r="DXZ94" s="786"/>
      <c r="DYA94" s="786"/>
      <c r="DYB94" s="786"/>
      <c r="DYC94" s="786"/>
      <c r="DYD94" s="786"/>
      <c r="DYE94" s="786"/>
      <c r="DYF94" s="786"/>
      <c r="DYG94" s="786"/>
      <c r="DYH94" s="786"/>
      <c r="DYI94" s="786"/>
      <c r="DYJ94" s="786"/>
      <c r="DYK94" s="786"/>
      <c r="DYL94" s="786"/>
      <c r="DYM94" s="786"/>
      <c r="DYN94" s="786"/>
      <c r="DYO94" s="786"/>
      <c r="DYP94" s="786"/>
      <c r="DYQ94" s="786"/>
      <c r="DYR94" s="786"/>
      <c r="DYS94" s="786"/>
      <c r="DYT94" s="786"/>
      <c r="DYU94" s="786"/>
      <c r="DYV94" s="786"/>
      <c r="DYW94" s="786"/>
      <c r="DYX94" s="786"/>
      <c r="DYY94" s="786"/>
      <c r="DYZ94" s="786"/>
      <c r="DZA94" s="786"/>
      <c r="DZB94" s="786"/>
      <c r="DZC94" s="786"/>
      <c r="DZD94" s="786"/>
      <c r="DZE94" s="786"/>
      <c r="DZF94" s="786"/>
      <c r="DZG94" s="786"/>
      <c r="DZH94" s="786"/>
      <c r="DZI94" s="786"/>
      <c r="DZJ94" s="786"/>
      <c r="DZK94" s="786"/>
      <c r="DZL94" s="786"/>
      <c r="DZM94" s="786"/>
      <c r="DZN94" s="786"/>
      <c r="DZO94" s="786"/>
      <c r="DZP94" s="786"/>
      <c r="DZQ94" s="786"/>
      <c r="DZR94" s="786"/>
      <c r="DZS94" s="786"/>
      <c r="DZT94" s="786"/>
      <c r="DZU94" s="786"/>
      <c r="DZV94" s="786"/>
      <c r="DZW94" s="786"/>
      <c r="DZX94" s="786"/>
      <c r="DZY94" s="786"/>
      <c r="DZZ94" s="786"/>
      <c r="EAA94" s="786"/>
      <c r="EAB94" s="786"/>
      <c r="EAC94" s="786"/>
      <c r="EAD94" s="786"/>
      <c r="EAE94" s="786"/>
      <c r="EAF94" s="786"/>
      <c r="EAG94" s="786"/>
      <c r="EAH94" s="786"/>
      <c r="EAI94" s="786"/>
      <c r="EAJ94" s="786"/>
      <c r="EAK94" s="786"/>
      <c r="EAL94" s="786"/>
      <c r="EAM94" s="786"/>
      <c r="EAN94" s="786"/>
      <c r="EAO94" s="786"/>
      <c r="EAP94" s="786"/>
      <c r="EAQ94" s="786"/>
      <c r="EAR94" s="786"/>
      <c r="EAS94" s="786"/>
      <c r="EAT94" s="786"/>
      <c r="EAU94" s="786"/>
      <c r="EAV94" s="786"/>
      <c r="EAW94" s="786"/>
      <c r="EAX94" s="786"/>
      <c r="EAY94" s="786"/>
      <c r="EAZ94" s="786"/>
      <c r="EBA94" s="786"/>
      <c r="EBB94" s="786"/>
      <c r="EBC94" s="786"/>
      <c r="EBD94" s="786"/>
      <c r="EBE94" s="786"/>
      <c r="EBF94" s="786"/>
      <c r="EBG94" s="786"/>
      <c r="EBH94" s="786"/>
      <c r="EBI94" s="786"/>
      <c r="EBJ94" s="786"/>
      <c r="EBK94" s="786"/>
      <c r="EBL94" s="786"/>
      <c r="EBM94" s="786"/>
      <c r="EBN94" s="786"/>
      <c r="EBO94" s="786"/>
      <c r="EBP94" s="786"/>
      <c r="EBQ94" s="786"/>
      <c r="EBR94" s="786"/>
      <c r="EBS94" s="786"/>
      <c r="EBT94" s="786"/>
      <c r="EBU94" s="786"/>
      <c r="EBV94" s="786"/>
      <c r="EBW94" s="786"/>
      <c r="EBX94" s="786"/>
      <c r="EBY94" s="786"/>
      <c r="EBZ94" s="786"/>
      <c r="ECA94" s="786"/>
      <c r="ECB94" s="786"/>
      <c r="ECC94" s="786"/>
      <c r="ECD94" s="786"/>
      <c r="ECE94" s="786"/>
      <c r="ECF94" s="786"/>
      <c r="ECG94" s="786"/>
      <c r="ECH94" s="786"/>
      <c r="ECI94" s="786"/>
      <c r="ECJ94" s="786"/>
      <c r="ECK94" s="786"/>
      <c r="ECL94" s="786"/>
      <c r="ECM94" s="786"/>
      <c r="ECN94" s="786"/>
      <c r="ECO94" s="786"/>
      <c r="ECP94" s="786"/>
      <c r="ECQ94" s="786"/>
      <c r="ECR94" s="786"/>
      <c r="ECS94" s="786"/>
      <c r="ECT94" s="786"/>
      <c r="ECU94" s="786"/>
      <c r="ECV94" s="786"/>
      <c r="ECW94" s="786"/>
      <c r="ECX94" s="786"/>
      <c r="ECY94" s="786"/>
      <c r="ECZ94" s="786"/>
      <c r="EDA94" s="786"/>
      <c r="EDB94" s="786"/>
      <c r="EDC94" s="786"/>
      <c r="EDD94" s="786"/>
      <c r="EDE94" s="786"/>
      <c r="EDF94" s="786"/>
      <c r="EDG94" s="786"/>
      <c r="EDH94" s="786"/>
      <c r="EDI94" s="786"/>
      <c r="EDJ94" s="786"/>
      <c r="EDK94" s="786"/>
      <c r="EDL94" s="786"/>
      <c r="EDM94" s="786"/>
      <c r="EDN94" s="786"/>
      <c r="EDO94" s="786"/>
      <c r="EDP94" s="786"/>
      <c r="EDQ94" s="786"/>
      <c r="EDR94" s="786"/>
      <c r="EDS94" s="786"/>
      <c r="EDT94" s="786"/>
      <c r="EDU94" s="786"/>
      <c r="EDV94" s="786"/>
      <c r="EDW94" s="786"/>
      <c r="EDX94" s="786"/>
      <c r="EDY94" s="786"/>
      <c r="EDZ94" s="786"/>
      <c r="EEA94" s="786"/>
      <c r="EEB94" s="786"/>
      <c r="EEC94" s="786"/>
      <c r="EED94" s="786"/>
      <c r="EEE94" s="786"/>
      <c r="EEF94" s="786"/>
      <c r="EEG94" s="786"/>
      <c r="EEH94" s="786"/>
      <c r="EEI94" s="786"/>
      <c r="EEJ94" s="786"/>
      <c r="EEK94" s="786"/>
      <c r="EEL94" s="786"/>
      <c r="EEM94" s="786"/>
      <c r="EEN94" s="786"/>
      <c r="EEO94" s="786"/>
      <c r="EEP94" s="786"/>
      <c r="EEQ94" s="786"/>
      <c r="EER94" s="786"/>
      <c r="EES94" s="786"/>
      <c r="EET94" s="786"/>
      <c r="EEU94" s="786"/>
      <c r="EEV94" s="786"/>
      <c r="EEW94" s="786"/>
      <c r="EEX94" s="786"/>
      <c r="EEY94" s="786"/>
      <c r="EEZ94" s="786"/>
      <c r="EFA94" s="786"/>
      <c r="EFB94" s="786"/>
      <c r="EFC94" s="786"/>
      <c r="EFD94" s="786"/>
      <c r="EFE94" s="786"/>
      <c r="EFF94" s="786"/>
      <c r="EFG94" s="786"/>
      <c r="EFH94" s="786"/>
      <c r="EFI94" s="786"/>
      <c r="EFJ94" s="786"/>
      <c r="EFK94" s="786"/>
      <c r="EFL94" s="786"/>
      <c r="EFM94" s="786"/>
      <c r="EFN94" s="786"/>
      <c r="EFO94" s="786"/>
      <c r="EFP94" s="786"/>
      <c r="EFQ94" s="786"/>
      <c r="EFR94" s="786"/>
      <c r="EFS94" s="786"/>
      <c r="EFT94" s="786"/>
      <c r="EFU94" s="786"/>
      <c r="EFV94" s="786"/>
      <c r="EFW94" s="786"/>
      <c r="EFX94" s="786"/>
      <c r="EFY94" s="786"/>
      <c r="EFZ94" s="786"/>
      <c r="EGA94" s="786"/>
      <c r="EGB94" s="786"/>
      <c r="EGC94" s="786"/>
      <c r="EGD94" s="786"/>
      <c r="EGE94" s="786"/>
      <c r="EGF94" s="786"/>
      <c r="EGG94" s="786"/>
      <c r="EGH94" s="786"/>
      <c r="EGI94" s="786"/>
      <c r="EGJ94" s="786"/>
      <c r="EGK94" s="786"/>
      <c r="EGL94" s="786"/>
      <c r="EGM94" s="786"/>
      <c r="EGN94" s="786"/>
      <c r="EGO94" s="786"/>
      <c r="EGP94" s="786"/>
      <c r="EGQ94" s="786"/>
      <c r="EGR94" s="786"/>
      <c r="EGS94" s="786"/>
      <c r="EGT94" s="786"/>
      <c r="EGU94" s="786"/>
      <c r="EGV94" s="786"/>
      <c r="EGW94" s="786"/>
      <c r="EGX94" s="786"/>
      <c r="EGY94" s="786"/>
      <c r="EGZ94" s="786"/>
      <c r="EHA94" s="786"/>
      <c r="EHB94" s="786"/>
      <c r="EHC94" s="786"/>
      <c r="EHD94" s="786"/>
      <c r="EHE94" s="786"/>
      <c r="EHF94" s="786"/>
      <c r="EHG94" s="786"/>
      <c r="EHH94" s="786"/>
      <c r="EHI94" s="786"/>
      <c r="EHJ94" s="786"/>
      <c r="EHK94" s="786"/>
      <c r="EHL94" s="786"/>
      <c r="EHM94" s="786"/>
      <c r="EHN94" s="786"/>
      <c r="EHO94" s="786"/>
      <c r="EHP94" s="786"/>
      <c r="EHQ94" s="786"/>
      <c r="EHR94" s="786"/>
      <c r="EHS94" s="786"/>
      <c r="EHT94" s="786"/>
      <c r="EHU94" s="786"/>
      <c r="EHV94" s="786"/>
      <c r="EHW94" s="786"/>
      <c r="EHX94" s="786"/>
      <c r="EHY94" s="786"/>
      <c r="EHZ94" s="786"/>
      <c r="EIA94" s="786"/>
      <c r="EIB94" s="786"/>
      <c r="EIC94" s="786"/>
      <c r="EID94" s="786"/>
      <c r="EIE94" s="786"/>
      <c r="EIF94" s="786"/>
      <c r="EIG94" s="786"/>
      <c r="EIH94" s="786"/>
      <c r="EII94" s="786"/>
      <c r="EIJ94" s="786"/>
      <c r="EIK94" s="786"/>
      <c r="EIL94" s="786"/>
      <c r="EIM94" s="786"/>
      <c r="EIN94" s="786"/>
      <c r="EIO94" s="786"/>
      <c r="EIP94" s="786"/>
      <c r="EIQ94" s="786"/>
      <c r="EIR94" s="786"/>
      <c r="EIS94" s="786"/>
      <c r="EIT94" s="786"/>
      <c r="EIU94" s="786"/>
      <c r="EIV94" s="786"/>
      <c r="EIW94" s="786"/>
      <c r="EIX94" s="786"/>
      <c r="EIY94" s="786"/>
      <c r="EIZ94" s="786"/>
      <c r="EJA94" s="786"/>
      <c r="EJB94" s="786"/>
      <c r="EJC94" s="786"/>
      <c r="EJD94" s="786"/>
      <c r="EJE94" s="786"/>
      <c r="EJF94" s="786"/>
      <c r="EJG94" s="786"/>
      <c r="EJH94" s="786"/>
      <c r="EJI94" s="786"/>
      <c r="EJJ94" s="786"/>
      <c r="EJK94" s="786"/>
      <c r="EJL94" s="786"/>
      <c r="EJM94" s="786"/>
      <c r="EJN94" s="786"/>
      <c r="EJO94" s="786"/>
      <c r="EJP94" s="786"/>
      <c r="EJQ94" s="786"/>
      <c r="EJR94" s="786"/>
      <c r="EJS94" s="786"/>
      <c r="EJT94" s="786"/>
      <c r="EJU94" s="786"/>
      <c r="EJV94" s="786"/>
      <c r="EJW94" s="786"/>
      <c r="EJX94" s="786"/>
      <c r="EJY94" s="786"/>
      <c r="EJZ94" s="786"/>
      <c r="EKA94" s="786"/>
      <c r="EKB94" s="786"/>
      <c r="EKC94" s="786"/>
      <c r="EKD94" s="786"/>
      <c r="EKE94" s="786"/>
      <c r="EKF94" s="786"/>
      <c r="EKG94" s="786"/>
      <c r="EKH94" s="786"/>
      <c r="EKI94" s="786"/>
      <c r="EKJ94" s="786"/>
      <c r="EKK94" s="786"/>
      <c r="EKL94" s="786"/>
      <c r="EKM94" s="786"/>
      <c r="EKN94" s="786"/>
      <c r="EKO94" s="786"/>
      <c r="EKP94" s="786"/>
      <c r="EKQ94" s="786"/>
      <c r="EKR94" s="786"/>
      <c r="EKS94" s="786"/>
      <c r="EKT94" s="786"/>
      <c r="EKU94" s="786"/>
      <c r="EKV94" s="786"/>
      <c r="EKW94" s="786"/>
      <c r="EKX94" s="786"/>
      <c r="EKY94" s="786"/>
      <c r="EKZ94" s="786"/>
      <c r="ELA94" s="786"/>
      <c r="ELB94" s="786"/>
      <c r="ELC94" s="786"/>
      <c r="ELD94" s="786"/>
      <c r="ELE94" s="786"/>
      <c r="ELF94" s="786"/>
      <c r="ELG94" s="786"/>
      <c r="ELH94" s="786"/>
      <c r="ELI94" s="786"/>
      <c r="ELJ94" s="786"/>
      <c r="ELK94" s="786"/>
      <c r="ELL94" s="786"/>
      <c r="ELM94" s="786"/>
      <c r="ELN94" s="786"/>
      <c r="ELO94" s="786"/>
      <c r="ELP94" s="786"/>
      <c r="ELQ94" s="786"/>
      <c r="ELR94" s="786"/>
      <c r="ELS94" s="786"/>
      <c r="ELT94" s="786"/>
      <c r="ELU94" s="786"/>
      <c r="ELV94" s="786"/>
      <c r="ELW94" s="786"/>
      <c r="ELX94" s="786"/>
      <c r="ELY94" s="786"/>
      <c r="ELZ94" s="786"/>
      <c r="EMA94" s="786"/>
      <c r="EMB94" s="786"/>
      <c r="EMC94" s="786"/>
      <c r="EMD94" s="786"/>
      <c r="EME94" s="786"/>
      <c r="EMF94" s="786"/>
      <c r="EMG94" s="786"/>
      <c r="EMH94" s="786"/>
      <c r="EMI94" s="786"/>
      <c r="EMJ94" s="786"/>
      <c r="EMK94" s="786"/>
      <c r="EML94" s="786"/>
      <c r="EMM94" s="786"/>
      <c r="EMN94" s="786"/>
      <c r="EMO94" s="786"/>
      <c r="EMP94" s="786"/>
      <c r="EMQ94" s="786"/>
      <c r="EMR94" s="786"/>
      <c r="EMS94" s="786"/>
      <c r="EMT94" s="786"/>
      <c r="EMU94" s="786"/>
      <c r="EMV94" s="786"/>
      <c r="EMW94" s="786"/>
      <c r="EMX94" s="786"/>
      <c r="EMY94" s="786"/>
      <c r="EMZ94" s="786"/>
      <c r="ENA94" s="786"/>
      <c r="ENB94" s="786"/>
      <c r="ENC94" s="786"/>
      <c r="END94" s="786"/>
      <c r="ENE94" s="786"/>
      <c r="ENF94" s="786"/>
      <c r="ENG94" s="786"/>
      <c r="ENH94" s="786"/>
      <c r="ENI94" s="786"/>
      <c r="ENJ94" s="786"/>
      <c r="ENK94" s="786"/>
      <c r="ENL94" s="786"/>
      <c r="ENM94" s="786"/>
      <c r="ENN94" s="786"/>
      <c r="ENO94" s="786"/>
      <c r="ENP94" s="786"/>
      <c r="ENQ94" s="786"/>
      <c r="ENR94" s="786"/>
      <c r="ENS94" s="786"/>
      <c r="ENT94" s="786"/>
      <c r="ENU94" s="786"/>
      <c r="ENV94" s="786"/>
      <c r="ENW94" s="786"/>
      <c r="ENX94" s="786"/>
      <c r="ENY94" s="786"/>
      <c r="ENZ94" s="786"/>
      <c r="EOA94" s="786"/>
      <c r="EOB94" s="786"/>
      <c r="EOC94" s="786"/>
      <c r="EOD94" s="786"/>
      <c r="EOE94" s="786"/>
      <c r="EOF94" s="786"/>
      <c r="EOG94" s="786"/>
      <c r="EOH94" s="786"/>
      <c r="EOI94" s="786"/>
      <c r="EOJ94" s="786"/>
      <c r="EOK94" s="786"/>
      <c r="EOL94" s="786"/>
      <c r="EOM94" s="786"/>
      <c r="EON94" s="786"/>
      <c r="EOO94" s="786"/>
      <c r="EOP94" s="786"/>
      <c r="EOQ94" s="786"/>
      <c r="EOR94" s="786"/>
      <c r="EOS94" s="786"/>
      <c r="EOT94" s="786"/>
      <c r="EOU94" s="786"/>
      <c r="EOV94" s="786"/>
      <c r="EOW94" s="786"/>
      <c r="EOX94" s="786"/>
      <c r="EOY94" s="786"/>
      <c r="EOZ94" s="786"/>
      <c r="EPA94" s="786"/>
      <c r="EPB94" s="786"/>
      <c r="EPC94" s="786"/>
      <c r="EPD94" s="786"/>
      <c r="EPE94" s="786"/>
      <c r="EPF94" s="786"/>
      <c r="EPG94" s="786"/>
      <c r="EPH94" s="786"/>
      <c r="EPI94" s="786"/>
      <c r="EPJ94" s="786"/>
      <c r="EPK94" s="786"/>
      <c r="EPL94" s="786"/>
      <c r="EPM94" s="786"/>
      <c r="EPN94" s="786"/>
      <c r="EPO94" s="786"/>
      <c r="EPP94" s="786"/>
      <c r="EPQ94" s="786"/>
      <c r="EPR94" s="786"/>
      <c r="EPS94" s="786"/>
      <c r="EPT94" s="786"/>
      <c r="EPU94" s="786"/>
      <c r="EPV94" s="786"/>
      <c r="EPW94" s="786"/>
      <c r="EPX94" s="786"/>
      <c r="EPY94" s="786"/>
      <c r="EPZ94" s="786"/>
      <c r="EQA94" s="786"/>
      <c r="EQB94" s="786"/>
      <c r="EQC94" s="786"/>
      <c r="EQD94" s="786"/>
      <c r="EQE94" s="786"/>
      <c r="EQF94" s="786"/>
      <c r="EQG94" s="786"/>
      <c r="EQH94" s="786"/>
      <c r="EQI94" s="786"/>
      <c r="EQJ94" s="786"/>
      <c r="EQK94" s="786"/>
      <c r="EQL94" s="786"/>
      <c r="EQM94" s="786"/>
      <c r="EQN94" s="786"/>
      <c r="EQO94" s="786"/>
      <c r="EQP94" s="786"/>
      <c r="EQQ94" s="786"/>
      <c r="EQR94" s="786"/>
      <c r="EQS94" s="786"/>
      <c r="EQT94" s="786"/>
      <c r="EQU94" s="786"/>
      <c r="EQV94" s="786"/>
      <c r="EQW94" s="786"/>
      <c r="EQX94" s="786"/>
      <c r="EQY94" s="786"/>
      <c r="EQZ94" s="786"/>
      <c r="ERA94" s="786"/>
      <c r="ERB94" s="786"/>
      <c r="ERC94" s="786"/>
      <c r="ERD94" s="786"/>
      <c r="ERE94" s="786"/>
      <c r="ERF94" s="786"/>
      <c r="ERG94" s="786"/>
      <c r="ERH94" s="786"/>
      <c r="ERI94" s="786"/>
      <c r="ERJ94" s="786"/>
      <c r="ERK94" s="786"/>
      <c r="ERL94" s="786"/>
      <c r="ERM94" s="786"/>
      <c r="ERN94" s="786"/>
      <c r="ERO94" s="786"/>
      <c r="ERP94" s="786"/>
      <c r="ERQ94" s="786"/>
      <c r="ERR94" s="786"/>
      <c r="ERS94" s="786"/>
      <c r="ERT94" s="786"/>
      <c r="ERU94" s="786"/>
      <c r="ERV94" s="786"/>
      <c r="ERW94" s="786"/>
      <c r="ERX94" s="786"/>
      <c r="ERY94" s="786"/>
      <c r="ERZ94" s="786"/>
      <c r="ESA94" s="786"/>
      <c r="ESB94" s="786"/>
      <c r="ESC94" s="786"/>
      <c r="ESD94" s="786"/>
      <c r="ESE94" s="786"/>
      <c r="ESF94" s="786"/>
      <c r="ESG94" s="786"/>
      <c r="ESH94" s="786"/>
      <c r="ESI94" s="786"/>
      <c r="ESJ94" s="786"/>
      <c r="ESK94" s="786"/>
      <c r="ESL94" s="786"/>
      <c r="ESM94" s="786"/>
      <c r="ESN94" s="786"/>
      <c r="ESO94" s="786"/>
      <c r="ESP94" s="786"/>
      <c r="ESQ94" s="786"/>
      <c r="ESR94" s="786"/>
      <c r="ESS94" s="786"/>
      <c r="EST94" s="786"/>
      <c r="ESU94" s="786"/>
      <c r="ESV94" s="786"/>
      <c r="ESW94" s="786"/>
      <c r="ESX94" s="786"/>
      <c r="ESY94" s="786"/>
      <c r="ESZ94" s="786"/>
      <c r="ETA94" s="786"/>
      <c r="ETB94" s="786"/>
      <c r="ETC94" s="786"/>
      <c r="ETD94" s="786"/>
      <c r="ETE94" s="786"/>
      <c r="ETF94" s="786"/>
      <c r="ETG94" s="786"/>
      <c r="ETH94" s="786"/>
      <c r="ETI94" s="786"/>
      <c r="ETJ94" s="786"/>
      <c r="ETK94" s="786"/>
      <c r="ETL94" s="786"/>
      <c r="ETM94" s="786"/>
      <c r="ETN94" s="786"/>
      <c r="ETO94" s="786"/>
      <c r="ETP94" s="786"/>
      <c r="ETQ94" s="786"/>
      <c r="ETR94" s="786"/>
      <c r="ETS94" s="786"/>
      <c r="ETT94" s="786"/>
      <c r="ETU94" s="786"/>
      <c r="ETV94" s="786"/>
      <c r="ETW94" s="786"/>
      <c r="ETX94" s="786"/>
      <c r="ETY94" s="786"/>
      <c r="ETZ94" s="786"/>
      <c r="EUA94" s="786"/>
      <c r="EUB94" s="786"/>
      <c r="EUC94" s="786"/>
      <c r="EUD94" s="786"/>
      <c r="EUE94" s="786"/>
      <c r="EUF94" s="786"/>
      <c r="EUG94" s="786"/>
      <c r="EUH94" s="786"/>
      <c r="EUI94" s="786"/>
      <c r="EUJ94" s="786"/>
      <c r="EUK94" s="786"/>
      <c r="EUL94" s="786"/>
      <c r="EUM94" s="786"/>
      <c r="EUN94" s="786"/>
      <c r="EUO94" s="786"/>
      <c r="EUP94" s="786"/>
      <c r="EUQ94" s="786"/>
      <c r="EUR94" s="786"/>
      <c r="EUS94" s="786"/>
      <c r="EUT94" s="786"/>
      <c r="EUU94" s="786"/>
      <c r="EUV94" s="786"/>
      <c r="EUW94" s="786"/>
      <c r="EUX94" s="786"/>
      <c r="EUY94" s="786"/>
      <c r="EUZ94" s="786"/>
      <c r="EVA94" s="786"/>
      <c r="EVB94" s="786"/>
      <c r="EVC94" s="786"/>
      <c r="EVD94" s="786"/>
      <c r="EVE94" s="786"/>
      <c r="EVF94" s="786"/>
      <c r="EVG94" s="786"/>
      <c r="EVH94" s="786"/>
      <c r="EVI94" s="786"/>
      <c r="EVJ94" s="786"/>
      <c r="EVK94" s="786"/>
      <c r="EVL94" s="786"/>
      <c r="EVM94" s="786"/>
      <c r="EVN94" s="786"/>
      <c r="EVO94" s="786"/>
      <c r="EVP94" s="786"/>
      <c r="EVQ94" s="786"/>
      <c r="EVR94" s="786"/>
      <c r="EVS94" s="786"/>
      <c r="EVT94" s="786"/>
      <c r="EVU94" s="786"/>
      <c r="EVV94" s="786"/>
      <c r="EVW94" s="786"/>
      <c r="EVX94" s="786"/>
      <c r="EVY94" s="786"/>
      <c r="EVZ94" s="786"/>
      <c r="EWA94" s="786"/>
      <c r="EWB94" s="786"/>
      <c r="EWC94" s="786"/>
      <c r="EWD94" s="786"/>
      <c r="EWE94" s="786"/>
      <c r="EWF94" s="786"/>
      <c r="EWG94" s="786"/>
      <c r="EWH94" s="786"/>
      <c r="EWI94" s="786"/>
      <c r="EWJ94" s="786"/>
      <c r="EWK94" s="786"/>
      <c r="EWL94" s="786"/>
      <c r="EWM94" s="786"/>
      <c r="EWN94" s="786"/>
      <c r="EWO94" s="786"/>
      <c r="EWP94" s="786"/>
      <c r="EWQ94" s="786"/>
      <c r="EWR94" s="786"/>
      <c r="EWS94" s="786"/>
      <c r="EWT94" s="786"/>
      <c r="EWU94" s="786"/>
      <c r="EWV94" s="786"/>
      <c r="EWW94" s="786"/>
      <c r="EWX94" s="786"/>
      <c r="EWY94" s="786"/>
      <c r="EWZ94" s="786"/>
      <c r="EXA94" s="786"/>
      <c r="EXB94" s="786"/>
      <c r="EXC94" s="786"/>
      <c r="EXD94" s="786"/>
      <c r="EXE94" s="786"/>
      <c r="EXF94" s="786"/>
      <c r="EXG94" s="786"/>
      <c r="EXH94" s="786"/>
      <c r="EXI94" s="786"/>
      <c r="EXJ94" s="786"/>
      <c r="EXK94" s="786"/>
      <c r="EXL94" s="786"/>
      <c r="EXM94" s="786"/>
      <c r="EXN94" s="786"/>
      <c r="EXO94" s="786"/>
      <c r="EXP94" s="786"/>
      <c r="EXQ94" s="786"/>
      <c r="EXR94" s="786"/>
      <c r="EXS94" s="786"/>
      <c r="EXT94" s="786"/>
      <c r="EXU94" s="786"/>
      <c r="EXV94" s="786"/>
      <c r="EXW94" s="786"/>
      <c r="EXX94" s="786"/>
      <c r="EXY94" s="786"/>
      <c r="EXZ94" s="786"/>
      <c r="EYA94" s="786"/>
      <c r="EYB94" s="786"/>
      <c r="EYC94" s="786"/>
      <c r="EYD94" s="786"/>
      <c r="EYE94" s="786"/>
      <c r="EYF94" s="786"/>
      <c r="EYG94" s="786"/>
      <c r="EYH94" s="786"/>
      <c r="EYI94" s="786"/>
      <c r="EYJ94" s="786"/>
      <c r="EYK94" s="786"/>
      <c r="EYL94" s="786"/>
      <c r="EYM94" s="786"/>
      <c r="EYN94" s="786"/>
      <c r="EYO94" s="786"/>
      <c r="EYP94" s="786"/>
      <c r="EYQ94" s="786"/>
      <c r="EYR94" s="786"/>
      <c r="EYS94" s="786"/>
      <c r="EYT94" s="786"/>
      <c r="EYU94" s="786"/>
      <c r="EYV94" s="786"/>
      <c r="EYW94" s="786"/>
      <c r="EYX94" s="786"/>
      <c r="EYY94" s="786"/>
      <c r="EYZ94" s="786"/>
      <c r="EZA94" s="786"/>
      <c r="EZB94" s="786"/>
      <c r="EZC94" s="786"/>
      <c r="EZD94" s="786"/>
      <c r="EZE94" s="786"/>
      <c r="EZF94" s="786"/>
      <c r="EZG94" s="786"/>
      <c r="EZH94" s="786"/>
      <c r="EZI94" s="786"/>
      <c r="EZJ94" s="786"/>
      <c r="EZK94" s="786"/>
      <c r="EZL94" s="786"/>
      <c r="EZM94" s="786"/>
      <c r="EZN94" s="786"/>
      <c r="EZO94" s="786"/>
      <c r="EZP94" s="786"/>
      <c r="EZQ94" s="786"/>
      <c r="EZR94" s="786"/>
      <c r="EZS94" s="786"/>
      <c r="EZT94" s="786"/>
      <c r="EZU94" s="786"/>
      <c r="EZV94" s="786"/>
      <c r="EZW94" s="786"/>
      <c r="EZX94" s="786"/>
      <c r="EZY94" s="786"/>
      <c r="EZZ94" s="786"/>
      <c r="FAA94" s="786"/>
      <c r="FAB94" s="786"/>
      <c r="FAC94" s="786"/>
      <c r="FAD94" s="786"/>
      <c r="FAE94" s="786"/>
      <c r="FAF94" s="786"/>
      <c r="FAG94" s="786"/>
      <c r="FAH94" s="786"/>
      <c r="FAI94" s="786"/>
      <c r="FAJ94" s="786"/>
      <c r="FAK94" s="786"/>
      <c r="FAL94" s="786"/>
      <c r="FAM94" s="786"/>
      <c r="FAN94" s="786"/>
      <c r="FAO94" s="786"/>
      <c r="FAP94" s="786"/>
      <c r="FAQ94" s="786"/>
      <c r="FAR94" s="786"/>
      <c r="FAS94" s="786"/>
      <c r="FAT94" s="786"/>
      <c r="FAU94" s="786"/>
      <c r="FAV94" s="786"/>
      <c r="FAW94" s="786"/>
      <c r="FAX94" s="786"/>
      <c r="FAY94" s="786"/>
      <c r="FAZ94" s="786"/>
      <c r="FBA94" s="786"/>
      <c r="FBB94" s="786"/>
      <c r="FBC94" s="786"/>
      <c r="FBD94" s="786"/>
      <c r="FBE94" s="786"/>
      <c r="FBF94" s="786"/>
      <c r="FBG94" s="786"/>
      <c r="FBH94" s="786"/>
      <c r="FBI94" s="786"/>
      <c r="FBJ94" s="786"/>
      <c r="FBK94" s="786"/>
      <c r="FBL94" s="786"/>
      <c r="FBM94" s="786"/>
      <c r="FBN94" s="786"/>
      <c r="FBO94" s="786"/>
      <c r="FBP94" s="786"/>
      <c r="FBQ94" s="786"/>
      <c r="FBR94" s="786"/>
      <c r="FBS94" s="786"/>
      <c r="FBT94" s="786"/>
      <c r="FBU94" s="786"/>
      <c r="FBV94" s="786"/>
      <c r="FBW94" s="786"/>
      <c r="FBX94" s="786"/>
      <c r="FBY94" s="786"/>
      <c r="FBZ94" s="786"/>
      <c r="FCA94" s="786"/>
      <c r="FCB94" s="786"/>
      <c r="FCC94" s="786"/>
      <c r="FCD94" s="786"/>
      <c r="FCE94" s="786"/>
      <c r="FCF94" s="786"/>
      <c r="FCG94" s="786"/>
      <c r="FCH94" s="786"/>
      <c r="FCI94" s="786"/>
      <c r="FCJ94" s="786"/>
      <c r="FCK94" s="786"/>
      <c r="FCL94" s="786"/>
      <c r="FCM94" s="786"/>
      <c r="FCN94" s="786"/>
      <c r="FCO94" s="786"/>
      <c r="FCP94" s="786"/>
      <c r="FCQ94" s="786"/>
      <c r="FCR94" s="786"/>
      <c r="FCS94" s="786"/>
      <c r="FCT94" s="786"/>
      <c r="FCU94" s="786"/>
      <c r="FCV94" s="786"/>
      <c r="FCW94" s="786"/>
      <c r="FCX94" s="786"/>
      <c r="FCY94" s="786"/>
      <c r="FCZ94" s="786"/>
      <c r="FDA94" s="786"/>
      <c r="FDB94" s="786"/>
      <c r="FDC94" s="786"/>
      <c r="FDD94" s="786"/>
      <c r="FDE94" s="786"/>
      <c r="FDF94" s="786"/>
      <c r="FDG94" s="786"/>
      <c r="FDH94" s="786"/>
      <c r="FDI94" s="786"/>
      <c r="FDJ94" s="786"/>
      <c r="FDK94" s="786"/>
      <c r="FDL94" s="786"/>
      <c r="FDM94" s="786"/>
      <c r="FDN94" s="786"/>
      <c r="FDO94" s="786"/>
      <c r="FDP94" s="786"/>
      <c r="FDQ94" s="786"/>
      <c r="FDR94" s="786"/>
      <c r="FDS94" s="786"/>
      <c r="FDT94" s="786"/>
      <c r="FDU94" s="786"/>
      <c r="FDV94" s="786"/>
      <c r="FDW94" s="786"/>
      <c r="FDX94" s="786"/>
      <c r="FDY94" s="786"/>
      <c r="FDZ94" s="786"/>
      <c r="FEA94" s="786"/>
      <c r="FEB94" s="786"/>
      <c r="FEC94" s="786"/>
      <c r="FED94" s="786"/>
      <c r="FEE94" s="786"/>
      <c r="FEF94" s="786"/>
      <c r="FEG94" s="786"/>
      <c r="FEH94" s="786"/>
      <c r="FEI94" s="786"/>
      <c r="FEJ94" s="786"/>
      <c r="FEK94" s="786"/>
      <c r="FEL94" s="786"/>
      <c r="FEM94" s="786"/>
      <c r="FEN94" s="786"/>
      <c r="FEO94" s="786"/>
      <c r="FEP94" s="786"/>
      <c r="FEQ94" s="786"/>
      <c r="FER94" s="786"/>
      <c r="FES94" s="786"/>
      <c r="FET94" s="786"/>
      <c r="FEU94" s="786"/>
      <c r="FEV94" s="786"/>
      <c r="FEW94" s="786"/>
      <c r="FEX94" s="786"/>
      <c r="FEY94" s="786"/>
      <c r="FEZ94" s="786"/>
      <c r="FFA94" s="786"/>
      <c r="FFB94" s="786"/>
      <c r="FFC94" s="786"/>
      <c r="FFD94" s="786"/>
      <c r="FFE94" s="786"/>
      <c r="FFF94" s="786"/>
      <c r="FFG94" s="786"/>
      <c r="FFH94" s="786"/>
      <c r="FFI94" s="786"/>
      <c r="FFJ94" s="786"/>
      <c r="FFK94" s="786"/>
      <c r="FFL94" s="786"/>
      <c r="FFM94" s="786"/>
      <c r="FFN94" s="786"/>
      <c r="FFO94" s="786"/>
      <c r="FFP94" s="786"/>
      <c r="FFQ94" s="786"/>
      <c r="FFR94" s="786"/>
      <c r="FFS94" s="786"/>
      <c r="FFT94" s="786"/>
      <c r="FFU94" s="786"/>
      <c r="FFV94" s="786"/>
      <c r="FFW94" s="786"/>
      <c r="FFX94" s="786"/>
      <c r="FFY94" s="786"/>
      <c r="FFZ94" s="786"/>
      <c r="FGA94" s="786"/>
      <c r="FGB94" s="786"/>
      <c r="FGC94" s="786"/>
      <c r="FGD94" s="786"/>
      <c r="FGE94" s="786"/>
      <c r="FGF94" s="786"/>
      <c r="FGG94" s="786"/>
      <c r="FGH94" s="786"/>
      <c r="FGI94" s="786"/>
      <c r="FGJ94" s="786"/>
      <c r="FGK94" s="786"/>
      <c r="FGL94" s="786"/>
      <c r="FGM94" s="786"/>
      <c r="FGN94" s="786"/>
      <c r="FGO94" s="786"/>
      <c r="FGP94" s="786"/>
      <c r="FGQ94" s="786"/>
      <c r="FGR94" s="786"/>
      <c r="FGS94" s="786"/>
      <c r="FGT94" s="786"/>
      <c r="FGU94" s="786"/>
      <c r="FGV94" s="786"/>
      <c r="FGW94" s="786"/>
      <c r="FGX94" s="786"/>
      <c r="FGY94" s="786"/>
      <c r="FGZ94" s="786"/>
      <c r="FHA94" s="786"/>
      <c r="FHB94" s="786"/>
      <c r="FHC94" s="786"/>
      <c r="FHD94" s="786"/>
      <c r="FHE94" s="786"/>
      <c r="FHF94" s="786"/>
      <c r="FHG94" s="786"/>
      <c r="FHH94" s="786"/>
      <c r="FHI94" s="786"/>
      <c r="FHJ94" s="786"/>
      <c r="FHK94" s="786"/>
      <c r="FHL94" s="786"/>
      <c r="FHM94" s="786"/>
      <c r="FHN94" s="786"/>
      <c r="FHO94" s="786"/>
      <c r="FHP94" s="786"/>
      <c r="FHQ94" s="786"/>
      <c r="FHR94" s="786"/>
      <c r="FHS94" s="786"/>
      <c r="FHT94" s="786"/>
      <c r="FHU94" s="786"/>
      <c r="FHV94" s="786"/>
      <c r="FHW94" s="786"/>
      <c r="FHX94" s="786"/>
      <c r="FHY94" s="786"/>
      <c r="FHZ94" s="786"/>
      <c r="FIA94" s="786"/>
      <c r="FIB94" s="786"/>
      <c r="FIC94" s="786"/>
      <c r="FID94" s="786"/>
      <c r="FIE94" s="786"/>
      <c r="FIF94" s="786"/>
      <c r="FIG94" s="786"/>
      <c r="FIH94" s="786"/>
      <c r="FII94" s="786"/>
      <c r="FIJ94" s="786"/>
      <c r="FIK94" s="786"/>
      <c r="FIL94" s="786"/>
      <c r="FIM94" s="786"/>
      <c r="FIN94" s="786"/>
      <c r="FIO94" s="786"/>
      <c r="FIP94" s="786"/>
      <c r="FIQ94" s="786"/>
      <c r="FIR94" s="786"/>
      <c r="FIS94" s="786"/>
      <c r="FIT94" s="786"/>
      <c r="FIU94" s="786"/>
      <c r="FIV94" s="786"/>
      <c r="FIW94" s="786"/>
      <c r="FIX94" s="786"/>
      <c r="FIY94" s="786"/>
      <c r="FIZ94" s="786"/>
      <c r="FJA94" s="786"/>
      <c r="FJB94" s="786"/>
      <c r="FJC94" s="786"/>
      <c r="FJD94" s="786"/>
      <c r="FJE94" s="786"/>
      <c r="FJF94" s="786"/>
      <c r="FJG94" s="786"/>
      <c r="FJH94" s="786"/>
      <c r="FJI94" s="786"/>
      <c r="FJJ94" s="786"/>
      <c r="FJK94" s="786"/>
      <c r="FJL94" s="786"/>
      <c r="FJM94" s="786"/>
      <c r="FJN94" s="786"/>
      <c r="FJO94" s="786"/>
      <c r="FJP94" s="786"/>
      <c r="FJQ94" s="786"/>
      <c r="FJR94" s="786"/>
      <c r="FJS94" s="786"/>
      <c r="FJT94" s="786"/>
      <c r="FJU94" s="786"/>
      <c r="FJV94" s="786"/>
      <c r="FJW94" s="786"/>
      <c r="FJX94" s="786"/>
      <c r="FJY94" s="786"/>
      <c r="FJZ94" s="786"/>
      <c r="FKA94" s="786"/>
      <c r="FKB94" s="786"/>
      <c r="FKC94" s="786"/>
      <c r="FKD94" s="786"/>
      <c r="FKE94" s="786"/>
      <c r="FKF94" s="786"/>
      <c r="FKG94" s="786"/>
      <c r="FKH94" s="786"/>
      <c r="FKI94" s="786"/>
      <c r="FKJ94" s="786"/>
      <c r="FKK94" s="786"/>
      <c r="FKL94" s="786"/>
      <c r="FKM94" s="786"/>
      <c r="FKN94" s="786"/>
      <c r="FKO94" s="786"/>
      <c r="FKP94" s="786"/>
      <c r="FKQ94" s="786"/>
      <c r="FKR94" s="786"/>
      <c r="FKS94" s="786"/>
      <c r="FKT94" s="786"/>
      <c r="FKU94" s="786"/>
      <c r="FKV94" s="786"/>
      <c r="FKW94" s="786"/>
      <c r="FKX94" s="786"/>
      <c r="FKY94" s="786"/>
      <c r="FKZ94" s="786"/>
      <c r="FLA94" s="786"/>
      <c r="FLB94" s="786"/>
      <c r="FLC94" s="786"/>
      <c r="FLD94" s="786"/>
      <c r="FLE94" s="786"/>
      <c r="FLF94" s="786"/>
      <c r="FLG94" s="786"/>
      <c r="FLH94" s="786"/>
      <c r="FLI94" s="786"/>
      <c r="FLJ94" s="786"/>
      <c r="FLK94" s="786"/>
      <c r="FLL94" s="786"/>
      <c r="FLM94" s="786"/>
      <c r="FLN94" s="786"/>
      <c r="FLO94" s="786"/>
      <c r="FLP94" s="786"/>
      <c r="FLQ94" s="786"/>
      <c r="FLR94" s="786"/>
      <c r="FLS94" s="786"/>
      <c r="FLT94" s="786"/>
      <c r="FLU94" s="786"/>
      <c r="FLV94" s="786"/>
      <c r="FLW94" s="786"/>
      <c r="FLX94" s="786"/>
      <c r="FLY94" s="786"/>
      <c r="FLZ94" s="786"/>
      <c r="FMA94" s="786"/>
      <c r="FMB94" s="786"/>
      <c r="FMC94" s="786"/>
      <c r="FMD94" s="786"/>
      <c r="FME94" s="786"/>
      <c r="FMF94" s="786"/>
      <c r="FMG94" s="786"/>
      <c r="FMH94" s="786"/>
      <c r="FMI94" s="786"/>
      <c r="FMJ94" s="786"/>
      <c r="FMK94" s="786"/>
      <c r="FML94" s="786"/>
      <c r="FMM94" s="786"/>
      <c r="FMN94" s="786"/>
      <c r="FMO94" s="786"/>
      <c r="FMP94" s="786"/>
      <c r="FMQ94" s="786"/>
      <c r="FMR94" s="786"/>
      <c r="FMS94" s="786"/>
      <c r="FMT94" s="786"/>
      <c r="FMU94" s="786"/>
      <c r="FMV94" s="786"/>
      <c r="FMW94" s="786"/>
      <c r="FMX94" s="786"/>
      <c r="FMY94" s="786"/>
      <c r="FMZ94" s="786"/>
      <c r="FNA94" s="786"/>
      <c r="FNB94" s="786"/>
      <c r="FNC94" s="786"/>
      <c r="FND94" s="786"/>
      <c r="FNE94" s="786"/>
      <c r="FNF94" s="786"/>
      <c r="FNG94" s="786"/>
      <c r="FNH94" s="786"/>
      <c r="FNI94" s="786"/>
      <c r="FNJ94" s="786"/>
      <c r="FNK94" s="786"/>
      <c r="FNL94" s="786"/>
      <c r="FNM94" s="786"/>
      <c r="FNN94" s="786"/>
      <c r="FNO94" s="786"/>
      <c r="FNP94" s="786"/>
      <c r="FNQ94" s="786"/>
      <c r="FNR94" s="786"/>
      <c r="FNS94" s="786"/>
      <c r="FNT94" s="786"/>
      <c r="FNU94" s="786"/>
      <c r="FNV94" s="786"/>
      <c r="FNW94" s="786"/>
      <c r="FNX94" s="786"/>
      <c r="FNY94" s="786"/>
      <c r="FNZ94" s="786"/>
      <c r="FOA94" s="786"/>
      <c r="FOB94" s="786"/>
      <c r="FOC94" s="786"/>
      <c r="FOD94" s="786"/>
      <c r="FOE94" s="786"/>
      <c r="FOF94" s="786"/>
      <c r="FOG94" s="786"/>
      <c r="FOH94" s="786"/>
      <c r="FOI94" s="786"/>
      <c r="FOJ94" s="786"/>
      <c r="FOK94" s="786"/>
      <c r="FOL94" s="786"/>
      <c r="FOM94" s="786"/>
      <c r="FON94" s="786"/>
      <c r="FOO94" s="786"/>
      <c r="FOP94" s="786"/>
      <c r="FOQ94" s="786"/>
      <c r="FOR94" s="786"/>
      <c r="FOS94" s="786"/>
      <c r="FOT94" s="786"/>
      <c r="FOU94" s="786"/>
      <c r="FOV94" s="786"/>
      <c r="FOW94" s="786"/>
      <c r="FOX94" s="786"/>
      <c r="FOY94" s="786"/>
      <c r="FOZ94" s="786"/>
      <c r="FPA94" s="786"/>
      <c r="FPB94" s="786"/>
      <c r="FPC94" s="786"/>
      <c r="FPD94" s="786"/>
      <c r="FPE94" s="786"/>
      <c r="FPF94" s="786"/>
      <c r="FPG94" s="786"/>
      <c r="FPH94" s="786"/>
      <c r="FPI94" s="786"/>
      <c r="FPJ94" s="786"/>
      <c r="FPK94" s="786"/>
      <c r="FPL94" s="786"/>
      <c r="FPM94" s="786"/>
      <c r="FPN94" s="786"/>
      <c r="FPO94" s="786"/>
      <c r="FPP94" s="786"/>
      <c r="FPQ94" s="786"/>
      <c r="FPR94" s="786"/>
      <c r="FPS94" s="786"/>
      <c r="FPT94" s="786"/>
      <c r="FPU94" s="786"/>
      <c r="FPV94" s="786"/>
      <c r="FPW94" s="786"/>
      <c r="FPX94" s="786"/>
      <c r="FPY94" s="786"/>
      <c r="FPZ94" s="786"/>
      <c r="FQA94" s="786"/>
      <c r="FQB94" s="786"/>
      <c r="FQC94" s="786"/>
      <c r="FQD94" s="786"/>
      <c r="FQE94" s="786"/>
      <c r="FQF94" s="786"/>
      <c r="FQG94" s="786"/>
      <c r="FQH94" s="786"/>
      <c r="FQI94" s="786"/>
      <c r="FQJ94" s="786"/>
      <c r="FQK94" s="786"/>
      <c r="FQL94" s="786"/>
      <c r="FQM94" s="786"/>
      <c r="FQN94" s="786"/>
      <c r="FQO94" s="786"/>
      <c r="FQP94" s="786"/>
      <c r="FQQ94" s="786"/>
      <c r="FQR94" s="786"/>
      <c r="FQS94" s="786"/>
      <c r="FQT94" s="786"/>
      <c r="FQU94" s="786"/>
      <c r="FQV94" s="786"/>
      <c r="FQW94" s="786"/>
      <c r="FQX94" s="786"/>
      <c r="FQY94" s="786"/>
      <c r="FQZ94" s="786"/>
      <c r="FRA94" s="786"/>
      <c r="FRB94" s="786"/>
      <c r="FRC94" s="786"/>
      <c r="FRD94" s="786"/>
      <c r="FRE94" s="786"/>
      <c r="FRF94" s="786"/>
      <c r="FRG94" s="786"/>
      <c r="FRH94" s="786"/>
      <c r="FRI94" s="786"/>
      <c r="FRJ94" s="786"/>
      <c r="FRK94" s="786"/>
      <c r="FRL94" s="786"/>
      <c r="FRM94" s="786"/>
      <c r="FRN94" s="786"/>
      <c r="FRO94" s="786"/>
      <c r="FRP94" s="786"/>
      <c r="FRQ94" s="786"/>
      <c r="FRR94" s="786"/>
      <c r="FRS94" s="786"/>
      <c r="FRT94" s="786"/>
      <c r="FRU94" s="786"/>
      <c r="FRV94" s="786"/>
      <c r="FRW94" s="786"/>
      <c r="FRX94" s="786"/>
      <c r="FRY94" s="786"/>
      <c r="FRZ94" s="786"/>
      <c r="FSA94" s="786"/>
      <c r="FSB94" s="786"/>
      <c r="FSC94" s="786"/>
      <c r="FSD94" s="786"/>
      <c r="FSE94" s="786"/>
      <c r="FSF94" s="786"/>
      <c r="FSG94" s="786"/>
      <c r="FSH94" s="786"/>
      <c r="FSI94" s="786"/>
      <c r="FSJ94" s="786"/>
      <c r="FSK94" s="786"/>
      <c r="FSL94" s="786"/>
      <c r="FSM94" s="786"/>
      <c r="FSN94" s="786"/>
      <c r="FSO94" s="786"/>
      <c r="FSP94" s="786"/>
      <c r="FSQ94" s="786"/>
      <c r="FSR94" s="786"/>
      <c r="FSS94" s="786"/>
      <c r="FST94" s="786"/>
      <c r="FSU94" s="786"/>
      <c r="FSV94" s="786"/>
      <c r="FSW94" s="786"/>
      <c r="FSX94" s="786"/>
      <c r="FSY94" s="786"/>
      <c r="FSZ94" s="786"/>
      <c r="FTA94" s="786"/>
      <c r="FTB94" s="786"/>
      <c r="FTC94" s="786"/>
      <c r="FTD94" s="786"/>
      <c r="FTE94" s="786"/>
      <c r="FTF94" s="786"/>
      <c r="FTG94" s="786"/>
      <c r="FTH94" s="786"/>
      <c r="FTI94" s="786"/>
      <c r="FTJ94" s="786"/>
      <c r="FTK94" s="786"/>
      <c r="FTL94" s="786"/>
      <c r="FTM94" s="786"/>
      <c r="FTN94" s="786"/>
      <c r="FTO94" s="786"/>
      <c r="FTP94" s="786"/>
      <c r="FTQ94" s="786"/>
      <c r="FTR94" s="786"/>
      <c r="FTS94" s="786"/>
      <c r="FTT94" s="786"/>
      <c r="FTU94" s="786"/>
      <c r="FTV94" s="786"/>
      <c r="FTW94" s="786"/>
      <c r="FTX94" s="786"/>
      <c r="FTY94" s="786"/>
      <c r="FTZ94" s="786"/>
      <c r="FUA94" s="786"/>
      <c r="FUB94" s="786"/>
      <c r="FUC94" s="786"/>
      <c r="FUD94" s="786"/>
      <c r="FUE94" s="786"/>
      <c r="FUF94" s="786"/>
      <c r="FUG94" s="786"/>
      <c r="FUH94" s="786"/>
      <c r="FUI94" s="786"/>
      <c r="FUJ94" s="786"/>
      <c r="FUK94" s="786"/>
      <c r="FUL94" s="786"/>
      <c r="FUM94" s="786"/>
      <c r="FUN94" s="786"/>
      <c r="FUO94" s="786"/>
      <c r="FUP94" s="786"/>
      <c r="FUQ94" s="786"/>
      <c r="FUR94" s="786"/>
      <c r="FUS94" s="786"/>
      <c r="FUT94" s="786"/>
      <c r="FUU94" s="786"/>
      <c r="FUV94" s="786"/>
      <c r="FUW94" s="786"/>
      <c r="FUX94" s="786"/>
      <c r="FUY94" s="786"/>
      <c r="FUZ94" s="786"/>
      <c r="FVA94" s="786"/>
      <c r="FVB94" s="786"/>
      <c r="FVC94" s="786"/>
      <c r="FVD94" s="786"/>
      <c r="FVE94" s="786"/>
      <c r="FVF94" s="786"/>
      <c r="FVG94" s="786"/>
      <c r="FVH94" s="786"/>
      <c r="FVI94" s="786"/>
      <c r="FVJ94" s="786"/>
      <c r="FVK94" s="786"/>
      <c r="FVL94" s="786"/>
      <c r="FVM94" s="786"/>
      <c r="FVN94" s="786"/>
      <c r="FVO94" s="786"/>
      <c r="FVP94" s="786"/>
      <c r="FVQ94" s="786"/>
      <c r="FVR94" s="786"/>
      <c r="FVS94" s="786"/>
      <c r="FVT94" s="786"/>
      <c r="FVU94" s="786"/>
      <c r="FVV94" s="786"/>
      <c r="FVW94" s="786"/>
      <c r="FVX94" s="786"/>
      <c r="FVY94" s="786"/>
      <c r="FVZ94" s="786"/>
      <c r="FWA94" s="786"/>
      <c r="FWB94" s="786"/>
      <c r="FWC94" s="786"/>
      <c r="FWD94" s="786"/>
      <c r="FWE94" s="786"/>
      <c r="FWF94" s="786"/>
      <c r="FWG94" s="786"/>
      <c r="FWH94" s="786"/>
      <c r="FWI94" s="786"/>
      <c r="FWJ94" s="786"/>
      <c r="FWK94" s="786"/>
      <c r="FWL94" s="786"/>
      <c r="FWM94" s="786"/>
      <c r="FWN94" s="786"/>
      <c r="FWO94" s="786"/>
      <c r="FWP94" s="786"/>
      <c r="FWQ94" s="786"/>
      <c r="FWR94" s="786"/>
      <c r="FWS94" s="786"/>
      <c r="FWT94" s="786"/>
      <c r="FWU94" s="786"/>
      <c r="FWV94" s="786"/>
      <c r="FWW94" s="786"/>
      <c r="FWX94" s="786"/>
      <c r="FWY94" s="786"/>
      <c r="FWZ94" s="786"/>
      <c r="FXA94" s="786"/>
      <c r="FXB94" s="786"/>
      <c r="FXC94" s="786"/>
      <c r="FXD94" s="786"/>
      <c r="FXE94" s="786"/>
      <c r="FXF94" s="786"/>
      <c r="FXG94" s="786"/>
      <c r="FXH94" s="786"/>
      <c r="FXI94" s="786"/>
      <c r="FXJ94" s="786"/>
      <c r="FXK94" s="786"/>
      <c r="FXL94" s="786"/>
      <c r="FXM94" s="786"/>
      <c r="FXN94" s="786"/>
      <c r="FXO94" s="786"/>
      <c r="FXP94" s="786"/>
      <c r="FXQ94" s="786"/>
      <c r="FXR94" s="786"/>
      <c r="FXS94" s="786"/>
      <c r="FXT94" s="786"/>
      <c r="FXU94" s="786"/>
      <c r="FXV94" s="786"/>
      <c r="FXW94" s="786"/>
      <c r="FXX94" s="786"/>
      <c r="FXY94" s="786"/>
      <c r="FXZ94" s="786"/>
      <c r="FYA94" s="786"/>
      <c r="FYB94" s="786"/>
      <c r="FYC94" s="786"/>
      <c r="FYD94" s="786"/>
      <c r="FYE94" s="786"/>
      <c r="FYF94" s="786"/>
      <c r="FYG94" s="786"/>
      <c r="FYH94" s="786"/>
      <c r="FYI94" s="786"/>
      <c r="FYJ94" s="786"/>
      <c r="FYK94" s="786"/>
      <c r="FYL94" s="786"/>
      <c r="FYM94" s="786"/>
      <c r="FYN94" s="786"/>
      <c r="FYO94" s="786"/>
      <c r="FYP94" s="786"/>
      <c r="FYQ94" s="786"/>
      <c r="FYR94" s="786"/>
      <c r="FYS94" s="786"/>
      <c r="FYT94" s="786"/>
      <c r="FYU94" s="786"/>
      <c r="FYV94" s="786"/>
      <c r="FYW94" s="786"/>
      <c r="FYX94" s="786"/>
      <c r="FYY94" s="786"/>
      <c r="FYZ94" s="786"/>
      <c r="FZA94" s="786"/>
      <c r="FZB94" s="786"/>
      <c r="FZC94" s="786"/>
      <c r="FZD94" s="786"/>
      <c r="FZE94" s="786"/>
      <c r="FZF94" s="786"/>
      <c r="FZG94" s="786"/>
      <c r="FZH94" s="786"/>
      <c r="FZI94" s="786"/>
      <c r="FZJ94" s="786"/>
      <c r="FZK94" s="786"/>
      <c r="FZL94" s="786"/>
      <c r="FZM94" s="786"/>
      <c r="FZN94" s="786"/>
      <c r="FZO94" s="786"/>
      <c r="FZP94" s="786"/>
      <c r="FZQ94" s="786"/>
      <c r="FZR94" s="786"/>
      <c r="FZS94" s="786"/>
      <c r="FZT94" s="786"/>
      <c r="FZU94" s="786"/>
      <c r="FZV94" s="786"/>
      <c r="FZW94" s="786"/>
      <c r="FZX94" s="786"/>
      <c r="FZY94" s="786"/>
      <c r="FZZ94" s="786"/>
      <c r="GAA94" s="786"/>
      <c r="GAB94" s="786"/>
      <c r="GAC94" s="786"/>
      <c r="GAD94" s="786"/>
      <c r="GAE94" s="786"/>
      <c r="GAF94" s="786"/>
      <c r="GAG94" s="786"/>
      <c r="GAH94" s="786"/>
      <c r="GAI94" s="786"/>
      <c r="GAJ94" s="786"/>
      <c r="GAK94" s="786"/>
      <c r="GAL94" s="786"/>
      <c r="GAM94" s="786"/>
      <c r="GAN94" s="786"/>
      <c r="GAO94" s="786"/>
      <c r="GAP94" s="786"/>
      <c r="GAQ94" s="786"/>
      <c r="GAR94" s="786"/>
      <c r="GAS94" s="786"/>
      <c r="GAT94" s="786"/>
      <c r="GAU94" s="786"/>
      <c r="GAV94" s="786"/>
      <c r="GAW94" s="786"/>
      <c r="GAX94" s="786"/>
      <c r="GAY94" s="786"/>
      <c r="GAZ94" s="786"/>
      <c r="GBA94" s="786"/>
      <c r="GBB94" s="786"/>
      <c r="GBC94" s="786"/>
      <c r="GBD94" s="786"/>
      <c r="GBE94" s="786"/>
      <c r="GBF94" s="786"/>
      <c r="GBG94" s="786"/>
      <c r="GBH94" s="786"/>
      <c r="GBI94" s="786"/>
      <c r="GBJ94" s="786"/>
      <c r="GBK94" s="786"/>
      <c r="GBL94" s="786"/>
      <c r="GBM94" s="786"/>
      <c r="GBN94" s="786"/>
      <c r="GBO94" s="786"/>
      <c r="GBP94" s="786"/>
      <c r="GBQ94" s="786"/>
      <c r="GBR94" s="786"/>
      <c r="GBS94" s="786"/>
      <c r="GBT94" s="786"/>
      <c r="GBU94" s="786"/>
      <c r="GBV94" s="786"/>
      <c r="GBW94" s="786"/>
      <c r="GBX94" s="786"/>
      <c r="GBY94" s="786"/>
      <c r="GBZ94" s="786"/>
      <c r="GCA94" s="786"/>
      <c r="GCB94" s="786"/>
      <c r="GCC94" s="786"/>
      <c r="GCD94" s="786"/>
      <c r="GCE94" s="786"/>
      <c r="GCF94" s="786"/>
      <c r="GCG94" s="786"/>
      <c r="GCH94" s="786"/>
      <c r="GCI94" s="786"/>
      <c r="GCJ94" s="786"/>
      <c r="GCK94" s="786"/>
      <c r="GCL94" s="786"/>
      <c r="GCM94" s="786"/>
      <c r="GCN94" s="786"/>
      <c r="GCO94" s="786"/>
      <c r="GCP94" s="786"/>
      <c r="GCQ94" s="786"/>
      <c r="GCR94" s="786"/>
      <c r="GCS94" s="786"/>
      <c r="GCT94" s="786"/>
      <c r="GCU94" s="786"/>
      <c r="GCV94" s="786"/>
      <c r="GCW94" s="786"/>
      <c r="GCX94" s="786"/>
      <c r="GCY94" s="786"/>
      <c r="GCZ94" s="786"/>
      <c r="GDA94" s="786"/>
      <c r="GDB94" s="786"/>
      <c r="GDC94" s="786"/>
      <c r="GDD94" s="786"/>
      <c r="GDE94" s="786"/>
      <c r="GDF94" s="786"/>
      <c r="GDG94" s="786"/>
      <c r="GDH94" s="786"/>
      <c r="GDI94" s="786"/>
      <c r="GDJ94" s="786"/>
      <c r="GDK94" s="786"/>
      <c r="GDL94" s="786"/>
      <c r="GDM94" s="786"/>
      <c r="GDN94" s="786"/>
      <c r="GDO94" s="786"/>
      <c r="GDP94" s="786"/>
      <c r="GDQ94" s="786"/>
      <c r="GDR94" s="786"/>
      <c r="GDS94" s="786"/>
      <c r="GDT94" s="786"/>
      <c r="GDU94" s="786"/>
      <c r="GDV94" s="786"/>
      <c r="GDW94" s="786"/>
      <c r="GDX94" s="786"/>
      <c r="GDY94" s="786"/>
      <c r="GDZ94" s="786"/>
      <c r="GEA94" s="786"/>
      <c r="GEB94" s="786"/>
      <c r="GEC94" s="786"/>
      <c r="GED94" s="786"/>
      <c r="GEE94" s="786"/>
      <c r="GEF94" s="786"/>
      <c r="GEG94" s="786"/>
      <c r="GEH94" s="786"/>
      <c r="GEI94" s="786"/>
      <c r="GEJ94" s="786"/>
      <c r="GEK94" s="786"/>
      <c r="GEL94" s="786"/>
      <c r="GEM94" s="786"/>
      <c r="GEN94" s="786"/>
      <c r="GEO94" s="786"/>
      <c r="GEP94" s="786"/>
      <c r="GEQ94" s="786"/>
      <c r="GER94" s="786"/>
      <c r="GES94" s="786"/>
      <c r="GET94" s="786"/>
      <c r="GEU94" s="786"/>
      <c r="GEV94" s="786"/>
      <c r="GEW94" s="786"/>
      <c r="GEX94" s="786"/>
      <c r="GEY94" s="786"/>
      <c r="GEZ94" s="786"/>
      <c r="GFA94" s="786"/>
      <c r="GFB94" s="786"/>
      <c r="GFC94" s="786"/>
      <c r="GFD94" s="786"/>
      <c r="GFE94" s="786"/>
      <c r="GFF94" s="786"/>
      <c r="GFG94" s="786"/>
      <c r="GFH94" s="786"/>
      <c r="GFI94" s="786"/>
      <c r="GFJ94" s="786"/>
      <c r="GFK94" s="786"/>
      <c r="GFL94" s="786"/>
      <c r="GFM94" s="786"/>
      <c r="GFN94" s="786"/>
      <c r="GFO94" s="786"/>
      <c r="GFP94" s="786"/>
      <c r="GFQ94" s="786"/>
      <c r="GFR94" s="786"/>
      <c r="GFS94" s="786"/>
      <c r="GFT94" s="786"/>
      <c r="GFU94" s="786"/>
      <c r="GFV94" s="786"/>
      <c r="GFW94" s="786"/>
      <c r="GFX94" s="786"/>
      <c r="GFY94" s="786"/>
      <c r="GFZ94" s="786"/>
      <c r="GGA94" s="786"/>
      <c r="GGB94" s="786"/>
      <c r="GGC94" s="786"/>
      <c r="GGD94" s="786"/>
      <c r="GGE94" s="786"/>
      <c r="GGF94" s="786"/>
      <c r="GGG94" s="786"/>
      <c r="GGH94" s="786"/>
      <c r="GGI94" s="786"/>
      <c r="GGJ94" s="786"/>
      <c r="GGK94" s="786"/>
      <c r="GGL94" s="786"/>
      <c r="GGM94" s="786"/>
      <c r="GGN94" s="786"/>
      <c r="GGO94" s="786"/>
      <c r="GGP94" s="786"/>
      <c r="GGQ94" s="786"/>
      <c r="GGR94" s="786"/>
      <c r="GGS94" s="786"/>
      <c r="GGT94" s="786"/>
      <c r="GGU94" s="786"/>
      <c r="GGV94" s="786"/>
      <c r="GGW94" s="786"/>
      <c r="GGX94" s="786"/>
      <c r="GGY94" s="786"/>
      <c r="GGZ94" s="786"/>
      <c r="GHA94" s="786"/>
      <c r="GHB94" s="786"/>
      <c r="GHC94" s="786"/>
      <c r="GHD94" s="786"/>
      <c r="GHE94" s="786"/>
      <c r="GHF94" s="786"/>
      <c r="GHG94" s="786"/>
      <c r="GHH94" s="786"/>
      <c r="GHI94" s="786"/>
      <c r="GHJ94" s="786"/>
      <c r="GHK94" s="786"/>
      <c r="GHL94" s="786"/>
      <c r="GHM94" s="786"/>
      <c r="GHN94" s="786"/>
      <c r="GHO94" s="786"/>
      <c r="GHP94" s="786"/>
      <c r="GHQ94" s="786"/>
      <c r="GHR94" s="786"/>
      <c r="GHS94" s="786"/>
      <c r="GHT94" s="786"/>
      <c r="GHU94" s="786"/>
      <c r="GHV94" s="786"/>
      <c r="GHW94" s="786"/>
      <c r="GHX94" s="786"/>
      <c r="GHY94" s="786"/>
      <c r="GHZ94" s="786"/>
      <c r="GIA94" s="786"/>
      <c r="GIB94" s="786"/>
      <c r="GIC94" s="786"/>
      <c r="GID94" s="786"/>
      <c r="GIE94" s="786"/>
      <c r="GIF94" s="786"/>
      <c r="GIG94" s="786"/>
      <c r="GIH94" s="786"/>
      <c r="GII94" s="786"/>
      <c r="GIJ94" s="786"/>
      <c r="GIK94" s="786"/>
      <c r="GIL94" s="786"/>
      <c r="GIM94" s="786"/>
      <c r="GIN94" s="786"/>
      <c r="GIO94" s="786"/>
      <c r="GIP94" s="786"/>
      <c r="GIQ94" s="786"/>
      <c r="GIR94" s="786"/>
      <c r="GIS94" s="786"/>
      <c r="GIT94" s="786"/>
      <c r="GIU94" s="786"/>
      <c r="GIV94" s="786"/>
      <c r="GIW94" s="786"/>
      <c r="GIX94" s="786"/>
      <c r="GIY94" s="786"/>
      <c r="GIZ94" s="786"/>
      <c r="GJA94" s="786"/>
      <c r="GJB94" s="786"/>
      <c r="GJC94" s="786"/>
      <c r="GJD94" s="786"/>
      <c r="GJE94" s="786"/>
      <c r="GJF94" s="786"/>
      <c r="GJG94" s="786"/>
      <c r="GJH94" s="786"/>
      <c r="GJI94" s="786"/>
      <c r="GJJ94" s="786"/>
      <c r="GJK94" s="786"/>
      <c r="GJL94" s="786"/>
      <c r="GJM94" s="786"/>
      <c r="GJN94" s="786"/>
      <c r="GJO94" s="786"/>
      <c r="GJP94" s="786"/>
      <c r="GJQ94" s="786"/>
      <c r="GJR94" s="786"/>
      <c r="GJS94" s="786"/>
      <c r="GJT94" s="786"/>
      <c r="GJU94" s="786"/>
      <c r="GJV94" s="786"/>
      <c r="GJW94" s="786"/>
      <c r="GJX94" s="786"/>
      <c r="GJY94" s="786"/>
      <c r="GJZ94" s="786"/>
      <c r="GKA94" s="786"/>
      <c r="GKB94" s="786"/>
      <c r="GKC94" s="786"/>
      <c r="GKD94" s="786"/>
      <c r="GKE94" s="786"/>
      <c r="GKF94" s="786"/>
      <c r="GKG94" s="786"/>
      <c r="GKH94" s="786"/>
      <c r="GKI94" s="786"/>
      <c r="GKJ94" s="786"/>
      <c r="GKK94" s="786"/>
      <c r="GKL94" s="786"/>
      <c r="GKM94" s="786"/>
      <c r="GKN94" s="786"/>
      <c r="GKO94" s="786"/>
      <c r="GKP94" s="786"/>
      <c r="GKQ94" s="786"/>
      <c r="GKR94" s="786"/>
      <c r="GKS94" s="786"/>
      <c r="GKT94" s="786"/>
      <c r="GKU94" s="786"/>
      <c r="GKV94" s="786"/>
      <c r="GKW94" s="786"/>
      <c r="GKX94" s="786"/>
      <c r="GKY94" s="786"/>
      <c r="GKZ94" s="786"/>
      <c r="GLA94" s="786"/>
      <c r="GLB94" s="786"/>
      <c r="GLC94" s="786"/>
      <c r="GLD94" s="786"/>
      <c r="GLE94" s="786"/>
      <c r="GLF94" s="786"/>
      <c r="GLG94" s="786"/>
      <c r="GLH94" s="786"/>
      <c r="GLI94" s="786"/>
      <c r="GLJ94" s="786"/>
      <c r="GLK94" s="786"/>
      <c r="GLL94" s="786"/>
      <c r="GLM94" s="786"/>
      <c r="GLN94" s="786"/>
      <c r="GLO94" s="786"/>
      <c r="GLP94" s="786"/>
      <c r="GLQ94" s="786"/>
      <c r="GLR94" s="786"/>
      <c r="GLS94" s="786"/>
      <c r="GLT94" s="786"/>
      <c r="GLU94" s="786"/>
      <c r="GLV94" s="786"/>
      <c r="GLW94" s="786"/>
      <c r="GLX94" s="786"/>
      <c r="GLY94" s="786"/>
      <c r="GLZ94" s="786"/>
      <c r="GMA94" s="786"/>
      <c r="GMB94" s="786"/>
      <c r="GMC94" s="786"/>
      <c r="GMD94" s="786"/>
      <c r="GME94" s="786"/>
      <c r="GMF94" s="786"/>
      <c r="GMG94" s="786"/>
      <c r="GMH94" s="786"/>
      <c r="GMI94" s="786"/>
      <c r="GMJ94" s="786"/>
      <c r="GMK94" s="786"/>
      <c r="GML94" s="786"/>
      <c r="GMM94" s="786"/>
      <c r="GMN94" s="786"/>
      <c r="GMO94" s="786"/>
      <c r="GMP94" s="786"/>
      <c r="GMQ94" s="786"/>
      <c r="GMR94" s="786"/>
      <c r="GMS94" s="786"/>
      <c r="GMT94" s="786"/>
      <c r="GMU94" s="786"/>
      <c r="GMV94" s="786"/>
      <c r="GMW94" s="786"/>
      <c r="GMX94" s="786"/>
      <c r="GMY94" s="786"/>
      <c r="GMZ94" s="786"/>
      <c r="GNA94" s="786"/>
      <c r="GNB94" s="786"/>
      <c r="GNC94" s="786"/>
      <c r="GND94" s="786"/>
      <c r="GNE94" s="786"/>
      <c r="GNF94" s="786"/>
      <c r="GNG94" s="786"/>
      <c r="GNH94" s="786"/>
      <c r="GNI94" s="786"/>
      <c r="GNJ94" s="786"/>
      <c r="GNK94" s="786"/>
      <c r="GNL94" s="786"/>
      <c r="GNM94" s="786"/>
      <c r="GNN94" s="786"/>
      <c r="GNO94" s="786"/>
      <c r="GNP94" s="786"/>
      <c r="GNQ94" s="786"/>
      <c r="GNR94" s="786"/>
      <c r="GNS94" s="786"/>
      <c r="GNT94" s="786"/>
      <c r="GNU94" s="786"/>
      <c r="GNV94" s="786"/>
      <c r="GNW94" s="786"/>
      <c r="GNX94" s="786"/>
      <c r="GNY94" s="786"/>
      <c r="GNZ94" s="786"/>
      <c r="GOA94" s="786"/>
      <c r="GOB94" s="786"/>
      <c r="GOC94" s="786"/>
      <c r="GOD94" s="786"/>
      <c r="GOE94" s="786"/>
      <c r="GOF94" s="786"/>
      <c r="GOG94" s="786"/>
      <c r="GOH94" s="786"/>
      <c r="GOI94" s="786"/>
      <c r="GOJ94" s="786"/>
      <c r="GOK94" s="786"/>
      <c r="GOL94" s="786"/>
      <c r="GOM94" s="786"/>
      <c r="GON94" s="786"/>
      <c r="GOO94" s="786"/>
      <c r="GOP94" s="786"/>
      <c r="GOQ94" s="786"/>
      <c r="GOR94" s="786"/>
      <c r="GOS94" s="786"/>
      <c r="GOT94" s="786"/>
      <c r="GOU94" s="786"/>
      <c r="GOV94" s="786"/>
      <c r="GOW94" s="786"/>
      <c r="GOX94" s="786"/>
      <c r="GOY94" s="786"/>
      <c r="GOZ94" s="786"/>
      <c r="GPA94" s="786"/>
      <c r="GPB94" s="786"/>
      <c r="GPC94" s="786"/>
      <c r="GPD94" s="786"/>
      <c r="GPE94" s="786"/>
      <c r="GPF94" s="786"/>
      <c r="GPG94" s="786"/>
      <c r="GPH94" s="786"/>
      <c r="GPI94" s="786"/>
      <c r="GPJ94" s="786"/>
      <c r="GPK94" s="786"/>
      <c r="GPL94" s="786"/>
      <c r="GPM94" s="786"/>
      <c r="GPN94" s="786"/>
      <c r="GPO94" s="786"/>
      <c r="GPP94" s="786"/>
      <c r="GPQ94" s="786"/>
      <c r="GPR94" s="786"/>
      <c r="GPS94" s="786"/>
      <c r="GPT94" s="786"/>
      <c r="GPU94" s="786"/>
      <c r="GPV94" s="786"/>
      <c r="GPW94" s="786"/>
      <c r="GPX94" s="786"/>
      <c r="GPY94" s="786"/>
      <c r="GPZ94" s="786"/>
      <c r="GQA94" s="786"/>
      <c r="GQB94" s="786"/>
      <c r="GQC94" s="786"/>
      <c r="GQD94" s="786"/>
      <c r="GQE94" s="786"/>
      <c r="GQF94" s="786"/>
      <c r="GQG94" s="786"/>
      <c r="GQH94" s="786"/>
      <c r="GQI94" s="786"/>
      <c r="GQJ94" s="786"/>
      <c r="GQK94" s="786"/>
      <c r="GQL94" s="786"/>
      <c r="GQM94" s="786"/>
      <c r="GQN94" s="786"/>
      <c r="GQO94" s="786"/>
      <c r="GQP94" s="786"/>
      <c r="GQQ94" s="786"/>
      <c r="GQR94" s="786"/>
      <c r="GQS94" s="786"/>
      <c r="GQT94" s="786"/>
      <c r="GQU94" s="786"/>
      <c r="GQV94" s="786"/>
      <c r="GQW94" s="786"/>
      <c r="GQX94" s="786"/>
      <c r="GQY94" s="786"/>
      <c r="GQZ94" s="786"/>
      <c r="GRA94" s="786"/>
      <c r="GRB94" s="786"/>
      <c r="GRC94" s="786"/>
      <c r="GRD94" s="786"/>
      <c r="GRE94" s="786"/>
      <c r="GRF94" s="786"/>
      <c r="GRG94" s="786"/>
      <c r="GRH94" s="786"/>
      <c r="GRI94" s="786"/>
      <c r="GRJ94" s="786"/>
      <c r="GRK94" s="786"/>
      <c r="GRL94" s="786"/>
      <c r="GRM94" s="786"/>
      <c r="GRN94" s="786"/>
      <c r="GRO94" s="786"/>
      <c r="GRP94" s="786"/>
      <c r="GRQ94" s="786"/>
      <c r="GRR94" s="786"/>
      <c r="GRS94" s="786"/>
      <c r="GRT94" s="786"/>
      <c r="GRU94" s="786"/>
      <c r="GRV94" s="786"/>
      <c r="GRW94" s="786"/>
      <c r="GRX94" s="786"/>
      <c r="GRY94" s="786"/>
      <c r="GRZ94" s="786"/>
      <c r="GSA94" s="786"/>
      <c r="GSB94" s="786"/>
      <c r="GSC94" s="786"/>
      <c r="GSD94" s="786"/>
      <c r="GSE94" s="786"/>
      <c r="GSF94" s="786"/>
      <c r="GSG94" s="786"/>
      <c r="GSH94" s="786"/>
      <c r="GSI94" s="786"/>
      <c r="GSJ94" s="786"/>
      <c r="GSK94" s="786"/>
      <c r="GSL94" s="786"/>
      <c r="GSM94" s="786"/>
      <c r="GSN94" s="786"/>
      <c r="GSO94" s="786"/>
      <c r="GSP94" s="786"/>
      <c r="GSQ94" s="786"/>
      <c r="GSR94" s="786"/>
      <c r="GSS94" s="786"/>
      <c r="GST94" s="786"/>
      <c r="GSU94" s="786"/>
      <c r="GSV94" s="786"/>
      <c r="GSW94" s="786"/>
      <c r="GSX94" s="786"/>
      <c r="GSY94" s="786"/>
      <c r="GSZ94" s="786"/>
      <c r="GTA94" s="786"/>
      <c r="GTB94" s="786"/>
      <c r="GTC94" s="786"/>
      <c r="GTD94" s="786"/>
      <c r="GTE94" s="786"/>
      <c r="GTF94" s="786"/>
      <c r="GTG94" s="786"/>
      <c r="GTH94" s="786"/>
      <c r="GTI94" s="786"/>
      <c r="GTJ94" s="786"/>
      <c r="GTK94" s="786"/>
      <c r="GTL94" s="786"/>
      <c r="GTM94" s="786"/>
      <c r="GTN94" s="786"/>
      <c r="GTO94" s="786"/>
      <c r="GTP94" s="786"/>
      <c r="GTQ94" s="786"/>
      <c r="GTR94" s="786"/>
      <c r="GTS94" s="786"/>
      <c r="GTT94" s="786"/>
      <c r="GTU94" s="786"/>
      <c r="GTV94" s="786"/>
      <c r="GTW94" s="786"/>
      <c r="GTX94" s="786"/>
      <c r="GTY94" s="786"/>
      <c r="GTZ94" s="786"/>
      <c r="GUA94" s="786"/>
      <c r="GUB94" s="786"/>
      <c r="GUC94" s="786"/>
      <c r="GUD94" s="786"/>
      <c r="GUE94" s="786"/>
      <c r="GUF94" s="786"/>
      <c r="GUG94" s="786"/>
      <c r="GUH94" s="786"/>
      <c r="GUI94" s="786"/>
      <c r="GUJ94" s="786"/>
      <c r="GUK94" s="786"/>
      <c r="GUL94" s="786"/>
      <c r="GUM94" s="786"/>
      <c r="GUN94" s="786"/>
      <c r="GUO94" s="786"/>
      <c r="GUP94" s="786"/>
      <c r="GUQ94" s="786"/>
      <c r="GUR94" s="786"/>
      <c r="GUS94" s="786"/>
      <c r="GUT94" s="786"/>
      <c r="GUU94" s="786"/>
      <c r="GUV94" s="786"/>
      <c r="GUW94" s="786"/>
      <c r="GUX94" s="786"/>
      <c r="GUY94" s="786"/>
      <c r="GUZ94" s="786"/>
      <c r="GVA94" s="786"/>
      <c r="GVB94" s="786"/>
      <c r="GVC94" s="786"/>
      <c r="GVD94" s="786"/>
      <c r="GVE94" s="786"/>
      <c r="GVF94" s="786"/>
      <c r="GVG94" s="786"/>
      <c r="GVH94" s="786"/>
      <c r="GVI94" s="786"/>
      <c r="GVJ94" s="786"/>
      <c r="GVK94" s="786"/>
      <c r="GVL94" s="786"/>
      <c r="GVM94" s="786"/>
      <c r="GVN94" s="786"/>
      <c r="GVO94" s="786"/>
      <c r="GVP94" s="786"/>
      <c r="GVQ94" s="786"/>
      <c r="GVR94" s="786"/>
      <c r="GVS94" s="786"/>
      <c r="GVT94" s="786"/>
      <c r="GVU94" s="786"/>
      <c r="GVV94" s="786"/>
      <c r="GVW94" s="786"/>
      <c r="GVX94" s="786"/>
      <c r="GVY94" s="786"/>
      <c r="GVZ94" s="786"/>
      <c r="GWA94" s="786"/>
      <c r="GWB94" s="786"/>
      <c r="GWC94" s="786"/>
      <c r="GWD94" s="786"/>
      <c r="GWE94" s="786"/>
      <c r="GWF94" s="786"/>
      <c r="GWG94" s="786"/>
      <c r="GWH94" s="786"/>
      <c r="GWI94" s="786"/>
      <c r="GWJ94" s="786"/>
      <c r="GWK94" s="786"/>
      <c r="GWL94" s="786"/>
      <c r="GWM94" s="786"/>
      <c r="GWN94" s="786"/>
      <c r="GWO94" s="786"/>
      <c r="GWP94" s="786"/>
      <c r="GWQ94" s="786"/>
      <c r="GWR94" s="786"/>
      <c r="GWS94" s="786"/>
      <c r="GWT94" s="786"/>
      <c r="GWU94" s="786"/>
      <c r="GWV94" s="786"/>
      <c r="GWW94" s="786"/>
      <c r="GWX94" s="786"/>
      <c r="GWY94" s="786"/>
      <c r="GWZ94" s="786"/>
      <c r="GXA94" s="786"/>
      <c r="GXB94" s="786"/>
      <c r="GXC94" s="786"/>
      <c r="GXD94" s="786"/>
      <c r="GXE94" s="786"/>
      <c r="GXF94" s="786"/>
      <c r="GXG94" s="786"/>
      <c r="GXH94" s="786"/>
      <c r="GXI94" s="786"/>
      <c r="GXJ94" s="786"/>
      <c r="GXK94" s="786"/>
      <c r="GXL94" s="786"/>
      <c r="GXM94" s="786"/>
      <c r="GXN94" s="786"/>
      <c r="GXO94" s="786"/>
      <c r="GXP94" s="786"/>
      <c r="GXQ94" s="786"/>
      <c r="GXR94" s="786"/>
      <c r="GXS94" s="786"/>
      <c r="GXT94" s="786"/>
      <c r="GXU94" s="786"/>
      <c r="GXV94" s="786"/>
      <c r="GXW94" s="786"/>
      <c r="GXX94" s="786"/>
      <c r="GXY94" s="786"/>
      <c r="GXZ94" s="786"/>
      <c r="GYA94" s="786"/>
      <c r="GYB94" s="786"/>
      <c r="GYC94" s="786"/>
      <c r="GYD94" s="786"/>
      <c r="GYE94" s="786"/>
      <c r="GYF94" s="786"/>
      <c r="GYG94" s="786"/>
      <c r="GYH94" s="786"/>
      <c r="GYI94" s="786"/>
      <c r="GYJ94" s="786"/>
      <c r="GYK94" s="786"/>
      <c r="GYL94" s="786"/>
      <c r="GYM94" s="786"/>
      <c r="GYN94" s="786"/>
      <c r="GYO94" s="786"/>
      <c r="GYP94" s="786"/>
      <c r="GYQ94" s="786"/>
      <c r="GYR94" s="786"/>
      <c r="GYS94" s="786"/>
      <c r="GYT94" s="786"/>
      <c r="GYU94" s="786"/>
      <c r="GYV94" s="786"/>
      <c r="GYW94" s="786"/>
      <c r="GYX94" s="786"/>
      <c r="GYY94" s="786"/>
      <c r="GYZ94" s="786"/>
      <c r="GZA94" s="786"/>
      <c r="GZB94" s="786"/>
      <c r="GZC94" s="786"/>
      <c r="GZD94" s="786"/>
      <c r="GZE94" s="786"/>
      <c r="GZF94" s="786"/>
      <c r="GZG94" s="786"/>
      <c r="GZH94" s="786"/>
      <c r="GZI94" s="786"/>
      <c r="GZJ94" s="786"/>
      <c r="GZK94" s="786"/>
      <c r="GZL94" s="786"/>
      <c r="GZM94" s="786"/>
      <c r="GZN94" s="786"/>
      <c r="GZO94" s="786"/>
      <c r="GZP94" s="786"/>
      <c r="GZQ94" s="786"/>
      <c r="GZR94" s="786"/>
      <c r="GZS94" s="786"/>
      <c r="GZT94" s="786"/>
      <c r="GZU94" s="786"/>
      <c r="GZV94" s="786"/>
      <c r="GZW94" s="786"/>
      <c r="GZX94" s="786"/>
      <c r="GZY94" s="786"/>
      <c r="GZZ94" s="786"/>
      <c r="HAA94" s="786"/>
      <c r="HAB94" s="786"/>
      <c r="HAC94" s="786"/>
      <c r="HAD94" s="786"/>
      <c r="HAE94" s="786"/>
      <c r="HAF94" s="786"/>
      <c r="HAG94" s="786"/>
      <c r="HAH94" s="786"/>
      <c r="HAI94" s="786"/>
      <c r="HAJ94" s="786"/>
      <c r="HAK94" s="786"/>
      <c r="HAL94" s="786"/>
      <c r="HAM94" s="786"/>
      <c r="HAN94" s="786"/>
      <c r="HAO94" s="786"/>
      <c r="HAP94" s="786"/>
      <c r="HAQ94" s="786"/>
      <c r="HAR94" s="786"/>
      <c r="HAS94" s="786"/>
      <c r="HAT94" s="786"/>
      <c r="HAU94" s="786"/>
      <c r="HAV94" s="786"/>
      <c r="HAW94" s="786"/>
      <c r="HAX94" s="786"/>
      <c r="HAY94" s="786"/>
      <c r="HAZ94" s="786"/>
      <c r="HBA94" s="786"/>
      <c r="HBB94" s="786"/>
      <c r="HBC94" s="786"/>
      <c r="HBD94" s="786"/>
      <c r="HBE94" s="786"/>
      <c r="HBF94" s="786"/>
      <c r="HBG94" s="786"/>
      <c r="HBH94" s="786"/>
      <c r="HBI94" s="786"/>
      <c r="HBJ94" s="786"/>
      <c r="HBK94" s="786"/>
      <c r="HBL94" s="786"/>
      <c r="HBM94" s="786"/>
      <c r="HBN94" s="786"/>
      <c r="HBO94" s="786"/>
      <c r="HBP94" s="786"/>
      <c r="HBQ94" s="786"/>
      <c r="HBR94" s="786"/>
      <c r="HBS94" s="786"/>
      <c r="HBT94" s="786"/>
      <c r="HBU94" s="786"/>
      <c r="HBV94" s="786"/>
      <c r="HBW94" s="786"/>
      <c r="HBX94" s="786"/>
      <c r="HBY94" s="786"/>
      <c r="HBZ94" s="786"/>
      <c r="HCA94" s="786"/>
      <c r="HCB94" s="786"/>
      <c r="HCC94" s="786"/>
      <c r="HCD94" s="786"/>
      <c r="HCE94" s="786"/>
      <c r="HCF94" s="786"/>
      <c r="HCG94" s="786"/>
      <c r="HCH94" s="786"/>
      <c r="HCI94" s="786"/>
      <c r="HCJ94" s="786"/>
      <c r="HCK94" s="786"/>
      <c r="HCL94" s="786"/>
      <c r="HCM94" s="786"/>
      <c r="HCN94" s="786"/>
      <c r="HCO94" s="786"/>
      <c r="HCP94" s="786"/>
      <c r="HCQ94" s="786"/>
      <c r="HCR94" s="786"/>
      <c r="HCS94" s="786"/>
      <c r="HCT94" s="786"/>
      <c r="HCU94" s="786"/>
      <c r="HCV94" s="786"/>
      <c r="HCW94" s="786"/>
      <c r="HCX94" s="786"/>
      <c r="HCY94" s="786"/>
      <c r="HCZ94" s="786"/>
      <c r="HDA94" s="786"/>
      <c r="HDB94" s="786"/>
      <c r="HDC94" s="786"/>
      <c r="HDD94" s="786"/>
      <c r="HDE94" s="786"/>
      <c r="HDF94" s="786"/>
      <c r="HDG94" s="786"/>
      <c r="HDH94" s="786"/>
      <c r="HDI94" s="786"/>
      <c r="HDJ94" s="786"/>
      <c r="HDK94" s="786"/>
      <c r="HDL94" s="786"/>
      <c r="HDM94" s="786"/>
      <c r="HDN94" s="786"/>
      <c r="HDO94" s="786"/>
      <c r="HDP94" s="786"/>
      <c r="HDQ94" s="786"/>
      <c r="HDR94" s="786"/>
      <c r="HDS94" s="786"/>
      <c r="HDT94" s="786"/>
      <c r="HDU94" s="786"/>
      <c r="HDV94" s="786"/>
      <c r="HDW94" s="786"/>
      <c r="HDX94" s="786"/>
      <c r="HDY94" s="786"/>
      <c r="HDZ94" s="786"/>
      <c r="HEA94" s="786"/>
      <c r="HEB94" s="786"/>
      <c r="HEC94" s="786"/>
      <c r="HED94" s="786"/>
      <c r="HEE94" s="786"/>
      <c r="HEF94" s="786"/>
      <c r="HEG94" s="786"/>
      <c r="HEH94" s="786"/>
      <c r="HEI94" s="786"/>
      <c r="HEJ94" s="786"/>
      <c r="HEK94" s="786"/>
      <c r="HEL94" s="786"/>
      <c r="HEM94" s="786"/>
      <c r="HEN94" s="786"/>
      <c r="HEO94" s="786"/>
      <c r="HEP94" s="786"/>
      <c r="HEQ94" s="786"/>
      <c r="HER94" s="786"/>
      <c r="HES94" s="786"/>
      <c r="HET94" s="786"/>
      <c r="HEU94" s="786"/>
      <c r="HEV94" s="786"/>
      <c r="HEW94" s="786"/>
      <c r="HEX94" s="786"/>
      <c r="HEY94" s="786"/>
      <c r="HEZ94" s="786"/>
      <c r="HFA94" s="786"/>
      <c r="HFB94" s="786"/>
      <c r="HFC94" s="786"/>
      <c r="HFD94" s="786"/>
      <c r="HFE94" s="786"/>
      <c r="HFF94" s="786"/>
      <c r="HFG94" s="786"/>
      <c r="HFH94" s="786"/>
      <c r="HFI94" s="786"/>
      <c r="HFJ94" s="786"/>
      <c r="HFK94" s="786"/>
      <c r="HFL94" s="786"/>
      <c r="HFM94" s="786"/>
      <c r="HFN94" s="786"/>
      <c r="HFO94" s="786"/>
      <c r="HFP94" s="786"/>
      <c r="HFQ94" s="786"/>
      <c r="HFR94" s="786"/>
      <c r="HFS94" s="786"/>
      <c r="HFT94" s="786"/>
      <c r="HFU94" s="786"/>
      <c r="HFV94" s="786"/>
      <c r="HFW94" s="786"/>
      <c r="HFX94" s="786"/>
      <c r="HFY94" s="786"/>
      <c r="HFZ94" s="786"/>
      <c r="HGA94" s="786"/>
      <c r="HGB94" s="786"/>
      <c r="HGC94" s="786"/>
      <c r="HGD94" s="786"/>
      <c r="HGE94" s="786"/>
      <c r="HGF94" s="786"/>
      <c r="HGG94" s="786"/>
      <c r="HGH94" s="786"/>
      <c r="HGI94" s="786"/>
      <c r="HGJ94" s="786"/>
      <c r="HGK94" s="786"/>
      <c r="HGL94" s="786"/>
      <c r="HGM94" s="786"/>
      <c r="HGN94" s="786"/>
      <c r="HGO94" s="786"/>
      <c r="HGP94" s="786"/>
      <c r="HGQ94" s="786"/>
      <c r="HGR94" s="786"/>
      <c r="HGS94" s="786"/>
      <c r="HGT94" s="786"/>
      <c r="HGU94" s="786"/>
      <c r="HGV94" s="786"/>
      <c r="HGW94" s="786"/>
      <c r="HGX94" s="786"/>
      <c r="HGY94" s="786"/>
      <c r="HGZ94" s="786"/>
      <c r="HHA94" s="786"/>
      <c r="HHB94" s="786"/>
      <c r="HHC94" s="786"/>
      <c r="HHD94" s="786"/>
      <c r="HHE94" s="786"/>
      <c r="HHF94" s="786"/>
      <c r="HHG94" s="786"/>
      <c r="HHH94" s="786"/>
      <c r="HHI94" s="786"/>
      <c r="HHJ94" s="786"/>
      <c r="HHK94" s="786"/>
      <c r="HHL94" s="786"/>
      <c r="HHM94" s="786"/>
      <c r="HHN94" s="786"/>
      <c r="HHO94" s="786"/>
      <c r="HHP94" s="786"/>
      <c r="HHQ94" s="786"/>
      <c r="HHR94" s="786"/>
      <c r="HHS94" s="786"/>
      <c r="HHT94" s="786"/>
      <c r="HHU94" s="786"/>
      <c r="HHV94" s="786"/>
      <c r="HHW94" s="786"/>
      <c r="HHX94" s="786"/>
      <c r="HHY94" s="786"/>
      <c r="HHZ94" s="786"/>
      <c r="HIA94" s="786"/>
      <c r="HIB94" s="786"/>
      <c r="HIC94" s="786"/>
      <c r="HID94" s="786"/>
      <c r="HIE94" s="786"/>
      <c r="HIF94" s="786"/>
      <c r="HIG94" s="786"/>
      <c r="HIH94" s="786"/>
      <c r="HII94" s="786"/>
      <c r="HIJ94" s="786"/>
      <c r="HIK94" s="786"/>
      <c r="HIL94" s="786"/>
      <c r="HIM94" s="786"/>
      <c r="HIN94" s="786"/>
      <c r="HIO94" s="786"/>
      <c r="HIP94" s="786"/>
      <c r="HIQ94" s="786"/>
      <c r="HIR94" s="786"/>
      <c r="HIS94" s="786"/>
      <c r="HIT94" s="786"/>
      <c r="HIU94" s="786"/>
      <c r="HIV94" s="786"/>
      <c r="HIW94" s="786"/>
      <c r="HIX94" s="786"/>
      <c r="HIY94" s="786"/>
      <c r="HIZ94" s="786"/>
      <c r="HJA94" s="786"/>
      <c r="HJB94" s="786"/>
      <c r="HJC94" s="786"/>
      <c r="HJD94" s="786"/>
      <c r="HJE94" s="786"/>
      <c r="HJF94" s="786"/>
      <c r="HJG94" s="786"/>
      <c r="HJH94" s="786"/>
      <c r="HJI94" s="786"/>
      <c r="HJJ94" s="786"/>
      <c r="HJK94" s="786"/>
      <c r="HJL94" s="786"/>
      <c r="HJM94" s="786"/>
      <c r="HJN94" s="786"/>
      <c r="HJO94" s="786"/>
      <c r="HJP94" s="786"/>
      <c r="HJQ94" s="786"/>
      <c r="HJR94" s="786"/>
      <c r="HJS94" s="786"/>
      <c r="HJT94" s="786"/>
      <c r="HJU94" s="786"/>
      <c r="HJV94" s="786"/>
      <c r="HJW94" s="786"/>
      <c r="HJX94" s="786"/>
      <c r="HJY94" s="786"/>
      <c r="HJZ94" s="786"/>
      <c r="HKA94" s="786"/>
      <c r="HKB94" s="786"/>
      <c r="HKC94" s="786"/>
      <c r="HKD94" s="786"/>
      <c r="HKE94" s="786"/>
      <c r="HKF94" s="786"/>
      <c r="HKG94" s="786"/>
      <c r="HKH94" s="786"/>
      <c r="HKI94" s="786"/>
      <c r="HKJ94" s="786"/>
      <c r="HKK94" s="786"/>
      <c r="HKL94" s="786"/>
      <c r="HKM94" s="786"/>
      <c r="HKN94" s="786"/>
      <c r="HKO94" s="786"/>
      <c r="HKP94" s="786"/>
      <c r="HKQ94" s="786"/>
      <c r="HKR94" s="786"/>
      <c r="HKS94" s="786"/>
      <c r="HKT94" s="786"/>
      <c r="HKU94" s="786"/>
      <c r="HKV94" s="786"/>
      <c r="HKW94" s="786"/>
      <c r="HKX94" s="786"/>
      <c r="HKY94" s="786"/>
      <c r="HKZ94" s="786"/>
      <c r="HLA94" s="786"/>
      <c r="HLB94" s="786"/>
      <c r="HLC94" s="786"/>
      <c r="HLD94" s="786"/>
      <c r="HLE94" s="786"/>
      <c r="HLF94" s="786"/>
      <c r="HLG94" s="786"/>
      <c r="HLH94" s="786"/>
      <c r="HLI94" s="786"/>
      <c r="HLJ94" s="786"/>
      <c r="HLK94" s="786"/>
      <c r="HLL94" s="786"/>
      <c r="HLM94" s="786"/>
      <c r="HLN94" s="786"/>
      <c r="HLO94" s="786"/>
      <c r="HLP94" s="786"/>
      <c r="HLQ94" s="786"/>
      <c r="HLR94" s="786"/>
      <c r="HLS94" s="786"/>
      <c r="HLT94" s="786"/>
      <c r="HLU94" s="786"/>
      <c r="HLV94" s="786"/>
      <c r="HLW94" s="786"/>
      <c r="HLX94" s="786"/>
      <c r="HLY94" s="786"/>
      <c r="HLZ94" s="786"/>
      <c r="HMA94" s="786"/>
      <c r="HMB94" s="786"/>
      <c r="HMC94" s="786"/>
      <c r="HMD94" s="786"/>
      <c r="HME94" s="786"/>
      <c r="HMF94" s="786"/>
      <c r="HMG94" s="786"/>
      <c r="HMH94" s="786"/>
      <c r="HMI94" s="786"/>
      <c r="HMJ94" s="786"/>
      <c r="HMK94" s="786"/>
      <c r="HML94" s="786"/>
      <c r="HMM94" s="786"/>
      <c r="HMN94" s="786"/>
      <c r="HMO94" s="786"/>
      <c r="HMP94" s="786"/>
      <c r="HMQ94" s="786"/>
      <c r="HMR94" s="786"/>
      <c r="HMS94" s="786"/>
      <c r="HMT94" s="786"/>
      <c r="HMU94" s="786"/>
      <c r="HMV94" s="786"/>
      <c r="HMW94" s="786"/>
      <c r="HMX94" s="786"/>
      <c r="HMY94" s="786"/>
      <c r="HMZ94" s="786"/>
      <c r="HNA94" s="786"/>
      <c r="HNB94" s="786"/>
      <c r="HNC94" s="786"/>
      <c r="HND94" s="786"/>
      <c r="HNE94" s="786"/>
      <c r="HNF94" s="786"/>
      <c r="HNG94" s="786"/>
      <c r="HNH94" s="786"/>
      <c r="HNI94" s="786"/>
      <c r="HNJ94" s="786"/>
      <c r="HNK94" s="786"/>
      <c r="HNL94" s="786"/>
      <c r="HNM94" s="786"/>
      <c r="HNN94" s="786"/>
      <c r="HNO94" s="786"/>
      <c r="HNP94" s="786"/>
      <c r="HNQ94" s="786"/>
      <c r="HNR94" s="786"/>
      <c r="HNS94" s="786"/>
      <c r="HNT94" s="786"/>
      <c r="HNU94" s="786"/>
      <c r="HNV94" s="786"/>
      <c r="HNW94" s="786"/>
      <c r="HNX94" s="786"/>
      <c r="HNY94" s="786"/>
      <c r="HNZ94" s="786"/>
      <c r="HOA94" s="786"/>
      <c r="HOB94" s="786"/>
      <c r="HOC94" s="786"/>
      <c r="HOD94" s="786"/>
      <c r="HOE94" s="786"/>
      <c r="HOF94" s="786"/>
      <c r="HOG94" s="786"/>
      <c r="HOH94" s="786"/>
      <c r="HOI94" s="786"/>
      <c r="HOJ94" s="786"/>
      <c r="HOK94" s="786"/>
      <c r="HOL94" s="786"/>
      <c r="HOM94" s="786"/>
      <c r="HON94" s="786"/>
      <c r="HOO94" s="786"/>
      <c r="HOP94" s="786"/>
      <c r="HOQ94" s="786"/>
      <c r="HOR94" s="786"/>
      <c r="HOS94" s="786"/>
      <c r="HOT94" s="786"/>
      <c r="HOU94" s="786"/>
      <c r="HOV94" s="786"/>
      <c r="HOW94" s="786"/>
      <c r="HOX94" s="786"/>
      <c r="HOY94" s="786"/>
      <c r="HOZ94" s="786"/>
      <c r="HPA94" s="786"/>
      <c r="HPB94" s="786"/>
      <c r="HPC94" s="786"/>
      <c r="HPD94" s="786"/>
      <c r="HPE94" s="786"/>
      <c r="HPF94" s="786"/>
      <c r="HPG94" s="786"/>
      <c r="HPH94" s="786"/>
      <c r="HPI94" s="786"/>
      <c r="HPJ94" s="786"/>
      <c r="HPK94" s="786"/>
      <c r="HPL94" s="786"/>
      <c r="HPM94" s="786"/>
      <c r="HPN94" s="786"/>
      <c r="HPO94" s="786"/>
      <c r="HPP94" s="786"/>
      <c r="HPQ94" s="786"/>
      <c r="HPR94" s="786"/>
      <c r="HPS94" s="786"/>
      <c r="HPT94" s="786"/>
      <c r="HPU94" s="786"/>
      <c r="HPV94" s="786"/>
      <c r="HPW94" s="786"/>
      <c r="HPX94" s="786"/>
      <c r="HPY94" s="786"/>
      <c r="HPZ94" s="786"/>
      <c r="HQA94" s="786"/>
      <c r="HQB94" s="786"/>
      <c r="HQC94" s="786"/>
      <c r="HQD94" s="786"/>
      <c r="HQE94" s="786"/>
      <c r="HQF94" s="786"/>
      <c r="HQG94" s="786"/>
      <c r="HQH94" s="786"/>
      <c r="HQI94" s="786"/>
      <c r="HQJ94" s="786"/>
      <c r="HQK94" s="786"/>
      <c r="HQL94" s="786"/>
      <c r="HQM94" s="786"/>
      <c r="HQN94" s="786"/>
      <c r="HQO94" s="786"/>
      <c r="HQP94" s="786"/>
      <c r="HQQ94" s="786"/>
      <c r="HQR94" s="786"/>
      <c r="HQS94" s="786"/>
      <c r="HQT94" s="786"/>
      <c r="HQU94" s="786"/>
      <c r="HQV94" s="786"/>
      <c r="HQW94" s="786"/>
      <c r="HQX94" s="786"/>
      <c r="HQY94" s="786"/>
      <c r="HQZ94" s="786"/>
      <c r="HRA94" s="786"/>
      <c r="HRB94" s="786"/>
      <c r="HRC94" s="786"/>
      <c r="HRD94" s="786"/>
      <c r="HRE94" s="786"/>
      <c r="HRF94" s="786"/>
      <c r="HRG94" s="786"/>
      <c r="HRH94" s="786"/>
      <c r="HRI94" s="786"/>
      <c r="HRJ94" s="786"/>
      <c r="HRK94" s="786"/>
      <c r="HRL94" s="786"/>
      <c r="HRM94" s="786"/>
      <c r="HRN94" s="786"/>
      <c r="HRO94" s="786"/>
      <c r="HRP94" s="786"/>
      <c r="HRQ94" s="786"/>
      <c r="HRR94" s="786"/>
      <c r="HRS94" s="786"/>
      <c r="HRT94" s="786"/>
      <c r="HRU94" s="786"/>
      <c r="HRV94" s="786"/>
      <c r="HRW94" s="786"/>
      <c r="HRX94" s="786"/>
      <c r="HRY94" s="786"/>
      <c r="HRZ94" s="786"/>
      <c r="HSA94" s="786"/>
      <c r="HSB94" s="786"/>
      <c r="HSC94" s="786"/>
      <c r="HSD94" s="786"/>
      <c r="HSE94" s="786"/>
      <c r="HSF94" s="786"/>
      <c r="HSG94" s="786"/>
      <c r="HSH94" s="786"/>
      <c r="HSI94" s="786"/>
      <c r="HSJ94" s="786"/>
      <c r="HSK94" s="786"/>
      <c r="HSL94" s="786"/>
      <c r="HSM94" s="786"/>
      <c r="HSN94" s="786"/>
      <c r="HSO94" s="786"/>
      <c r="HSP94" s="786"/>
      <c r="HSQ94" s="786"/>
      <c r="HSR94" s="786"/>
      <c r="HSS94" s="786"/>
      <c r="HST94" s="786"/>
      <c r="HSU94" s="786"/>
      <c r="HSV94" s="786"/>
      <c r="HSW94" s="786"/>
      <c r="HSX94" s="786"/>
      <c r="HSY94" s="786"/>
      <c r="HSZ94" s="786"/>
      <c r="HTA94" s="786"/>
      <c r="HTB94" s="786"/>
      <c r="HTC94" s="786"/>
      <c r="HTD94" s="786"/>
      <c r="HTE94" s="786"/>
      <c r="HTF94" s="786"/>
      <c r="HTG94" s="786"/>
      <c r="HTH94" s="786"/>
      <c r="HTI94" s="786"/>
      <c r="HTJ94" s="786"/>
      <c r="HTK94" s="786"/>
      <c r="HTL94" s="786"/>
      <c r="HTM94" s="786"/>
      <c r="HTN94" s="786"/>
      <c r="HTO94" s="786"/>
      <c r="HTP94" s="786"/>
      <c r="HTQ94" s="786"/>
      <c r="HTR94" s="786"/>
      <c r="HTS94" s="786"/>
      <c r="HTT94" s="786"/>
      <c r="HTU94" s="786"/>
      <c r="HTV94" s="786"/>
      <c r="HTW94" s="786"/>
      <c r="HTX94" s="786"/>
      <c r="HTY94" s="786"/>
      <c r="HTZ94" s="786"/>
      <c r="HUA94" s="786"/>
      <c r="HUB94" s="786"/>
      <c r="HUC94" s="786"/>
      <c r="HUD94" s="786"/>
      <c r="HUE94" s="786"/>
      <c r="HUF94" s="786"/>
      <c r="HUG94" s="786"/>
      <c r="HUH94" s="786"/>
      <c r="HUI94" s="786"/>
      <c r="HUJ94" s="786"/>
      <c r="HUK94" s="786"/>
      <c r="HUL94" s="786"/>
      <c r="HUM94" s="786"/>
      <c r="HUN94" s="786"/>
      <c r="HUO94" s="786"/>
      <c r="HUP94" s="786"/>
      <c r="HUQ94" s="786"/>
      <c r="HUR94" s="786"/>
      <c r="HUS94" s="786"/>
      <c r="HUT94" s="786"/>
      <c r="HUU94" s="786"/>
      <c r="HUV94" s="786"/>
      <c r="HUW94" s="786"/>
      <c r="HUX94" s="786"/>
      <c r="HUY94" s="786"/>
      <c r="HUZ94" s="786"/>
      <c r="HVA94" s="786"/>
      <c r="HVB94" s="786"/>
      <c r="HVC94" s="786"/>
      <c r="HVD94" s="786"/>
      <c r="HVE94" s="786"/>
      <c r="HVF94" s="786"/>
      <c r="HVG94" s="786"/>
      <c r="HVH94" s="786"/>
      <c r="HVI94" s="786"/>
      <c r="HVJ94" s="786"/>
      <c r="HVK94" s="786"/>
      <c r="HVL94" s="786"/>
      <c r="HVM94" s="786"/>
      <c r="HVN94" s="786"/>
      <c r="HVO94" s="786"/>
      <c r="HVP94" s="786"/>
      <c r="HVQ94" s="786"/>
      <c r="HVR94" s="786"/>
      <c r="HVS94" s="786"/>
      <c r="HVT94" s="786"/>
      <c r="HVU94" s="786"/>
      <c r="HVV94" s="786"/>
      <c r="HVW94" s="786"/>
      <c r="HVX94" s="786"/>
      <c r="HVY94" s="786"/>
      <c r="HVZ94" s="786"/>
      <c r="HWA94" s="786"/>
      <c r="HWB94" s="786"/>
      <c r="HWC94" s="786"/>
      <c r="HWD94" s="786"/>
      <c r="HWE94" s="786"/>
      <c r="HWF94" s="786"/>
      <c r="HWG94" s="786"/>
      <c r="HWH94" s="786"/>
      <c r="HWI94" s="786"/>
      <c r="HWJ94" s="786"/>
      <c r="HWK94" s="786"/>
      <c r="HWL94" s="786"/>
      <c r="HWM94" s="786"/>
      <c r="HWN94" s="786"/>
      <c r="HWO94" s="786"/>
      <c r="HWP94" s="786"/>
      <c r="HWQ94" s="786"/>
      <c r="HWR94" s="786"/>
      <c r="HWS94" s="786"/>
      <c r="HWT94" s="786"/>
      <c r="HWU94" s="786"/>
      <c r="HWV94" s="786"/>
      <c r="HWW94" s="786"/>
      <c r="HWX94" s="786"/>
      <c r="HWY94" s="786"/>
      <c r="HWZ94" s="786"/>
      <c r="HXA94" s="786"/>
      <c r="HXB94" s="786"/>
      <c r="HXC94" s="786"/>
      <c r="HXD94" s="786"/>
      <c r="HXE94" s="786"/>
      <c r="HXF94" s="786"/>
      <c r="HXG94" s="786"/>
      <c r="HXH94" s="786"/>
      <c r="HXI94" s="786"/>
      <c r="HXJ94" s="786"/>
      <c r="HXK94" s="786"/>
      <c r="HXL94" s="786"/>
      <c r="HXM94" s="786"/>
      <c r="HXN94" s="786"/>
      <c r="HXO94" s="786"/>
      <c r="HXP94" s="786"/>
      <c r="HXQ94" s="786"/>
      <c r="HXR94" s="786"/>
      <c r="HXS94" s="786"/>
      <c r="HXT94" s="786"/>
      <c r="HXU94" s="786"/>
      <c r="HXV94" s="786"/>
      <c r="HXW94" s="786"/>
      <c r="HXX94" s="786"/>
      <c r="HXY94" s="786"/>
      <c r="HXZ94" s="786"/>
      <c r="HYA94" s="786"/>
      <c r="HYB94" s="786"/>
      <c r="HYC94" s="786"/>
      <c r="HYD94" s="786"/>
      <c r="HYE94" s="786"/>
      <c r="HYF94" s="786"/>
      <c r="HYG94" s="786"/>
      <c r="HYH94" s="786"/>
      <c r="HYI94" s="786"/>
      <c r="HYJ94" s="786"/>
      <c r="HYK94" s="786"/>
      <c r="HYL94" s="786"/>
      <c r="HYM94" s="786"/>
      <c r="HYN94" s="786"/>
      <c r="HYO94" s="786"/>
      <c r="HYP94" s="786"/>
      <c r="HYQ94" s="786"/>
      <c r="HYR94" s="786"/>
      <c r="HYS94" s="786"/>
      <c r="HYT94" s="786"/>
      <c r="HYU94" s="786"/>
      <c r="HYV94" s="786"/>
      <c r="HYW94" s="786"/>
      <c r="HYX94" s="786"/>
      <c r="HYY94" s="786"/>
      <c r="HYZ94" s="786"/>
      <c r="HZA94" s="786"/>
      <c r="HZB94" s="786"/>
      <c r="HZC94" s="786"/>
      <c r="HZD94" s="786"/>
      <c r="HZE94" s="786"/>
      <c r="HZF94" s="786"/>
      <c r="HZG94" s="786"/>
      <c r="HZH94" s="786"/>
      <c r="HZI94" s="786"/>
      <c r="HZJ94" s="786"/>
      <c r="HZK94" s="786"/>
      <c r="HZL94" s="786"/>
      <c r="HZM94" s="786"/>
      <c r="HZN94" s="786"/>
      <c r="HZO94" s="786"/>
      <c r="HZP94" s="786"/>
      <c r="HZQ94" s="786"/>
      <c r="HZR94" s="786"/>
      <c r="HZS94" s="786"/>
      <c r="HZT94" s="786"/>
      <c r="HZU94" s="786"/>
      <c r="HZV94" s="786"/>
      <c r="HZW94" s="786"/>
      <c r="HZX94" s="786"/>
      <c r="HZY94" s="786"/>
      <c r="HZZ94" s="786"/>
      <c r="IAA94" s="786"/>
      <c r="IAB94" s="786"/>
      <c r="IAC94" s="786"/>
      <c r="IAD94" s="786"/>
      <c r="IAE94" s="786"/>
      <c r="IAF94" s="786"/>
      <c r="IAG94" s="786"/>
      <c r="IAH94" s="786"/>
      <c r="IAI94" s="786"/>
      <c r="IAJ94" s="786"/>
      <c r="IAK94" s="786"/>
      <c r="IAL94" s="786"/>
      <c r="IAM94" s="786"/>
      <c r="IAN94" s="786"/>
      <c r="IAO94" s="786"/>
      <c r="IAP94" s="786"/>
      <c r="IAQ94" s="786"/>
      <c r="IAR94" s="786"/>
      <c r="IAS94" s="786"/>
      <c r="IAT94" s="786"/>
      <c r="IAU94" s="786"/>
      <c r="IAV94" s="786"/>
      <c r="IAW94" s="786"/>
      <c r="IAX94" s="786"/>
      <c r="IAY94" s="786"/>
      <c r="IAZ94" s="786"/>
      <c r="IBA94" s="786"/>
      <c r="IBB94" s="786"/>
      <c r="IBC94" s="786"/>
      <c r="IBD94" s="786"/>
      <c r="IBE94" s="786"/>
      <c r="IBF94" s="786"/>
      <c r="IBG94" s="786"/>
      <c r="IBH94" s="786"/>
      <c r="IBI94" s="786"/>
      <c r="IBJ94" s="786"/>
      <c r="IBK94" s="786"/>
      <c r="IBL94" s="786"/>
      <c r="IBM94" s="786"/>
      <c r="IBN94" s="786"/>
      <c r="IBO94" s="786"/>
      <c r="IBP94" s="786"/>
      <c r="IBQ94" s="786"/>
      <c r="IBR94" s="786"/>
      <c r="IBS94" s="786"/>
      <c r="IBT94" s="786"/>
      <c r="IBU94" s="786"/>
      <c r="IBV94" s="786"/>
      <c r="IBW94" s="786"/>
      <c r="IBX94" s="786"/>
      <c r="IBY94" s="786"/>
      <c r="IBZ94" s="786"/>
      <c r="ICA94" s="786"/>
      <c r="ICB94" s="786"/>
      <c r="ICC94" s="786"/>
      <c r="ICD94" s="786"/>
      <c r="ICE94" s="786"/>
      <c r="ICF94" s="786"/>
      <c r="ICG94" s="786"/>
      <c r="ICH94" s="786"/>
      <c r="ICI94" s="786"/>
      <c r="ICJ94" s="786"/>
      <c r="ICK94" s="786"/>
      <c r="ICL94" s="786"/>
      <c r="ICM94" s="786"/>
      <c r="ICN94" s="786"/>
      <c r="ICO94" s="786"/>
      <c r="ICP94" s="786"/>
      <c r="ICQ94" s="786"/>
      <c r="ICR94" s="786"/>
      <c r="ICS94" s="786"/>
      <c r="ICT94" s="786"/>
      <c r="ICU94" s="786"/>
      <c r="ICV94" s="786"/>
      <c r="ICW94" s="786"/>
      <c r="ICX94" s="786"/>
      <c r="ICY94" s="786"/>
      <c r="ICZ94" s="786"/>
      <c r="IDA94" s="786"/>
      <c r="IDB94" s="786"/>
      <c r="IDC94" s="786"/>
      <c r="IDD94" s="786"/>
      <c r="IDE94" s="786"/>
      <c r="IDF94" s="786"/>
      <c r="IDG94" s="786"/>
      <c r="IDH94" s="786"/>
      <c r="IDI94" s="786"/>
      <c r="IDJ94" s="786"/>
      <c r="IDK94" s="786"/>
      <c r="IDL94" s="786"/>
      <c r="IDM94" s="786"/>
      <c r="IDN94" s="786"/>
      <c r="IDO94" s="786"/>
      <c r="IDP94" s="786"/>
      <c r="IDQ94" s="786"/>
      <c r="IDR94" s="786"/>
      <c r="IDS94" s="786"/>
      <c r="IDT94" s="786"/>
      <c r="IDU94" s="786"/>
      <c r="IDV94" s="786"/>
      <c r="IDW94" s="786"/>
      <c r="IDX94" s="786"/>
      <c r="IDY94" s="786"/>
      <c r="IDZ94" s="786"/>
      <c r="IEA94" s="786"/>
      <c r="IEB94" s="786"/>
      <c r="IEC94" s="786"/>
      <c r="IED94" s="786"/>
      <c r="IEE94" s="786"/>
      <c r="IEF94" s="786"/>
      <c r="IEG94" s="786"/>
      <c r="IEH94" s="786"/>
      <c r="IEI94" s="786"/>
      <c r="IEJ94" s="786"/>
      <c r="IEK94" s="786"/>
      <c r="IEL94" s="786"/>
      <c r="IEM94" s="786"/>
      <c r="IEN94" s="786"/>
      <c r="IEO94" s="786"/>
      <c r="IEP94" s="786"/>
      <c r="IEQ94" s="786"/>
      <c r="IER94" s="786"/>
      <c r="IES94" s="786"/>
      <c r="IET94" s="786"/>
      <c r="IEU94" s="786"/>
      <c r="IEV94" s="786"/>
      <c r="IEW94" s="786"/>
      <c r="IEX94" s="786"/>
      <c r="IEY94" s="786"/>
      <c r="IEZ94" s="786"/>
      <c r="IFA94" s="786"/>
      <c r="IFB94" s="786"/>
      <c r="IFC94" s="786"/>
      <c r="IFD94" s="786"/>
      <c r="IFE94" s="786"/>
      <c r="IFF94" s="786"/>
      <c r="IFG94" s="786"/>
      <c r="IFH94" s="786"/>
      <c r="IFI94" s="786"/>
      <c r="IFJ94" s="786"/>
      <c r="IFK94" s="786"/>
      <c r="IFL94" s="786"/>
      <c r="IFM94" s="786"/>
      <c r="IFN94" s="786"/>
      <c r="IFO94" s="786"/>
      <c r="IFP94" s="786"/>
      <c r="IFQ94" s="786"/>
      <c r="IFR94" s="786"/>
      <c r="IFS94" s="786"/>
      <c r="IFT94" s="786"/>
      <c r="IFU94" s="786"/>
      <c r="IFV94" s="786"/>
      <c r="IFW94" s="786"/>
      <c r="IFX94" s="786"/>
      <c r="IFY94" s="786"/>
      <c r="IFZ94" s="786"/>
      <c r="IGA94" s="786"/>
      <c r="IGB94" s="786"/>
      <c r="IGC94" s="786"/>
      <c r="IGD94" s="786"/>
      <c r="IGE94" s="786"/>
      <c r="IGF94" s="786"/>
      <c r="IGG94" s="786"/>
      <c r="IGH94" s="786"/>
      <c r="IGI94" s="786"/>
      <c r="IGJ94" s="786"/>
      <c r="IGK94" s="786"/>
      <c r="IGL94" s="786"/>
      <c r="IGM94" s="786"/>
      <c r="IGN94" s="786"/>
      <c r="IGO94" s="786"/>
      <c r="IGP94" s="786"/>
      <c r="IGQ94" s="786"/>
      <c r="IGR94" s="786"/>
      <c r="IGS94" s="786"/>
      <c r="IGT94" s="786"/>
      <c r="IGU94" s="786"/>
      <c r="IGV94" s="786"/>
      <c r="IGW94" s="786"/>
      <c r="IGX94" s="786"/>
      <c r="IGY94" s="786"/>
      <c r="IGZ94" s="786"/>
      <c r="IHA94" s="786"/>
      <c r="IHB94" s="786"/>
      <c r="IHC94" s="786"/>
      <c r="IHD94" s="786"/>
      <c r="IHE94" s="786"/>
      <c r="IHF94" s="786"/>
      <c r="IHG94" s="786"/>
      <c r="IHH94" s="786"/>
      <c r="IHI94" s="786"/>
      <c r="IHJ94" s="786"/>
      <c r="IHK94" s="786"/>
      <c r="IHL94" s="786"/>
      <c r="IHM94" s="786"/>
      <c r="IHN94" s="786"/>
      <c r="IHO94" s="786"/>
      <c r="IHP94" s="786"/>
      <c r="IHQ94" s="786"/>
      <c r="IHR94" s="786"/>
      <c r="IHS94" s="786"/>
      <c r="IHT94" s="786"/>
      <c r="IHU94" s="786"/>
      <c r="IHV94" s="786"/>
      <c r="IHW94" s="786"/>
      <c r="IHX94" s="786"/>
      <c r="IHY94" s="786"/>
      <c r="IHZ94" s="786"/>
      <c r="IIA94" s="786"/>
      <c r="IIB94" s="786"/>
      <c r="IIC94" s="786"/>
      <c r="IID94" s="786"/>
      <c r="IIE94" s="786"/>
      <c r="IIF94" s="786"/>
      <c r="IIG94" s="786"/>
      <c r="IIH94" s="786"/>
      <c r="III94" s="786"/>
      <c r="IIJ94" s="786"/>
      <c r="IIK94" s="786"/>
      <c r="IIL94" s="786"/>
      <c r="IIM94" s="786"/>
      <c r="IIN94" s="786"/>
      <c r="IIO94" s="786"/>
      <c r="IIP94" s="786"/>
      <c r="IIQ94" s="786"/>
      <c r="IIR94" s="786"/>
      <c r="IIS94" s="786"/>
      <c r="IIT94" s="786"/>
      <c r="IIU94" s="786"/>
      <c r="IIV94" s="786"/>
      <c r="IIW94" s="786"/>
      <c r="IIX94" s="786"/>
      <c r="IIY94" s="786"/>
      <c r="IIZ94" s="786"/>
      <c r="IJA94" s="786"/>
      <c r="IJB94" s="786"/>
      <c r="IJC94" s="786"/>
      <c r="IJD94" s="786"/>
      <c r="IJE94" s="786"/>
      <c r="IJF94" s="786"/>
      <c r="IJG94" s="786"/>
      <c r="IJH94" s="786"/>
      <c r="IJI94" s="786"/>
      <c r="IJJ94" s="786"/>
      <c r="IJK94" s="786"/>
      <c r="IJL94" s="786"/>
      <c r="IJM94" s="786"/>
      <c r="IJN94" s="786"/>
      <c r="IJO94" s="786"/>
      <c r="IJP94" s="786"/>
      <c r="IJQ94" s="786"/>
      <c r="IJR94" s="786"/>
      <c r="IJS94" s="786"/>
      <c r="IJT94" s="786"/>
      <c r="IJU94" s="786"/>
      <c r="IJV94" s="786"/>
      <c r="IJW94" s="786"/>
      <c r="IJX94" s="786"/>
      <c r="IJY94" s="786"/>
      <c r="IJZ94" s="786"/>
      <c r="IKA94" s="786"/>
      <c r="IKB94" s="786"/>
      <c r="IKC94" s="786"/>
      <c r="IKD94" s="786"/>
      <c r="IKE94" s="786"/>
      <c r="IKF94" s="786"/>
      <c r="IKG94" s="786"/>
      <c r="IKH94" s="786"/>
      <c r="IKI94" s="786"/>
      <c r="IKJ94" s="786"/>
      <c r="IKK94" s="786"/>
      <c r="IKL94" s="786"/>
      <c r="IKM94" s="786"/>
      <c r="IKN94" s="786"/>
      <c r="IKO94" s="786"/>
      <c r="IKP94" s="786"/>
      <c r="IKQ94" s="786"/>
      <c r="IKR94" s="786"/>
      <c r="IKS94" s="786"/>
      <c r="IKT94" s="786"/>
      <c r="IKU94" s="786"/>
      <c r="IKV94" s="786"/>
      <c r="IKW94" s="786"/>
      <c r="IKX94" s="786"/>
      <c r="IKY94" s="786"/>
      <c r="IKZ94" s="786"/>
      <c r="ILA94" s="786"/>
      <c r="ILB94" s="786"/>
      <c r="ILC94" s="786"/>
      <c r="ILD94" s="786"/>
      <c r="ILE94" s="786"/>
      <c r="ILF94" s="786"/>
      <c r="ILG94" s="786"/>
      <c r="ILH94" s="786"/>
      <c r="ILI94" s="786"/>
      <c r="ILJ94" s="786"/>
      <c r="ILK94" s="786"/>
      <c r="ILL94" s="786"/>
      <c r="ILM94" s="786"/>
      <c r="ILN94" s="786"/>
      <c r="ILO94" s="786"/>
      <c r="ILP94" s="786"/>
      <c r="ILQ94" s="786"/>
      <c r="ILR94" s="786"/>
      <c r="ILS94" s="786"/>
      <c r="ILT94" s="786"/>
      <c r="ILU94" s="786"/>
      <c r="ILV94" s="786"/>
      <c r="ILW94" s="786"/>
      <c r="ILX94" s="786"/>
      <c r="ILY94" s="786"/>
      <c r="ILZ94" s="786"/>
      <c r="IMA94" s="786"/>
      <c r="IMB94" s="786"/>
      <c r="IMC94" s="786"/>
      <c r="IMD94" s="786"/>
      <c r="IME94" s="786"/>
      <c r="IMF94" s="786"/>
      <c r="IMG94" s="786"/>
      <c r="IMH94" s="786"/>
      <c r="IMI94" s="786"/>
      <c r="IMJ94" s="786"/>
      <c r="IMK94" s="786"/>
      <c r="IML94" s="786"/>
      <c r="IMM94" s="786"/>
      <c r="IMN94" s="786"/>
      <c r="IMO94" s="786"/>
      <c r="IMP94" s="786"/>
      <c r="IMQ94" s="786"/>
      <c r="IMR94" s="786"/>
      <c r="IMS94" s="786"/>
      <c r="IMT94" s="786"/>
      <c r="IMU94" s="786"/>
      <c r="IMV94" s="786"/>
      <c r="IMW94" s="786"/>
      <c r="IMX94" s="786"/>
      <c r="IMY94" s="786"/>
      <c r="IMZ94" s="786"/>
      <c r="INA94" s="786"/>
      <c r="INB94" s="786"/>
      <c r="INC94" s="786"/>
      <c r="IND94" s="786"/>
      <c r="INE94" s="786"/>
      <c r="INF94" s="786"/>
      <c r="ING94" s="786"/>
      <c r="INH94" s="786"/>
      <c r="INI94" s="786"/>
      <c r="INJ94" s="786"/>
      <c r="INK94" s="786"/>
      <c r="INL94" s="786"/>
      <c r="INM94" s="786"/>
      <c r="INN94" s="786"/>
      <c r="INO94" s="786"/>
      <c r="INP94" s="786"/>
      <c r="INQ94" s="786"/>
      <c r="INR94" s="786"/>
      <c r="INS94" s="786"/>
      <c r="INT94" s="786"/>
      <c r="INU94" s="786"/>
      <c r="INV94" s="786"/>
      <c r="INW94" s="786"/>
      <c r="INX94" s="786"/>
      <c r="INY94" s="786"/>
      <c r="INZ94" s="786"/>
      <c r="IOA94" s="786"/>
      <c r="IOB94" s="786"/>
      <c r="IOC94" s="786"/>
      <c r="IOD94" s="786"/>
      <c r="IOE94" s="786"/>
      <c r="IOF94" s="786"/>
      <c r="IOG94" s="786"/>
      <c r="IOH94" s="786"/>
      <c r="IOI94" s="786"/>
      <c r="IOJ94" s="786"/>
      <c r="IOK94" s="786"/>
      <c r="IOL94" s="786"/>
      <c r="IOM94" s="786"/>
      <c r="ION94" s="786"/>
      <c r="IOO94" s="786"/>
      <c r="IOP94" s="786"/>
      <c r="IOQ94" s="786"/>
      <c r="IOR94" s="786"/>
      <c r="IOS94" s="786"/>
      <c r="IOT94" s="786"/>
      <c r="IOU94" s="786"/>
      <c r="IOV94" s="786"/>
      <c r="IOW94" s="786"/>
      <c r="IOX94" s="786"/>
      <c r="IOY94" s="786"/>
      <c r="IOZ94" s="786"/>
      <c r="IPA94" s="786"/>
      <c r="IPB94" s="786"/>
      <c r="IPC94" s="786"/>
      <c r="IPD94" s="786"/>
      <c r="IPE94" s="786"/>
      <c r="IPF94" s="786"/>
      <c r="IPG94" s="786"/>
      <c r="IPH94" s="786"/>
      <c r="IPI94" s="786"/>
      <c r="IPJ94" s="786"/>
      <c r="IPK94" s="786"/>
      <c r="IPL94" s="786"/>
      <c r="IPM94" s="786"/>
      <c r="IPN94" s="786"/>
      <c r="IPO94" s="786"/>
      <c r="IPP94" s="786"/>
      <c r="IPQ94" s="786"/>
      <c r="IPR94" s="786"/>
      <c r="IPS94" s="786"/>
      <c r="IPT94" s="786"/>
      <c r="IPU94" s="786"/>
      <c r="IPV94" s="786"/>
      <c r="IPW94" s="786"/>
      <c r="IPX94" s="786"/>
      <c r="IPY94" s="786"/>
      <c r="IPZ94" s="786"/>
      <c r="IQA94" s="786"/>
      <c r="IQB94" s="786"/>
      <c r="IQC94" s="786"/>
      <c r="IQD94" s="786"/>
      <c r="IQE94" s="786"/>
      <c r="IQF94" s="786"/>
      <c r="IQG94" s="786"/>
      <c r="IQH94" s="786"/>
      <c r="IQI94" s="786"/>
      <c r="IQJ94" s="786"/>
      <c r="IQK94" s="786"/>
      <c r="IQL94" s="786"/>
      <c r="IQM94" s="786"/>
      <c r="IQN94" s="786"/>
      <c r="IQO94" s="786"/>
      <c r="IQP94" s="786"/>
      <c r="IQQ94" s="786"/>
      <c r="IQR94" s="786"/>
      <c r="IQS94" s="786"/>
      <c r="IQT94" s="786"/>
      <c r="IQU94" s="786"/>
      <c r="IQV94" s="786"/>
      <c r="IQW94" s="786"/>
      <c r="IQX94" s="786"/>
      <c r="IQY94" s="786"/>
      <c r="IQZ94" s="786"/>
      <c r="IRA94" s="786"/>
      <c r="IRB94" s="786"/>
      <c r="IRC94" s="786"/>
      <c r="IRD94" s="786"/>
      <c r="IRE94" s="786"/>
      <c r="IRF94" s="786"/>
      <c r="IRG94" s="786"/>
      <c r="IRH94" s="786"/>
      <c r="IRI94" s="786"/>
      <c r="IRJ94" s="786"/>
      <c r="IRK94" s="786"/>
      <c r="IRL94" s="786"/>
      <c r="IRM94" s="786"/>
      <c r="IRN94" s="786"/>
      <c r="IRO94" s="786"/>
      <c r="IRP94" s="786"/>
      <c r="IRQ94" s="786"/>
      <c r="IRR94" s="786"/>
      <c r="IRS94" s="786"/>
      <c r="IRT94" s="786"/>
      <c r="IRU94" s="786"/>
      <c r="IRV94" s="786"/>
      <c r="IRW94" s="786"/>
      <c r="IRX94" s="786"/>
      <c r="IRY94" s="786"/>
      <c r="IRZ94" s="786"/>
      <c r="ISA94" s="786"/>
      <c r="ISB94" s="786"/>
      <c r="ISC94" s="786"/>
      <c r="ISD94" s="786"/>
      <c r="ISE94" s="786"/>
      <c r="ISF94" s="786"/>
      <c r="ISG94" s="786"/>
      <c r="ISH94" s="786"/>
      <c r="ISI94" s="786"/>
      <c r="ISJ94" s="786"/>
      <c r="ISK94" s="786"/>
      <c r="ISL94" s="786"/>
      <c r="ISM94" s="786"/>
      <c r="ISN94" s="786"/>
      <c r="ISO94" s="786"/>
      <c r="ISP94" s="786"/>
      <c r="ISQ94" s="786"/>
      <c r="ISR94" s="786"/>
      <c r="ISS94" s="786"/>
      <c r="IST94" s="786"/>
      <c r="ISU94" s="786"/>
      <c r="ISV94" s="786"/>
      <c r="ISW94" s="786"/>
      <c r="ISX94" s="786"/>
      <c r="ISY94" s="786"/>
      <c r="ISZ94" s="786"/>
      <c r="ITA94" s="786"/>
      <c r="ITB94" s="786"/>
      <c r="ITC94" s="786"/>
      <c r="ITD94" s="786"/>
      <c r="ITE94" s="786"/>
      <c r="ITF94" s="786"/>
      <c r="ITG94" s="786"/>
      <c r="ITH94" s="786"/>
      <c r="ITI94" s="786"/>
      <c r="ITJ94" s="786"/>
      <c r="ITK94" s="786"/>
      <c r="ITL94" s="786"/>
      <c r="ITM94" s="786"/>
      <c r="ITN94" s="786"/>
      <c r="ITO94" s="786"/>
      <c r="ITP94" s="786"/>
      <c r="ITQ94" s="786"/>
      <c r="ITR94" s="786"/>
      <c r="ITS94" s="786"/>
      <c r="ITT94" s="786"/>
      <c r="ITU94" s="786"/>
      <c r="ITV94" s="786"/>
      <c r="ITW94" s="786"/>
      <c r="ITX94" s="786"/>
      <c r="ITY94" s="786"/>
      <c r="ITZ94" s="786"/>
      <c r="IUA94" s="786"/>
      <c r="IUB94" s="786"/>
      <c r="IUC94" s="786"/>
      <c r="IUD94" s="786"/>
      <c r="IUE94" s="786"/>
      <c r="IUF94" s="786"/>
      <c r="IUG94" s="786"/>
      <c r="IUH94" s="786"/>
      <c r="IUI94" s="786"/>
      <c r="IUJ94" s="786"/>
      <c r="IUK94" s="786"/>
      <c r="IUL94" s="786"/>
      <c r="IUM94" s="786"/>
      <c r="IUN94" s="786"/>
      <c r="IUO94" s="786"/>
      <c r="IUP94" s="786"/>
      <c r="IUQ94" s="786"/>
      <c r="IUR94" s="786"/>
      <c r="IUS94" s="786"/>
      <c r="IUT94" s="786"/>
      <c r="IUU94" s="786"/>
      <c r="IUV94" s="786"/>
      <c r="IUW94" s="786"/>
      <c r="IUX94" s="786"/>
      <c r="IUY94" s="786"/>
      <c r="IUZ94" s="786"/>
      <c r="IVA94" s="786"/>
      <c r="IVB94" s="786"/>
      <c r="IVC94" s="786"/>
      <c r="IVD94" s="786"/>
      <c r="IVE94" s="786"/>
      <c r="IVF94" s="786"/>
      <c r="IVG94" s="786"/>
      <c r="IVH94" s="786"/>
      <c r="IVI94" s="786"/>
      <c r="IVJ94" s="786"/>
      <c r="IVK94" s="786"/>
      <c r="IVL94" s="786"/>
      <c r="IVM94" s="786"/>
      <c r="IVN94" s="786"/>
      <c r="IVO94" s="786"/>
      <c r="IVP94" s="786"/>
      <c r="IVQ94" s="786"/>
      <c r="IVR94" s="786"/>
      <c r="IVS94" s="786"/>
      <c r="IVT94" s="786"/>
      <c r="IVU94" s="786"/>
      <c r="IVV94" s="786"/>
      <c r="IVW94" s="786"/>
      <c r="IVX94" s="786"/>
      <c r="IVY94" s="786"/>
      <c r="IVZ94" s="786"/>
      <c r="IWA94" s="786"/>
      <c r="IWB94" s="786"/>
      <c r="IWC94" s="786"/>
      <c r="IWD94" s="786"/>
      <c r="IWE94" s="786"/>
      <c r="IWF94" s="786"/>
      <c r="IWG94" s="786"/>
      <c r="IWH94" s="786"/>
      <c r="IWI94" s="786"/>
      <c r="IWJ94" s="786"/>
      <c r="IWK94" s="786"/>
      <c r="IWL94" s="786"/>
      <c r="IWM94" s="786"/>
      <c r="IWN94" s="786"/>
      <c r="IWO94" s="786"/>
      <c r="IWP94" s="786"/>
      <c r="IWQ94" s="786"/>
      <c r="IWR94" s="786"/>
      <c r="IWS94" s="786"/>
      <c r="IWT94" s="786"/>
      <c r="IWU94" s="786"/>
      <c r="IWV94" s="786"/>
      <c r="IWW94" s="786"/>
      <c r="IWX94" s="786"/>
      <c r="IWY94" s="786"/>
      <c r="IWZ94" s="786"/>
      <c r="IXA94" s="786"/>
      <c r="IXB94" s="786"/>
      <c r="IXC94" s="786"/>
      <c r="IXD94" s="786"/>
      <c r="IXE94" s="786"/>
      <c r="IXF94" s="786"/>
      <c r="IXG94" s="786"/>
      <c r="IXH94" s="786"/>
      <c r="IXI94" s="786"/>
      <c r="IXJ94" s="786"/>
      <c r="IXK94" s="786"/>
      <c r="IXL94" s="786"/>
      <c r="IXM94" s="786"/>
      <c r="IXN94" s="786"/>
      <c r="IXO94" s="786"/>
      <c r="IXP94" s="786"/>
      <c r="IXQ94" s="786"/>
      <c r="IXR94" s="786"/>
      <c r="IXS94" s="786"/>
      <c r="IXT94" s="786"/>
      <c r="IXU94" s="786"/>
      <c r="IXV94" s="786"/>
      <c r="IXW94" s="786"/>
      <c r="IXX94" s="786"/>
      <c r="IXY94" s="786"/>
      <c r="IXZ94" s="786"/>
      <c r="IYA94" s="786"/>
      <c r="IYB94" s="786"/>
      <c r="IYC94" s="786"/>
      <c r="IYD94" s="786"/>
      <c r="IYE94" s="786"/>
      <c r="IYF94" s="786"/>
      <c r="IYG94" s="786"/>
      <c r="IYH94" s="786"/>
      <c r="IYI94" s="786"/>
      <c r="IYJ94" s="786"/>
      <c r="IYK94" s="786"/>
      <c r="IYL94" s="786"/>
      <c r="IYM94" s="786"/>
      <c r="IYN94" s="786"/>
      <c r="IYO94" s="786"/>
      <c r="IYP94" s="786"/>
      <c r="IYQ94" s="786"/>
      <c r="IYR94" s="786"/>
      <c r="IYS94" s="786"/>
      <c r="IYT94" s="786"/>
      <c r="IYU94" s="786"/>
      <c r="IYV94" s="786"/>
      <c r="IYW94" s="786"/>
      <c r="IYX94" s="786"/>
      <c r="IYY94" s="786"/>
      <c r="IYZ94" s="786"/>
      <c r="IZA94" s="786"/>
      <c r="IZB94" s="786"/>
      <c r="IZC94" s="786"/>
      <c r="IZD94" s="786"/>
      <c r="IZE94" s="786"/>
      <c r="IZF94" s="786"/>
      <c r="IZG94" s="786"/>
      <c r="IZH94" s="786"/>
      <c r="IZI94" s="786"/>
      <c r="IZJ94" s="786"/>
      <c r="IZK94" s="786"/>
      <c r="IZL94" s="786"/>
      <c r="IZM94" s="786"/>
      <c r="IZN94" s="786"/>
      <c r="IZO94" s="786"/>
      <c r="IZP94" s="786"/>
      <c r="IZQ94" s="786"/>
      <c r="IZR94" s="786"/>
      <c r="IZS94" s="786"/>
      <c r="IZT94" s="786"/>
      <c r="IZU94" s="786"/>
      <c r="IZV94" s="786"/>
      <c r="IZW94" s="786"/>
      <c r="IZX94" s="786"/>
      <c r="IZY94" s="786"/>
      <c r="IZZ94" s="786"/>
      <c r="JAA94" s="786"/>
      <c r="JAB94" s="786"/>
      <c r="JAC94" s="786"/>
      <c r="JAD94" s="786"/>
      <c r="JAE94" s="786"/>
      <c r="JAF94" s="786"/>
      <c r="JAG94" s="786"/>
      <c r="JAH94" s="786"/>
      <c r="JAI94" s="786"/>
      <c r="JAJ94" s="786"/>
      <c r="JAK94" s="786"/>
      <c r="JAL94" s="786"/>
      <c r="JAM94" s="786"/>
      <c r="JAN94" s="786"/>
      <c r="JAO94" s="786"/>
      <c r="JAP94" s="786"/>
      <c r="JAQ94" s="786"/>
      <c r="JAR94" s="786"/>
      <c r="JAS94" s="786"/>
      <c r="JAT94" s="786"/>
      <c r="JAU94" s="786"/>
      <c r="JAV94" s="786"/>
      <c r="JAW94" s="786"/>
      <c r="JAX94" s="786"/>
      <c r="JAY94" s="786"/>
      <c r="JAZ94" s="786"/>
      <c r="JBA94" s="786"/>
      <c r="JBB94" s="786"/>
      <c r="JBC94" s="786"/>
      <c r="JBD94" s="786"/>
      <c r="JBE94" s="786"/>
      <c r="JBF94" s="786"/>
      <c r="JBG94" s="786"/>
      <c r="JBH94" s="786"/>
      <c r="JBI94" s="786"/>
      <c r="JBJ94" s="786"/>
      <c r="JBK94" s="786"/>
      <c r="JBL94" s="786"/>
      <c r="JBM94" s="786"/>
      <c r="JBN94" s="786"/>
      <c r="JBO94" s="786"/>
      <c r="JBP94" s="786"/>
      <c r="JBQ94" s="786"/>
      <c r="JBR94" s="786"/>
      <c r="JBS94" s="786"/>
      <c r="JBT94" s="786"/>
      <c r="JBU94" s="786"/>
      <c r="JBV94" s="786"/>
      <c r="JBW94" s="786"/>
      <c r="JBX94" s="786"/>
      <c r="JBY94" s="786"/>
      <c r="JBZ94" s="786"/>
      <c r="JCA94" s="786"/>
      <c r="JCB94" s="786"/>
      <c r="JCC94" s="786"/>
      <c r="JCD94" s="786"/>
      <c r="JCE94" s="786"/>
      <c r="JCF94" s="786"/>
      <c r="JCG94" s="786"/>
      <c r="JCH94" s="786"/>
      <c r="JCI94" s="786"/>
      <c r="JCJ94" s="786"/>
      <c r="JCK94" s="786"/>
      <c r="JCL94" s="786"/>
      <c r="JCM94" s="786"/>
      <c r="JCN94" s="786"/>
      <c r="JCO94" s="786"/>
      <c r="JCP94" s="786"/>
      <c r="JCQ94" s="786"/>
      <c r="JCR94" s="786"/>
      <c r="JCS94" s="786"/>
      <c r="JCT94" s="786"/>
      <c r="JCU94" s="786"/>
      <c r="JCV94" s="786"/>
      <c r="JCW94" s="786"/>
      <c r="JCX94" s="786"/>
      <c r="JCY94" s="786"/>
      <c r="JCZ94" s="786"/>
      <c r="JDA94" s="786"/>
      <c r="JDB94" s="786"/>
      <c r="JDC94" s="786"/>
      <c r="JDD94" s="786"/>
      <c r="JDE94" s="786"/>
      <c r="JDF94" s="786"/>
      <c r="JDG94" s="786"/>
      <c r="JDH94" s="786"/>
      <c r="JDI94" s="786"/>
      <c r="JDJ94" s="786"/>
      <c r="JDK94" s="786"/>
      <c r="JDL94" s="786"/>
      <c r="JDM94" s="786"/>
      <c r="JDN94" s="786"/>
      <c r="JDO94" s="786"/>
      <c r="JDP94" s="786"/>
      <c r="JDQ94" s="786"/>
      <c r="JDR94" s="786"/>
      <c r="JDS94" s="786"/>
      <c r="JDT94" s="786"/>
      <c r="JDU94" s="786"/>
      <c r="JDV94" s="786"/>
      <c r="JDW94" s="786"/>
      <c r="JDX94" s="786"/>
      <c r="JDY94" s="786"/>
      <c r="JDZ94" s="786"/>
      <c r="JEA94" s="786"/>
      <c r="JEB94" s="786"/>
      <c r="JEC94" s="786"/>
      <c r="JED94" s="786"/>
      <c r="JEE94" s="786"/>
      <c r="JEF94" s="786"/>
      <c r="JEG94" s="786"/>
      <c r="JEH94" s="786"/>
      <c r="JEI94" s="786"/>
      <c r="JEJ94" s="786"/>
      <c r="JEK94" s="786"/>
      <c r="JEL94" s="786"/>
      <c r="JEM94" s="786"/>
      <c r="JEN94" s="786"/>
      <c r="JEO94" s="786"/>
      <c r="JEP94" s="786"/>
      <c r="JEQ94" s="786"/>
      <c r="JER94" s="786"/>
      <c r="JES94" s="786"/>
      <c r="JET94" s="786"/>
      <c r="JEU94" s="786"/>
      <c r="JEV94" s="786"/>
      <c r="JEW94" s="786"/>
      <c r="JEX94" s="786"/>
      <c r="JEY94" s="786"/>
      <c r="JEZ94" s="786"/>
      <c r="JFA94" s="786"/>
      <c r="JFB94" s="786"/>
      <c r="JFC94" s="786"/>
      <c r="JFD94" s="786"/>
      <c r="JFE94" s="786"/>
      <c r="JFF94" s="786"/>
      <c r="JFG94" s="786"/>
      <c r="JFH94" s="786"/>
      <c r="JFI94" s="786"/>
      <c r="JFJ94" s="786"/>
      <c r="JFK94" s="786"/>
      <c r="JFL94" s="786"/>
      <c r="JFM94" s="786"/>
      <c r="JFN94" s="786"/>
      <c r="JFO94" s="786"/>
      <c r="JFP94" s="786"/>
      <c r="JFQ94" s="786"/>
      <c r="JFR94" s="786"/>
      <c r="JFS94" s="786"/>
      <c r="JFT94" s="786"/>
      <c r="JFU94" s="786"/>
      <c r="JFV94" s="786"/>
      <c r="JFW94" s="786"/>
      <c r="JFX94" s="786"/>
      <c r="JFY94" s="786"/>
      <c r="JFZ94" s="786"/>
      <c r="JGA94" s="786"/>
      <c r="JGB94" s="786"/>
      <c r="JGC94" s="786"/>
      <c r="JGD94" s="786"/>
      <c r="JGE94" s="786"/>
      <c r="JGF94" s="786"/>
      <c r="JGG94" s="786"/>
      <c r="JGH94" s="786"/>
      <c r="JGI94" s="786"/>
      <c r="JGJ94" s="786"/>
      <c r="JGK94" s="786"/>
      <c r="JGL94" s="786"/>
      <c r="JGM94" s="786"/>
      <c r="JGN94" s="786"/>
      <c r="JGO94" s="786"/>
      <c r="JGP94" s="786"/>
      <c r="JGQ94" s="786"/>
      <c r="JGR94" s="786"/>
      <c r="JGS94" s="786"/>
      <c r="JGT94" s="786"/>
      <c r="JGU94" s="786"/>
      <c r="JGV94" s="786"/>
      <c r="JGW94" s="786"/>
      <c r="JGX94" s="786"/>
      <c r="JGY94" s="786"/>
      <c r="JGZ94" s="786"/>
      <c r="JHA94" s="786"/>
      <c r="JHB94" s="786"/>
      <c r="JHC94" s="786"/>
      <c r="JHD94" s="786"/>
      <c r="JHE94" s="786"/>
      <c r="JHF94" s="786"/>
      <c r="JHG94" s="786"/>
      <c r="JHH94" s="786"/>
      <c r="JHI94" s="786"/>
      <c r="JHJ94" s="786"/>
      <c r="JHK94" s="786"/>
      <c r="JHL94" s="786"/>
      <c r="JHM94" s="786"/>
      <c r="JHN94" s="786"/>
      <c r="JHO94" s="786"/>
      <c r="JHP94" s="786"/>
      <c r="JHQ94" s="786"/>
      <c r="JHR94" s="786"/>
      <c r="JHS94" s="786"/>
      <c r="JHT94" s="786"/>
      <c r="JHU94" s="786"/>
      <c r="JHV94" s="786"/>
      <c r="JHW94" s="786"/>
      <c r="JHX94" s="786"/>
      <c r="JHY94" s="786"/>
      <c r="JHZ94" s="786"/>
      <c r="JIA94" s="786"/>
      <c r="JIB94" s="786"/>
      <c r="JIC94" s="786"/>
      <c r="JID94" s="786"/>
      <c r="JIE94" s="786"/>
      <c r="JIF94" s="786"/>
      <c r="JIG94" s="786"/>
      <c r="JIH94" s="786"/>
      <c r="JII94" s="786"/>
      <c r="JIJ94" s="786"/>
      <c r="JIK94" s="786"/>
      <c r="JIL94" s="786"/>
      <c r="JIM94" s="786"/>
      <c r="JIN94" s="786"/>
      <c r="JIO94" s="786"/>
      <c r="JIP94" s="786"/>
      <c r="JIQ94" s="786"/>
      <c r="JIR94" s="786"/>
      <c r="JIS94" s="786"/>
      <c r="JIT94" s="786"/>
      <c r="JIU94" s="786"/>
      <c r="JIV94" s="786"/>
      <c r="JIW94" s="786"/>
      <c r="JIX94" s="786"/>
      <c r="JIY94" s="786"/>
      <c r="JIZ94" s="786"/>
      <c r="JJA94" s="786"/>
      <c r="JJB94" s="786"/>
      <c r="JJC94" s="786"/>
      <c r="JJD94" s="786"/>
      <c r="JJE94" s="786"/>
      <c r="JJF94" s="786"/>
      <c r="JJG94" s="786"/>
      <c r="JJH94" s="786"/>
      <c r="JJI94" s="786"/>
      <c r="JJJ94" s="786"/>
      <c r="JJK94" s="786"/>
      <c r="JJL94" s="786"/>
      <c r="JJM94" s="786"/>
      <c r="JJN94" s="786"/>
      <c r="JJO94" s="786"/>
      <c r="JJP94" s="786"/>
      <c r="JJQ94" s="786"/>
      <c r="JJR94" s="786"/>
      <c r="JJS94" s="786"/>
      <c r="JJT94" s="786"/>
      <c r="JJU94" s="786"/>
      <c r="JJV94" s="786"/>
      <c r="JJW94" s="786"/>
      <c r="JJX94" s="786"/>
      <c r="JJY94" s="786"/>
      <c r="JJZ94" s="786"/>
      <c r="JKA94" s="786"/>
      <c r="JKB94" s="786"/>
      <c r="JKC94" s="786"/>
      <c r="JKD94" s="786"/>
      <c r="JKE94" s="786"/>
      <c r="JKF94" s="786"/>
      <c r="JKG94" s="786"/>
      <c r="JKH94" s="786"/>
      <c r="JKI94" s="786"/>
      <c r="JKJ94" s="786"/>
      <c r="JKK94" s="786"/>
      <c r="JKL94" s="786"/>
      <c r="JKM94" s="786"/>
      <c r="JKN94" s="786"/>
      <c r="JKO94" s="786"/>
      <c r="JKP94" s="786"/>
      <c r="JKQ94" s="786"/>
      <c r="JKR94" s="786"/>
      <c r="JKS94" s="786"/>
      <c r="JKT94" s="786"/>
      <c r="JKU94" s="786"/>
      <c r="JKV94" s="786"/>
      <c r="JKW94" s="786"/>
      <c r="JKX94" s="786"/>
      <c r="JKY94" s="786"/>
      <c r="JKZ94" s="786"/>
      <c r="JLA94" s="786"/>
      <c r="JLB94" s="786"/>
      <c r="JLC94" s="786"/>
      <c r="JLD94" s="786"/>
      <c r="JLE94" s="786"/>
      <c r="JLF94" s="786"/>
      <c r="JLG94" s="786"/>
      <c r="JLH94" s="786"/>
      <c r="JLI94" s="786"/>
      <c r="JLJ94" s="786"/>
      <c r="JLK94" s="786"/>
      <c r="JLL94" s="786"/>
      <c r="JLM94" s="786"/>
      <c r="JLN94" s="786"/>
      <c r="JLO94" s="786"/>
      <c r="JLP94" s="786"/>
      <c r="JLQ94" s="786"/>
      <c r="JLR94" s="786"/>
      <c r="JLS94" s="786"/>
      <c r="JLT94" s="786"/>
      <c r="JLU94" s="786"/>
      <c r="JLV94" s="786"/>
      <c r="JLW94" s="786"/>
      <c r="JLX94" s="786"/>
      <c r="JLY94" s="786"/>
      <c r="JLZ94" s="786"/>
      <c r="JMA94" s="786"/>
      <c r="JMB94" s="786"/>
      <c r="JMC94" s="786"/>
      <c r="JMD94" s="786"/>
      <c r="JME94" s="786"/>
      <c r="JMF94" s="786"/>
      <c r="JMG94" s="786"/>
      <c r="JMH94" s="786"/>
      <c r="JMI94" s="786"/>
      <c r="JMJ94" s="786"/>
      <c r="JMK94" s="786"/>
      <c r="JML94" s="786"/>
      <c r="JMM94" s="786"/>
      <c r="JMN94" s="786"/>
      <c r="JMO94" s="786"/>
      <c r="JMP94" s="786"/>
      <c r="JMQ94" s="786"/>
      <c r="JMR94" s="786"/>
      <c r="JMS94" s="786"/>
      <c r="JMT94" s="786"/>
      <c r="JMU94" s="786"/>
      <c r="JMV94" s="786"/>
      <c r="JMW94" s="786"/>
      <c r="JMX94" s="786"/>
      <c r="JMY94" s="786"/>
      <c r="JMZ94" s="786"/>
      <c r="JNA94" s="786"/>
      <c r="JNB94" s="786"/>
      <c r="JNC94" s="786"/>
      <c r="JND94" s="786"/>
      <c r="JNE94" s="786"/>
      <c r="JNF94" s="786"/>
      <c r="JNG94" s="786"/>
      <c r="JNH94" s="786"/>
      <c r="JNI94" s="786"/>
      <c r="JNJ94" s="786"/>
      <c r="JNK94" s="786"/>
      <c r="JNL94" s="786"/>
      <c r="JNM94" s="786"/>
      <c r="JNN94" s="786"/>
      <c r="JNO94" s="786"/>
      <c r="JNP94" s="786"/>
      <c r="JNQ94" s="786"/>
      <c r="JNR94" s="786"/>
      <c r="JNS94" s="786"/>
      <c r="JNT94" s="786"/>
      <c r="JNU94" s="786"/>
      <c r="JNV94" s="786"/>
      <c r="JNW94" s="786"/>
      <c r="JNX94" s="786"/>
      <c r="JNY94" s="786"/>
      <c r="JNZ94" s="786"/>
      <c r="JOA94" s="786"/>
      <c r="JOB94" s="786"/>
      <c r="JOC94" s="786"/>
      <c r="JOD94" s="786"/>
      <c r="JOE94" s="786"/>
      <c r="JOF94" s="786"/>
      <c r="JOG94" s="786"/>
      <c r="JOH94" s="786"/>
      <c r="JOI94" s="786"/>
      <c r="JOJ94" s="786"/>
      <c r="JOK94" s="786"/>
      <c r="JOL94" s="786"/>
      <c r="JOM94" s="786"/>
      <c r="JON94" s="786"/>
      <c r="JOO94" s="786"/>
      <c r="JOP94" s="786"/>
      <c r="JOQ94" s="786"/>
      <c r="JOR94" s="786"/>
      <c r="JOS94" s="786"/>
      <c r="JOT94" s="786"/>
      <c r="JOU94" s="786"/>
      <c r="JOV94" s="786"/>
      <c r="JOW94" s="786"/>
      <c r="JOX94" s="786"/>
      <c r="JOY94" s="786"/>
      <c r="JOZ94" s="786"/>
      <c r="JPA94" s="786"/>
      <c r="JPB94" s="786"/>
      <c r="JPC94" s="786"/>
      <c r="JPD94" s="786"/>
      <c r="JPE94" s="786"/>
      <c r="JPF94" s="786"/>
      <c r="JPG94" s="786"/>
      <c r="JPH94" s="786"/>
      <c r="JPI94" s="786"/>
      <c r="JPJ94" s="786"/>
      <c r="JPK94" s="786"/>
      <c r="JPL94" s="786"/>
      <c r="JPM94" s="786"/>
      <c r="JPN94" s="786"/>
      <c r="JPO94" s="786"/>
      <c r="JPP94" s="786"/>
      <c r="JPQ94" s="786"/>
      <c r="JPR94" s="786"/>
      <c r="JPS94" s="786"/>
      <c r="JPT94" s="786"/>
      <c r="JPU94" s="786"/>
      <c r="JPV94" s="786"/>
      <c r="JPW94" s="786"/>
      <c r="JPX94" s="786"/>
      <c r="JPY94" s="786"/>
      <c r="JPZ94" s="786"/>
      <c r="JQA94" s="786"/>
      <c r="JQB94" s="786"/>
      <c r="JQC94" s="786"/>
      <c r="JQD94" s="786"/>
      <c r="JQE94" s="786"/>
      <c r="JQF94" s="786"/>
      <c r="JQG94" s="786"/>
      <c r="JQH94" s="786"/>
      <c r="JQI94" s="786"/>
      <c r="JQJ94" s="786"/>
      <c r="JQK94" s="786"/>
      <c r="JQL94" s="786"/>
      <c r="JQM94" s="786"/>
      <c r="JQN94" s="786"/>
      <c r="JQO94" s="786"/>
      <c r="JQP94" s="786"/>
      <c r="JQQ94" s="786"/>
      <c r="JQR94" s="786"/>
      <c r="JQS94" s="786"/>
      <c r="JQT94" s="786"/>
      <c r="JQU94" s="786"/>
      <c r="JQV94" s="786"/>
      <c r="JQW94" s="786"/>
      <c r="JQX94" s="786"/>
      <c r="JQY94" s="786"/>
      <c r="JQZ94" s="786"/>
      <c r="JRA94" s="786"/>
      <c r="JRB94" s="786"/>
      <c r="JRC94" s="786"/>
      <c r="JRD94" s="786"/>
      <c r="JRE94" s="786"/>
      <c r="JRF94" s="786"/>
      <c r="JRG94" s="786"/>
      <c r="JRH94" s="786"/>
      <c r="JRI94" s="786"/>
      <c r="JRJ94" s="786"/>
      <c r="JRK94" s="786"/>
      <c r="JRL94" s="786"/>
      <c r="JRM94" s="786"/>
      <c r="JRN94" s="786"/>
      <c r="JRO94" s="786"/>
      <c r="JRP94" s="786"/>
      <c r="JRQ94" s="786"/>
      <c r="JRR94" s="786"/>
      <c r="JRS94" s="786"/>
      <c r="JRT94" s="786"/>
      <c r="JRU94" s="786"/>
      <c r="JRV94" s="786"/>
      <c r="JRW94" s="786"/>
      <c r="JRX94" s="786"/>
      <c r="JRY94" s="786"/>
      <c r="JRZ94" s="786"/>
      <c r="JSA94" s="786"/>
      <c r="JSB94" s="786"/>
      <c r="JSC94" s="786"/>
      <c r="JSD94" s="786"/>
      <c r="JSE94" s="786"/>
      <c r="JSF94" s="786"/>
      <c r="JSG94" s="786"/>
      <c r="JSH94" s="786"/>
      <c r="JSI94" s="786"/>
      <c r="JSJ94" s="786"/>
      <c r="JSK94" s="786"/>
      <c r="JSL94" s="786"/>
      <c r="JSM94" s="786"/>
      <c r="JSN94" s="786"/>
      <c r="JSO94" s="786"/>
      <c r="JSP94" s="786"/>
      <c r="JSQ94" s="786"/>
      <c r="JSR94" s="786"/>
      <c r="JSS94" s="786"/>
      <c r="JST94" s="786"/>
      <c r="JSU94" s="786"/>
      <c r="JSV94" s="786"/>
      <c r="JSW94" s="786"/>
      <c r="JSX94" s="786"/>
      <c r="JSY94" s="786"/>
      <c r="JSZ94" s="786"/>
      <c r="JTA94" s="786"/>
      <c r="JTB94" s="786"/>
      <c r="JTC94" s="786"/>
      <c r="JTD94" s="786"/>
      <c r="JTE94" s="786"/>
      <c r="JTF94" s="786"/>
      <c r="JTG94" s="786"/>
      <c r="JTH94" s="786"/>
      <c r="JTI94" s="786"/>
      <c r="JTJ94" s="786"/>
      <c r="JTK94" s="786"/>
      <c r="JTL94" s="786"/>
      <c r="JTM94" s="786"/>
      <c r="JTN94" s="786"/>
      <c r="JTO94" s="786"/>
      <c r="JTP94" s="786"/>
      <c r="JTQ94" s="786"/>
      <c r="JTR94" s="786"/>
      <c r="JTS94" s="786"/>
      <c r="JTT94" s="786"/>
      <c r="JTU94" s="786"/>
      <c r="JTV94" s="786"/>
      <c r="JTW94" s="786"/>
      <c r="JTX94" s="786"/>
      <c r="JTY94" s="786"/>
      <c r="JTZ94" s="786"/>
      <c r="JUA94" s="786"/>
      <c r="JUB94" s="786"/>
      <c r="JUC94" s="786"/>
      <c r="JUD94" s="786"/>
      <c r="JUE94" s="786"/>
      <c r="JUF94" s="786"/>
      <c r="JUG94" s="786"/>
      <c r="JUH94" s="786"/>
      <c r="JUI94" s="786"/>
      <c r="JUJ94" s="786"/>
      <c r="JUK94" s="786"/>
      <c r="JUL94" s="786"/>
      <c r="JUM94" s="786"/>
      <c r="JUN94" s="786"/>
      <c r="JUO94" s="786"/>
      <c r="JUP94" s="786"/>
      <c r="JUQ94" s="786"/>
      <c r="JUR94" s="786"/>
      <c r="JUS94" s="786"/>
      <c r="JUT94" s="786"/>
      <c r="JUU94" s="786"/>
      <c r="JUV94" s="786"/>
      <c r="JUW94" s="786"/>
      <c r="JUX94" s="786"/>
      <c r="JUY94" s="786"/>
      <c r="JUZ94" s="786"/>
      <c r="JVA94" s="786"/>
      <c r="JVB94" s="786"/>
      <c r="JVC94" s="786"/>
      <c r="JVD94" s="786"/>
      <c r="JVE94" s="786"/>
      <c r="JVF94" s="786"/>
      <c r="JVG94" s="786"/>
      <c r="JVH94" s="786"/>
      <c r="JVI94" s="786"/>
      <c r="JVJ94" s="786"/>
      <c r="JVK94" s="786"/>
      <c r="JVL94" s="786"/>
      <c r="JVM94" s="786"/>
      <c r="JVN94" s="786"/>
      <c r="JVO94" s="786"/>
      <c r="JVP94" s="786"/>
      <c r="JVQ94" s="786"/>
      <c r="JVR94" s="786"/>
      <c r="JVS94" s="786"/>
      <c r="JVT94" s="786"/>
      <c r="JVU94" s="786"/>
      <c r="JVV94" s="786"/>
      <c r="JVW94" s="786"/>
      <c r="JVX94" s="786"/>
      <c r="JVY94" s="786"/>
      <c r="JVZ94" s="786"/>
      <c r="JWA94" s="786"/>
      <c r="JWB94" s="786"/>
      <c r="JWC94" s="786"/>
      <c r="JWD94" s="786"/>
      <c r="JWE94" s="786"/>
      <c r="JWF94" s="786"/>
      <c r="JWG94" s="786"/>
      <c r="JWH94" s="786"/>
      <c r="JWI94" s="786"/>
      <c r="JWJ94" s="786"/>
      <c r="JWK94" s="786"/>
      <c r="JWL94" s="786"/>
      <c r="JWM94" s="786"/>
      <c r="JWN94" s="786"/>
      <c r="JWO94" s="786"/>
      <c r="JWP94" s="786"/>
      <c r="JWQ94" s="786"/>
      <c r="JWR94" s="786"/>
      <c r="JWS94" s="786"/>
      <c r="JWT94" s="786"/>
      <c r="JWU94" s="786"/>
      <c r="JWV94" s="786"/>
      <c r="JWW94" s="786"/>
      <c r="JWX94" s="786"/>
      <c r="JWY94" s="786"/>
      <c r="JWZ94" s="786"/>
      <c r="JXA94" s="786"/>
      <c r="JXB94" s="786"/>
      <c r="JXC94" s="786"/>
      <c r="JXD94" s="786"/>
      <c r="JXE94" s="786"/>
      <c r="JXF94" s="786"/>
      <c r="JXG94" s="786"/>
      <c r="JXH94" s="786"/>
      <c r="JXI94" s="786"/>
      <c r="JXJ94" s="786"/>
      <c r="JXK94" s="786"/>
      <c r="JXL94" s="786"/>
      <c r="JXM94" s="786"/>
      <c r="JXN94" s="786"/>
      <c r="JXO94" s="786"/>
      <c r="JXP94" s="786"/>
      <c r="JXQ94" s="786"/>
      <c r="JXR94" s="786"/>
      <c r="JXS94" s="786"/>
      <c r="JXT94" s="786"/>
      <c r="JXU94" s="786"/>
      <c r="JXV94" s="786"/>
      <c r="JXW94" s="786"/>
      <c r="JXX94" s="786"/>
      <c r="JXY94" s="786"/>
      <c r="JXZ94" s="786"/>
      <c r="JYA94" s="786"/>
      <c r="JYB94" s="786"/>
      <c r="JYC94" s="786"/>
      <c r="JYD94" s="786"/>
      <c r="JYE94" s="786"/>
      <c r="JYF94" s="786"/>
      <c r="JYG94" s="786"/>
      <c r="JYH94" s="786"/>
      <c r="JYI94" s="786"/>
      <c r="JYJ94" s="786"/>
      <c r="JYK94" s="786"/>
      <c r="JYL94" s="786"/>
      <c r="JYM94" s="786"/>
      <c r="JYN94" s="786"/>
      <c r="JYO94" s="786"/>
      <c r="JYP94" s="786"/>
      <c r="JYQ94" s="786"/>
      <c r="JYR94" s="786"/>
      <c r="JYS94" s="786"/>
      <c r="JYT94" s="786"/>
      <c r="JYU94" s="786"/>
      <c r="JYV94" s="786"/>
      <c r="JYW94" s="786"/>
      <c r="JYX94" s="786"/>
      <c r="JYY94" s="786"/>
      <c r="JYZ94" s="786"/>
      <c r="JZA94" s="786"/>
      <c r="JZB94" s="786"/>
      <c r="JZC94" s="786"/>
      <c r="JZD94" s="786"/>
      <c r="JZE94" s="786"/>
      <c r="JZF94" s="786"/>
      <c r="JZG94" s="786"/>
      <c r="JZH94" s="786"/>
      <c r="JZI94" s="786"/>
      <c r="JZJ94" s="786"/>
      <c r="JZK94" s="786"/>
      <c r="JZL94" s="786"/>
      <c r="JZM94" s="786"/>
      <c r="JZN94" s="786"/>
      <c r="JZO94" s="786"/>
      <c r="JZP94" s="786"/>
      <c r="JZQ94" s="786"/>
      <c r="JZR94" s="786"/>
      <c r="JZS94" s="786"/>
      <c r="JZT94" s="786"/>
      <c r="JZU94" s="786"/>
      <c r="JZV94" s="786"/>
      <c r="JZW94" s="786"/>
      <c r="JZX94" s="786"/>
      <c r="JZY94" s="786"/>
      <c r="JZZ94" s="786"/>
      <c r="KAA94" s="786"/>
      <c r="KAB94" s="786"/>
      <c r="KAC94" s="786"/>
      <c r="KAD94" s="786"/>
      <c r="KAE94" s="786"/>
      <c r="KAF94" s="786"/>
      <c r="KAG94" s="786"/>
      <c r="KAH94" s="786"/>
      <c r="KAI94" s="786"/>
      <c r="KAJ94" s="786"/>
      <c r="KAK94" s="786"/>
      <c r="KAL94" s="786"/>
      <c r="KAM94" s="786"/>
      <c r="KAN94" s="786"/>
      <c r="KAO94" s="786"/>
      <c r="KAP94" s="786"/>
      <c r="KAQ94" s="786"/>
      <c r="KAR94" s="786"/>
      <c r="KAS94" s="786"/>
      <c r="KAT94" s="786"/>
      <c r="KAU94" s="786"/>
      <c r="KAV94" s="786"/>
      <c r="KAW94" s="786"/>
      <c r="KAX94" s="786"/>
      <c r="KAY94" s="786"/>
      <c r="KAZ94" s="786"/>
      <c r="KBA94" s="786"/>
      <c r="KBB94" s="786"/>
      <c r="KBC94" s="786"/>
      <c r="KBD94" s="786"/>
      <c r="KBE94" s="786"/>
      <c r="KBF94" s="786"/>
      <c r="KBG94" s="786"/>
      <c r="KBH94" s="786"/>
      <c r="KBI94" s="786"/>
      <c r="KBJ94" s="786"/>
      <c r="KBK94" s="786"/>
      <c r="KBL94" s="786"/>
      <c r="KBM94" s="786"/>
      <c r="KBN94" s="786"/>
      <c r="KBO94" s="786"/>
      <c r="KBP94" s="786"/>
      <c r="KBQ94" s="786"/>
      <c r="KBR94" s="786"/>
      <c r="KBS94" s="786"/>
      <c r="KBT94" s="786"/>
      <c r="KBU94" s="786"/>
      <c r="KBV94" s="786"/>
      <c r="KBW94" s="786"/>
      <c r="KBX94" s="786"/>
      <c r="KBY94" s="786"/>
      <c r="KBZ94" s="786"/>
      <c r="KCA94" s="786"/>
      <c r="KCB94" s="786"/>
      <c r="KCC94" s="786"/>
      <c r="KCD94" s="786"/>
      <c r="KCE94" s="786"/>
      <c r="KCF94" s="786"/>
      <c r="KCG94" s="786"/>
      <c r="KCH94" s="786"/>
      <c r="KCI94" s="786"/>
      <c r="KCJ94" s="786"/>
      <c r="KCK94" s="786"/>
      <c r="KCL94" s="786"/>
      <c r="KCM94" s="786"/>
      <c r="KCN94" s="786"/>
      <c r="KCO94" s="786"/>
      <c r="KCP94" s="786"/>
      <c r="KCQ94" s="786"/>
      <c r="KCR94" s="786"/>
      <c r="KCS94" s="786"/>
      <c r="KCT94" s="786"/>
      <c r="KCU94" s="786"/>
      <c r="KCV94" s="786"/>
      <c r="KCW94" s="786"/>
      <c r="KCX94" s="786"/>
      <c r="KCY94" s="786"/>
      <c r="KCZ94" s="786"/>
      <c r="KDA94" s="786"/>
      <c r="KDB94" s="786"/>
      <c r="KDC94" s="786"/>
      <c r="KDD94" s="786"/>
      <c r="KDE94" s="786"/>
      <c r="KDF94" s="786"/>
      <c r="KDG94" s="786"/>
      <c r="KDH94" s="786"/>
      <c r="KDI94" s="786"/>
      <c r="KDJ94" s="786"/>
      <c r="KDK94" s="786"/>
      <c r="KDL94" s="786"/>
      <c r="KDM94" s="786"/>
      <c r="KDN94" s="786"/>
      <c r="KDO94" s="786"/>
      <c r="KDP94" s="786"/>
      <c r="KDQ94" s="786"/>
      <c r="KDR94" s="786"/>
      <c r="KDS94" s="786"/>
      <c r="KDT94" s="786"/>
      <c r="KDU94" s="786"/>
      <c r="KDV94" s="786"/>
      <c r="KDW94" s="786"/>
      <c r="KDX94" s="786"/>
      <c r="KDY94" s="786"/>
      <c r="KDZ94" s="786"/>
      <c r="KEA94" s="786"/>
      <c r="KEB94" s="786"/>
      <c r="KEC94" s="786"/>
      <c r="KED94" s="786"/>
      <c r="KEE94" s="786"/>
      <c r="KEF94" s="786"/>
      <c r="KEG94" s="786"/>
      <c r="KEH94" s="786"/>
      <c r="KEI94" s="786"/>
      <c r="KEJ94" s="786"/>
      <c r="KEK94" s="786"/>
      <c r="KEL94" s="786"/>
      <c r="KEM94" s="786"/>
      <c r="KEN94" s="786"/>
      <c r="KEO94" s="786"/>
      <c r="KEP94" s="786"/>
      <c r="KEQ94" s="786"/>
      <c r="KER94" s="786"/>
      <c r="KES94" s="786"/>
      <c r="KET94" s="786"/>
      <c r="KEU94" s="786"/>
      <c r="KEV94" s="786"/>
      <c r="KEW94" s="786"/>
      <c r="KEX94" s="786"/>
      <c r="KEY94" s="786"/>
      <c r="KEZ94" s="786"/>
      <c r="KFA94" s="786"/>
      <c r="KFB94" s="786"/>
      <c r="KFC94" s="786"/>
      <c r="KFD94" s="786"/>
      <c r="KFE94" s="786"/>
      <c r="KFF94" s="786"/>
      <c r="KFG94" s="786"/>
      <c r="KFH94" s="786"/>
      <c r="KFI94" s="786"/>
      <c r="KFJ94" s="786"/>
      <c r="KFK94" s="786"/>
      <c r="KFL94" s="786"/>
      <c r="KFM94" s="786"/>
      <c r="KFN94" s="786"/>
      <c r="KFO94" s="786"/>
      <c r="KFP94" s="786"/>
      <c r="KFQ94" s="786"/>
      <c r="KFR94" s="786"/>
      <c r="KFS94" s="786"/>
      <c r="KFT94" s="786"/>
      <c r="KFU94" s="786"/>
      <c r="KFV94" s="786"/>
      <c r="KFW94" s="786"/>
      <c r="KFX94" s="786"/>
      <c r="KFY94" s="786"/>
      <c r="KFZ94" s="786"/>
      <c r="KGA94" s="786"/>
      <c r="KGB94" s="786"/>
      <c r="KGC94" s="786"/>
      <c r="KGD94" s="786"/>
      <c r="KGE94" s="786"/>
      <c r="KGF94" s="786"/>
      <c r="KGG94" s="786"/>
      <c r="KGH94" s="786"/>
      <c r="KGI94" s="786"/>
      <c r="KGJ94" s="786"/>
      <c r="KGK94" s="786"/>
      <c r="KGL94" s="786"/>
      <c r="KGM94" s="786"/>
      <c r="KGN94" s="786"/>
      <c r="KGO94" s="786"/>
      <c r="KGP94" s="786"/>
      <c r="KGQ94" s="786"/>
      <c r="KGR94" s="786"/>
      <c r="KGS94" s="786"/>
      <c r="KGT94" s="786"/>
      <c r="KGU94" s="786"/>
      <c r="KGV94" s="786"/>
      <c r="KGW94" s="786"/>
      <c r="KGX94" s="786"/>
      <c r="KGY94" s="786"/>
      <c r="KGZ94" s="786"/>
      <c r="KHA94" s="786"/>
      <c r="KHB94" s="786"/>
      <c r="KHC94" s="786"/>
      <c r="KHD94" s="786"/>
      <c r="KHE94" s="786"/>
      <c r="KHF94" s="786"/>
      <c r="KHG94" s="786"/>
      <c r="KHH94" s="786"/>
      <c r="KHI94" s="786"/>
      <c r="KHJ94" s="786"/>
      <c r="KHK94" s="786"/>
      <c r="KHL94" s="786"/>
      <c r="KHM94" s="786"/>
      <c r="KHN94" s="786"/>
      <c r="KHO94" s="786"/>
      <c r="KHP94" s="786"/>
      <c r="KHQ94" s="786"/>
      <c r="KHR94" s="786"/>
      <c r="KHS94" s="786"/>
      <c r="KHT94" s="786"/>
      <c r="KHU94" s="786"/>
      <c r="KHV94" s="786"/>
      <c r="KHW94" s="786"/>
      <c r="KHX94" s="786"/>
      <c r="KHY94" s="786"/>
      <c r="KHZ94" s="786"/>
      <c r="KIA94" s="786"/>
      <c r="KIB94" s="786"/>
      <c r="KIC94" s="786"/>
      <c r="KID94" s="786"/>
      <c r="KIE94" s="786"/>
      <c r="KIF94" s="786"/>
      <c r="KIG94" s="786"/>
      <c r="KIH94" s="786"/>
      <c r="KII94" s="786"/>
      <c r="KIJ94" s="786"/>
      <c r="KIK94" s="786"/>
      <c r="KIL94" s="786"/>
      <c r="KIM94" s="786"/>
      <c r="KIN94" s="786"/>
      <c r="KIO94" s="786"/>
      <c r="KIP94" s="786"/>
      <c r="KIQ94" s="786"/>
      <c r="KIR94" s="786"/>
      <c r="KIS94" s="786"/>
      <c r="KIT94" s="786"/>
      <c r="KIU94" s="786"/>
      <c r="KIV94" s="786"/>
      <c r="KIW94" s="786"/>
      <c r="KIX94" s="786"/>
      <c r="KIY94" s="786"/>
      <c r="KIZ94" s="786"/>
      <c r="KJA94" s="786"/>
      <c r="KJB94" s="786"/>
      <c r="KJC94" s="786"/>
      <c r="KJD94" s="786"/>
      <c r="KJE94" s="786"/>
      <c r="KJF94" s="786"/>
      <c r="KJG94" s="786"/>
      <c r="KJH94" s="786"/>
      <c r="KJI94" s="786"/>
      <c r="KJJ94" s="786"/>
      <c r="KJK94" s="786"/>
      <c r="KJL94" s="786"/>
      <c r="KJM94" s="786"/>
      <c r="KJN94" s="786"/>
      <c r="KJO94" s="786"/>
      <c r="KJP94" s="786"/>
      <c r="KJQ94" s="786"/>
      <c r="KJR94" s="786"/>
      <c r="KJS94" s="786"/>
      <c r="KJT94" s="786"/>
      <c r="KJU94" s="786"/>
      <c r="KJV94" s="786"/>
      <c r="KJW94" s="786"/>
      <c r="KJX94" s="786"/>
      <c r="KJY94" s="786"/>
      <c r="KJZ94" s="786"/>
      <c r="KKA94" s="786"/>
      <c r="KKB94" s="786"/>
      <c r="KKC94" s="786"/>
      <c r="KKD94" s="786"/>
      <c r="KKE94" s="786"/>
      <c r="KKF94" s="786"/>
      <c r="KKG94" s="786"/>
      <c r="KKH94" s="786"/>
      <c r="KKI94" s="786"/>
      <c r="KKJ94" s="786"/>
      <c r="KKK94" s="786"/>
      <c r="KKL94" s="786"/>
      <c r="KKM94" s="786"/>
      <c r="KKN94" s="786"/>
      <c r="KKO94" s="786"/>
      <c r="KKP94" s="786"/>
      <c r="KKQ94" s="786"/>
      <c r="KKR94" s="786"/>
      <c r="KKS94" s="786"/>
      <c r="KKT94" s="786"/>
      <c r="KKU94" s="786"/>
      <c r="KKV94" s="786"/>
      <c r="KKW94" s="786"/>
      <c r="KKX94" s="786"/>
      <c r="KKY94" s="786"/>
      <c r="KKZ94" s="786"/>
      <c r="KLA94" s="786"/>
      <c r="KLB94" s="786"/>
      <c r="KLC94" s="786"/>
      <c r="KLD94" s="786"/>
      <c r="KLE94" s="786"/>
      <c r="KLF94" s="786"/>
      <c r="KLG94" s="786"/>
      <c r="KLH94" s="786"/>
      <c r="KLI94" s="786"/>
      <c r="KLJ94" s="786"/>
      <c r="KLK94" s="786"/>
      <c r="KLL94" s="786"/>
      <c r="KLM94" s="786"/>
      <c r="KLN94" s="786"/>
      <c r="KLO94" s="786"/>
      <c r="KLP94" s="786"/>
      <c r="KLQ94" s="786"/>
      <c r="KLR94" s="786"/>
      <c r="KLS94" s="786"/>
      <c r="KLT94" s="786"/>
      <c r="KLU94" s="786"/>
      <c r="KLV94" s="786"/>
      <c r="KLW94" s="786"/>
      <c r="KLX94" s="786"/>
      <c r="KLY94" s="786"/>
      <c r="KLZ94" s="786"/>
      <c r="KMA94" s="786"/>
      <c r="KMB94" s="786"/>
      <c r="KMC94" s="786"/>
      <c r="KMD94" s="786"/>
      <c r="KME94" s="786"/>
      <c r="KMF94" s="786"/>
      <c r="KMG94" s="786"/>
      <c r="KMH94" s="786"/>
      <c r="KMI94" s="786"/>
      <c r="KMJ94" s="786"/>
      <c r="KMK94" s="786"/>
      <c r="KML94" s="786"/>
      <c r="KMM94" s="786"/>
      <c r="KMN94" s="786"/>
      <c r="KMO94" s="786"/>
      <c r="KMP94" s="786"/>
      <c r="KMQ94" s="786"/>
      <c r="KMR94" s="786"/>
      <c r="KMS94" s="786"/>
      <c r="KMT94" s="786"/>
      <c r="KMU94" s="786"/>
      <c r="KMV94" s="786"/>
      <c r="KMW94" s="786"/>
      <c r="KMX94" s="786"/>
      <c r="KMY94" s="786"/>
      <c r="KMZ94" s="786"/>
      <c r="KNA94" s="786"/>
      <c r="KNB94" s="786"/>
      <c r="KNC94" s="786"/>
      <c r="KND94" s="786"/>
      <c r="KNE94" s="786"/>
      <c r="KNF94" s="786"/>
      <c r="KNG94" s="786"/>
      <c r="KNH94" s="786"/>
      <c r="KNI94" s="786"/>
      <c r="KNJ94" s="786"/>
      <c r="KNK94" s="786"/>
      <c r="KNL94" s="786"/>
      <c r="KNM94" s="786"/>
      <c r="KNN94" s="786"/>
      <c r="KNO94" s="786"/>
      <c r="KNP94" s="786"/>
      <c r="KNQ94" s="786"/>
      <c r="KNR94" s="786"/>
      <c r="KNS94" s="786"/>
      <c r="KNT94" s="786"/>
      <c r="KNU94" s="786"/>
      <c r="KNV94" s="786"/>
      <c r="KNW94" s="786"/>
      <c r="KNX94" s="786"/>
      <c r="KNY94" s="786"/>
      <c r="KNZ94" s="786"/>
      <c r="KOA94" s="786"/>
      <c r="KOB94" s="786"/>
      <c r="KOC94" s="786"/>
      <c r="KOD94" s="786"/>
      <c r="KOE94" s="786"/>
      <c r="KOF94" s="786"/>
      <c r="KOG94" s="786"/>
      <c r="KOH94" s="786"/>
      <c r="KOI94" s="786"/>
      <c r="KOJ94" s="786"/>
      <c r="KOK94" s="786"/>
      <c r="KOL94" s="786"/>
      <c r="KOM94" s="786"/>
      <c r="KON94" s="786"/>
      <c r="KOO94" s="786"/>
      <c r="KOP94" s="786"/>
      <c r="KOQ94" s="786"/>
      <c r="KOR94" s="786"/>
      <c r="KOS94" s="786"/>
      <c r="KOT94" s="786"/>
      <c r="KOU94" s="786"/>
      <c r="KOV94" s="786"/>
      <c r="KOW94" s="786"/>
      <c r="KOX94" s="786"/>
      <c r="KOY94" s="786"/>
      <c r="KOZ94" s="786"/>
      <c r="KPA94" s="786"/>
      <c r="KPB94" s="786"/>
      <c r="KPC94" s="786"/>
      <c r="KPD94" s="786"/>
      <c r="KPE94" s="786"/>
      <c r="KPF94" s="786"/>
      <c r="KPG94" s="786"/>
      <c r="KPH94" s="786"/>
      <c r="KPI94" s="786"/>
      <c r="KPJ94" s="786"/>
      <c r="KPK94" s="786"/>
      <c r="KPL94" s="786"/>
      <c r="KPM94" s="786"/>
      <c r="KPN94" s="786"/>
      <c r="KPO94" s="786"/>
      <c r="KPP94" s="786"/>
      <c r="KPQ94" s="786"/>
      <c r="KPR94" s="786"/>
      <c r="KPS94" s="786"/>
      <c r="KPT94" s="786"/>
      <c r="KPU94" s="786"/>
      <c r="KPV94" s="786"/>
      <c r="KPW94" s="786"/>
      <c r="KPX94" s="786"/>
      <c r="KPY94" s="786"/>
      <c r="KPZ94" s="786"/>
      <c r="KQA94" s="786"/>
      <c r="KQB94" s="786"/>
      <c r="KQC94" s="786"/>
      <c r="KQD94" s="786"/>
      <c r="KQE94" s="786"/>
      <c r="KQF94" s="786"/>
      <c r="KQG94" s="786"/>
      <c r="KQH94" s="786"/>
      <c r="KQI94" s="786"/>
      <c r="KQJ94" s="786"/>
      <c r="KQK94" s="786"/>
      <c r="KQL94" s="786"/>
      <c r="KQM94" s="786"/>
      <c r="KQN94" s="786"/>
      <c r="KQO94" s="786"/>
      <c r="KQP94" s="786"/>
      <c r="KQQ94" s="786"/>
      <c r="KQR94" s="786"/>
      <c r="KQS94" s="786"/>
      <c r="KQT94" s="786"/>
      <c r="KQU94" s="786"/>
      <c r="KQV94" s="786"/>
      <c r="KQW94" s="786"/>
      <c r="KQX94" s="786"/>
      <c r="KQY94" s="786"/>
      <c r="KQZ94" s="786"/>
      <c r="KRA94" s="786"/>
      <c r="KRB94" s="786"/>
      <c r="KRC94" s="786"/>
      <c r="KRD94" s="786"/>
      <c r="KRE94" s="786"/>
      <c r="KRF94" s="786"/>
      <c r="KRG94" s="786"/>
      <c r="KRH94" s="786"/>
      <c r="KRI94" s="786"/>
      <c r="KRJ94" s="786"/>
      <c r="KRK94" s="786"/>
      <c r="KRL94" s="786"/>
      <c r="KRM94" s="786"/>
      <c r="KRN94" s="786"/>
      <c r="KRO94" s="786"/>
      <c r="KRP94" s="786"/>
      <c r="KRQ94" s="786"/>
      <c r="KRR94" s="786"/>
      <c r="KRS94" s="786"/>
      <c r="KRT94" s="786"/>
      <c r="KRU94" s="786"/>
      <c r="KRV94" s="786"/>
      <c r="KRW94" s="786"/>
      <c r="KRX94" s="786"/>
      <c r="KRY94" s="786"/>
      <c r="KRZ94" s="786"/>
      <c r="KSA94" s="786"/>
      <c r="KSB94" s="786"/>
      <c r="KSC94" s="786"/>
      <c r="KSD94" s="786"/>
      <c r="KSE94" s="786"/>
      <c r="KSF94" s="786"/>
      <c r="KSG94" s="786"/>
      <c r="KSH94" s="786"/>
      <c r="KSI94" s="786"/>
      <c r="KSJ94" s="786"/>
      <c r="KSK94" s="786"/>
      <c r="KSL94" s="786"/>
      <c r="KSM94" s="786"/>
      <c r="KSN94" s="786"/>
      <c r="KSO94" s="786"/>
      <c r="KSP94" s="786"/>
      <c r="KSQ94" s="786"/>
      <c r="KSR94" s="786"/>
      <c r="KSS94" s="786"/>
      <c r="KST94" s="786"/>
      <c r="KSU94" s="786"/>
      <c r="KSV94" s="786"/>
      <c r="KSW94" s="786"/>
      <c r="KSX94" s="786"/>
      <c r="KSY94" s="786"/>
      <c r="KSZ94" s="786"/>
      <c r="KTA94" s="786"/>
      <c r="KTB94" s="786"/>
      <c r="KTC94" s="786"/>
      <c r="KTD94" s="786"/>
      <c r="KTE94" s="786"/>
      <c r="KTF94" s="786"/>
      <c r="KTG94" s="786"/>
      <c r="KTH94" s="786"/>
      <c r="KTI94" s="786"/>
      <c r="KTJ94" s="786"/>
      <c r="KTK94" s="786"/>
      <c r="KTL94" s="786"/>
      <c r="KTM94" s="786"/>
      <c r="KTN94" s="786"/>
      <c r="KTO94" s="786"/>
      <c r="KTP94" s="786"/>
      <c r="KTQ94" s="786"/>
      <c r="KTR94" s="786"/>
      <c r="KTS94" s="786"/>
      <c r="KTT94" s="786"/>
      <c r="KTU94" s="786"/>
      <c r="KTV94" s="786"/>
      <c r="KTW94" s="786"/>
      <c r="KTX94" s="786"/>
      <c r="KTY94" s="786"/>
      <c r="KTZ94" s="786"/>
      <c r="KUA94" s="786"/>
      <c r="KUB94" s="786"/>
      <c r="KUC94" s="786"/>
      <c r="KUD94" s="786"/>
      <c r="KUE94" s="786"/>
      <c r="KUF94" s="786"/>
      <c r="KUG94" s="786"/>
      <c r="KUH94" s="786"/>
      <c r="KUI94" s="786"/>
      <c r="KUJ94" s="786"/>
      <c r="KUK94" s="786"/>
      <c r="KUL94" s="786"/>
      <c r="KUM94" s="786"/>
      <c r="KUN94" s="786"/>
      <c r="KUO94" s="786"/>
      <c r="KUP94" s="786"/>
      <c r="KUQ94" s="786"/>
      <c r="KUR94" s="786"/>
      <c r="KUS94" s="786"/>
      <c r="KUT94" s="786"/>
      <c r="KUU94" s="786"/>
      <c r="KUV94" s="786"/>
      <c r="KUW94" s="786"/>
      <c r="KUX94" s="786"/>
      <c r="KUY94" s="786"/>
      <c r="KUZ94" s="786"/>
      <c r="KVA94" s="786"/>
      <c r="KVB94" s="786"/>
      <c r="KVC94" s="786"/>
      <c r="KVD94" s="786"/>
      <c r="KVE94" s="786"/>
      <c r="KVF94" s="786"/>
      <c r="KVG94" s="786"/>
      <c r="KVH94" s="786"/>
      <c r="KVI94" s="786"/>
      <c r="KVJ94" s="786"/>
      <c r="KVK94" s="786"/>
      <c r="KVL94" s="786"/>
      <c r="KVM94" s="786"/>
      <c r="KVN94" s="786"/>
      <c r="KVO94" s="786"/>
      <c r="KVP94" s="786"/>
      <c r="KVQ94" s="786"/>
      <c r="KVR94" s="786"/>
      <c r="KVS94" s="786"/>
      <c r="KVT94" s="786"/>
      <c r="KVU94" s="786"/>
      <c r="KVV94" s="786"/>
      <c r="KVW94" s="786"/>
      <c r="KVX94" s="786"/>
      <c r="KVY94" s="786"/>
      <c r="KVZ94" s="786"/>
      <c r="KWA94" s="786"/>
      <c r="KWB94" s="786"/>
      <c r="KWC94" s="786"/>
      <c r="KWD94" s="786"/>
      <c r="KWE94" s="786"/>
      <c r="KWF94" s="786"/>
      <c r="KWG94" s="786"/>
      <c r="KWH94" s="786"/>
      <c r="KWI94" s="786"/>
      <c r="KWJ94" s="786"/>
      <c r="KWK94" s="786"/>
      <c r="KWL94" s="786"/>
      <c r="KWM94" s="786"/>
      <c r="KWN94" s="786"/>
      <c r="KWO94" s="786"/>
      <c r="KWP94" s="786"/>
      <c r="KWQ94" s="786"/>
      <c r="KWR94" s="786"/>
      <c r="KWS94" s="786"/>
      <c r="KWT94" s="786"/>
      <c r="KWU94" s="786"/>
      <c r="KWV94" s="786"/>
      <c r="KWW94" s="786"/>
      <c r="KWX94" s="786"/>
      <c r="KWY94" s="786"/>
      <c r="KWZ94" s="786"/>
      <c r="KXA94" s="786"/>
      <c r="KXB94" s="786"/>
      <c r="KXC94" s="786"/>
      <c r="KXD94" s="786"/>
      <c r="KXE94" s="786"/>
      <c r="KXF94" s="786"/>
      <c r="KXG94" s="786"/>
      <c r="KXH94" s="786"/>
      <c r="KXI94" s="786"/>
      <c r="KXJ94" s="786"/>
      <c r="KXK94" s="786"/>
      <c r="KXL94" s="786"/>
      <c r="KXM94" s="786"/>
      <c r="KXN94" s="786"/>
      <c r="KXO94" s="786"/>
      <c r="KXP94" s="786"/>
      <c r="KXQ94" s="786"/>
      <c r="KXR94" s="786"/>
      <c r="KXS94" s="786"/>
      <c r="KXT94" s="786"/>
      <c r="KXU94" s="786"/>
      <c r="KXV94" s="786"/>
      <c r="KXW94" s="786"/>
      <c r="KXX94" s="786"/>
      <c r="KXY94" s="786"/>
      <c r="KXZ94" s="786"/>
      <c r="KYA94" s="786"/>
      <c r="KYB94" s="786"/>
      <c r="KYC94" s="786"/>
      <c r="KYD94" s="786"/>
      <c r="KYE94" s="786"/>
      <c r="KYF94" s="786"/>
      <c r="KYG94" s="786"/>
      <c r="KYH94" s="786"/>
      <c r="KYI94" s="786"/>
      <c r="KYJ94" s="786"/>
      <c r="KYK94" s="786"/>
      <c r="KYL94" s="786"/>
      <c r="KYM94" s="786"/>
      <c r="KYN94" s="786"/>
      <c r="KYO94" s="786"/>
      <c r="KYP94" s="786"/>
      <c r="KYQ94" s="786"/>
      <c r="KYR94" s="786"/>
      <c r="KYS94" s="786"/>
      <c r="KYT94" s="786"/>
      <c r="KYU94" s="786"/>
      <c r="KYV94" s="786"/>
      <c r="KYW94" s="786"/>
      <c r="KYX94" s="786"/>
      <c r="KYY94" s="786"/>
      <c r="KYZ94" s="786"/>
      <c r="KZA94" s="786"/>
      <c r="KZB94" s="786"/>
      <c r="KZC94" s="786"/>
      <c r="KZD94" s="786"/>
      <c r="KZE94" s="786"/>
      <c r="KZF94" s="786"/>
      <c r="KZG94" s="786"/>
      <c r="KZH94" s="786"/>
      <c r="KZI94" s="786"/>
      <c r="KZJ94" s="786"/>
      <c r="KZK94" s="786"/>
      <c r="KZL94" s="786"/>
      <c r="KZM94" s="786"/>
      <c r="KZN94" s="786"/>
      <c r="KZO94" s="786"/>
      <c r="KZP94" s="786"/>
      <c r="KZQ94" s="786"/>
      <c r="KZR94" s="786"/>
      <c r="KZS94" s="786"/>
      <c r="KZT94" s="786"/>
      <c r="KZU94" s="786"/>
      <c r="KZV94" s="786"/>
      <c r="KZW94" s="786"/>
      <c r="KZX94" s="786"/>
      <c r="KZY94" s="786"/>
      <c r="KZZ94" s="786"/>
      <c r="LAA94" s="786"/>
      <c r="LAB94" s="786"/>
      <c r="LAC94" s="786"/>
      <c r="LAD94" s="786"/>
      <c r="LAE94" s="786"/>
      <c r="LAF94" s="786"/>
      <c r="LAG94" s="786"/>
      <c r="LAH94" s="786"/>
      <c r="LAI94" s="786"/>
      <c r="LAJ94" s="786"/>
      <c r="LAK94" s="786"/>
      <c r="LAL94" s="786"/>
      <c r="LAM94" s="786"/>
      <c r="LAN94" s="786"/>
      <c r="LAO94" s="786"/>
      <c r="LAP94" s="786"/>
      <c r="LAQ94" s="786"/>
      <c r="LAR94" s="786"/>
      <c r="LAS94" s="786"/>
      <c r="LAT94" s="786"/>
      <c r="LAU94" s="786"/>
      <c r="LAV94" s="786"/>
      <c r="LAW94" s="786"/>
      <c r="LAX94" s="786"/>
      <c r="LAY94" s="786"/>
      <c r="LAZ94" s="786"/>
      <c r="LBA94" s="786"/>
      <c r="LBB94" s="786"/>
      <c r="LBC94" s="786"/>
      <c r="LBD94" s="786"/>
      <c r="LBE94" s="786"/>
      <c r="LBF94" s="786"/>
      <c r="LBG94" s="786"/>
      <c r="LBH94" s="786"/>
      <c r="LBI94" s="786"/>
      <c r="LBJ94" s="786"/>
      <c r="LBK94" s="786"/>
      <c r="LBL94" s="786"/>
      <c r="LBM94" s="786"/>
      <c r="LBN94" s="786"/>
      <c r="LBO94" s="786"/>
      <c r="LBP94" s="786"/>
      <c r="LBQ94" s="786"/>
      <c r="LBR94" s="786"/>
      <c r="LBS94" s="786"/>
      <c r="LBT94" s="786"/>
      <c r="LBU94" s="786"/>
      <c r="LBV94" s="786"/>
      <c r="LBW94" s="786"/>
      <c r="LBX94" s="786"/>
      <c r="LBY94" s="786"/>
      <c r="LBZ94" s="786"/>
      <c r="LCA94" s="786"/>
      <c r="LCB94" s="786"/>
      <c r="LCC94" s="786"/>
      <c r="LCD94" s="786"/>
      <c r="LCE94" s="786"/>
      <c r="LCF94" s="786"/>
      <c r="LCG94" s="786"/>
      <c r="LCH94" s="786"/>
      <c r="LCI94" s="786"/>
      <c r="LCJ94" s="786"/>
      <c r="LCK94" s="786"/>
      <c r="LCL94" s="786"/>
      <c r="LCM94" s="786"/>
      <c r="LCN94" s="786"/>
      <c r="LCO94" s="786"/>
      <c r="LCP94" s="786"/>
      <c r="LCQ94" s="786"/>
      <c r="LCR94" s="786"/>
      <c r="LCS94" s="786"/>
      <c r="LCT94" s="786"/>
      <c r="LCU94" s="786"/>
      <c r="LCV94" s="786"/>
      <c r="LCW94" s="786"/>
      <c r="LCX94" s="786"/>
      <c r="LCY94" s="786"/>
      <c r="LCZ94" s="786"/>
      <c r="LDA94" s="786"/>
      <c r="LDB94" s="786"/>
      <c r="LDC94" s="786"/>
      <c r="LDD94" s="786"/>
      <c r="LDE94" s="786"/>
      <c r="LDF94" s="786"/>
      <c r="LDG94" s="786"/>
      <c r="LDH94" s="786"/>
      <c r="LDI94" s="786"/>
      <c r="LDJ94" s="786"/>
      <c r="LDK94" s="786"/>
      <c r="LDL94" s="786"/>
      <c r="LDM94" s="786"/>
      <c r="LDN94" s="786"/>
      <c r="LDO94" s="786"/>
      <c r="LDP94" s="786"/>
      <c r="LDQ94" s="786"/>
      <c r="LDR94" s="786"/>
      <c r="LDS94" s="786"/>
      <c r="LDT94" s="786"/>
      <c r="LDU94" s="786"/>
      <c r="LDV94" s="786"/>
      <c r="LDW94" s="786"/>
      <c r="LDX94" s="786"/>
      <c r="LDY94" s="786"/>
      <c r="LDZ94" s="786"/>
      <c r="LEA94" s="786"/>
      <c r="LEB94" s="786"/>
      <c r="LEC94" s="786"/>
      <c r="LED94" s="786"/>
      <c r="LEE94" s="786"/>
      <c r="LEF94" s="786"/>
      <c r="LEG94" s="786"/>
      <c r="LEH94" s="786"/>
      <c r="LEI94" s="786"/>
      <c r="LEJ94" s="786"/>
      <c r="LEK94" s="786"/>
      <c r="LEL94" s="786"/>
      <c r="LEM94" s="786"/>
      <c r="LEN94" s="786"/>
      <c r="LEO94" s="786"/>
      <c r="LEP94" s="786"/>
      <c r="LEQ94" s="786"/>
      <c r="LER94" s="786"/>
      <c r="LES94" s="786"/>
      <c r="LET94" s="786"/>
      <c r="LEU94" s="786"/>
      <c r="LEV94" s="786"/>
      <c r="LEW94" s="786"/>
      <c r="LEX94" s="786"/>
      <c r="LEY94" s="786"/>
      <c r="LEZ94" s="786"/>
      <c r="LFA94" s="786"/>
      <c r="LFB94" s="786"/>
      <c r="LFC94" s="786"/>
      <c r="LFD94" s="786"/>
      <c r="LFE94" s="786"/>
      <c r="LFF94" s="786"/>
      <c r="LFG94" s="786"/>
      <c r="LFH94" s="786"/>
      <c r="LFI94" s="786"/>
      <c r="LFJ94" s="786"/>
      <c r="LFK94" s="786"/>
      <c r="LFL94" s="786"/>
      <c r="LFM94" s="786"/>
      <c r="LFN94" s="786"/>
      <c r="LFO94" s="786"/>
      <c r="LFP94" s="786"/>
      <c r="LFQ94" s="786"/>
      <c r="LFR94" s="786"/>
      <c r="LFS94" s="786"/>
      <c r="LFT94" s="786"/>
      <c r="LFU94" s="786"/>
      <c r="LFV94" s="786"/>
      <c r="LFW94" s="786"/>
      <c r="LFX94" s="786"/>
      <c r="LFY94" s="786"/>
      <c r="LFZ94" s="786"/>
      <c r="LGA94" s="786"/>
      <c r="LGB94" s="786"/>
      <c r="LGC94" s="786"/>
      <c r="LGD94" s="786"/>
      <c r="LGE94" s="786"/>
      <c r="LGF94" s="786"/>
      <c r="LGG94" s="786"/>
      <c r="LGH94" s="786"/>
      <c r="LGI94" s="786"/>
      <c r="LGJ94" s="786"/>
      <c r="LGK94" s="786"/>
      <c r="LGL94" s="786"/>
      <c r="LGM94" s="786"/>
      <c r="LGN94" s="786"/>
      <c r="LGO94" s="786"/>
      <c r="LGP94" s="786"/>
      <c r="LGQ94" s="786"/>
      <c r="LGR94" s="786"/>
      <c r="LGS94" s="786"/>
      <c r="LGT94" s="786"/>
      <c r="LGU94" s="786"/>
      <c r="LGV94" s="786"/>
      <c r="LGW94" s="786"/>
      <c r="LGX94" s="786"/>
      <c r="LGY94" s="786"/>
      <c r="LGZ94" s="786"/>
      <c r="LHA94" s="786"/>
      <c r="LHB94" s="786"/>
      <c r="LHC94" s="786"/>
      <c r="LHD94" s="786"/>
      <c r="LHE94" s="786"/>
      <c r="LHF94" s="786"/>
      <c r="LHG94" s="786"/>
      <c r="LHH94" s="786"/>
      <c r="LHI94" s="786"/>
      <c r="LHJ94" s="786"/>
      <c r="LHK94" s="786"/>
      <c r="LHL94" s="786"/>
      <c r="LHM94" s="786"/>
      <c r="LHN94" s="786"/>
      <c r="LHO94" s="786"/>
      <c r="LHP94" s="786"/>
      <c r="LHQ94" s="786"/>
      <c r="LHR94" s="786"/>
      <c r="LHS94" s="786"/>
      <c r="LHT94" s="786"/>
      <c r="LHU94" s="786"/>
      <c r="LHV94" s="786"/>
      <c r="LHW94" s="786"/>
      <c r="LHX94" s="786"/>
      <c r="LHY94" s="786"/>
      <c r="LHZ94" s="786"/>
      <c r="LIA94" s="786"/>
      <c r="LIB94" s="786"/>
      <c r="LIC94" s="786"/>
      <c r="LID94" s="786"/>
      <c r="LIE94" s="786"/>
      <c r="LIF94" s="786"/>
      <c r="LIG94" s="786"/>
      <c r="LIH94" s="786"/>
      <c r="LII94" s="786"/>
      <c r="LIJ94" s="786"/>
      <c r="LIK94" s="786"/>
      <c r="LIL94" s="786"/>
      <c r="LIM94" s="786"/>
      <c r="LIN94" s="786"/>
      <c r="LIO94" s="786"/>
      <c r="LIP94" s="786"/>
      <c r="LIQ94" s="786"/>
      <c r="LIR94" s="786"/>
      <c r="LIS94" s="786"/>
      <c r="LIT94" s="786"/>
      <c r="LIU94" s="786"/>
      <c r="LIV94" s="786"/>
      <c r="LIW94" s="786"/>
      <c r="LIX94" s="786"/>
      <c r="LIY94" s="786"/>
      <c r="LIZ94" s="786"/>
      <c r="LJA94" s="786"/>
      <c r="LJB94" s="786"/>
      <c r="LJC94" s="786"/>
      <c r="LJD94" s="786"/>
      <c r="LJE94" s="786"/>
      <c r="LJF94" s="786"/>
      <c r="LJG94" s="786"/>
      <c r="LJH94" s="786"/>
      <c r="LJI94" s="786"/>
      <c r="LJJ94" s="786"/>
      <c r="LJK94" s="786"/>
      <c r="LJL94" s="786"/>
      <c r="LJM94" s="786"/>
      <c r="LJN94" s="786"/>
      <c r="LJO94" s="786"/>
      <c r="LJP94" s="786"/>
      <c r="LJQ94" s="786"/>
      <c r="LJR94" s="786"/>
      <c r="LJS94" s="786"/>
      <c r="LJT94" s="786"/>
      <c r="LJU94" s="786"/>
      <c r="LJV94" s="786"/>
      <c r="LJW94" s="786"/>
      <c r="LJX94" s="786"/>
      <c r="LJY94" s="786"/>
      <c r="LJZ94" s="786"/>
      <c r="LKA94" s="786"/>
      <c r="LKB94" s="786"/>
      <c r="LKC94" s="786"/>
      <c r="LKD94" s="786"/>
      <c r="LKE94" s="786"/>
      <c r="LKF94" s="786"/>
      <c r="LKG94" s="786"/>
      <c r="LKH94" s="786"/>
      <c r="LKI94" s="786"/>
      <c r="LKJ94" s="786"/>
      <c r="LKK94" s="786"/>
      <c r="LKL94" s="786"/>
      <c r="LKM94" s="786"/>
      <c r="LKN94" s="786"/>
      <c r="LKO94" s="786"/>
      <c r="LKP94" s="786"/>
      <c r="LKQ94" s="786"/>
      <c r="LKR94" s="786"/>
      <c r="LKS94" s="786"/>
      <c r="LKT94" s="786"/>
      <c r="LKU94" s="786"/>
      <c r="LKV94" s="786"/>
      <c r="LKW94" s="786"/>
      <c r="LKX94" s="786"/>
      <c r="LKY94" s="786"/>
      <c r="LKZ94" s="786"/>
      <c r="LLA94" s="786"/>
      <c r="LLB94" s="786"/>
      <c r="LLC94" s="786"/>
      <c r="LLD94" s="786"/>
      <c r="LLE94" s="786"/>
      <c r="LLF94" s="786"/>
      <c r="LLG94" s="786"/>
      <c r="LLH94" s="786"/>
      <c r="LLI94" s="786"/>
      <c r="LLJ94" s="786"/>
      <c r="LLK94" s="786"/>
      <c r="LLL94" s="786"/>
      <c r="LLM94" s="786"/>
      <c r="LLN94" s="786"/>
      <c r="LLO94" s="786"/>
      <c r="LLP94" s="786"/>
      <c r="LLQ94" s="786"/>
      <c r="LLR94" s="786"/>
      <c r="LLS94" s="786"/>
      <c r="LLT94" s="786"/>
      <c r="LLU94" s="786"/>
      <c r="LLV94" s="786"/>
      <c r="LLW94" s="786"/>
      <c r="LLX94" s="786"/>
      <c r="LLY94" s="786"/>
      <c r="LLZ94" s="786"/>
      <c r="LMA94" s="786"/>
      <c r="LMB94" s="786"/>
      <c r="LMC94" s="786"/>
      <c r="LMD94" s="786"/>
      <c r="LME94" s="786"/>
      <c r="LMF94" s="786"/>
      <c r="LMG94" s="786"/>
      <c r="LMH94" s="786"/>
      <c r="LMI94" s="786"/>
      <c r="LMJ94" s="786"/>
      <c r="LMK94" s="786"/>
      <c r="LML94" s="786"/>
      <c r="LMM94" s="786"/>
      <c r="LMN94" s="786"/>
      <c r="LMO94" s="786"/>
      <c r="LMP94" s="786"/>
      <c r="LMQ94" s="786"/>
      <c r="LMR94" s="786"/>
      <c r="LMS94" s="786"/>
      <c r="LMT94" s="786"/>
      <c r="LMU94" s="786"/>
      <c r="LMV94" s="786"/>
      <c r="LMW94" s="786"/>
      <c r="LMX94" s="786"/>
      <c r="LMY94" s="786"/>
      <c r="LMZ94" s="786"/>
      <c r="LNA94" s="786"/>
      <c r="LNB94" s="786"/>
      <c r="LNC94" s="786"/>
      <c r="LND94" s="786"/>
      <c r="LNE94" s="786"/>
      <c r="LNF94" s="786"/>
      <c r="LNG94" s="786"/>
      <c r="LNH94" s="786"/>
      <c r="LNI94" s="786"/>
      <c r="LNJ94" s="786"/>
      <c r="LNK94" s="786"/>
      <c r="LNL94" s="786"/>
      <c r="LNM94" s="786"/>
      <c r="LNN94" s="786"/>
      <c r="LNO94" s="786"/>
      <c r="LNP94" s="786"/>
      <c r="LNQ94" s="786"/>
      <c r="LNR94" s="786"/>
      <c r="LNS94" s="786"/>
      <c r="LNT94" s="786"/>
      <c r="LNU94" s="786"/>
      <c r="LNV94" s="786"/>
      <c r="LNW94" s="786"/>
      <c r="LNX94" s="786"/>
      <c r="LNY94" s="786"/>
      <c r="LNZ94" s="786"/>
      <c r="LOA94" s="786"/>
      <c r="LOB94" s="786"/>
      <c r="LOC94" s="786"/>
      <c r="LOD94" s="786"/>
      <c r="LOE94" s="786"/>
      <c r="LOF94" s="786"/>
      <c r="LOG94" s="786"/>
      <c r="LOH94" s="786"/>
      <c r="LOI94" s="786"/>
      <c r="LOJ94" s="786"/>
      <c r="LOK94" s="786"/>
      <c r="LOL94" s="786"/>
      <c r="LOM94" s="786"/>
      <c r="LON94" s="786"/>
      <c r="LOO94" s="786"/>
      <c r="LOP94" s="786"/>
      <c r="LOQ94" s="786"/>
      <c r="LOR94" s="786"/>
      <c r="LOS94" s="786"/>
      <c r="LOT94" s="786"/>
      <c r="LOU94" s="786"/>
      <c r="LOV94" s="786"/>
      <c r="LOW94" s="786"/>
      <c r="LOX94" s="786"/>
      <c r="LOY94" s="786"/>
      <c r="LOZ94" s="786"/>
      <c r="LPA94" s="786"/>
      <c r="LPB94" s="786"/>
      <c r="LPC94" s="786"/>
      <c r="LPD94" s="786"/>
      <c r="LPE94" s="786"/>
      <c r="LPF94" s="786"/>
      <c r="LPG94" s="786"/>
      <c r="LPH94" s="786"/>
      <c r="LPI94" s="786"/>
      <c r="LPJ94" s="786"/>
      <c r="LPK94" s="786"/>
      <c r="LPL94" s="786"/>
      <c r="LPM94" s="786"/>
      <c r="LPN94" s="786"/>
      <c r="LPO94" s="786"/>
      <c r="LPP94" s="786"/>
      <c r="LPQ94" s="786"/>
      <c r="LPR94" s="786"/>
      <c r="LPS94" s="786"/>
      <c r="LPT94" s="786"/>
      <c r="LPU94" s="786"/>
      <c r="LPV94" s="786"/>
      <c r="LPW94" s="786"/>
      <c r="LPX94" s="786"/>
      <c r="LPY94" s="786"/>
      <c r="LPZ94" s="786"/>
      <c r="LQA94" s="786"/>
      <c r="LQB94" s="786"/>
      <c r="LQC94" s="786"/>
      <c r="LQD94" s="786"/>
      <c r="LQE94" s="786"/>
      <c r="LQF94" s="786"/>
      <c r="LQG94" s="786"/>
      <c r="LQH94" s="786"/>
      <c r="LQI94" s="786"/>
      <c r="LQJ94" s="786"/>
      <c r="LQK94" s="786"/>
      <c r="LQL94" s="786"/>
      <c r="LQM94" s="786"/>
      <c r="LQN94" s="786"/>
      <c r="LQO94" s="786"/>
      <c r="LQP94" s="786"/>
      <c r="LQQ94" s="786"/>
      <c r="LQR94" s="786"/>
      <c r="LQS94" s="786"/>
      <c r="LQT94" s="786"/>
      <c r="LQU94" s="786"/>
      <c r="LQV94" s="786"/>
      <c r="LQW94" s="786"/>
      <c r="LQX94" s="786"/>
      <c r="LQY94" s="786"/>
      <c r="LQZ94" s="786"/>
      <c r="LRA94" s="786"/>
      <c r="LRB94" s="786"/>
      <c r="LRC94" s="786"/>
      <c r="LRD94" s="786"/>
      <c r="LRE94" s="786"/>
      <c r="LRF94" s="786"/>
      <c r="LRG94" s="786"/>
      <c r="LRH94" s="786"/>
      <c r="LRI94" s="786"/>
      <c r="LRJ94" s="786"/>
      <c r="LRK94" s="786"/>
      <c r="LRL94" s="786"/>
      <c r="LRM94" s="786"/>
      <c r="LRN94" s="786"/>
      <c r="LRO94" s="786"/>
      <c r="LRP94" s="786"/>
      <c r="LRQ94" s="786"/>
      <c r="LRR94" s="786"/>
      <c r="LRS94" s="786"/>
      <c r="LRT94" s="786"/>
      <c r="LRU94" s="786"/>
      <c r="LRV94" s="786"/>
      <c r="LRW94" s="786"/>
      <c r="LRX94" s="786"/>
      <c r="LRY94" s="786"/>
      <c r="LRZ94" s="786"/>
      <c r="LSA94" s="786"/>
      <c r="LSB94" s="786"/>
      <c r="LSC94" s="786"/>
      <c r="LSD94" s="786"/>
      <c r="LSE94" s="786"/>
      <c r="LSF94" s="786"/>
      <c r="LSG94" s="786"/>
      <c r="LSH94" s="786"/>
      <c r="LSI94" s="786"/>
      <c r="LSJ94" s="786"/>
      <c r="LSK94" s="786"/>
      <c r="LSL94" s="786"/>
      <c r="LSM94" s="786"/>
      <c r="LSN94" s="786"/>
      <c r="LSO94" s="786"/>
      <c r="LSP94" s="786"/>
      <c r="LSQ94" s="786"/>
      <c r="LSR94" s="786"/>
      <c r="LSS94" s="786"/>
      <c r="LST94" s="786"/>
      <c r="LSU94" s="786"/>
      <c r="LSV94" s="786"/>
      <c r="LSW94" s="786"/>
      <c r="LSX94" s="786"/>
      <c r="LSY94" s="786"/>
      <c r="LSZ94" s="786"/>
      <c r="LTA94" s="786"/>
      <c r="LTB94" s="786"/>
      <c r="LTC94" s="786"/>
      <c r="LTD94" s="786"/>
      <c r="LTE94" s="786"/>
      <c r="LTF94" s="786"/>
      <c r="LTG94" s="786"/>
      <c r="LTH94" s="786"/>
      <c r="LTI94" s="786"/>
      <c r="LTJ94" s="786"/>
      <c r="LTK94" s="786"/>
      <c r="LTL94" s="786"/>
      <c r="LTM94" s="786"/>
      <c r="LTN94" s="786"/>
      <c r="LTO94" s="786"/>
      <c r="LTP94" s="786"/>
      <c r="LTQ94" s="786"/>
      <c r="LTR94" s="786"/>
      <c r="LTS94" s="786"/>
      <c r="LTT94" s="786"/>
      <c r="LTU94" s="786"/>
      <c r="LTV94" s="786"/>
      <c r="LTW94" s="786"/>
      <c r="LTX94" s="786"/>
      <c r="LTY94" s="786"/>
      <c r="LTZ94" s="786"/>
      <c r="LUA94" s="786"/>
      <c r="LUB94" s="786"/>
      <c r="LUC94" s="786"/>
      <c r="LUD94" s="786"/>
      <c r="LUE94" s="786"/>
      <c r="LUF94" s="786"/>
      <c r="LUG94" s="786"/>
      <c r="LUH94" s="786"/>
      <c r="LUI94" s="786"/>
      <c r="LUJ94" s="786"/>
      <c r="LUK94" s="786"/>
      <c r="LUL94" s="786"/>
      <c r="LUM94" s="786"/>
      <c r="LUN94" s="786"/>
      <c r="LUO94" s="786"/>
      <c r="LUP94" s="786"/>
      <c r="LUQ94" s="786"/>
      <c r="LUR94" s="786"/>
      <c r="LUS94" s="786"/>
      <c r="LUT94" s="786"/>
      <c r="LUU94" s="786"/>
      <c r="LUV94" s="786"/>
      <c r="LUW94" s="786"/>
      <c r="LUX94" s="786"/>
      <c r="LUY94" s="786"/>
      <c r="LUZ94" s="786"/>
      <c r="LVA94" s="786"/>
      <c r="LVB94" s="786"/>
      <c r="LVC94" s="786"/>
      <c r="LVD94" s="786"/>
      <c r="LVE94" s="786"/>
      <c r="LVF94" s="786"/>
      <c r="LVG94" s="786"/>
      <c r="LVH94" s="786"/>
      <c r="LVI94" s="786"/>
      <c r="LVJ94" s="786"/>
      <c r="LVK94" s="786"/>
      <c r="LVL94" s="786"/>
      <c r="LVM94" s="786"/>
      <c r="LVN94" s="786"/>
      <c r="LVO94" s="786"/>
      <c r="LVP94" s="786"/>
      <c r="LVQ94" s="786"/>
      <c r="LVR94" s="786"/>
      <c r="LVS94" s="786"/>
      <c r="LVT94" s="786"/>
      <c r="LVU94" s="786"/>
      <c r="LVV94" s="786"/>
      <c r="LVW94" s="786"/>
      <c r="LVX94" s="786"/>
      <c r="LVY94" s="786"/>
      <c r="LVZ94" s="786"/>
      <c r="LWA94" s="786"/>
      <c r="LWB94" s="786"/>
      <c r="LWC94" s="786"/>
      <c r="LWD94" s="786"/>
      <c r="LWE94" s="786"/>
      <c r="LWF94" s="786"/>
      <c r="LWG94" s="786"/>
      <c r="LWH94" s="786"/>
      <c r="LWI94" s="786"/>
      <c r="LWJ94" s="786"/>
      <c r="LWK94" s="786"/>
      <c r="LWL94" s="786"/>
      <c r="LWM94" s="786"/>
      <c r="LWN94" s="786"/>
      <c r="LWO94" s="786"/>
      <c r="LWP94" s="786"/>
      <c r="LWQ94" s="786"/>
      <c r="LWR94" s="786"/>
      <c r="LWS94" s="786"/>
      <c r="LWT94" s="786"/>
      <c r="LWU94" s="786"/>
      <c r="LWV94" s="786"/>
      <c r="LWW94" s="786"/>
      <c r="LWX94" s="786"/>
      <c r="LWY94" s="786"/>
      <c r="LWZ94" s="786"/>
      <c r="LXA94" s="786"/>
      <c r="LXB94" s="786"/>
      <c r="LXC94" s="786"/>
      <c r="LXD94" s="786"/>
      <c r="LXE94" s="786"/>
      <c r="LXF94" s="786"/>
      <c r="LXG94" s="786"/>
      <c r="LXH94" s="786"/>
      <c r="LXI94" s="786"/>
      <c r="LXJ94" s="786"/>
      <c r="LXK94" s="786"/>
      <c r="LXL94" s="786"/>
      <c r="LXM94" s="786"/>
      <c r="LXN94" s="786"/>
      <c r="LXO94" s="786"/>
      <c r="LXP94" s="786"/>
      <c r="LXQ94" s="786"/>
      <c r="LXR94" s="786"/>
      <c r="LXS94" s="786"/>
      <c r="LXT94" s="786"/>
      <c r="LXU94" s="786"/>
      <c r="LXV94" s="786"/>
      <c r="LXW94" s="786"/>
      <c r="LXX94" s="786"/>
      <c r="LXY94" s="786"/>
      <c r="LXZ94" s="786"/>
      <c r="LYA94" s="786"/>
      <c r="LYB94" s="786"/>
      <c r="LYC94" s="786"/>
      <c r="LYD94" s="786"/>
      <c r="LYE94" s="786"/>
      <c r="LYF94" s="786"/>
      <c r="LYG94" s="786"/>
      <c r="LYH94" s="786"/>
      <c r="LYI94" s="786"/>
      <c r="LYJ94" s="786"/>
      <c r="LYK94" s="786"/>
      <c r="LYL94" s="786"/>
      <c r="LYM94" s="786"/>
      <c r="LYN94" s="786"/>
      <c r="LYO94" s="786"/>
      <c r="LYP94" s="786"/>
      <c r="LYQ94" s="786"/>
      <c r="LYR94" s="786"/>
      <c r="LYS94" s="786"/>
      <c r="LYT94" s="786"/>
      <c r="LYU94" s="786"/>
      <c r="LYV94" s="786"/>
      <c r="LYW94" s="786"/>
      <c r="LYX94" s="786"/>
      <c r="LYY94" s="786"/>
      <c r="LYZ94" s="786"/>
      <c r="LZA94" s="786"/>
      <c r="LZB94" s="786"/>
      <c r="LZC94" s="786"/>
      <c r="LZD94" s="786"/>
      <c r="LZE94" s="786"/>
      <c r="LZF94" s="786"/>
      <c r="LZG94" s="786"/>
      <c r="LZH94" s="786"/>
      <c r="LZI94" s="786"/>
      <c r="LZJ94" s="786"/>
      <c r="LZK94" s="786"/>
      <c r="LZL94" s="786"/>
      <c r="LZM94" s="786"/>
      <c r="LZN94" s="786"/>
      <c r="LZO94" s="786"/>
      <c r="LZP94" s="786"/>
      <c r="LZQ94" s="786"/>
      <c r="LZR94" s="786"/>
      <c r="LZS94" s="786"/>
      <c r="LZT94" s="786"/>
      <c r="LZU94" s="786"/>
      <c r="LZV94" s="786"/>
      <c r="LZW94" s="786"/>
      <c r="LZX94" s="786"/>
      <c r="LZY94" s="786"/>
      <c r="LZZ94" s="786"/>
      <c r="MAA94" s="786"/>
      <c r="MAB94" s="786"/>
      <c r="MAC94" s="786"/>
      <c r="MAD94" s="786"/>
      <c r="MAE94" s="786"/>
      <c r="MAF94" s="786"/>
      <c r="MAG94" s="786"/>
      <c r="MAH94" s="786"/>
      <c r="MAI94" s="786"/>
      <c r="MAJ94" s="786"/>
      <c r="MAK94" s="786"/>
      <c r="MAL94" s="786"/>
      <c r="MAM94" s="786"/>
      <c r="MAN94" s="786"/>
      <c r="MAO94" s="786"/>
      <c r="MAP94" s="786"/>
      <c r="MAQ94" s="786"/>
      <c r="MAR94" s="786"/>
      <c r="MAS94" s="786"/>
      <c r="MAT94" s="786"/>
      <c r="MAU94" s="786"/>
      <c r="MAV94" s="786"/>
      <c r="MAW94" s="786"/>
      <c r="MAX94" s="786"/>
      <c r="MAY94" s="786"/>
      <c r="MAZ94" s="786"/>
      <c r="MBA94" s="786"/>
      <c r="MBB94" s="786"/>
      <c r="MBC94" s="786"/>
      <c r="MBD94" s="786"/>
      <c r="MBE94" s="786"/>
      <c r="MBF94" s="786"/>
      <c r="MBG94" s="786"/>
      <c r="MBH94" s="786"/>
      <c r="MBI94" s="786"/>
      <c r="MBJ94" s="786"/>
      <c r="MBK94" s="786"/>
      <c r="MBL94" s="786"/>
      <c r="MBM94" s="786"/>
      <c r="MBN94" s="786"/>
      <c r="MBO94" s="786"/>
      <c r="MBP94" s="786"/>
      <c r="MBQ94" s="786"/>
      <c r="MBR94" s="786"/>
      <c r="MBS94" s="786"/>
      <c r="MBT94" s="786"/>
      <c r="MBU94" s="786"/>
      <c r="MBV94" s="786"/>
      <c r="MBW94" s="786"/>
      <c r="MBX94" s="786"/>
      <c r="MBY94" s="786"/>
      <c r="MBZ94" s="786"/>
      <c r="MCA94" s="786"/>
      <c r="MCB94" s="786"/>
      <c r="MCC94" s="786"/>
      <c r="MCD94" s="786"/>
      <c r="MCE94" s="786"/>
      <c r="MCF94" s="786"/>
      <c r="MCG94" s="786"/>
      <c r="MCH94" s="786"/>
      <c r="MCI94" s="786"/>
      <c r="MCJ94" s="786"/>
      <c r="MCK94" s="786"/>
      <c r="MCL94" s="786"/>
      <c r="MCM94" s="786"/>
      <c r="MCN94" s="786"/>
      <c r="MCO94" s="786"/>
      <c r="MCP94" s="786"/>
      <c r="MCQ94" s="786"/>
      <c r="MCR94" s="786"/>
      <c r="MCS94" s="786"/>
      <c r="MCT94" s="786"/>
      <c r="MCU94" s="786"/>
      <c r="MCV94" s="786"/>
      <c r="MCW94" s="786"/>
      <c r="MCX94" s="786"/>
      <c r="MCY94" s="786"/>
      <c r="MCZ94" s="786"/>
      <c r="MDA94" s="786"/>
      <c r="MDB94" s="786"/>
      <c r="MDC94" s="786"/>
      <c r="MDD94" s="786"/>
      <c r="MDE94" s="786"/>
      <c r="MDF94" s="786"/>
      <c r="MDG94" s="786"/>
      <c r="MDH94" s="786"/>
      <c r="MDI94" s="786"/>
      <c r="MDJ94" s="786"/>
      <c r="MDK94" s="786"/>
      <c r="MDL94" s="786"/>
      <c r="MDM94" s="786"/>
      <c r="MDN94" s="786"/>
      <c r="MDO94" s="786"/>
      <c r="MDP94" s="786"/>
      <c r="MDQ94" s="786"/>
      <c r="MDR94" s="786"/>
      <c r="MDS94" s="786"/>
      <c r="MDT94" s="786"/>
      <c r="MDU94" s="786"/>
      <c r="MDV94" s="786"/>
      <c r="MDW94" s="786"/>
      <c r="MDX94" s="786"/>
      <c r="MDY94" s="786"/>
      <c r="MDZ94" s="786"/>
      <c r="MEA94" s="786"/>
      <c r="MEB94" s="786"/>
      <c r="MEC94" s="786"/>
      <c r="MED94" s="786"/>
      <c r="MEE94" s="786"/>
      <c r="MEF94" s="786"/>
      <c r="MEG94" s="786"/>
      <c r="MEH94" s="786"/>
      <c r="MEI94" s="786"/>
      <c r="MEJ94" s="786"/>
      <c r="MEK94" s="786"/>
      <c r="MEL94" s="786"/>
      <c r="MEM94" s="786"/>
      <c r="MEN94" s="786"/>
      <c r="MEO94" s="786"/>
      <c r="MEP94" s="786"/>
      <c r="MEQ94" s="786"/>
      <c r="MER94" s="786"/>
      <c r="MES94" s="786"/>
      <c r="MET94" s="786"/>
      <c r="MEU94" s="786"/>
      <c r="MEV94" s="786"/>
      <c r="MEW94" s="786"/>
      <c r="MEX94" s="786"/>
      <c r="MEY94" s="786"/>
      <c r="MEZ94" s="786"/>
      <c r="MFA94" s="786"/>
      <c r="MFB94" s="786"/>
      <c r="MFC94" s="786"/>
      <c r="MFD94" s="786"/>
      <c r="MFE94" s="786"/>
      <c r="MFF94" s="786"/>
      <c r="MFG94" s="786"/>
      <c r="MFH94" s="786"/>
      <c r="MFI94" s="786"/>
      <c r="MFJ94" s="786"/>
      <c r="MFK94" s="786"/>
      <c r="MFL94" s="786"/>
      <c r="MFM94" s="786"/>
      <c r="MFN94" s="786"/>
      <c r="MFO94" s="786"/>
      <c r="MFP94" s="786"/>
      <c r="MFQ94" s="786"/>
      <c r="MFR94" s="786"/>
      <c r="MFS94" s="786"/>
      <c r="MFT94" s="786"/>
      <c r="MFU94" s="786"/>
      <c r="MFV94" s="786"/>
      <c r="MFW94" s="786"/>
      <c r="MFX94" s="786"/>
      <c r="MFY94" s="786"/>
      <c r="MFZ94" s="786"/>
      <c r="MGA94" s="786"/>
      <c r="MGB94" s="786"/>
      <c r="MGC94" s="786"/>
      <c r="MGD94" s="786"/>
      <c r="MGE94" s="786"/>
      <c r="MGF94" s="786"/>
      <c r="MGG94" s="786"/>
      <c r="MGH94" s="786"/>
      <c r="MGI94" s="786"/>
      <c r="MGJ94" s="786"/>
      <c r="MGK94" s="786"/>
      <c r="MGL94" s="786"/>
      <c r="MGM94" s="786"/>
      <c r="MGN94" s="786"/>
      <c r="MGO94" s="786"/>
      <c r="MGP94" s="786"/>
      <c r="MGQ94" s="786"/>
      <c r="MGR94" s="786"/>
      <c r="MGS94" s="786"/>
      <c r="MGT94" s="786"/>
      <c r="MGU94" s="786"/>
      <c r="MGV94" s="786"/>
      <c r="MGW94" s="786"/>
      <c r="MGX94" s="786"/>
      <c r="MGY94" s="786"/>
      <c r="MGZ94" s="786"/>
      <c r="MHA94" s="786"/>
      <c r="MHB94" s="786"/>
      <c r="MHC94" s="786"/>
      <c r="MHD94" s="786"/>
      <c r="MHE94" s="786"/>
      <c r="MHF94" s="786"/>
      <c r="MHG94" s="786"/>
      <c r="MHH94" s="786"/>
      <c r="MHI94" s="786"/>
      <c r="MHJ94" s="786"/>
      <c r="MHK94" s="786"/>
      <c r="MHL94" s="786"/>
      <c r="MHM94" s="786"/>
      <c r="MHN94" s="786"/>
      <c r="MHO94" s="786"/>
      <c r="MHP94" s="786"/>
      <c r="MHQ94" s="786"/>
      <c r="MHR94" s="786"/>
      <c r="MHS94" s="786"/>
      <c r="MHT94" s="786"/>
      <c r="MHU94" s="786"/>
      <c r="MHV94" s="786"/>
      <c r="MHW94" s="786"/>
      <c r="MHX94" s="786"/>
      <c r="MHY94" s="786"/>
      <c r="MHZ94" s="786"/>
      <c r="MIA94" s="786"/>
      <c r="MIB94" s="786"/>
      <c r="MIC94" s="786"/>
      <c r="MID94" s="786"/>
      <c r="MIE94" s="786"/>
      <c r="MIF94" s="786"/>
      <c r="MIG94" s="786"/>
      <c r="MIH94" s="786"/>
      <c r="MII94" s="786"/>
      <c r="MIJ94" s="786"/>
      <c r="MIK94" s="786"/>
      <c r="MIL94" s="786"/>
      <c r="MIM94" s="786"/>
      <c r="MIN94" s="786"/>
      <c r="MIO94" s="786"/>
      <c r="MIP94" s="786"/>
      <c r="MIQ94" s="786"/>
      <c r="MIR94" s="786"/>
      <c r="MIS94" s="786"/>
      <c r="MIT94" s="786"/>
      <c r="MIU94" s="786"/>
      <c r="MIV94" s="786"/>
      <c r="MIW94" s="786"/>
      <c r="MIX94" s="786"/>
      <c r="MIY94" s="786"/>
      <c r="MIZ94" s="786"/>
      <c r="MJA94" s="786"/>
      <c r="MJB94" s="786"/>
      <c r="MJC94" s="786"/>
      <c r="MJD94" s="786"/>
      <c r="MJE94" s="786"/>
      <c r="MJF94" s="786"/>
      <c r="MJG94" s="786"/>
      <c r="MJH94" s="786"/>
      <c r="MJI94" s="786"/>
      <c r="MJJ94" s="786"/>
      <c r="MJK94" s="786"/>
      <c r="MJL94" s="786"/>
      <c r="MJM94" s="786"/>
      <c r="MJN94" s="786"/>
      <c r="MJO94" s="786"/>
      <c r="MJP94" s="786"/>
      <c r="MJQ94" s="786"/>
      <c r="MJR94" s="786"/>
      <c r="MJS94" s="786"/>
      <c r="MJT94" s="786"/>
      <c r="MJU94" s="786"/>
      <c r="MJV94" s="786"/>
      <c r="MJW94" s="786"/>
      <c r="MJX94" s="786"/>
      <c r="MJY94" s="786"/>
      <c r="MJZ94" s="786"/>
      <c r="MKA94" s="786"/>
      <c r="MKB94" s="786"/>
      <c r="MKC94" s="786"/>
      <c r="MKD94" s="786"/>
      <c r="MKE94" s="786"/>
      <c r="MKF94" s="786"/>
      <c r="MKG94" s="786"/>
      <c r="MKH94" s="786"/>
      <c r="MKI94" s="786"/>
      <c r="MKJ94" s="786"/>
      <c r="MKK94" s="786"/>
      <c r="MKL94" s="786"/>
      <c r="MKM94" s="786"/>
      <c r="MKN94" s="786"/>
      <c r="MKO94" s="786"/>
      <c r="MKP94" s="786"/>
      <c r="MKQ94" s="786"/>
      <c r="MKR94" s="786"/>
      <c r="MKS94" s="786"/>
      <c r="MKT94" s="786"/>
      <c r="MKU94" s="786"/>
      <c r="MKV94" s="786"/>
      <c r="MKW94" s="786"/>
      <c r="MKX94" s="786"/>
      <c r="MKY94" s="786"/>
      <c r="MKZ94" s="786"/>
      <c r="MLA94" s="786"/>
      <c r="MLB94" s="786"/>
      <c r="MLC94" s="786"/>
      <c r="MLD94" s="786"/>
      <c r="MLE94" s="786"/>
      <c r="MLF94" s="786"/>
      <c r="MLG94" s="786"/>
      <c r="MLH94" s="786"/>
      <c r="MLI94" s="786"/>
      <c r="MLJ94" s="786"/>
      <c r="MLK94" s="786"/>
      <c r="MLL94" s="786"/>
      <c r="MLM94" s="786"/>
      <c r="MLN94" s="786"/>
      <c r="MLO94" s="786"/>
      <c r="MLP94" s="786"/>
      <c r="MLQ94" s="786"/>
      <c r="MLR94" s="786"/>
      <c r="MLS94" s="786"/>
      <c r="MLT94" s="786"/>
      <c r="MLU94" s="786"/>
      <c r="MLV94" s="786"/>
      <c r="MLW94" s="786"/>
      <c r="MLX94" s="786"/>
      <c r="MLY94" s="786"/>
      <c r="MLZ94" s="786"/>
      <c r="MMA94" s="786"/>
      <c r="MMB94" s="786"/>
      <c r="MMC94" s="786"/>
      <c r="MMD94" s="786"/>
      <c r="MME94" s="786"/>
      <c r="MMF94" s="786"/>
      <c r="MMG94" s="786"/>
      <c r="MMH94" s="786"/>
      <c r="MMI94" s="786"/>
      <c r="MMJ94" s="786"/>
      <c r="MMK94" s="786"/>
      <c r="MML94" s="786"/>
      <c r="MMM94" s="786"/>
      <c r="MMN94" s="786"/>
      <c r="MMO94" s="786"/>
      <c r="MMP94" s="786"/>
      <c r="MMQ94" s="786"/>
      <c r="MMR94" s="786"/>
      <c r="MMS94" s="786"/>
      <c r="MMT94" s="786"/>
      <c r="MMU94" s="786"/>
      <c r="MMV94" s="786"/>
      <c r="MMW94" s="786"/>
      <c r="MMX94" s="786"/>
      <c r="MMY94" s="786"/>
      <c r="MMZ94" s="786"/>
      <c r="MNA94" s="786"/>
      <c r="MNB94" s="786"/>
      <c r="MNC94" s="786"/>
      <c r="MND94" s="786"/>
      <c r="MNE94" s="786"/>
      <c r="MNF94" s="786"/>
      <c r="MNG94" s="786"/>
      <c r="MNH94" s="786"/>
      <c r="MNI94" s="786"/>
      <c r="MNJ94" s="786"/>
      <c r="MNK94" s="786"/>
      <c r="MNL94" s="786"/>
      <c r="MNM94" s="786"/>
      <c r="MNN94" s="786"/>
      <c r="MNO94" s="786"/>
      <c r="MNP94" s="786"/>
      <c r="MNQ94" s="786"/>
      <c r="MNR94" s="786"/>
      <c r="MNS94" s="786"/>
      <c r="MNT94" s="786"/>
      <c r="MNU94" s="786"/>
      <c r="MNV94" s="786"/>
      <c r="MNW94" s="786"/>
      <c r="MNX94" s="786"/>
      <c r="MNY94" s="786"/>
      <c r="MNZ94" s="786"/>
      <c r="MOA94" s="786"/>
      <c r="MOB94" s="786"/>
      <c r="MOC94" s="786"/>
      <c r="MOD94" s="786"/>
      <c r="MOE94" s="786"/>
      <c r="MOF94" s="786"/>
      <c r="MOG94" s="786"/>
      <c r="MOH94" s="786"/>
      <c r="MOI94" s="786"/>
      <c r="MOJ94" s="786"/>
      <c r="MOK94" s="786"/>
      <c r="MOL94" s="786"/>
      <c r="MOM94" s="786"/>
      <c r="MON94" s="786"/>
      <c r="MOO94" s="786"/>
      <c r="MOP94" s="786"/>
      <c r="MOQ94" s="786"/>
      <c r="MOR94" s="786"/>
      <c r="MOS94" s="786"/>
      <c r="MOT94" s="786"/>
      <c r="MOU94" s="786"/>
      <c r="MOV94" s="786"/>
      <c r="MOW94" s="786"/>
      <c r="MOX94" s="786"/>
      <c r="MOY94" s="786"/>
      <c r="MOZ94" s="786"/>
      <c r="MPA94" s="786"/>
      <c r="MPB94" s="786"/>
      <c r="MPC94" s="786"/>
      <c r="MPD94" s="786"/>
      <c r="MPE94" s="786"/>
      <c r="MPF94" s="786"/>
      <c r="MPG94" s="786"/>
      <c r="MPH94" s="786"/>
      <c r="MPI94" s="786"/>
      <c r="MPJ94" s="786"/>
      <c r="MPK94" s="786"/>
      <c r="MPL94" s="786"/>
      <c r="MPM94" s="786"/>
      <c r="MPN94" s="786"/>
      <c r="MPO94" s="786"/>
      <c r="MPP94" s="786"/>
      <c r="MPQ94" s="786"/>
      <c r="MPR94" s="786"/>
      <c r="MPS94" s="786"/>
      <c r="MPT94" s="786"/>
      <c r="MPU94" s="786"/>
      <c r="MPV94" s="786"/>
      <c r="MPW94" s="786"/>
      <c r="MPX94" s="786"/>
      <c r="MPY94" s="786"/>
      <c r="MPZ94" s="786"/>
      <c r="MQA94" s="786"/>
      <c r="MQB94" s="786"/>
      <c r="MQC94" s="786"/>
      <c r="MQD94" s="786"/>
      <c r="MQE94" s="786"/>
      <c r="MQF94" s="786"/>
      <c r="MQG94" s="786"/>
      <c r="MQH94" s="786"/>
      <c r="MQI94" s="786"/>
      <c r="MQJ94" s="786"/>
      <c r="MQK94" s="786"/>
      <c r="MQL94" s="786"/>
      <c r="MQM94" s="786"/>
      <c r="MQN94" s="786"/>
      <c r="MQO94" s="786"/>
      <c r="MQP94" s="786"/>
      <c r="MQQ94" s="786"/>
      <c r="MQR94" s="786"/>
      <c r="MQS94" s="786"/>
      <c r="MQT94" s="786"/>
      <c r="MQU94" s="786"/>
      <c r="MQV94" s="786"/>
      <c r="MQW94" s="786"/>
      <c r="MQX94" s="786"/>
      <c r="MQY94" s="786"/>
      <c r="MQZ94" s="786"/>
      <c r="MRA94" s="786"/>
      <c r="MRB94" s="786"/>
      <c r="MRC94" s="786"/>
      <c r="MRD94" s="786"/>
      <c r="MRE94" s="786"/>
      <c r="MRF94" s="786"/>
      <c r="MRG94" s="786"/>
      <c r="MRH94" s="786"/>
      <c r="MRI94" s="786"/>
      <c r="MRJ94" s="786"/>
      <c r="MRK94" s="786"/>
      <c r="MRL94" s="786"/>
      <c r="MRM94" s="786"/>
      <c r="MRN94" s="786"/>
      <c r="MRO94" s="786"/>
      <c r="MRP94" s="786"/>
      <c r="MRQ94" s="786"/>
      <c r="MRR94" s="786"/>
      <c r="MRS94" s="786"/>
      <c r="MRT94" s="786"/>
      <c r="MRU94" s="786"/>
      <c r="MRV94" s="786"/>
      <c r="MRW94" s="786"/>
      <c r="MRX94" s="786"/>
      <c r="MRY94" s="786"/>
      <c r="MRZ94" s="786"/>
      <c r="MSA94" s="786"/>
      <c r="MSB94" s="786"/>
      <c r="MSC94" s="786"/>
      <c r="MSD94" s="786"/>
      <c r="MSE94" s="786"/>
      <c r="MSF94" s="786"/>
      <c r="MSG94" s="786"/>
      <c r="MSH94" s="786"/>
      <c r="MSI94" s="786"/>
      <c r="MSJ94" s="786"/>
      <c r="MSK94" s="786"/>
      <c r="MSL94" s="786"/>
      <c r="MSM94" s="786"/>
      <c r="MSN94" s="786"/>
      <c r="MSO94" s="786"/>
      <c r="MSP94" s="786"/>
      <c r="MSQ94" s="786"/>
      <c r="MSR94" s="786"/>
      <c r="MSS94" s="786"/>
      <c r="MST94" s="786"/>
      <c r="MSU94" s="786"/>
      <c r="MSV94" s="786"/>
      <c r="MSW94" s="786"/>
      <c r="MSX94" s="786"/>
      <c r="MSY94" s="786"/>
      <c r="MSZ94" s="786"/>
      <c r="MTA94" s="786"/>
      <c r="MTB94" s="786"/>
      <c r="MTC94" s="786"/>
      <c r="MTD94" s="786"/>
      <c r="MTE94" s="786"/>
      <c r="MTF94" s="786"/>
      <c r="MTG94" s="786"/>
      <c r="MTH94" s="786"/>
      <c r="MTI94" s="786"/>
      <c r="MTJ94" s="786"/>
      <c r="MTK94" s="786"/>
      <c r="MTL94" s="786"/>
      <c r="MTM94" s="786"/>
      <c r="MTN94" s="786"/>
      <c r="MTO94" s="786"/>
      <c r="MTP94" s="786"/>
      <c r="MTQ94" s="786"/>
      <c r="MTR94" s="786"/>
      <c r="MTS94" s="786"/>
      <c r="MTT94" s="786"/>
      <c r="MTU94" s="786"/>
      <c r="MTV94" s="786"/>
      <c r="MTW94" s="786"/>
      <c r="MTX94" s="786"/>
      <c r="MTY94" s="786"/>
      <c r="MTZ94" s="786"/>
      <c r="MUA94" s="786"/>
      <c r="MUB94" s="786"/>
      <c r="MUC94" s="786"/>
      <c r="MUD94" s="786"/>
      <c r="MUE94" s="786"/>
      <c r="MUF94" s="786"/>
      <c r="MUG94" s="786"/>
      <c r="MUH94" s="786"/>
      <c r="MUI94" s="786"/>
      <c r="MUJ94" s="786"/>
      <c r="MUK94" s="786"/>
      <c r="MUL94" s="786"/>
      <c r="MUM94" s="786"/>
      <c r="MUN94" s="786"/>
      <c r="MUO94" s="786"/>
      <c r="MUP94" s="786"/>
      <c r="MUQ94" s="786"/>
      <c r="MUR94" s="786"/>
      <c r="MUS94" s="786"/>
      <c r="MUT94" s="786"/>
      <c r="MUU94" s="786"/>
      <c r="MUV94" s="786"/>
      <c r="MUW94" s="786"/>
      <c r="MUX94" s="786"/>
      <c r="MUY94" s="786"/>
      <c r="MUZ94" s="786"/>
      <c r="MVA94" s="786"/>
      <c r="MVB94" s="786"/>
      <c r="MVC94" s="786"/>
      <c r="MVD94" s="786"/>
      <c r="MVE94" s="786"/>
      <c r="MVF94" s="786"/>
      <c r="MVG94" s="786"/>
      <c r="MVH94" s="786"/>
      <c r="MVI94" s="786"/>
      <c r="MVJ94" s="786"/>
      <c r="MVK94" s="786"/>
      <c r="MVL94" s="786"/>
      <c r="MVM94" s="786"/>
      <c r="MVN94" s="786"/>
      <c r="MVO94" s="786"/>
      <c r="MVP94" s="786"/>
      <c r="MVQ94" s="786"/>
      <c r="MVR94" s="786"/>
      <c r="MVS94" s="786"/>
      <c r="MVT94" s="786"/>
      <c r="MVU94" s="786"/>
      <c r="MVV94" s="786"/>
      <c r="MVW94" s="786"/>
      <c r="MVX94" s="786"/>
      <c r="MVY94" s="786"/>
      <c r="MVZ94" s="786"/>
      <c r="MWA94" s="786"/>
      <c r="MWB94" s="786"/>
      <c r="MWC94" s="786"/>
      <c r="MWD94" s="786"/>
      <c r="MWE94" s="786"/>
      <c r="MWF94" s="786"/>
      <c r="MWG94" s="786"/>
      <c r="MWH94" s="786"/>
      <c r="MWI94" s="786"/>
      <c r="MWJ94" s="786"/>
      <c r="MWK94" s="786"/>
      <c r="MWL94" s="786"/>
      <c r="MWM94" s="786"/>
      <c r="MWN94" s="786"/>
      <c r="MWO94" s="786"/>
      <c r="MWP94" s="786"/>
      <c r="MWQ94" s="786"/>
      <c r="MWR94" s="786"/>
      <c r="MWS94" s="786"/>
      <c r="MWT94" s="786"/>
      <c r="MWU94" s="786"/>
      <c r="MWV94" s="786"/>
      <c r="MWW94" s="786"/>
      <c r="MWX94" s="786"/>
      <c r="MWY94" s="786"/>
      <c r="MWZ94" s="786"/>
      <c r="MXA94" s="786"/>
      <c r="MXB94" s="786"/>
      <c r="MXC94" s="786"/>
      <c r="MXD94" s="786"/>
      <c r="MXE94" s="786"/>
      <c r="MXF94" s="786"/>
      <c r="MXG94" s="786"/>
      <c r="MXH94" s="786"/>
      <c r="MXI94" s="786"/>
      <c r="MXJ94" s="786"/>
      <c r="MXK94" s="786"/>
      <c r="MXL94" s="786"/>
      <c r="MXM94" s="786"/>
      <c r="MXN94" s="786"/>
      <c r="MXO94" s="786"/>
      <c r="MXP94" s="786"/>
      <c r="MXQ94" s="786"/>
      <c r="MXR94" s="786"/>
      <c r="MXS94" s="786"/>
      <c r="MXT94" s="786"/>
      <c r="MXU94" s="786"/>
      <c r="MXV94" s="786"/>
      <c r="MXW94" s="786"/>
      <c r="MXX94" s="786"/>
      <c r="MXY94" s="786"/>
      <c r="MXZ94" s="786"/>
      <c r="MYA94" s="786"/>
      <c r="MYB94" s="786"/>
      <c r="MYC94" s="786"/>
      <c r="MYD94" s="786"/>
      <c r="MYE94" s="786"/>
      <c r="MYF94" s="786"/>
      <c r="MYG94" s="786"/>
      <c r="MYH94" s="786"/>
      <c r="MYI94" s="786"/>
      <c r="MYJ94" s="786"/>
      <c r="MYK94" s="786"/>
      <c r="MYL94" s="786"/>
      <c r="MYM94" s="786"/>
      <c r="MYN94" s="786"/>
      <c r="MYO94" s="786"/>
      <c r="MYP94" s="786"/>
      <c r="MYQ94" s="786"/>
      <c r="MYR94" s="786"/>
      <c r="MYS94" s="786"/>
      <c r="MYT94" s="786"/>
      <c r="MYU94" s="786"/>
      <c r="MYV94" s="786"/>
      <c r="MYW94" s="786"/>
      <c r="MYX94" s="786"/>
      <c r="MYY94" s="786"/>
      <c r="MYZ94" s="786"/>
      <c r="MZA94" s="786"/>
      <c r="MZB94" s="786"/>
      <c r="MZC94" s="786"/>
      <c r="MZD94" s="786"/>
      <c r="MZE94" s="786"/>
      <c r="MZF94" s="786"/>
      <c r="MZG94" s="786"/>
      <c r="MZH94" s="786"/>
      <c r="MZI94" s="786"/>
      <c r="MZJ94" s="786"/>
      <c r="MZK94" s="786"/>
      <c r="MZL94" s="786"/>
      <c r="MZM94" s="786"/>
      <c r="MZN94" s="786"/>
      <c r="MZO94" s="786"/>
      <c r="MZP94" s="786"/>
      <c r="MZQ94" s="786"/>
      <c r="MZR94" s="786"/>
      <c r="MZS94" s="786"/>
      <c r="MZT94" s="786"/>
      <c r="MZU94" s="786"/>
      <c r="MZV94" s="786"/>
      <c r="MZW94" s="786"/>
      <c r="MZX94" s="786"/>
      <c r="MZY94" s="786"/>
      <c r="MZZ94" s="786"/>
      <c r="NAA94" s="786"/>
      <c r="NAB94" s="786"/>
      <c r="NAC94" s="786"/>
      <c r="NAD94" s="786"/>
      <c r="NAE94" s="786"/>
      <c r="NAF94" s="786"/>
      <c r="NAG94" s="786"/>
      <c r="NAH94" s="786"/>
      <c r="NAI94" s="786"/>
      <c r="NAJ94" s="786"/>
      <c r="NAK94" s="786"/>
      <c r="NAL94" s="786"/>
      <c r="NAM94" s="786"/>
      <c r="NAN94" s="786"/>
      <c r="NAO94" s="786"/>
      <c r="NAP94" s="786"/>
      <c r="NAQ94" s="786"/>
      <c r="NAR94" s="786"/>
      <c r="NAS94" s="786"/>
      <c r="NAT94" s="786"/>
      <c r="NAU94" s="786"/>
      <c r="NAV94" s="786"/>
      <c r="NAW94" s="786"/>
      <c r="NAX94" s="786"/>
      <c r="NAY94" s="786"/>
      <c r="NAZ94" s="786"/>
      <c r="NBA94" s="786"/>
      <c r="NBB94" s="786"/>
      <c r="NBC94" s="786"/>
      <c r="NBD94" s="786"/>
      <c r="NBE94" s="786"/>
      <c r="NBF94" s="786"/>
      <c r="NBG94" s="786"/>
      <c r="NBH94" s="786"/>
      <c r="NBI94" s="786"/>
      <c r="NBJ94" s="786"/>
      <c r="NBK94" s="786"/>
      <c r="NBL94" s="786"/>
      <c r="NBM94" s="786"/>
      <c r="NBN94" s="786"/>
      <c r="NBO94" s="786"/>
      <c r="NBP94" s="786"/>
      <c r="NBQ94" s="786"/>
      <c r="NBR94" s="786"/>
      <c r="NBS94" s="786"/>
      <c r="NBT94" s="786"/>
      <c r="NBU94" s="786"/>
      <c r="NBV94" s="786"/>
      <c r="NBW94" s="786"/>
      <c r="NBX94" s="786"/>
      <c r="NBY94" s="786"/>
      <c r="NBZ94" s="786"/>
      <c r="NCA94" s="786"/>
      <c r="NCB94" s="786"/>
      <c r="NCC94" s="786"/>
      <c r="NCD94" s="786"/>
      <c r="NCE94" s="786"/>
      <c r="NCF94" s="786"/>
      <c r="NCG94" s="786"/>
      <c r="NCH94" s="786"/>
      <c r="NCI94" s="786"/>
      <c r="NCJ94" s="786"/>
      <c r="NCK94" s="786"/>
      <c r="NCL94" s="786"/>
      <c r="NCM94" s="786"/>
      <c r="NCN94" s="786"/>
      <c r="NCO94" s="786"/>
      <c r="NCP94" s="786"/>
      <c r="NCQ94" s="786"/>
      <c r="NCR94" s="786"/>
      <c r="NCS94" s="786"/>
      <c r="NCT94" s="786"/>
      <c r="NCU94" s="786"/>
      <c r="NCV94" s="786"/>
      <c r="NCW94" s="786"/>
      <c r="NCX94" s="786"/>
      <c r="NCY94" s="786"/>
      <c r="NCZ94" s="786"/>
      <c r="NDA94" s="786"/>
      <c r="NDB94" s="786"/>
      <c r="NDC94" s="786"/>
      <c r="NDD94" s="786"/>
      <c r="NDE94" s="786"/>
      <c r="NDF94" s="786"/>
      <c r="NDG94" s="786"/>
      <c r="NDH94" s="786"/>
      <c r="NDI94" s="786"/>
      <c r="NDJ94" s="786"/>
      <c r="NDK94" s="786"/>
      <c r="NDL94" s="786"/>
      <c r="NDM94" s="786"/>
      <c r="NDN94" s="786"/>
      <c r="NDO94" s="786"/>
      <c r="NDP94" s="786"/>
      <c r="NDQ94" s="786"/>
      <c r="NDR94" s="786"/>
      <c r="NDS94" s="786"/>
      <c r="NDT94" s="786"/>
      <c r="NDU94" s="786"/>
      <c r="NDV94" s="786"/>
      <c r="NDW94" s="786"/>
      <c r="NDX94" s="786"/>
      <c r="NDY94" s="786"/>
      <c r="NDZ94" s="786"/>
      <c r="NEA94" s="786"/>
      <c r="NEB94" s="786"/>
      <c r="NEC94" s="786"/>
      <c r="NED94" s="786"/>
      <c r="NEE94" s="786"/>
      <c r="NEF94" s="786"/>
      <c r="NEG94" s="786"/>
      <c r="NEH94" s="786"/>
      <c r="NEI94" s="786"/>
      <c r="NEJ94" s="786"/>
      <c r="NEK94" s="786"/>
      <c r="NEL94" s="786"/>
      <c r="NEM94" s="786"/>
      <c r="NEN94" s="786"/>
      <c r="NEO94" s="786"/>
      <c r="NEP94" s="786"/>
      <c r="NEQ94" s="786"/>
      <c r="NER94" s="786"/>
      <c r="NES94" s="786"/>
      <c r="NET94" s="786"/>
      <c r="NEU94" s="786"/>
      <c r="NEV94" s="786"/>
      <c r="NEW94" s="786"/>
      <c r="NEX94" s="786"/>
      <c r="NEY94" s="786"/>
      <c r="NEZ94" s="786"/>
      <c r="NFA94" s="786"/>
      <c r="NFB94" s="786"/>
      <c r="NFC94" s="786"/>
      <c r="NFD94" s="786"/>
      <c r="NFE94" s="786"/>
      <c r="NFF94" s="786"/>
      <c r="NFG94" s="786"/>
      <c r="NFH94" s="786"/>
      <c r="NFI94" s="786"/>
      <c r="NFJ94" s="786"/>
      <c r="NFK94" s="786"/>
      <c r="NFL94" s="786"/>
      <c r="NFM94" s="786"/>
      <c r="NFN94" s="786"/>
      <c r="NFO94" s="786"/>
      <c r="NFP94" s="786"/>
      <c r="NFQ94" s="786"/>
      <c r="NFR94" s="786"/>
      <c r="NFS94" s="786"/>
      <c r="NFT94" s="786"/>
      <c r="NFU94" s="786"/>
      <c r="NFV94" s="786"/>
      <c r="NFW94" s="786"/>
      <c r="NFX94" s="786"/>
      <c r="NFY94" s="786"/>
      <c r="NFZ94" s="786"/>
      <c r="NGA94" s="786"/>
      <c r="NGB94" s="786"/>
      <c r="NGC94" s="786"/>
      <c r="NGD94" s="786"/>
      <c r="NGE94" s="786"/>
      <c r="NGF94" s="786"/>
      <c r="NGG94" s="786"/>
      <c r="NGH94" s="786"/>
      <c r="NGI94" s="786"/>
      <c r="NGJ94" s="786"/>
      <c r="NGK94" s="786"/>
      <c r="NGL94" s="786"/>
      <c r="NGM94" s="786"/>
      <c r="NGN94" s="786"/>
      <c r="NGO94" s="786"/>
      <c r="NGP94" s="786"/>
      <c r="NGQ94" s="786"/>
      <c r="NGR94" s="786"/>
      <c r="NGS94" s="786"/>
      <c r="NGT94" s="786"/>
      <c r="NGU94" s="786"/>
      <c r="NGV94" s="786"/>
      <c r="NGW94" s="786"/>
      <c r="NGX94" s="786"/>
      <c r="NGY94" s="786"/>
      <c r="NGZ94" s="786"/>
      <c r="NHA94" s="786"/>
      <c r="NHB94" s="786"/>
      <c r="NHC94" s="786"/>
      <c r="NHD94" s="786"/>
      <c r="NHE94" s="786"/>
      <c r="NHF94" s="786"/>
      <c r="NHG94" s="786"/>
      <c r="NHH94" s="786"/>
      <c r="NHI94" s="786"/>
      <c r="NHJ94" s="786"/>
      <c r="NHK94" s="786"/>
      <c r="NHL94" s="786"/>
      <c r="NHM94" s="786"/>
      <c r="NHN94" s="786"/>
      <c r="NHO94" s="786"/>
      <c r="NHP94" s="786"/>
      <c r="NHQ94" s="786"/>
      <c r="NHR94" s="786"/>
      <c r="NHS94" s="786"/>
      <c r="NHT94" s="786"/>
      <c r="NHU94" s="786"/>
      <c r="NHV94" s="786"/>
      <c r="NHW94" s="786"/>
      <c r="NHX94" s="786"/>
      <c r="NHY94" s="786"/>
      <c r="NHZ94" s="786"/>
      <c r="NIA94" s="786"/>
      <c r="NIB94" s="786"/>
      <c r="NIC94" s="786"/>
      <c r="NID94" s="786"/>
      <c r="NIE94" s="786"/>
      <c r="NIF94" s="786"/>
      <c r="NIG94" s="786"/>
      <c r="NIH94" s="786"/>
      <c r="NII94" s="786"/>
      <c r="NIJ94" s="786"/>
      <c r="NIK94" s="786"/>
      <c r="NIL94" s="786"/>
      <c r="NIM94" s="786"/>
      <c r="NIN94" s="786"/>
      <c r="NIO94" s="786"/>
      <c r="NIP94" s="786"/>
      <c r="NIQ94" s="786"/>
      <c r="NIR94" s="786"/>
      <c r="NIS94" s="786"/>
      <c r="NIT94" s="786"/>
      <c r="NIU94" s="786"/>
      <c r="NIV94" s="786"/>
      <c r="NIW94" s="786"/>
      <c r="NIX94" s="786"/>
      <c r="NIY94" s="786"/>
      <c r="NIZ94" s="786"/>
      <c r="NJA94" s="786"/>
      <c r="NJB94" s="786"/>
      <c r="NJC94" s="786"/>
      <c r="NJD94" s="786"/>
      <c r="NJE94" s="786"/>
      <c r="NJF94" s="786"/>
      <c r="NJG94" s="786"/>
      <c r="NJH94" s="786"/>
      <c r="NJI94" s="786"/>
      <c r="NJJ94" s="786"/>
      <c r="NJK94" s="786"/>
      <c r="NJL94" s="786"/>
      <c r="NJM94" s="786"/>
      <c r="NJN94" s="786"/>
      <c r="NJO94" s="786"/>
      <c r="NJP94" s="786"/>
      <c r="NJQ94" s="786"/>
      <c r="NJR94" s="786"/>
      <c r="NJS94" s="786"/>
      <c r="NJT94" s="786"/>
      <c r="NJU94" s="786"/>
      <c r="NJV94" s="786"/>
      <c r="NJW94" s="786"/>
      <c r="NJX94" s="786"/>
      <c r="NJY94" s="786"/>
      <c r="NJZ94" s="786"/>
      <c r="NKA94" s="786"/>
      <c r="NKB94" s="786"/>
      <c r="NKC94" s="786"/>
      <c r="NKD94" s="786"/>
      <c r="NKE94" s="786"/>
      <c r="NKF94" s="786"/>
      <c r="NKG94" s="786"/>
      <c r="NKH94" s="786"/>
      <c r="NKI94" s="786"/>
      <c r="NKJ94" s="786"/>
      <c r="NKK94" s="786"/>
      <c r="NKL94" s="786"/>
      <c r="NKM94" s="786"/>
      <c r="NKN94" s="786"/>
      <c r="NKO94" s="786"/>
      <c r="NKP94" s="786"/>
      <c r="NKQ94" s="786"/>
      <c r="NKR94" s="786"/>
      <c r="NKS94" s="786"/>
      <c r="NKT94" s="786"/>
      <c r="NKU94" s="786"/>
      <c r="NKV94" s="786"/>
      <c r="NKW94" s="786"/>
      <c r="NKX94" s="786"/>
      <c r="NKY94" s="786"/>
      <c r="NKZ94" s="786"/>
      <c r="NLA94" s="786"/>
      <c r="NLB94" s="786"/>
      <c r="NLC94" s="786"/>
      <c r="NLD94" s="786"/>
      <c r="NLE94" s="786"/>
      <c r="NLF94" s="786"/>
      <c r="NLG94" s="786"/>
      <c r="NLH94" s="786"/>
      <c r="NLI94" s="786"/>
      <c r="NLJ94" s="786"/>
      <c r="NLK94" s="786"/>
      <c r="NLL94" s="786"/>
      <c r="NLM94" s="786"/>
      <c r="NLN94" s="786"/>
      <c r="NLO94" s="786"/>
      <c r="NLP94" s="786"/>
      <c r="NLQ94" s="786"/>
      <c r="NLR94" s="786"/>
      <c r="NLS94" s="786"/>
      <c r="NLT94" s="786"/>
      <c r="NLU94" s="786"/>
      <c r="NLV94" s="786"/>
      <c r="NLW94" s="786"/>
      <c r="NLX94" s="786"/>
      <c r="NLY94" s="786"/>
      <c r="NLZ94" s="786"/>
      <c r="NMA94" s="786"/>
      <c r="NMB94" s="786"/>
      <c r="NMC94" s="786"/>
      <c r="NMD94" s="786"/>
      <c r="NME94" s="786"/>
      <c r="NMF94" s="786"/>
      <c r="NMG94" s="786"/>
      <c r="NMH94" s="786"/>
      <c r="NMI94" s="786"/>
      <c r="NMJ94" s="786"/>
      <c r="NMK94" s="786"/>
      <c r="NML94" s="786"/>
      <c r="NMM94" s="786"/>
      <c r="NMN94" s="786"/>
      <c r="NMO94" s="786"/>
      <c r="NMP94" s="786"/>
      <c r="NMQ94" s="786"/>
      <c r="NMR94" s="786"/>
      <c r="NMS94" s="786"/>
      <c r="NMT94" s="786"/>
      <c r="NMU94" s="786"/>
      <c r="NMV94" s="786"/>
      <c r="NMW94" s="786"/>
      <c r="NMX94" s="786"/>
      <c r="NMY94" s="786"/>
      <c r="NMZ94" s="786"/>
      <c r="NNA94" s="786"/>
      <c r="NNB94" s="786"/>
      <c r="NNC94" s="786"/>
      <c r="NND94" s="786"/>
      <c r="NNE94" s="786"/>
      <c r="NNF94" s="786"/>
      <c r="NNG94" s="786"/>
      <c r="NNH94" s="786"/>
      <c r="NNI94" s="786"/>
      <c r="NNJ94" s="786"/>
      <c r="NNK94" s="786"/>
      <c r="NNL94" s="786"/>
      <c r="NNM94" s="786"/>
      <c r="NNN94" s="786"/>
      <c r="NNO94" s="786"/>
      <c r="NNP94" s="786"/>
      <c r="NNQ94" s="786"/>
      <c r="NNR94" s="786"/>
      <c r="NNS94" s="786"/>
      <c r="NNT94" s="786"/>
      <c r="NNU94" s="786"/>
      <c r="NNV94" s="786"/>
      <c r="NNW94" s="786"/>
      <c r="NNX94" s="786"/>
      <c r="NNY94" s="786"/>
      <c r="NNZ94" s="786"/>
      <c r="NOA94" s="786"/>
      <c r="NOB94" s="786"/>
      <c r="NOC94" s="786"/>
      <c r="NOD94" s="786"/>
      <c r="NOE94" s="786"/>
      <c r="NOF94" s="786"/>
      <c r="NOG94" s="786"/>
      <c r="NOH94" s="786"/>
      <c r="NOI94" s="786"/>
      <c r="NOJ94" s="786"/>
      <c r="NOK94" s="786"/>
      <c r="NOL94" s="786"/>
      <c r="NOM94" s="786"/>
      <c r="NON94" s="786"/>
      <c r="NOO94" s="786"/>
      <c r="NOP94" s="786"/>
      <c r="NOQ94" s="786"/>
      <c r="NOR94" s="786"/>
      <c r="NOS94" s="786"/>
      <c r="NOT94" s="786"/>
      <c r="NOU94" s="786"/>
      <c r="NOV94" s="786"/>
      <c r="NOW94" s="786"/>
      <c r="NOX94" s="786"/>
      <c r="NOY94" s="786"/>
      <c r="NOZ94" s="786"/>
      <c r="NPA94" s="786"/>
      <c r="NPB94" s="786"/>
      <c r="NPC94" s="786"/>
      <c r="NPD94" s="786"/>
      <c r="NPE94" s="786"/>
      <c r="NPF94" s="786"/>
      <c r="NPG94" s="786"/>
      <c r="NPH94" s="786"/>
      <c r="NPI94" s="786"/>
      <c r="NPJ94" s="786"/>
      <c r="NPK94" s="786"/>
      <c r="NPL94" s="786"/>
      <c r="NPM94" s="786"/>
      <c r="NPN94" s="786"/>
      <c r="NPO94" s="786"/>
      <c r="NPP94" s="786"/>
      <c r="NPQ94" s="786"/>
      <c r="NPR94" s="786"/>
      <c r="NPS94" s="786"/>
      <c r="NPT94" s="786"/>
      <c r="NPU94" s="786"/>
      <c r="NPV94" s="786"/>
      <c r="NPW94" s="786"/>
      <c r="NPX94" s="786"/>
      <c r="NPY94" s="786"/>
      <c r="NPZ94" s="786"/>
      <c r="NQA94" s="786"/>
      <c r="NQB94" s="786"/>
      <c r="NQC94" s="786"/>
      <c r="NQD94" s="786"/>
      <c r="NQE94" s="786"/>
      <c r="NQF94" s="786"/>
      <c r="NQG94" s="786"/>
      <c r="NQH94" s="786"/>
      <c r="NQI94" s="786"/>
      <c r="NQJ94" s="786"/>
      <c r="NQK94" s="786"/>
      <c r="NQL94" s="786"/>
      <c r="NQM94" s="786"/>
      <c r="NQN94" s="786"/>
      <c r="NQO94" s="786"/>
      <c r="NQP94" s="786"/>
      <c r="NQQ94" s="786"/>
      <c r="NQR94" s="786"/>
      <c r="NQS94" s="786"/>
      <c r="NQT94" s="786"/>
      <c r="NQU94" s="786"/>
      <c r="NQV94" s="786"/>
      <c r="NQW94" s="786"/>
      <c r="NQX94" s="786"/>
      <c r="NQY94" s="786"/>
      <c r="NQZ94" s="786"/>
      <c r="NRA94" s="786"/>
      <c r="NRB94" s="786"/>
      <c r="NRC94" s="786"/>
      <c r="NRD94" s="786"/>
      <c r="NRE94" s="786"/>
      <c r="NRF94" s="786"/>
      <c r="NRG94" s="786"/>
      <c r="NRH94" s="786"/>
      <c r="NRI94" s="786"/>
      <c r="NRJ94" s="786"/>
      <c r="NRK94" s="786"/>
      <c r="NRL94" s="786"/>
      <c r="NRM94" s="786"/>
      <c r="NRN94" s="786"/>
      <c r="NRO94" s="786"/>
      <c r="NRP94" s="786"/>
      <c r="NRQ94" s="786"/>
      <c r="NRR94" s="786"/>
      <c r="NRS94" s="786"/>
      <c r="NRT94" s="786"/>
      <c r="NRU94" s="786"/>
      <c r="NRV94" s="786"/>
      <c r="NRW94" s="786"/>
      <c r="NRX94" s="786"/>
      <c r="NRY94" s="786"/>
      <c r="NRZ94" s="786"/>
      <c r="NSA94" s="786"/>
      <c r="NSB94" s="786"/>
      <c r="NSC94" s="786"/>
      <c r="NSD94" s="786"/>
      <c r="NSE94" s="786"/>
      <c r="NSF94" s="786"/>
      <c r="NSG94" s="786"/>
      <c r="NSH94" s="786"/>
      <c r="NSI94" s="786"/>
      <c r="NSJ94" s="786"/>
      <c r="NSK94" s="786"/>
      <c r="NSL94" s="786"/>
      <c r="NSM94" s="786"/>
      <c r="NSN94" s="786"/>
      <c r="NSO94" s="786"/>
      <c r="NSP94" s="786"/>
      <c r="NSQ94" s="786"/>
      <c r="NSR94" s="786"/>
      <c r="NSS94" s="786"/>
      <c r="NST94" s="786"/>
      <c r="NSU94" s="786"/>
      <c r="NSV94" s="786"/>
      <c r="NSW94" s="786"/>
      <c r="NSX94" s="786"/>
      <c r="NSY94" s="786"/>
      <c r="NSZ94" s="786"/>
      <c r="NTA94" s="786"/>
      <c r="NTB94" s="786"/>
      <c r="NTC94" s="786"/>
      <c r="NTD94" s="786"/>
      <c r="NTE94" s="786"/>
      <c r="NTF94" s="786"/>
      <c r="NTG94" s="786"/>
      <c r="NTH94" s="786"/>
      <c r="NTI94" s="786"/>
      <c r="NTJ94" s="786"/>
      <c r="NTK94" s="786"/>
      <c r="NTL94" s="786"/>
      <c r="NTM94" s="786"/>
      <c r="NTN94" s="786"/>
      <c r="NTO94" s="786"/>
      <c r="NTP94" s="786"/>
      <c r="NTQ94" s="786"/>
      <c r="NTR94" s="786"/>
      <c r="NTS94" s="786"/>
      <c r="NTT94" s="786"/>
      <c r="NTU94" s="786"/>
      <c r="NTV94" s="786"/>
      <c r="NTW94" s="786"/>
      <c r="NTX94" s="786"/>
      <c r="NTY94" s="786"/>
      <c r="NTZ94" s="786"/>
      <c r="NUA94" s="786"/>
      <c r="NUB94" s="786"/>
      <c r="NUC94" s="786"/>
      <c r="NUD94" s="786"/>
      <c r="NUE94" s="786"/>
      <c r="NUF94" s="786"/>
      <c r="NUG94" s="786"/>
      <c r="NUH94" s="786"/>
      <c r="NUI94" s="786"/>
      <c r="NUJ94" s="786"/>
      <c r="NUK94" s="786"/>
      <c r="NUL94" s="786"/>
      <c r="NUM94" s="786"/>
      <c r="NUN94" s="786"/>
      <c r="NUO94" s="786"/>
      <c r="NUP94" s="786"/>
      <c r="NUQ94" s="786"/>
      <c r="NUR94" s="786"/>
      <c r="NUS94" s="786"/>
      <c r="NUT94" s="786"/>
      <c r="NUU94" s="786"/>
      <c r="NUV94" s="786"/>
      <c r="NUW94" s="786"/>
      <c r="NUX94" s="786"/>
      <c r="NUY94" s="786"/>
      <c r="NUZ94" s="786"/>
      <c r="NVA94" s="786"/>
      <c r="NVB94" s="786"/>
      <c r="NVC94" s="786"/>
      <c r="NVD94" s="786"/>
      <c r="NVE94" s="786"/>
      <c r="NVF94" s="786"/>
      <c r="NVG94" s="786"/>
      <c r="NVH94" s="786"/>
      <c r="NVI94" s="786"/>
      <c r="NVJ94" s="786"/>
      <c r="NVK94" s="786"/>
      <c r="NVL94" s="786"/>
      <c r="NVM94" s="786"/>
      <c r="NVN94" s="786"/>
      <c r="NVO94" s="786"/>
      <c r="NVP94" s="786"/>
      <c r="NVQ94" s="786"/>
      <c r="NVR94" s="786"/>
      <c r="NVS94" s="786"/>
      <c r="NVT94" s="786"/>
      <c r="NVU94" s="786"/>
      <c r="NVV94" s="786"/>
      <c r="NVW94" s="786"/>
      <c r="NVX94" s="786"/>
      <c r="NVY94" s="786"/>
      <c r="NVZ94" s="786"/>
      <c r="NWA94" s="786"/>
      <c r="NWB94" s="786"/>
      <c r="NWC94" s="786"/>
      <c r="NWD94" s="786"/>
      <c r="NWE94" s="786"/>
      <c r="NWF94" s="786"/>
      <c r="NWG94" s="786"/>
      <c r="NWH94" s="786"/>
      <c r="NWI94" s="786"/>
      <c r="NWJ94" s="786"/>
      <c r="NWK94" s="786"/>
      <c r="NWL94" s="786"/>
      <c r="NWM94" s="786"/>
      <c r="NWN94" s="786"/>
      <c r="NWO94" s="786"/>
      <c r="NWP94" s="786"/>
      <c r="NWQ94" s="786"/>
      <c r="NWR94" s="786"/>
      <c r="NWS94" s="786"/>
      <c r="NWT94" s="786"/>
      <c r="NWU94" s="786"/>
      <c r="NWV94" s="786"/>
      <c r="NWW94" s="786"/>
      <c r="NWX94" s="786"/>
      <c r="NWY94" s="786"/>
      <c r="NWZ94" s="786"/>
      <c r="NXA94" s="786"/>
      <c r="NXB94" s="786"/>
      <c r="NXC94" s="786"/>
      <c r="NXD94" s="786"/>
      <c r="NXE94" s="786"/>
      <c r="NXF94" s="786"/>
      <c r="NXG94" s="786"/>
      <c r="NXH94" s="786"/>
      <c r="NXI94" s="786"/>
      <c r="NXJ94" s="786"/>
      <c r="NXK94" s="786"/>
      <c r="NXL94" s="786"/>
      <c r="NXM94" s="786"/>
      <c r="NXN94" s="786"/>
      <c r="NXO94" s="786"/>
      <c r="NXP94" s="786"/>
      <c r="NXQ94" s="786"/>
      <c r="NXR94" s="786"/>
      <c r="NXS94" s="786"/>
      <c r="NXT94" s="786"/>
      <c r="NXU94" s="786"/>
      <c r="NXV94" s="786"/>
      <c r="NXW94" s="786"/>
      <c r="NXX94" s="786"/>
      <c r="NXY94" s="786"/>
      <c r="NXZ94" s="786"/>
      <c r="NYA94" s="786"/>
      <c r="NYB94" s="786"/>
      <c r="NYC94" s="786"/>
      <c r="NYD94" s="786"/>
      <c r="NYE94" s="786"/>
      <c r="NYF94" s="786"/>
      <c r="NYG94" s="786"/>
      <c r="NYH94" s="786"/>
      <c r="NYI94" s="786"/>
      <c r="NYJ94" s="786"/>
      <c r="NYK94" s="786"/>
      <c r="NYL94" s="786"/>
      <c r="NYM94" s="786"/>
      <c r="NYN94" s="786"/>
      <c r="NYO94" s="786"/>
      <c r="NYP94" s="786"/>
      <c r="NYQ94" s="786"/>
      <c r="NYR94" s="786"/>
      <c r="NYS94" s="786"/>
      <c r="NYT94" s="786"/>
      <c r="NYU94" s="786"/>
      <c r="NYV94" s="786"/>
      <c r="NYW94" s="786"/>
      <c r="NYX94" s="786"/>
      <c r="NYY94" s="786"/>
      <c r="NYZ94" s="786"/>
      <c r="NZA94" s="786"/>
      <c r="NZB94" s="786"/>
      <c r="NZC94" s="786"/>
      <c r="NZD94" s="786"/>
      <c r="NZE94" s="786"/>
      <c r="NZF94" s="786"/>
      <c r="NZG94" s="786"/>
      <c r="NZH94" s="786"/>
      <c r="NZI94" s="786"/>
      <c r="NZJ94" s="786"/>
      <c r="NZK94" s="786"/>
      <c r="NZL94" s="786"/>
      <c r="NZM94" s="786"/>
      <c r="NZN94" s="786"/>
      <c r="NZO94" s="786"/>
      <c r="NZP94" s="786"/>
      <c r="NZQ94" s="786"/>
      <c r="NZR94" s="786"/>
      <c r="NZS94" s="786"/>
      <c r="NZT94" s="786"/>
      <c r="NZU94" s="786"/>
      <c r="NZV94" s="786"/>
      <c r="NZW94" s="786"/>
      <c r="NZX94" s="786"/>
      <c r="NZY94" s="786"/>
      <c r="NZZ94" s="786"/>
      <c r="OAA94" s="786"/>
      <c r="OAB94" s="786"/>
      <c r="OAC94" s="786"/>
      <c r="OAD94" s="786"/>
      <c r="OAE94" s="786"/>
      <c r="OAF94" s="786"/>
      <c r="OAG94" s="786"/>
      <c r="OAH94" s="786"/>
      <c r="OAI94" s="786"/>
      <c r="OAJ94" s="786"/>
      <c r="OAK94" s="786"/>
      <c r="OAL94" s="786"/>
      <c r="OAM94" s="786"/>
      <c r="OAN94" s="786"/>
      <c r="OAO94" s="786"/>
      <c r="OAP94" s="786"/>
      <c r="OAQ94" s="786"/>
      <c r="OAR94" s="786"/>
      <c r="OAS94" s="786"/>
      <c r="OAT94" s="786"/>
      <c r="OAU94" s="786"/>
      <c r="OAV94" s="786"/>
      <c r="OAW94" s="786"/>
      <c r="OAX94" s="786"/>
      <c r="OAY94" s="786"/>
      <c r="OAZ94" s="786"/>
      <c r="OBA94" s="786"/>
      <c r="OBB94" s="786"/>
      <c r="OBC94" s="786"/>
      <c r="OBD94" s="786"/>
      <c r="OBE94" s="786"/>
      <c r="OBF94" s="786"/>
      <c r="OBG94" s="786"/>
      <c r="OBH94" s="786"/>
      <c r="OBI94" s="786"/>
      <c r="OBJ94" s="786"/>
      <c r="OBK94" s="786"/>
      <c r="OBL94" s="786"/>
      <c r="OBM94" s="786"/>
      <c r="OBN94" s="786"/>
      <c r="OBO94" s="786"/>
      <c r="OBP94" s="786"/>
      <c r="OBQ94" s="786"/>
      <c r="OBR94" s="786"/>
      <c r="OBS94" s="786"/>
      <c r="OBT94" s="786"/>
      <c r="OBU94" s="786"/>
      <c r="OBV94" s="786"/>
      <c r="OBW94" s="786"/>
      <c r="OBX94" s="786"/>
      <c r="OBY94" s="786"/>
      <c r="OBZ94" s="786"/>
      <c r="OCA94" s="786"/>
      <c r="OCB94" s="786"/>
      <c r="OCC94" s="786"/>
      <c r="OCD94" s="786"/>
      <c r="OCE94" s="786"/>
      <c r="OCF94" s="786"/>
      <c r="OCG94" s="786"/>
      <c r="OCH94" s="786"/>
      <c r="OCI94" s="786"/>
      <c r="OCJ94" s="786"/>
      <c r="OCK94" s="786"/>
      <c r="OCL94" s="786"/>
      <c r="OCM94" s="786"/>
      <c r="OCN94" s="786"/>
      <c r="OCO94" s="786"/>
      <c r="OCP94" s="786"/>
      <c r="OCQ94" s="786"/>
      <c r="OCR94" s="786"/>
      <c r="OCS94" s="786"/>
      <c r="OCT94" s="786"/>
      <c r="OCU94" s="786"/>
      <c r="OCV94" s="786"/>
      <c r="OCW94" s="786"/>
      <c r="OCX94" s="786"/>
      <c r="OCY94" s="786"/>
      <c r="OCZ94" s="786"/>
      <c r="ODA94" s="786"/>
      <c r="ODB94" s="786"/>
      <c r="ODC94" s="786"/>
      <c r="ODD94" s="786"/>
      <c r="ODE94" s="786"/>
      <c r="ODF94" s="786"/>
      <c r="ODG94" s="786"/>
      <c r="ODH94" s="786"/>
      <c r="ODI94" s="786"/>
      <c r="ODJ94" s="786"/>
      <c r="ODK94" s="786"/>
      <c r="ODL94" s="786"/>
      <c r="ODM94" s="786"/>
      <c r="ODN94" s="786"/>
      <c r="ODO94" s="786"/>
      <c r="ODP94" s="786"/>
      <c r="ODQ94" s="786"/>
      <c r="ODR94" s="786"/>
      <c r="ODS94" s="786"/>
      <c r="ODT94" s="786"/>
      <c r="ODU94" s="786"/>
      <c r="ODV94" s="786"/>
      <c r="ODW94" s="786"/>
      <c r="ODX94" s="786"/>
      <c r="ODY94" s="786"/>
      <c r="ODZ94" s="786"/>
      <c r="OEA94" s="786"/>
      <c r="OEB94" s="786"/>
      <c r="OEC94" s="786"/>
      <c r="OED94" s="786"/>
      <c r="OEE94" s="786"/>
      <c r="OEF94" s="786"/>
      <c r="OEG94" s="786"/>
      <c r="OEH94" s="786"/>
      <c r="OEI94" s="786"/>
      <c r="OEJ94" s="786"/>
      <c r="OEK94" s="786"/>
      <c r="OEL94" s="786"/>
      <c r="OEM94" s="786"/>
      <c r="OEN94" s="786"/>
      <c r="OEO94" s="786"/>
      <c r="OEP94" s="786"/>
      <c r="OEQ94" s="786"/>
      <c r="OER94" s="786"/>
      <c r="OES94" s="786"/>
      <c r="OET94" s="786"/>
      <c r="OEU94" s="786"/>
      <c r="OEV94" s="786"/>
      <c r="OEW94" s="786"/>
      <c r="OEX94" s="786"/>
      <c r="OEY94" s="786"/>
      <c r="OEZ94" s="786"/>
      <c r="OFA94" s="786"/>
      <c r="OFB94" s="786"/>
      <c r="OFC94" s="786"/>
      <c r="OFD94" s="786"/>
      <c r="OFE94" s="786"/>
      <c r="OFF94" s="786"/>
      <c r="OFG94" s="786"/>
      <c r="OFH94" s="786"/>
      <c r="OFI94" s="786"/>
      <c r="OFJ94" s="786"/>
      <c r="OFK94" s="786"/>
      <c r="OFL94" s="786"/>
      <c r="OFM94" s="786"/>
      <c r="OFN94" s="786"/>
      <c r="OFO94" s="786"/>
      <c r="OFP94" s="786"/>
      <c r="OFQ94" s="786"/>
      <c r="OFR94" s="786"/>
      <c r="OFS94" s="786"/>
      <c r="OFT94" s="786"/>
      <c r="OFU94" s="786"/>
      <c r="OFV94" s="786"/>
      <c r="OFW94" s="786"/>
      <c r="OFX94" s="786"/>
      <c r="OFY94" s="786"/>
      <c r="OFZ94" s="786"/>
      <c r="OGA94" s="786"/>
      <c r="OGB94" s="786"/>
      <c r="OGC94" s="786"/>
      <c r="OGD94" s="786"/>
      <c r="OGE94" s="786"/>
      <c r="OGF94" s="786"/>
      <c r="OGG94" s="786"/>
      <c r="OGH94" s="786"/>
      <c r="OGI94" s="786"/>
      <c r="OGJ94" s="786"/>
      <c r="OGK94" s="786"/>
      <c r="OGL94" s="786"/>
      <c r="OGM94" s="786"/>
      <c r="OGN94" s="786"/>
      <c r="OGO94" s="786"/>
      <c r="OGP94" s="786"/>
      <c r="OGQ94" s="786"/>
      <c r="OGR94" s="786"/>
      <c r="OGS94" s="786"/>
      <c r="OGT94" s="786"/>
      <c r="OGU94" s="786"/>
      <c r="OGV94" s="786"/>
      <c r="OGW94" s="786"/>
      <c r="OGX94" s="786"/>
      <c r="OGY94" s="786"/>
      <c r="OGZ94" s="786"/>
      <c r="OHA94" s="786"/>
      <c r="OHB94" s="786"/>
      <c r="OHC94" s="786"/>
      <c r="OHD94" s="786"/>
      <c r="OHE94" s="786"/>
      <c r="OHF94" s="786"/>
      <c r="OHG94" s="786"/>
      <c r="OHH94" s="786"/>
      <c r="OHI94" s="786"/>
      <c r="OHJ94" s="786"/>
      <c r="OHK94" s="786"/>
      <c r="OHL94" s="786"/>
      <c r="OHM94" s="786"/>
      <c r="OHN94" s="786"/>
      <c r="OHO94" s="786"/>
      <c r="OHP94" s="786"/>
      <c r="OHQ94" s="786"/>
      <c r="OHR94" s="786"/>
      <c r="OHS94" s="786"/>
      <c r="OHT94" s="786"/>
      <c r="OHU94" s="786"/>
      <c r="OHV94" s="786"/>
      <c r="OHW94" s="786"/>
      <c r="OHX94" s="786"/>
      <c r="OHY94" s="786"/>
      <c r="OHZ94" s="786"/>
      <c r="OIA94" s="786"/>
      <c r="OIB94" s="786"/>
      <c r="OIC94" s="786"/>
      <c r="OID94" s="786"/>
      <c r="OIE94" s="786"/>
      <c r="OIF94" s="786"/>
      <c r="OIG94" s="786"/>
      <c r="OIH94" s="786"/>
      <c r="OII94" s="786"/>
      <c r="OIJ94" s="786"/>
      <c r="OIK94" s="786"/>
      <c r="OIL94" s="786"/>
      <c r="OIM94" s="786"/>
      <c r="OIN94" s="786"/>
      <c r="OIO94" s="786"/>
      <c r="OIP94" s="786"/>
      <c r="OIQ94" s="786"/>
      <c r="OIR94" s="786"/>
      <c r="OIS94" s="786"/>
      <c r="OIT94" s="786"/>
      <c r="OIU94" s="786"/>
      <c r="OIV94" s="786"/>
      <c r="OIW94" s="786"/>
      <c r="OIX94" s="786"/>
      <c r="OIY94" s="786"/>
      <c r="OIZ94" s="786"/>
      <c r="OJA94" s="786"/>
      <c r="OJB94" s="786"/>
      <c r="OJC94" s="786"/>
      <c r="OJD94" s="786"/>
      <c r="OJE94" s="786"/>
      <c r="OJF94" s="786"/>
      <c r="OJG94" s="786"/>
      <c r="OJH94" s="786"/>
      <c r="OJI94" s="786"/>
      <c r="OJJ94" s="786"/>
      <c r="OJK94" s="786"/>
      <c r="OJL94" s="786"/>
      <c r="OJM94" s="786"/>
      <c r="OJN94" s="786"/>
      <c r="OJO94" s="786"/>
      <c r="OJP94" s="786"/>
      <c r="OJQ94" s="786"/>
      <c r="OJR94" s="786"/>
      <c r="OJS94" s="786"/>
      <c r="OJT94" s="786"/>
      <c r="OJU94" s="786"/>
      <c r="OJV94" s="786"/>
      <c r="OJW94" s="786"/>
      <c r="OJX94" s="786"/>
      <c r="OJY94" s="786"/>
      <c r="OJZ94" s="786"/>
      <c r="OKA94" s="786"/>
      <c r="OKB94" s="786"/>
      <c r="OKC94" s="786"/>
      <c r="OKD94" s="786"/>
      <c r="OKE94" s="786"/>
      <c r="OKF94" s="786"/>
      <c r="OKG94" s="786"/>
      <c r="OKH94" s="786"/>
      <c r="OKI94" s="786"/>
      <c r="OKJ94" s="786"/>
      <c r="OKK94" s="786"/>
      <c r="OKL94" s="786"/>
      <c r="OKM94" s="786"/>
      <c r="OKN94" s="786"/>
      <c r="OKO94" s="786"/>
      <c r="OKP94" s="786"/>
      <c r="OKQ94" s="786"/>
      <c r="OKR94" s="786"/>
      <c r="OKS94" s="786"/>
      <c r="OKT94" s="786"/>
      <c r="OKU94" s="786"/>
      <c r="OKV94" s="786"/>
      <c r="OKW94" s="786"/>
      <c r="OKX94" s="786"/>
      <c r="OKY94" s="786"/>
      <c r="OKZ94" s="786"/>
      <c r="OLA94" s="786"/>
      <c r="OLB94" s="786"/>
      <c r="OLC94" s="786"/>
      <c r="OLD94" s="786"/>
      <c r="OLE94" s="786"/>
      <c r="OLF94" s="786"/>
      <c r="OLG94" s="786"/>
      <c r="OLH94" s="786"/>
      <c r="OLI94" s="786"/>
      <c r="OLJ94" s="786"/>
      <c r="OLK94" s="786"/>
      <c r="OLL94" s="786"/>
      <c r="OLM94" s="786"/>
      <c r="OLN94" s="786"/>
      <c r="OLO94" s="786"/>
      <c r="OLP94" s="786"/>
      <c r="OLQ94" s="786"/>
      <c r="OLR94" s="786"/>
      <c r="OLS94" s="786"/>
      <c r="OLT94" s="786"/>
      <c r="OLU94" s="786"/>
      <c r="OLV94" s="786"/>
      <c r="OLW94" s="786"/>
      <c r="OLX94" s="786"/>
      <c r="OLY94" s="786"/>
      <c r="OLZ94" s="786"/>
      <c r="OMA94" s="786"/>
      <c r="OMB94" s="786"/>
      <c r="OMC94" s="786"/>
      <c r="OMD94" s="786"/>
      <c r="OME94" s="786"/>
      <c r="OMF94" s="786"/>
      <c r="OMG94" s="786"/>
      <c r="OMH94" s="786"/>
      <c r="OMI94" s="786"/>
      <c r="OMJ94" s="786"/>
      <c r="OMK94" s="786"/>
      <c r="OML94" s="786"/>
      <c r="OMM94" s="786"/>
      <c r="OMN94" s="786"/>
      <c r="OMO94" s="786"/>
      <c r="OMP94" s="786"/>
      <c r="OMQ94" s="786"/>
      <c r="OMR94" s="786"/>
      <c r="OMS94" s="786"/>
      <c r="OMT94" s="786"/>
      <c r="OMU94" s="786"/>
      <c r="OMV94" s="786"/>
      <c r="OMW94" s="786"/>
      <c r="OMX94" s="786"/>
      <c r="OMY94" s="786"/>
      <c r="OMZ94" s="786"/>
      <c r="ONA94" s="786"/>
      <c r="ONB94" s="786"/>
      <c r="ONC94" s="786"/>
      <c r="OND94" s="786"/>
      <c r="ONE94" s="786"/>
      <c r="ONF94" s="786"/>
      <c r="ONG94" s="786"/>
      <c r="ONH94" s="786"/>
      <c r="ONI94" s="786"/>
      <c r="ONJ94" s="786"/>
      <c r="ONK94" s="786"/>
      <c r="ONL94" s="786"/>
      <c r="ONM94" s="786"/>
      <c r="ONN94" s="786"/>
      <c r="ONO94" s="786"/>
      <c r="ONP94" s="786"/>
      <c r="ONQ94" s="786"/>
      <c r="ONR94" s="786"/>
      <c r="ONS94" s="786"/>
      <c r="ONT94" s="786"/>
      <c r="ONU94" s="786"/>
      <c r="ONV94" s="786"/>
      <c r="ONW94" s="786"/>
      <c r="ONX94" s="786"/>
      <c r="ONY94" s="786"/>
      <c r="ONZ94" s="786"/>
      <c r="OOA94" s="786"/>
      <c r="OOB94" s="786"/>
      <c r="OOC94" s="786"/>
      <c r="OOD94" s="786"/>
      <c r="OOE94" s="786"/>
      <c r="OOF94" s="786"/>
      <c r="OOG94" s="786"/>
      <c r="OOH94" s="786"/>
      <c r="OOI94" s="786"/>
      <c r="OOJ94" s="786"/>
      <c r="OOK94" s="786"/>
      <c r="OOL94" s="786"/>
      <c r="OOM94" s="786"/>
      <c r="OON94" s="786"/>
      <c r="OOO94" s="786"/>
      <c r="OOP94" s="786"/>
      <c r="OOQ94" s="786"/>
      <c r="OOR94" s="786"/>
      <c r="OOS94" s="786"/>
      <c r="OOT94" s="786"/>
      <c r="OOU94" s="786"/>
      <c r="OOV94" s="786"/>
      <c r="OOW94" s="786"/>
      <c r="OOX94" s="786"/>
      <c r="OOY94" s="786"/>
      <c r="OOZ94" s="786"/>
      <c r="OPA94" s="786"/>
      <c r="OPB94" s="786"/>
      <c r="OPC94" s="786"/>
      <c r="OPD94" s="786"/>
      <c r="OPE94" s="786"/>
      <c r="OPF94" s="786"/>
      <c r="OPG94" s="786"/>
      <c r="OPH94" s="786"/>
      <c r="OPI94" s="786"/>
      <c r="OPJ94" s="786"/>
      <c r="OPK94" s="786"/>
      <c r="OPL94" s="786"/>
      <c r="OPM94" s="786"/>
      <c r="OPN94" s="786"/>
      <c r="OPO94" s="786"/>
      <c r="OPP94" s="786"/>
      <c r="OPQ94" s="786"/>
      <c r="OPR94" s="786"/>
      <c r="OPS94" s="786"/>
      <c r="OPT94" s="786"/>
      <c r="OPU94" s="786"/>
      <c r="OPV94" s="786"/>
      <c r="OPW94" s="786"/>
      <c r="OPX94" s="786"/>
      <c r="OPY94" s="786"/>
      <c r="OPZ94" s="786"/>
      <c r="OQA94" s="786"/>
      <c r="OQB94" s="786"/>
      <c r="OQC94" s="786"/>
      <c r="OQD94" s="786"/>
      <c r="OQE94" s="786"/>
      <c r="OQF94" s="786"/>
      <c r="OQG94" s="786"/>
      <c r="OQH94" s="786"/>
      <c r="OQI94" s="786"/>
      <c r="OQJ94" s="786"/>
      <c r="OQK94" s="786"/>
      <c r="OQL94" s="786"/>
      <c r="OQM94" s="786"/>
      <c r="OQN94" s="786"/>
      <c r="OQO94" s="786"/>
      <c r="OQP94" s="786"/>
      <c r="OQQ94" s="786"/>
      <c r="OQR94" s="786"/>
      <c r="OQS94" s="786"/>
      <c r="OQT94" s="786"/>
      <c r="OQU94" s="786"/>
      <c r="OQV94" s="786"/>
      <c r="OQW94" s="786"/>
      <c r="OQX94" s="786"/>
      <c r="OQY94" s="786"/>
      <c r="OQZ94" s="786"/>
      <c r="ORA94" s="786"/>
      <c r="ORB94" s="786"/>
      <c r="ORC94" s="786"/>
      <c r="ORD94" s="786"/>
      <c r="ORE94" s="786"/>
      <c r="ORF94" s="786"/>
      <c r="ORG94" s="786"/>
      <c r="ORH94" s="786"/>
      <c r="ORI94" s="786"/>
      <c r="ORJ94" s="786"/>
      <c r="ORK94" s="786"/>
      <c r="ORL94" s="786"/>
      <c r="ORM94" s="786"/>
      <c r="ORN94" s="786"/>
      <c r="ORO94" s="786"/>
      <c r="ORP94" s="786"/>
      <c r="ORQ94" s="786"/>
      <c r="ORR94" s="786"/>
      <c r="ORS94" s="786"/>
      <c r="ORT94" s="786"/>
      <c r="ORU94" s="786"/>
      <c r="ORV94" s="786"/>
      <c r="ORW94" s="786"/>
      <c r="ORX94" s="786"/>
      <c r="ORY94" s="786"/>
      <c r="ORZ94" s="786"/>
      <c r="OSA94" s="786"/>
      <c r="OSB94" s="786"/>
      <c r="OSC94" s="786"/>
      <c r="OSD94" s="786"/>
      <c r="OSE94" s="786"/>
      <c r="OSF94" s="786"/>
      <c r="OSG94" s="786"/>
      <c r="OSH94" s="786"/>
      <c r="OSI94" s="786"/>
      <c r="OSJ94" s="786"/>
      <c r="OSK94" s="786"/>
      <c r="OSL94" s="786"/>
      <c r="OSM94" s="786"/>
      <c r="OSN94" s="786"/>
      <c r="OSO94" s="786"/>
      <c r="OSP94" s="786"/>
      <c r="OSQ94" s="786"/>
      <c r="OSR94" s="786"/>
      <c r="OSS94" s="786"/>
      <c r="OST94" s="786"/>
      <c r="OSU94" s="786"/>
      <c r="OSV94" s="786"/>
      <c r="OSW94" s="786"/>
      <c r="OSX94" s="786"/>
      <c r="OSY94" s="786"/>
      <c r="OSZ94" s="786"/>
      <c r="OTA94" s="786"/>
      <c r="OTB94" s="786"/>
      <c r="OTC94" s="786"/>
      <c r="OTD94" s="786"/>
      <c r="OTE94" s="786"/>
      <c r="OTF94" s="786"/>
      <c r="OTG94" s="786"/>
      <c r="OTH94" s="786"/>
      <c r="OTI94" s="786"/>
      <c r="OTJ94" s="786"/>
      <c r="OTK94" s="786"/>
      <c r="OTL94" s="786"/>
      <c r="OTM94" s="786"/>
      <c r="OTN94" s="786"/>
      <c r="OTO94" s="786"/>
      <c r="OTP94" s="786"/>
      <c r="OTQ94" s="786"/>
      <c r="OTR94" s="786"/>
      <c r="OTS94" s="786"/>
      <c r="OTT94" s="786"/>
      <c r="OTU94" s="786"/>
      <c r="OTV94" s="786"/>
      <c r="OTW94" s="786"/>
      <c r="OTX94" s="786"/>
      <c r="OTY94" s="786"/>
      <c r="OTZ94" s="786"/>
      <c r="OUA94" s="786"/>
      <c r="OUB94" s="786"/>
      <c r="OUC94" s="786"/>
      <c r="OUD94" s="786"/>
      <c r="OUE94" s="786"/>
      <c r="OUF94" s="786"/>
      <c r="OUG94" s="786"/>
      <c r="OUH94" s="786"/>
      <c r="OUI94" s="786"/>
      <c r="OUJ94" s="786"/>
      <c r="OUK94" s="786"/>
      <c r="OUL94" s="786"/>
      <c r="OUM94" s="786"/>
      <c r="OUN94" s="786"/>
      <c r="OUO94" s="786"/>
      <c r="OUP94" s="786"/>
      <c r="OUQ94" s="786"/>
      <c r="OUR94" s="786"/>
      <c r="OUS94" s="786"/>
      <c r="OUT94" s="786"/>
      <c r="OUU94" s="786"/>
      <c r="OUV94" s="786"/>
      <c r="OUW94" s="786"/>
      <c r="OUX94" s="786"/>
      <c r="OUY94" s="786"/>
      <c r="OUZ94" s="786"/>
      <c r="OVA94" s="786"/>
      <c r="OVB94" s="786"/>
      <c r="OVC94" s="786"/>
      <c r="OVD94" s="786"/>
      <c r="OVE94" s="786"/>
      <c r="OVF94" s="786"/>
      <c r="OVG94" s="786"/>
      <c r="OVH94" s="786"/>
      <c r="OVI94" s="786"/>
      <c r="OVJ94" s="786"/>
      <c r="OVK94" s="786"/>
      <c r="OVL94" s="786"/>
      <c r="OVM94" s="786"/>
      <c r="OVN94" s="786"/>
      <c r="OVO94" s="786"/>
      <c r="OVP94" s="786"/>
      <c r="OVQ94" s="786"/>
      <c r="OVR94" s="786"/>
      <c r="OVS94" s="786"/>
      <c r="OVT94" s="786"/>
      <c r="OVU94" s="786"/>
      <c r="OVV94" s="786"/>
      <c r="OVW94" s="786"/>
      <c r="OVX94" s="786"/>
      <c r="OVY94" s="786"/>
      <c r="OVZ94" s="786"/>
      <c r="OWA94" s="786"/>
      <c r="OWB94" s="786"/>
      <c r="OWC94" s="786"/>
      <c r="OWD94" s="786"/>
      <c r="OWE94" s="786"/>
      <c r="OWF94" s="786"/>
      <c r="OWG94" s="786"/>
      <c r="OWH94" s="786"/>
      <c r="OWI94" s="786"/>
      <c r="OWJ94" s="786"/>
      <c r="OWK94" s="786"/>
      <c r="OWL94" s="786"/>
      <c r="OWM94" s="786"/>
      <c r="OWN94" s="786"/>
      <c r="OWO94" s="786"/>
      <c r="OWP94" s="786"/>
      <c r="OWQ94" s="786"/>
      <c r="OWR94" s="786"/>
      <c r="OWS94" s="786"/>
      <c r="OWT94" s="786"/>
      <c r="OWU94" s="786"/>
      <c r="OWV94" s="786"/>
      <c r="OWW94" s="786"/>
      <c r="OWX94" s="786"/>
      <c r="OWY94" s="786"/>
      <c r="OWZ94" s="786"/>
      <c r="OXA94" s="786"/>
      <c r="OXB94" s="786"/>
      <c r="OXC94" s="786"/>
      <c r="OXD94" s="786"/>
      <c r="OXE94" s="786"/>
      <c r="OXF94" s="786"/>
      <c r="OXG94" s="786"/>
      <c r="OXH94" s="786"/>
      <c r="OXI94" s="786"/>
      <c r="OXJ94" s="786"/>
      <c r="OXK94" s="786"/>
      <c r="OXL94" s="786"/>
      <c r="OXM94" s="786"/>
      <c r="OXN94" s="786"/>
      <c r="OXO94" s="786"/>
      <c r="OXP94" s="786"/>
      <c r="OXQ94" s="786"/>
      <c r="OXR94" s="786"/>
      <c r="OXS94" s="786"/>
      <c r="OXT94" s="786"/>
      <c r="OXU94" s="786"/>
      <c r="OXV94" s="786"/>
      <c r="OXW94" s="786"/>
      <c r="OXX94" s="786"/>
      <c r="OXY94" s="786"/>
      <c r="OXZ94" s="786"/>
      <c r="OYA94" s="786"/>
      <c r="OYB94" s="786"/>
      <c r="OYC94" s="786"/>
      <c r="OYD94" s="786"/>
      <c r="OYE94" s="786"/>
      <c r="OYF94" s="786"/>
      <c r="OYG94" s="786"/>
      <c r="OYH94" s="786"/>
      <c r="OYI94" s="786"/>
      <c r="OYJ94" s="786"/>
      <c r="OYK94" s="786"/>
      <c r="OYL94" s="786"/>
      <c r="OYM94" s="786"/>
      <c r="OYN94" s="786"/>
      <c r="OYO94" s="786"/>
      <c r="OYP94" s="786"/>
      <c r="OYQ94" s="786"/>
      <c r="OYR94" s="786"/>
      <c r="OYS94" s="786"/>
      <c r="OYT94" s="786"/>
      <c r="OYU94" s="786"/>
      <c r="OYV94" s="786"/>
      <c r="OYW94" s="786"/>
      <c r="OYX94" s="786"/>
      <c r="OYY94" s="786"/>
      <c r="OYZ94" s="786"/>
      <c r="OZA94" s="786"/>
      <c r="OZB94" s="786"/>
      <c r="OZC94" s="786"/>
      <c r="OZD94" s="786"/>
      <c r="OZE94" s="786"/>
      <c r="OZF94" s="786"/>
      <c r="OZG94" s="786"/>
      <c r="OZH94" s="786"/>
      <c r="OZI94" s="786"/>
      <c r="OZJ94" s="786"/>
      <c r="OZK94" s="786"/>
      <c r="OZL94" s="786"/>
      <c r="OZM94" s="786"/>
      <c r="OZN94" s="786"/>
      <c r="OZO94" s="786"/>
      <c r="OZP94" s="786"/>
      <c r="OZQ94" s="786"/>
      <c r="OZR94" s="786"/>
      <c r="OZS94" s="786"/>
      <c r="OZT94" s="786"/>
      <c r="OZU94" s="786"/>
      <c r="OZV94" s="786"/>
      <c r="OZW94" s="786"/>
      <c r="OZX94" s="786"/>
      <c r="OZY94" s="786"/>
      <c r="OZZ94" s="786"/>
      <c r="PAA94" s="786"/>
      <c r="PAB94" s="786"/>
      <c r="PAC94" s="786"/>
      <c r="PAD94" s="786"/>
      <c r="PAE94" s="786"/>
      <c r="PAF94" s="786"/>
      <c r="PAG94" s="786"/>
      <c r="PAH94" s="786"/>
      <c r="PAI94" s="786"/>
      <c r="PAJ94" s="786"/>
      <c r="PAK94" s="786"/>
      <c r="PAL94" s="786"/>
      <c r="PAM94" s="786"/>
      <c r="PAN94" s="786"/>
      <c r="PAO94" s="786"/>
      <c r="PAP94" s="786"/>
      <c r="PAQ94" s="786"/>
      <c r="PAR94" s="786"/>
      <c r="PAS94" s="786"/>
      <c r="PAT94" s="786"/>
      <c r="PAU94" s="786"/>
      <c r="PAV94" s="786"/>
      <c r="PAW94" s="786"/>
      <c r="PAX94" s="786"/>
      <c r="PAY94" s="786"/>
      <c r="PAZ94" s="786"/>
      <c r="PBA94" s="786"/>
      <c r="PBB94" s="786"/>
      <c r="PBC94" s="786"/>
      <c r="PBD94" s="786"/>
      <c r="PBE94" s="786"/>
      <c r="PBF94" s="786"/>
      <c r="PBG94" s="786"/>
      <c r="PBH94" s="786"/>
      <c r="PBI94" s="786"/>
      <c r="PBJ94" s="786"/>
      <c r="PBK94" s="786"/>
      <c r="PBL94" s="786"/>
      <c r="PBM94" s="786"/>
      <c r="PBN94" s="786"/>
      <c r="PBO94" s="786"/>
      <c r="PBP94" s="786"/>
      <c r="PBQ94" s="786"/>
      <c r="PBR94" s="786"/>
      <c r="PBS94" s="786"/>
      <c r="PBT94" s="786"/>
      <c r="PBU94" s="786"/>
      <c r="PBV94" s="786"/>
      <c r="PBW94" s="786"/>
      <c r="PBX94" s="786"/>
      <c r="PBY94" s="786"/>
      <c r="PBZ94" s="786"/>
      <c r="PCA94" s="786"/>
      <c r="PCB94" s="786"/>
      <c r="PCC94" s="786"/>
      <c r="PCD94" s="786"/>
      <c r="PCE94" s="786"/>
      <c r="PCF94" s="786"/>
      <c r="PCG94" s="786"/>
      <c r="PCH94" s="786"/>
      <c r="PCI94" s="786"/>
      <c r="PCJ94" s="786"/>
      <c r="PCK94" s="786"/>
      <c r="PCL94" s="786"/>
      <c r="PCM94" s="786"/>
      <c r="PCN94" s="786"/>
      <c r="PCO94" s="786"/>
      <c r="PCP94" s="786"/>
      <c r="PCQ94" s="786"/>
      <c r="PCR94" s="786"/>
      <c r="PCS94" s="786"/>
      <c r="PCT94" s="786"/>
      <c r="PCU94" s="786"/>
      <c r="PCV94" s="786"/>
      <c r="PCW94" s="786"/>
      <c r="PCX94" s="786"/>
      <c r="PCY94" s="786"/>
      <c r="PCZ94" s="786"/>
      <c r="PDA94" s="786"/>
      <c r="PDB94" s="786"/>
      <c r="PDC94" s="786"/>
      <c r="PDD94" s="786"/>
      <c r="PDE94" s="786"/>
      <c r="PDF94" s="786"/>
      <c r="PDG94" s="786"/>
      <c r="PDH94" s="786"/>
      <c r="PDI94" s="786"/>
      <c r="PDJ94" s="786"/>
      <c r="PDK94" s="786"/>
      <c r="PDL94" s="786"/>
      <c r="PDM94" s="786"/>
      <c r="PDN94" s="786"/>
      <c r="PDO94" s="786"/>
      <c r="PDP94" s="786"/>
      <c r="PDQ94" s="786"/>
      <c r="PDR94" s="786"/>
      <c r="PDS94" s="786"/>
      <c r="PDT94" s="786"/>
      <c r="PDU94" s="786"/>
      <c r="PDV94" s="786"/>
      <c r="PDW94" s="786"/>
      <c r="PDX94" s="786"/>
      <c r="PDY94" s="786"/>
      <c r="PDZ94" s="786"/>
      <c r="PEA94" s="786"/>
      <c r="PEB94" s="786"/>
      <c r="PEC94" s="786"/>
      <c r="PED94" s="786"/>
      <c r="PEE94" s="786"/>
      <c r="PEF94" s="786"/>
      <c r="PEG94" s="786"/>
      <c r="PEH94" s="786"/>
      <c r="PEI94" s="786"/>
      <c r="PEJ94" s="786"/>
      <c r="PEK94" s="786"/>
      <c r="PEL94" s="786"/>
      <c r="PEM94" s="786"/>
      <c r="PEN94" s="786"/>
      <c r="PEO94" s="786"/>
      <c r="PEP94" s="786"/>
      <c r="PEQ94" s="786"/>
      <c r="PER94" s="786"/>
      <c r="PES94" s="786"/>
      <c r="PET94" s="786"/>
      <c r="PEU94" s="786"/>
      <c r="PEV94" s="786"/>
      <c r="PEW94" s="786"/>
      <c r="PEX94" s="786"/>
      <c r="PEY94" s="786"/>
      <c r="PEZ94" s="786"/>
      <c r="PFA94" s="786"/>
      <c r="PFB94" s="786"/>
      <c r="PFC94" s="786"/>
      <c r="PFD94" s="786"/>
      <c r="PFE94" s="786"/>
      <c r="PFF94" s="786"/>
      <c r="PFG94" s="786"/>
      <c r="PFH94" s="786"/>
      <c r="PFI94" s="786"/>
      <c r="PFJ94" s="786"/>
      <c r="PFK94" s="786"/>
      <c r="PFL94" s="786"/>
      <c r="PFM94" s="786"/>
      <c r="PFN94" s="786"/>
      <c r="PFO94" s="786"/>
      <c r="PFP94" s="786"/>
      <c r="PFQ94" s="786"/>
      <c r="PFR94" s="786"/>
      <c r="PFS94" s="786"/>
      <c r="PFT94" s="786"/>
      <c r="PFU94" s="786"/>
      <c r="PFV94" s="786"/>
      <c r="PFW94" s="786"/>
      <c r="PFX94" s="786"/>
      <c r="PFY94" s="786"/>
      <c r="PFZ94" s="786"/>
      <c r="PGA94" s="786"/>
      <c r="PGB94" s="786"/>
      <c r="PGC94" s="786"/>
      <c r="PGD94" s="786"/>
      <c r="PGE94" s="786"/>
      <c r="PGF94" s="786"/>
      <c r="PGG94" s="786"/>
      <c r="PGH94" s="786"/>
      <c r="PGI94" s="786"/>
      <c r="PGJ94" s="786"/>
      <c r="PGK94" s="786"/>
      <c r="PGL94" s="786"/>
      <c r="PGM94" s="786"/>
      <c r="PGN94" s="786"/>
      <c r="PGO94" s="786"/>
      <c r="PGP94" s="786"/>
      <c r="PGQ94" s="786"/>
      <c r="PGR94" s="786"/>
      <c r="PGS94" s="786"/>
      <c r="PGT94" s="786"/>
      <c r="PGU94" s="786"/>
      <c r="PGV94" s="786"/>
      <c r="PGW94" s="786"/>
      <c r="PGX94" s="786"/>
      <c r="PGY94" s="786"/>
      <c r="PGZ94" s="786"/>
      <c r="PHA94" s="786"/>
      <c r="PHB94" s="786"/>
      <c r="PHC94" s="786"/>
      <c r="PHD94" s="786"/>
      <c r="PHE94" s="786"/>
      <c r="PHF94" s="786"/>
      <c r="PHG94" s="786"/>
      <c r="PHH94" s="786"/>
      <c r="PHI94" s="786"/>
      <c r="PHJ94" s="786"/>
      <c r="PHK94" s="786"/>
      <c r="PHL94" s="786"/>
      <c r="PHM94" s="786"/>
      <c r="PHN94" s="786"/>
      <c r="PHO94" s="786"/>
      <c r="PHP94" s="786"/>
      <c r="PHQ94" s="786"/>
      <c r="PHR94" s="786"/>
      <c r="PHS94" s="786"/>
      <c r="PHT94" s="786"/>
      <c r="PHU94" s="786"/>
      <c r="PHV94" s="786"/>
      <c r="PHW94" s="786"/>
      <c r="PHX94" s="786"/>
      <c r="PHY94" s="786"/>
      <c r="PHZ94" s="786"/>
      <c r="PIA94" s="786"/>
      <c r="PIB94" s="786"/>
      <c r="PIC94" s="786"/>
      <c r="PID94" s="786"/>
      <c r="PIE94" s="786"/>
      <c r="PIF94" s="786"/>
      <c r="PIG94" s="786"/>
      <c r="PIH94" s="786"/>
      <c r="PII94" s="786"/>
      <c r="PIJ94" s="786"/>
      <c r="PIK94" s="786"/>
      <c r="PIL94" s="786"/>
      <c r="PIM94" s="786"/>
      <c r="PIN94" s="786"/>
      <c r="PIO94" s="786"/>
      <c r="PIP94" s="786"/>
      <c r="PIQ94" s="786"/>
      <c r="PIR94" s="786"/>
      <c r="PIS94" s="786"/>
      <c r="PIT94" s="786"/>
      <c r="PIU94" s="786"/>
      <c r="PIV94" s="786"/>
      <c r="PIW94" s="786"/>
      <c r="PIX94" s="786"/>
      <c r="PIY94" s="786"/>
      <c r="PIZ94" s="786"/>
      <c r="PJA94" s="786"/>
      <c r="PJB94" s="786"/>
      <c r="PJC94" s="786"/>
      <c r="PJD94" s="786"/>
      <c r="PJE94" s="786"/>
      <c r="PJF94" s="786"/>
      <c r="PJG94" s="786"/>
      <c r="PJH94" s="786"/>
      <c r="PJI94" s="786"/>
      <c r="PJJ94" s="786"/>
      <c r="PJK94" s="786"/>
      <c r="PJL94" s="786"/>
      <c r="PJM94" s="786"/>
      <c r="PJN94" s="786"/>
      <c r="PJO94" s="786"/>
      <c r="PJP94" s="786"/>
      <c r="PJQ94" s="786"/>
      <c r="PJR94" s="786"/>
      <c r="PJS94" s="786"/>
      <c r="PJT94" s="786"/>
      <c r="PJU94" s="786"/>
      <c r="PJV94" s="786"/>
      <c r="PJW94" s="786"/>
      <c r="PJX94" s="786"/>
      <c r="PJY94" s="786"/>
      <c r="PJZ94" s="786"/>
      <c r="PKA94" s="786"/>
      <c r="PKB94" s="786"/>
      <c r="PKC94" s="786"/>
      <c r="PKD94" s="786"/>
      <c r="PKE94" s="786"/>
      <c r="PKF94" s="786"/>
      <c r="PKG94" s="786"/>
      <c r="PKH94" s="786"/>
      <c r="PKI94" s="786"/>
      <c r="PKJ94" s="786"/>
      <c r="PKK94" s="786"/>
      <c r="PKL94" s="786"/>
      <c r="PKM94" s="786"/>
      <c r="PKN94" s="786"/>
      <c r="PKO94" s="786"/>
      <c r="PKP94" s="786"/>
      <c r="PKQ94" s="786"/>
      <c r="PKR94" s="786"/>
      <c r="PKS94" s="786"/>
      <c r="PKT94" s="786"/>
      <c r="PKU94" s="786"/>
      <c r="PKV94" s="786"/>
      <c r="PKW94" s="786"/>
      <c r="PKX94" s="786"/>
      <c r="PKY94" s="786"/>
      <c r="PKZ94" s="786"/>
      <c r="PLA94" s="786"/>
      <c r="PLB94" s="786"/>
      <c r="PLC94" s="786"/>
      <c r="PLD94" s="786"/>
      <c r="PLE94" s="786"/>
      <c r="PLF94" s="786"/>
      <c r="PLG94" s="786"/>
      <c r="PLH94" s="786"/>
      <c r="PLI94" s="786"/>
      <c r="PLJ94" s="786"/>
      <c r="PLK94" s="786"/>
      <c r="PLL94" s="786"/>
      <c r="PLM94" s="786"/>
      <c r="PLN94" s="786"/>
      <c r="PLO94" s="786"/>
      <c r="PLP94" s="786"/>
      <c r="PLQ94" s="786"/>
      <c r="PLR94" s="786"/>
      <c r="PLS94" s="786"/>
      <c r="PLT94" s="786"/>
      <c r="PLU94" s="786"/>
      <c r="PLV94" s="786"/>
      <c r="PLW94" s="786"/>
      <c r="PLX94" s="786"/>
      <c r="PLY94" s="786"/>
      <c r="PLZ94" s="786"/>
      <c r="PMA94" s="786"/>
      <c r="PMB94" s="786"/>
      <c r="PMC94" s="786"/>
      <c r="PMD94" s="786"/>
      <c r="PME94" s="786"/>
      <c r="PMF94" s="786"/>
      <c r="PMG94" s="786"/>
      <c r="PMH94" s="786"/>
      <c r="PMI94" s="786"/>
      <c r="PMJ94" s="786"/>
      <c r="PMK94" s="786"/>
      <c r="PML94" s="786"/>
      <c r="PMM94" s="786"/>
      <c r="PMN94" s="786"/>
      <c r="PMO94" s="786"/>
      <c r="PMP94" s="786"/>
      <c r="PMQ94" s="786"/>
      <c r="PMR94" s="786"/>
      <c r="PMS94" s="786"/>
      <c r="PMT94" s="786"/>
      <c r="PMU94" s="786"/>
      <c r="PMV94" s="786"/>
      <c r="PMW94" s="786"/>
      <c r="PMX94" s="786"/>
      <c r="PMY94" s="786"/>
      <c r="PMZ94" s="786"/>
      <c r="PNA94" s="786"/>
      <c r="PNB94" s="786"/>
      <c r="PNC94" s="786"/>
      <c r="PND94" s="786"/>
      <c r="PNE94" s="786"/>
      <c r="PNF94" s="786"/>
      <c r="PNG94" s="786"/>
      <c r="PNH94" s="786"/>
      <c r="PNI94" s="786"/>
      <c r="PNJ94" s="786"/>
      <c r="PNK94" s="786"/>
      <c r="PNL94" s="786"/>
      <c r="PNM94" s="786"/>
      <c r="PNN94" s="786"/>
      <c r="PNO94" s="786"/>
      <c r="PNP94" s="786"/>
      <c r="PNQ94" s="786"/>
      <c r="PNR94" s="786"/>
      <c r="PNS94" s="786"/>
      <c r="PNT94" s="786"/>
      <c r="PNU94" s="786"/>
      <c r="PNV94" s="786"/>
      <c r="PNW94" s="786"/>
      <c r="PNX94" s="786"/>
      <c r="PNY94" s="786"/>
      <c r="PNZ94" s="786"/>
      <c r="POA94" s="786"/>
      <c r="POB94" s="786"/>
      <c r="POC94" s="786"/>
      <c r="POD94" s="786"/>
      <c r="POE94" s="786"/>
      <c r="POF94" s="786"/>
      <c r="POG94" s="786"/>
      <c r="POH94" s="786"/>
      <c r="POI94" s="786"/>
      <c r="POJ94" s="786"/>
      <c r="POK94" s="786"/>
      <c r="POL94" s="786"/>
      <c r="POM94" s="786"/>
      <c r="PON94" s="786"/>
      <c r="POO94" s="786"/>
      <c r="POP94" s="786"/>
      <c r="POQ94" s="786"/>
      <c r="POR94" s="786"/>
      <c r="POS94" s="786"/>
      <c r="POT94" s="786"/>
      <c r="POU94" s="786"/>
      <c r="POV94" s="786"/>
      <c r="POW94" s="786"/>
      <c r="POX94" s="786"/>
      <c r="POY94" s="786"/>
      <c r="POZ94" s="786"/>
      <c r="PPA94" s="786"/>
      <c r="PPB94" s="786"/>
      <c r="PPC94" s="786"/>
      <c r="PPD94" s="786"/>
      <c r="PPE94" s="786"/>
      <c r="PPF94" s="786"/>
      <c r="PPG94" s="786"/>
      <c r="PPH94" s="786"/>
      <c r="PPI94" s="786"/>
      <c r="PPJ94" s="786"/>
      <c r="PPK94" s="786"/>
      <c r="PPL94" s="786"/>
      <c r="PPM94" s="786"/>
      <c r="PPN94" s="786"/>
      <c r="PPO94" s="786"/>
      <c r="PPP94" s="786"/>
      <c r="PPQ94" s="786"/>
      <c r="PPR94" s="786"/>
      <c r="PPS94" s="786"/>
      <c r="PPT94" s="786"/>
      <c r="PPU94" s="786"/>
      <c r="PPV94" s="786"/>
      <c r="PPW94" s="786"/>
      <c r="PPX94" s="786"/>
      <c r="PPY94" s="786"/>
      <c r="PPZ94" s="786"/>
      <c r="PQA94" s="786"/>
      <c r="PQB94" s="786"/>
      <c r="PQC94" s="786"/>
      <c r="PQD94" s="786"/>
      <c r="PQE94" s="786"/>
      <c r="PQF94" s="786"/>
      <c r="PQG94" s="786"/>
      <c r="PQH94" s="786"/>
      <c r="PQI94" s="786"/>
      <c r="PQJ94" s="786"/>
      <c r="PQK94" s="786"/>
      <c r="PQL94" s="786"/>
      <c r="PQM94" s="786"/>
      <c r="PQN94" s="786"/>
      <c r="PQO94" s="786"/>
      <c r="PQP94" s="786"/>
      <c r="PQQ94" s="786"/>
      <c r="PQR94" s="786"/>
      <c r="PQS94" s="786"/>
      <c r="PQT94" s="786"/>
      <c r="PQU94" s="786"/>
      <c r="PQV94" s="786"/>
      <c r="PQW94" s="786"/>
      <c r="PQX94" s="786"/>
      <c r="PQY94" s="786"/>
      <c r="PQZ94" s="786"/>
      <c r="PRA94" s="786"/>
      <c r="PRB94" s="786"/>
      <c r="PRC94" s="786"/>
      <c r="PRD94" s="786"/>
      <c r="PRE94" s="786"/>
      <c r="PRF94" s="786"/>
      <c r="PRG94" s="786"/>
      <c r="PRH94" s="786"/>
      <c r="PRI94" s="786"/>
      <c r="PRJ94" s="786"/>
      <c r="PRK94" s="786"/>
      <c r="PRL94" s="786"/>
      <c r="PRM94" s="786"/>
      <c r="PRN94" s="786"/>
      <c r="PRO94" s="786"/>
      <c r="PRP94" s="786"/>
      <c r="PRQ94" s="786"/>
      <c r="PRR94" s="786"/>
      <c r="PRS94" s="786"/>
      <c r="PRT94" s="786"/>
      <c r="PRU94" s="786"/>
      <c r="PRV94" s="786"/>
      <c r="PRW94" s="786"/>
      <c r="PRX94" s="786"/>
      <c r="PRY94" s="786"/>
      <c r="PRZ94" s="786"/>
      <c r="PSA94" s="786"/>
      <c r="PSB94" s="786"/>
      <c r="PSC94" s="786"/>
      <c r="PSD94" s="786"/>
      <c r="PSE94" s="786"/>
      <c r="PSF94" s="786"/>
      <c r="PSG94" s="786"/>
      <c r="PSH94" s="786"/>
      <c r="PSI94" s="786"/>
      <c r="PSJ94" s="786"/>
      <c r="PSK94" s="786"/>
      <c r="PSL94" s="786"/>
      <c r="PSM94" s="786"/>
      <c r="PSN94" s="786"/>
      <c r="PSO94" s="786"/>
      <c r="PSP94" s="786"/>
      <c r="PSQ94" s="786"/>
      <c r="PSR94" s="786"/>
      <c r="PSS94" s="786"/>
      <c r="PST94" s="786"/>
      <c r="PSU94" s="786"/>
      <c r="PSV94" s="786"/>
      <c r="PSW94" s="786"/>
      <c r="PSX94" s="786"/>
      <c r="PSY94" s="786"/>
      <c r="PSZ94" s="786"/>
      <c r="PTA94" s="786"/>
      <c r="PTB94" s="786"/>
      <c r="PTC94" s="786"/>
      <c r="PTD94" s="786"/>
      <c r="PTE94" s="786"/>
      <c r="PTF94" s="786"/>
      <c r="PTG94" s="786"/>
      <c r="PTH94" s="786"/>
      <c r="PTI94" s="786"/>
      <c r="PTJ94" s="786"/>
      <c r="PTK94" s="786"/>
      <c r="PTL94" s="786"/>
      <c r="PTM94" s="786"/>
      <c r="PTN94" s="786"/>
      <c r="PTO94" s="786"/>
      <c r="PTP94" s="786"/>
      <c r="PTQ94" s="786"/>
      <c r="PTR94" s="786"/>
      <c r="PTS94" s="786"/>
      <c r="PTT94" s="786"/>
      <c r="PTU94" s="786"/>
      <c r="PTV94" s="786"/>
      <c r="PTW94" s="786"/>
      <c r="PTX94" s="786"/>
      <c r="PTY94" s="786"/>
      <c r="PTZ94" s="786"/>
      <c r="PUA94" s="786"/>
      <c r="PUB94" s="786"/>
      <c r="PUC94" s="786"/>
      <c r="PUD94" s="786"/>
      <c r="PUE94" s="786"/>
      <c r="PUF94" s="786"/>
      <c r="PUG94" s="786"/>
      <c r="PUH94" s="786"/>
      <c r="PUI94" s="786"/>
      <c r="PUJ94" s="786"/>
      <c r="PUK94" s="786"/>
      <c r="PUL94" s="786"/>
      <c r="PUM94" s="786"/>
      <c r="PUN94" s="786"/>
      <c r="PUO94" s="786"/>
      <c r="PUP94" s="786"/>
      <c r="PUQ94" s="786"/>
      <c r="PUR94" s="786"/>
      <c r="PUS94" s="786"/>
      <c r="PUT94" s="786"/>
      <c r="PUU94" s="786"/>
      <c r="PUV94" s="786"/>
      <c r="PUW94" s="786"/>
      <c r="PUX94" s="786"/>
      <c r="PUY94" s="786"/>
      <c r="PUZ94" s="786"/>
      <c r="PVA94" s="786"/>
      <c r="PVB94" s="786"/>
      <c r="PVC94" s="786"/>
      <c r="PVD94" s="786"/>
      <c r="PVE94" s="786"/>
      <c r="PVF94" s="786"/>
      <c r="PVG94" s="786"/>
      <c r="PVH94" s="786"/>
      <c r="PVI94" s="786"/>
      <c r="PVJ94" s="786"/>
      <c r="PVK94" s="786"/>
      <c r="PVL94" s="786"/>
      <c r="PVM94" s="786"/>
      <c r="PVN94" s="786"/>
      <c r="PVO94" s="786"/>
      <c r="PVP94" s="786"/>
      <c r="PVQ94" s="786"/>
      <c r="PVR94" s="786"/>
      <c r="PVS94" s="786"/>
      <c r="PVT94" s="786"/>
      <c r="PVU94" s="786"/>
      <c r="PVV94" s="786"/>
      <c r="PVW94" s="786"/>
      <c r="PVX94" s="786"/>
      <c r="PVY94" s="786"/>
      <c r="PVZ94" s="786"/>
      <c r="PWA94" s="786"/>
      <c r="PWB94" s="786"/>
      <c r="PWC94" s="786"/>
      <c r="PWD94" s="786"/>
      <c r="PWE94" s="786"/>
      <c r="PWF94" s="786"/>
      <c r="PWG94" s="786"/>
      <c r="PWH94" s="786"/>
      <c r="PWI94" s="786"/>
      <c r="PWJ94" s="786"/>
      <c r="PWK94" s="786"/>
      <c r="PWL94" s="786"/>
      <c r="PWM94" s="786"/>
      <c r="PWN94" s="786"/>
      <c r="PWO94" s="786"/>
      <c r="PWP94" s="786"/>
      <c r="PWQ94" s="786"/>
      <c r="PWR94" s="786"/>
      <c r="PWS94" s="786"/>
      <c r="PWT94" s="786"/>
      <c r="PWU94" s="786"/>
      <c r="PWV94" s="786"/>
      <c r="PWW94" s="786"/>
      <c r="PWX94" s="786"/>
      <c r="PWY94" s="786"/>
      <c r="PWZ94" s="786"/>
      <c r="PXA94" s="786"/>
      <c r="PXB94" s="786"/>
      <c r="PXC94" s="786"/>
      <c r="PXD94" s="786"/>
      <c r="PXE94" s="786"/>
      <c r="PXF94" s="786"/>
      <c r="PXG94" s="786"/>
      <c r="PXH94" s="786"/>
      <c r="PXI94" s="786"/>
      <c r="PXJ94" s="786"/>
      <c r="PXK94" s="786"/>
      <c r="PXL94" s="786"/>
      <c r="PXM94" s="786"/>
      <c r="PXN94" s="786"/>
      <c r="PXO94" s="786"/>
      <c r="PXP94" s="786"/>
      <c r="PXQ94" s="786"/>
      <c r="PXR94" s="786"/>
      <c r="PXS94" s="786"/>
      <c r="PXT94" s="786"/>
      <c r="PXU94" s="786"/>
      <c r="PXV94" s="786"/>
      <c r="PXW94" s="786"/>
      <c r="PXX94" s="786"/>
      <c r="PXY94" s="786"/>
      <c r="PXZ94" s="786"/>
      <c r="PYA94" s="786"/>
      <c r="PYB94" s="786"/>
      <c r="PYC94" s="786"/>
      <c r="PYD94" s="786"/>
      <c r="PYE94" s="786"/>
      <c r="PYF94" s="786"/>
      <c r="PYG94" s="786"/>
      <c r="PYH94" s="786"/>
      <c r="PYI94" s="786"/>
      <c r="PYJ94" s="786"/>
      <c r="PYK94" s="786"/>
      <c r="PYL94" s="786"/>
      <c r="PYM94" s="786"/>
      <c r="PYN94" s="786"/>
      <c r="PYO94" s="786"/>
      <c r="PYP94" s="786"/>
      <c r="PYQ94" s="786"/>
      <c r="PYR94" s="786"/>
      <c r="PYS94" s="786"/>
      <c r="PYT94" s="786"/>
      <c r="PYU94" s="786"/>
      <c r="PYV94" s="786"/>
      <c r="PYW94" s="786"/>
      <c r="PYX94" s="786"/>
      <c r="PYY94" s="786"/>
      <c r="PYZ94" s="786"/>
      <c r="PZA94" s="786"/>
      <c r="PZB94" s="786"/>
      <c r="PZC94" s="786"/>
      <c r="PZD94" s="786"/>
      <c r="PZE94" s="786"/>
      <c r="PZF94" s="786"/>
      <c r="PZG94" s="786"/>
      <c r="PZH94" s="786"/>
      <c r="PZI94" s="786"/>
      <c r="PZJ94" s="786"/>
      <c r="PZK94" s="786"/>
      <c r="PZL94" s="786"/>
      <c r="PZM94" s="786"/>
      <c r="PZN94" s="786"/>
      <c r="PZO94" s="786"/>
      <c r="PZP94" s="786"/>
      <c r="PZQ94" s="786"/>
      <c r="PZR94" s="786"/>
      <c r="PZS94" s="786"/>
      <c r="PZT94" s="786"/>
      <c r="PZU94" s="786"/>
      <c r="PZV94" s="786"/>
      <c r="PZW94" s="786"/>
      <c r="PZX94" s="786"/>
      <c r="PZY94" s="786"/>
      <c r="PZZ94" s="786"/>
      <c r="QAA94" s="786"/>
      <c r="QAB94" s="786"/>
      <c r="QAC94" s="786"/>
      <c r="QAD94" s="786"/>
      <c r="QAE94" s="786"/>
      <c r="QAF94" s="786"/>
      <c r="QAG94" s="786"/>
      <c r="QAH94" s="786"/>
      <c r="QAI94" s="786"/>
      <c r="QAJ94" s="786"/>
      <c r="QAK94" s="786"/>
      <c r="QAL94" s="786"/>
      <c r="QAM94" s="786"/>
      <c r="QAN94" s="786"/>
      <c r="QAO94" s="786"/>
      <c r="QAP94" s="786"/>
      <c r="QAQ94" s="786"/>
      <c r="QAR94" s="786"/>
      <c r="QAS94" s="786"/>
      <c r="QAT94" s="786"/>
      <c r="QAU94" s="786"/>
      <c r="QAV94" s="786"/>
      <c r="QAW94" s="786"/>
      <c r="QAX94" s="786"/>
      <c r="QAY94" s="786"/>
      <c r="QAZ94" s="786"/>
      <c r="QBA94" s="786"/>
      <c r="QBB94" s="786"/>
      <c r="QBC94" s="786"/>
      <c r="QBD94" s="786"/>
      <c r="QBE94" s="786"/>
      <c r="QBF94" s="786"/>
      <c r="QBG94" s="786"/>
      <c r="QBH94" s="786"/>
      <c r="QBI94" s="786"/>
      <c r="QBJ94" s="786"/>
      <c r="QBK94" s="786"/>
      <c r="QBL94" s="786"/>
      <c r="QBM94" s="786"/>
      <c r="QBN94" s="786"/>
      <c r="QBO94" s="786"/>
      <c r="QBP94" s="786"/>
      <c r="QBQ94" s="786"/>
      <c r="QBR94" s="786"/>
      <c r="QBS94" s="786"/>
      <c r="QBT94" s="786"/>
      <c r="QBU94" s="786"/>
      <c r="QBV94" s="786"/>
      <c r="QBW94" s="786"/>
      <c r="QBX94" s="786"/>
      <c r="QBY94" s="786"/>
      <c r="QBZ94" s="786"/>
      <c r="QCA94" s="786"/>
      <c r="QCB94" s="786"/>
      <c r="QCC94" s="786"/>
      <c r="QCD94" s="786"/>
      <c r="QCE94" s="786"/>
      <c r="QCF94" s="786"/>
      <c r="QCG94" s="786"/>
      <c r="QCH94" s="786"/>
      <c r="QCI94" s="786"/>
      <c r="QCJ94" s="786"/>
      <c r="QCK94" s="786"/>
      <c r="QCL94" s="786"/>
      <c r="QCM94" s="786"/>
      <c r="QCN94" s="786"/>
      <c r="QCO94" s="786"/>
      <c r="QCP94" s="786"/>
      <c r="QCQ94" s="786"/>
      <c r="QCR94" s="786"/>
      <c r="QCS94" s="786"/>
      <c r="QCT94" s="786"/>
      <c r="QCU94" s="786"/>
      <c r="QCV94" s="786"/>
      <c r="QCW94" s="786"/>
      <c r="QCX94" s="786"/>
      <c r="QCY94" s="786"/>
      <c r="QCZ94" s="786"/>
      <c r="QDA94" s="786"/>
      <c r="QDB94" s="786"/>
      <c r="QDC94" s="786"/>
      <c r="QDD94" s="786"/>
      <c r="QDE94" s="786"/>
      <c r="QDF94" s="786"/>
      <c r="QDG94" s="786"/>
      <c r="QDH94" s="786"/>
      <c r="QDI94" s="786"/>
      <c r="QDJ94" s="786"/>
      <c r="QDK94" s="786"/>
      <c r="QDL94" s="786"/>
      <c r="QDM94" s="786"/>
      <c r="QDN94" s="786"/>
      <c r="QDO94" s="786"/>
      <c r="QDP94" s="786"/>
      <c r="QDQ94" s="786"/>
      <c r="QDR94" s="786"/>
      <c r="QDS94" s="786"/>
      <c r="QDT94" s="786"/>
      <c r="QDU94" s="786"/>
      <c r="QDV94" s="786"/>
      <c r="QDW94" s="786"/>
      <c r="QDX94" s="786"/>
      <c r="QDY94" s="786"/>
      <c r="QDZ94" s="786"/>
      <c r="QEA94" s="786"/>
      <c r="QEB94" s="786"/>
      <c r="QEC94" s="786"/>
      <c r="QED94" s="786"/>
      <c r="QEE94" s="786"/>
      <c r="QEF94" s="786"/>
      <c r="QEG94" s="786"/>
      <c r="QEH94" s="786"/>
      <c r="QEI94" s="786"/>
      <c r="QEJ94" s="786"/>
      <c r="QEK94" s="786"/>
      <c r="QEL94" s="786"/>
      <c r="QEM94" s="786"/>
      <c r="QEN94" s="786"/>
      <c r="QEO94" s="786"/>
      <c r="QEP94" s="786"/>
      <c r="QEQ94" s="786"/>
      <c r="QER94" s="786"/>
      <c r="QES94" s="786"/>
      <c r="QET94" s="786"/>
      <c r="QEU94" s="786"/>
      <c r="QEV94" s="786"/>
      <c r="QEW94" s="786"/>
      <c r="QEX94" s="786"/>
      <c r="QEY94" s="786"/>
      <c r="QEZ94" s="786"/>
      <c r="QFA94" s="786"/>
      <c r="QFB94" s="786"/>
      <c r="QFC94" s="786"/>
      <c r="QFD94" s="786"/>
      <c r="QFE94" s="786"/>
      <c r="QFF94" s="786"/>
      <c r="QFG94" s="786"/>
      <c r="QFH94" s="786"/>
      <c r="QFI94" s="786"/>
      <c r="QFJ94" s="786"/>
      <c r="QFK94" s="786"/>
      <c r="QFL94" s="786"/>
      <c r="QFM94" s="786"/>
      <c r="QFN94" s="786"/>
      <c r="QFO94" s="786"/>
      <c r="QFP94" s="786"/>
      <c r="QFQ94" s="786"/>
      <c r="QFR94" s="786"/>
      <c r="QFS94" s="786"/>
      <c r="QFT94" s="786"/>
      <c r="QFU94" s="786"/>
      <c r="QFV94" s="786"/>
      <c r="QFW94" s="786"/>
      <c r="QFX94" s="786"/>
      <c r="QFY94" s="786"/>
      <c r="QFZ94" s="786"/>
      <c r="QGA94" s="786"/>
      <c r="QGB94" s="786"/>
      <c r="QGC94" s="786"/>
      <c r="QGD94" s="786"/>
      <c r="QGE94" s="786"/>
      <c r="QGF94" s="786"/>
      <c r="QGG94" s="786"/>
      <c r="QGH94" s="786"/>
      <c r="QGI94" s="786"/>
      <c r="QGJ94" s="786"/>
      <c r="QGK94" s="786"/>
      <c r="QGL94" s="786"/>
      <c r="QGM94" s="786"/>
      <c r="QGN94" s="786"/>
      <c r="QGO94" s="786"/>
      <c r="QGP94" s="786"/>
      <c r="QGQ94" s="786"/>
      <c r="QGR94" s="786"/>
      <c r="QGS94" s="786"/>
      <c r="QGT94" s="786"/>
      <c r="QGU94" s="786"/>
      <c r="QGV94" s="786"/>
      <c r="QGW94" s="786"/>
      <c r="QGX94" s="786"/>
      <c r="QGY94" s="786"/>
      <c r="QGZ94" s="786"/>
      <c r="QHA94" s="786"/>
      <c r="QHB94" s="786"/>
      <c r="QHC94" s="786"/>
      <c r="QHD94" s="786"/>
      <c r="QHE94" s="786"/>
      <c r="QHF94" s="786"/>
      <c r="QHG94" s="786"/>
      <c r="QHH94" s="786"/>
      <c r="QHI94" s="786"/>
      <c r="QHJ94" s="786"/>
      <c r="QHK94" s="786"/>
      <c r="QHL94" s="786"/>
      <c r="QHM94" s="786"/>
      <c r="QHN94" s="786"/>
      <c r="QHO94" s="786"/>
      <c r="QHP94" s="786"/>
      <c r="QHQ94" s="786"/>
      <c r="QHR94" s="786"/>
      <c r="QHS94" s="786"/>
      <c r="QHT94" s="786"/>
      <c r="QHU94" s="786"/>
      <c r="QHV94" s="786"/>
      <c r="QHW94" s="786"/>
      <c r="QHX94" s="786"/>
      <c r="QHY94" s="786"/>
      <c r="QHZ94" s="786"/>
      <c r="QIA94" s="786"/>
      <c r="QIB94" s="786"/>
      <c r="QIC94" s="786"/>
      <c r="QID94" s="786"/>
      <c r="QIE94" s="786"/>
      <c r="QIF94" s="786"/>
      <c r="QIG94" s="786"/>
      <c r="QIH94" s="786"/>
      <c r="QII94" s="786"/>
      <c r="QIJ94" s="786"/>
      <c r="QIK94" s="786"/>
      <c r="QIL94" s="786"/>
      <c r="QIM94" s="786"/>
      <c r="QIN94" s="786"/>
      <c r="QIO94" s="786"/>
      <c r="QIP94" s="786"/>
      <c r="QIQ94" s="786"/>
      <c r="QIR94" s="786"/>
      <c r="QIS94" s="786"/>
      <c r="QIT94" s="786"/>
      <c r="QIU94" s="786"/>
      <c r="QIV94" s="786"/>
      <c r="QIW94" s="786"/>
      <c r="QIX94" s="786"/>
      <c r="QIY94" s="786"/>
      <c r="QIZ94" s="786"/>
      <c r="QJA94" s="786"/>
      <c r="QJB94" s="786"/>
      <c r="QJC94" s="786"/>
      <c r="QJD94" s="786"/>
      <c r="QJE94" s="786"/>
      <c r="QJF94" s="786"/>
      <c r="QJG94" s="786"/>
      <c r="QJH94" s="786"/>
      <c r="QJI94" s="786"/>
      <c r="QJJ94" s="786"/>
      <c r="QJK94" s="786"/>
      <c r="QJL94" s="786"/>
      <c r="QJM94" s="786"/>
      <c r="QJN94" s="786"/>
      <c r="QJO94" s="786"/>
      <c r="QJP94" s="786"/>
      <c r="QJQ94" s="786"/>
      <c r="QJR94" s="786"/>
      <c r="QJS94" s="786"/>
      <c r="QJT94" s="786"/>
      <c r="QJU94" s="786"/>
      <c r="QJV94" s="786"/>
      <c r="QJW94" s="786"/>
      <c r="QJX94" s="786"/>
      <c r="QJY94" s="786"/>
      <c r="QJZ94" s="786"/>
      <c r="QKA94" s="786"/>
      <c r="QKB94" s="786"/>
      <c r="QKC94" s="786"/>
      <c r="QKD94" s="786"/>
      <c r="QKE94" s="786"/>
      <c r="QKF94" s="786"/>
      <c r="QKG94" s="786"/>
      <c r="QKH94" s="786"/>
      <c r="QKI94" s="786"/>
      <c r="QKJ94" s="786"/>
      <c r="QKK94" s="786"/>
      <c r="QKL94" s="786"/>
      <c r="QKM94" s="786"/>
      <c r="QKN94" s="786"/>
      <c r="QKO94" s="786"/>
      <c r="QKP94" s="786"/>
      <c r="QKQ94" s="786"/>
      <c r="QKR94" s="786"/>
      <c r="QKS94" s="786"/>
      <c r="QKT94" s="786"/>
      <c r="QKU94" s="786"/>
      <c r="QKV94" s="786"/>
      <c r="QKW94" s="786"/>
      <c r="QKX94" s="786"/>
      <c r="QKY94" s="786"/>
      <c r="QKZ94" s="786"/>
      <c r="QLA94" s="786"/>
      <c r="QLB94" s="786"/>
      <c r="QLC94" s="786"/>
      <c r="QLD94" s="786"/>
      <c r="QLE94" s="786"/>
      <c r="QLF94" s="786"/>
      <c r="QLG94" s="786"/>
      <c r="QLH94" s="786"/>
      <c r="QLI94" s="786"/>
      <c r="QLJ94" s="786"/>
      <c r="QLK94" s="786"/>
      <c r="QLL94" s="786"/>
      <c r="QLM94" s="786"/>
      <c r="QLN94" s="786"/>
      <c r="QLO94" s="786"/>
      <c r="QLP94" s="786"/>
      <c r="QLQ94" s="786"/>
      <c r="QLR94" s="786"/>
      <c r="QLS94" s="786"/>
      <c r="QLT94" s="786"/>
      <c r="QLU94" s="786"/>
      <c r="QLV94" s="786"/>
      <c r="QLW94" s="786"/>
      <c r="QLX94" s="786"/>
      <c r="QLY94" s="786"/>
      <c r="QLZ94" s="786"/>
      <c r="QMA94" s="786"/>
      <c r="QMB94" s="786"/>
      <c r="QMC94" s="786"/>
      <c r="QMD94" s="786"/>
      <c r="QME94" s="786"/>
      <c r="QMF94" s="786"/>
      <c r="QMG94" s="786"/>
      <c r="QMH94" s="786"/>
      <c r="QMI94" s="786"/>
      <c r="QMJ94" s="786"/>
      <c r="QMK94" s="786"/>
      <c r="QML94" s="786"/>
      <c r="QMM94" s="786"/>
      <c r="QMN94" s="786"/>
      <c r="QMO94" s="786"/>
      <c r="QMP94" s="786"/>
      <c r="QMQ94" s="786"/>
      <c r="QMR94" s="786"/>
      <c r="QMS94" s="786"/>
      <c r="QMT94" s="786"/>
      <c r="QMU94" s="786"/>
      <c r="QMV94" s="786"/>
      <c r="QMW94" s="786"/>
      <c r="QMX94" s="786"/>
      <c r="QMY94" s="786"/>
      <c r="QMZ94" s="786"/>
      <c r="QNA94" s="786"/>
      <c r="QNB94" s="786"/>
      <c r="QNC94" s="786"/>
      <c r="QND94" s="786"/>
      <c r="QNE94" s="786"/>
      <c r="QNF94" s="786"/>
      <c r="QNG94" s="786"/>
      <c r="QNH94" s="786"/>
      <c r="QNI94" s="786"/>
      <c r="QNJ94" s="786"/>
      <c r="QNK94" s="786"/>
      <c r="QNL94" s="786"/>
      <c r="QNM94" s="786"/>
      <c r="QNN94" s="786"/>
      <c r="QNO94" s="786"/>
      <c r="QNP94" s="786"/>
      <c r="QNQ94" s="786"/>
      <c r="QNR94" s="786"/>
      <c r="QNS94" s="786"/>
      <c r="QNT94" s="786"/>
      <c r="QNU94" s="786"/>
      <c r="QNV94" s="786"/>
      <c r="QNW94" s="786"/>
      <c r="QNX94" s="786"/>
      <c r="QNY94" s="786"/>
      <c r="QNZ94" s="786"/>
      <c r="QOA94" s="786"/>
      <c r="QOB94" s="786"/>
      <c r="QOC94" s="786"/>
      <c r="QOD94" s="786"/>
      <c r="QOE94" s="786"/>
      <c r="QOF94" s="786"/>
      <c r="QOG94" s="786"/>
      <c r="QOH94" s="786"/>
      <c r="QOI94" s="786"/>
      <c r="QOJ94" s="786"/>
      <c r="QOK94" s="786"/>
      <c r="QOL94" s="786"/>
      <c r="QOM94" s="786"/>
      <c r="QON94" s="786"/>
      <c r="QOO94" s="786"/>
      <c r="QOP94" s="786"/>
      <c r="QOQ94" s="786"/>
      <c r="QOR94" s="786"/>
      <c r="QOS94" s="786"/>
      <c r="QOT94" s="786"/>
      <c r="QOU94" s="786"/>
      <c r="QOV94" s="786"/>
      <c r="QOW94" s="786"/>
      <c r="QOX94" s="786"/>
      <c r="QOY94" s="786"/>
      <c r="QOZ94" s="786"/>
      <c r="QPA94" s="786"/>
      <c r="QPB94" s="786"/>
      <c r="QPC94" s="786"/>
      <c r="QPD94" s="786"/>
      <c r="QPE94" s="786"/>
      <c r="QPF94" s="786"/>
      <c r="QPG94" s="786"/>
      <c r="QPH94" s="786"/>
      <c r="QPI94" s="786"/>
      <c r="QPJ94" s="786"/>
      <c r="QPK94" s="786"/>
      <c r="QPL94" s="786"/>
      <c r="QPM94" s="786"/>
      <c r="QPN94" s="786"/>
      <c r="QPO94" s="786"/>
      <c r="QPP94" s="786"/>
      <c r="QPQ94" s="786"/>
      <c r="QPR94" s="786"/>
      <c r="QPS94" s="786"/>
      <c r="QPT94" s="786"/>
      <c r="QPU94" s="786"/>
      <c r="QPV94" s="786"/>
      <c r="QPW94" s="786"/>
      <c r="QPX94" s="786"/>
      <c r="QPY94" s="786"/>
      <c r="QPZ94" s="786"/>
      <c r="QQA94" s="786"/>
      <c r="QQB94" s="786"/>
      <c r="QQC94" s="786"/>
      <c r="QQD94" s="786"/>
      <c r="QQE94" s="786"/>
      <c r="QQF94" s="786"/>
      <c r="QQG94" s="786"/>
      <c r="QQH94" s="786"/>
      <c r="QQI94" s="786"/>
      <c r="QQJ94" s="786"/>
      <c r="QQK94" s="786"/>
      <c r="QQL94" s="786"/>
      <c r="QQM94" s="786"/>
      <c r="QQN94" s="786"/>
      <c r="QQO94" s="786"/>
      <c r="QQP94" s="786"/>
      <c r="QQQ94" s="786"/>
      <c r="QQR94" s="786"/>
      <c r="QQS94" s="786"/>
      <c r="QQT94" s="786"/>
      <c r="QQU94" s="786"/>
      <c r="QQV94" s="786"/>
      <c r="QQW94" s="786"/>
      <c r="QQX94" s="786"/>
      <c r="QQY94" s="786"/>
      <c r="QQZ94" s="786"/>
      <c r="QRA94" s="786"/>
      <c r="QRB94" s="786"/>
      <c r="QRC94" s="786"/>
      <c r="QRD94" s="786"/>
      <c r="QRE94" s="786"/>
      <c r="QRF94" s="786"/>
      <c r="QRG94" s="786"/>
      <c r="QRH94" s="786"/>
      <c r="QRI94" s="786"/>
      <c r="QRJ94" s="786"/>
      <c r="QRK94" s="786"/>
      <c r="QRL94" s="786"/>
      <c r="QRM94" s="786"/>
      <c r="QRN94" s="786"/>
      <c r="QRO94" s="786"/>
      <c r="QRP94" s="786"/>
      <c r="QRQ94" s="786"/>
      <c r="QRR94" s="786"/>
      <c r="QRS94" s="786"/>
      <c r="QRT94" s="786"/>
      <c r="QRU94" s="786"/>
      <c r="QRV94" s="786"/>
      <c r="QRW94" s="786"/>
      <c r="QRX94" s="786"/>
      <c r="QRY94" s="786"/>
      <c r="QRZ94" s="786"/>
      <c r="QSA94" s="786"/>
      <c r="QSB94" s="786"/>
      <c r="QSC94" s="786"/>
      <c r="QSD94" s="786"/>
      <c r="QSE94" s="786"/>
      <c r="QSF94" s="786"/>
      <c r="QSG94" s="786"/>
      <c r="QSH94" s="786"/>
      <c r="QSI94" s="786"/>
      <c r="QSJ94" s="786"/>
      <c r="QSK94" s="786"/>
      <c r="QSL94" s="786"/>
      <c r="QSM94" s="786"/>
      <c r="QSN94" s="786"/>
      <c r="QSO94" s="786"/>
      <c r="QSP94" s="786"/>
      <c r="QSQ94" s="786"/>
      <c r="QSR94" s="786"/>
      <c r="QSS94" s="786"/>
      <c r="QST94" s="786"/>
      <c r="QSU94" s="786"/>
      <c r="QSV94" s="786"/>
      <c r="QSW94" s="786"/>
      <c r="QSX94" s="786"/>
      <c r="QSY94" s="786"/>
      <c r="QSZ94" s="786"/>
      <c r="QTA94" s="786"/>
      <c r="QTB94" s="786"/>
      <c r="QTC94" s="786"/>
      <c r="QTD94" s="786"/>
      <c r="QTE94" s="786"/>
      <c r="QTF94" s="786"/>
      <c r="QTG94" s="786"/>
      <c r="QTH94" s="786"/>
      <c r="QTI94" s="786"/>
      <c r="QTJ94" s="786"/>
      <c r="QTK94" s="786"/>
      <c r="QTL94" s="786"/>
      <c r="QTM94" s="786"/>
      <c r="QTN94" s="786"/>
      <c r="QTO94" s="786"/>
      <c r="QTP94" s="786"/>
      <c r="QTQ94" s="786"/>
      <c r="QTR94" s="786"/>
      <c r="QTS94" s="786"/>
      <c r="QTT94" s="786"/>
      <c r="QTU94" s="786"/>
      <c r="QTV94" s="786"/>
      <c r="QTW94" s="786"/>
      <c r="QTX94" s="786"/>
      <c r="QTY94" s="786"/>
      <c r="QTZ94" s="786"/>
      <c r="QUA94" s="786"/>
      <c r="QUB94" s="786"/>
      <c r="QUC94" s="786"/>
      <c r="QUD94" s="786"/>
      <c r="QUE94" s="786"/>
      <c r="QUF94" s="786"/>
      <c r="QUG94" s="786"/>
      <c r="QUH94" s="786"/>
      <c r="QUI94" s="786"/>
      <c r="QUJ94" s="786"/>
      <c r="QUK94" s="786"/>
      <c r="QUL94" s="786"/>
      <c r="QUM94" s="786"/>
      <c r="QUN94" s="786"/>
      <c r="QUO94" s="786"/>
      <c r="QUP94" s="786"/>
      <c r="QUQ94" s="786"/>
      <c r="QUR94" s="786"/>
      <c r="QUS94" s="786"/>
      <c r="QUT94" s="786"/>
      <c r="QUU94" s="786"/>
      <c r="QUV94" s="786"/>
      <c r="QUW94" s="786"/>
      <c r="QUX94" s="786"/>
      <c r="QUY94" s="786"/>
      <c r="QUZ94" s="786"/>
      <c r="QVA94" s="786"/>
      <c r="QVB94" s="786"/>
      <c r="QVC94" s="786"/>
      <c r="QVD94" s="786"/>
      <c r="QVE94" s="786"/>
      <c r="QVF94" s="786"/>
      <c r="QVG94" s="786"/>
      <c r="QVH94" s="786"/>
      <c r="QVI94" s="786"/>
      <c r="QVJ94" s="786"/>
      <c r="QVK94" s="786"/>
      <c r="QVL94" s="786"/>
      <c r="QVM94" s="786"/>
      <c r="QVN94" s="786"/>
      <c r="QVO94" s="786"/>
      <c r="QVP94" s="786"/>
      <c r="QVQ94" s="786"/>
      <c r="QVR94" s="786"/>
      <c r="QVS94" s="786"/>
      <c r="QVT94" s="786"/>
      <c r="QVU94" s="786"/>
      <c r="QVV94" s="786"/>
      <c r="QVW94" s="786"/>
      <c r="QVX94" s="786"/>
      <c r="QVY94" s="786"/>
      <c r="QVZ94" s="786"/>
      <c r="QWA94" s="786"/>
      <c r="QWB94" s="786"/>
      <c r="QWC94" s="786"/>
      <c r="QWD94" s="786"/>
      <c r="QWE94" s="786"/>
      <c r="QWF94" s="786"/>
      <c r="QWG94" s="786"/>
      <c r="QWH94" s="786"/>
      <c r="QWI94" s="786"/>
      <c r="QWJ94" s="786"/>
      <c r="QWK94" s="786"/>
      <c r="QWL94" s="786"/>
      <c r="QWM94" s="786"/>
      <c r="QWN94" s="786"/>
      <c r="QWO94" s="786"/>
      <c r="QWP94" s="786"/>
      <c r="QWQ94" s="786"/>
      <c r="QWR94" s="786"/>
      <c r="QWS94" s="786"/>
      <c r="QWT94" s="786"/>
      <c r="QWU94" s="786"/>
      <c r="QWV94" s="786"/>
      <c r="QWW94" s="786"/>
      <c r="QWX94" s="786"/>
      <c r="QWY94" s="786"/>
      <c r="QWZ94" s="786"/>
      <c r="QXA94" s="786"/>
      <c r="QXB94" s="786"/>
      <c r="QXC94" s="786"/>
      <c r="QXD94" s="786"/>
      <c r="QXE94" s="786"/>
      <c r="QXF94" s="786"/>
      <c r="QXG94" s="786"/>
      <c r="QXH94" s="786"/>
      <c r="QXI94" s="786"/>
      <c r="QXJ94" s="786"/>
      <c r="QXK94" s="786"/>
      <c r="QXL94" s="786"/>
      <c r="QXM94" s="786"/>
      <c r="QXN94" s="786"/>
      <c r="QXO94" s="786"/>
      <c r="QXP94" s="786"/>
      <c r="QXQ94" s="786"/>
      <c r="QXR94" s="786"/>
      <c r="QXS94" s="786"/>
      <c r="QXT94" s="786"/>
      <c r="QXU94" s="786"/>
      <c r="QXV94" s="786"/>
      <c r="QXW94" s="786"/>
      <c r="QXX94" s="786"/>
      <c r="QXY94" s="786"/>
      <c r="QXZ94" s="786"/>
      <c r="QYA94" s="786"/>
      <c r="QYB94" s="786"/>
      <c r="QYC94" s="786"/>
      <c r="QYD94" s="786"/>
      <c r="QYE94" s="786"/>
      <c r="QYF94" s="786"/>
      <c r="QYG94" s="786"/>
      <c r="QYH94" s="786"/>
      <c r="QYI94" s="786"/>
      <c r="QYJ94" s="786"/>
      <c r="QYK94" s="786"/>
      <c r="QYL94" s="786"/>
      <c r="QYM94" s="786"/>
      <c r="QYN94" s="786"/>
      <c r="QYO94" s="786"/>
      <c r="QYP94" s="786"/>
      <c r="QYQ94" s="786"/>
      <c r="QYR94" s="786"/>
      <c r="QYS94" s="786"/>
      <c r="QYT94" s="786"/>
      <c r="QYU94" s="786"/>
      <c r="QYV94" s="786"/>
      <c r="QYW94" s="786"/>
      <c r="QYX94" s="786"/>
      <c r="QYY94" s="786"/>
      <c r="QYZ94" s="786"/>
      <c r="QZA94" s="786"/>
      <c r="QZB94" s="786"/>
      <c r="QZC94" s="786"/>
      <c r="QZD94" s="786"/>
      <c r="QZE94" s="786"/>
      <c r="QZF94" s="786"/>
      <c r="QZG94" s="786"/>
      <c r="QZH94" s="786"/>
      <c r="QZI94" s="786"/>
      <c r="QZJ94" s="786"/>
      <c r="QZK94" s="786"/>
      <c r="QZL94" s="786"/>
      <c r="QZM94" s="786"/>
      <c r="QZN94" s="786"/>
      <c r="QZO94" s="786"/>
      <c r="QZP94" s="786"/>
      <c r="QZQ94" s="786"/>
      <c r="QZR94" s="786"/>
      <c r="QZS94" s="786"/>
      <c r="QZT94" s="786"/>
      <c r="QZU94" s="786"/>
      <c r="QZV94" s="786"/>
      <c r="QZW94" s="786"/>
      <c r="QZX94" s="786"/>
      <c r="QZY94" s="786"/>
      <c r="QZZ94" s="786"/>
      <c r="RAA94" s="786"/>
      <c r="RAB94" s="786"/>
      <c r="RAC94" s="786"/>
      <c r="RAD94" s="786"/>
      <c r="RAE94" s="786"/>
      <c r="RAF94" s="786"/>
      <c r="RAG94" s="786"/>
      <c r="RAH94" s="786"/>
      <c r="RAI94" s="786"/>
      <c r="RAJ94" s="786"/>
      <c r="RAK94" s="786"/>
      <c r="RAL94" s="786"/>
      <c r="RAM94" s="786"/>
      <c r="RAN94" s="786"/>
      <c r="RAO94" s="786"/>
      <c r="RAP94" s="786"/>
      <c r="RAQ94" s="786"/>
      <c r="RAR94" s="786"/>
      <c r="RAS94" s="786"/>
      <c r="RAT94" s="786"/>
      <c r="RAU94" s="786"/>
      <c r="RAV94" s="786"/>
      <c r="RAW94" s="786"/>
      <c r="RAX94" s="786"/>
      <c r="RAY94" s="786"/>
      <c r="RAZ94" s="786"/>
      <c r="RBA94" s="786"/>
      <c r="RBB94" s="786"/>
      <c r="RBC94" s="786"/>
      <c r="RBD94" s="786"/>
      <c r="RBE94" s="786"/>
      <c r="RBF94" s="786"/>
      <c r="RBG94" s="786"/>
      <c r="RBH94" s="786"/>
      <c r="RBI94" s="786"/>
      <c r="RBJ94" s="786"/>
      <c r="RBK94" s="786"/>
      <c r="RBL94" s="786"/>
      <c r="RBM94" s="786"/>
      <c r="RBN94" s="786"/>
      <c r="RBO94" s="786"/>
      <c r="RBP94" s="786"/>
      <c r="RBQ94" s="786"/>
      <c r="RBR94" s="786"/>
      <c r="RBS94" s="786"/>
      <c r="RBT94" s="786"/>
      <c r="RBU94" s="786"/>
      <c r="RBV94" s="786"/>
      <c r="RBW94" s="786"/>
      <c r="RBX94" s="786"/>
      <c r="RBY94" s="786"/>
      <c r="RBZ94" s="786"/>
      <c r="RCA94" s="786"/>
      <c r="RCB94" s="786"/>
      <c r="RCC94" s="786"/>
      <c r="RCD94" s="786"/>
      <c r="RCE94" s="786"/>
      <c r="RCF94" s="786"/>
      <c r="RCG94" s="786"/>
      <c r="RCH94" s="786"/>
      <c r="RCI94" s="786"/>
      <c r="RCJ94" s="786"/>
      <c r="RCK94" s="786"/>
      <c r="RCL94" s="786"/>
      <c r="RCM94" s="786"/>
      <c r="RCN94" s="786"/>
      <c r="RCO94" s="786"/>
      <c r="RCP94" s="786"/>
      <c r="RCQ94" s="786"/>
      <c r="RCR94" s="786"/>
      <c r="RCS94" s="786"/>
      <c r="RCT94" s="786"/>
      <c r="RCU94" s="786"/>
      <c r="RCV94" s="786"/>
      <c r="RCW94" s="786"/>
      <c r="RCX94" s="786"/>
      <c r="RCY94" s="786"/>
      <c r="RCZ94" s="786"/>
      <c r="RDA94" s="786"/>
      <c r="RDB94" s="786"/>
      <c r="RDC94" s="786"/>
      <c r="RDD94" s="786"/>
      <c r="RDE94" s="786"/>
      <c r="RDF94" s="786"/>
      <c r="RDG94" s="786"/>
      <c r="RDH94" s="786"/>
      <c r="RDI94" s="786"/>
      <c r="RDJ94" s="786"/>
      <c r="RDK94" s="786"/>
      <c r="RDL94" s="786"/>
      <c r="RDM94" s="786"/>
      <c r="RDN94" s="786"/>
      <c r="RDO94" s="786"/>
      <c r="RDP94" s="786"/>
      <c r="RDQ94" s="786"/>
      <c r="RDR94" s="786"/>
      <c r="RDS94" s="786"/>
      <c r="RDT94" s="786"/>
      <c r="RDU94" s="786"/>
      <c r="RDV94" s="786"/>
      <c r="RDW94" s="786"/>
      <c r="RDX94" s="786"/>
      <c r="RDY94" s="786"/>
      <c r="RDZ94" s="786"/>
      <c r="REA94" s="786"/>
      <c r="REB94" s="786"/>
      <c r="REC94" s="786"/>
      <c r="RED94" s="786"/>
      <c r="REE94" s="786"/>
      <c r="REF94" s="786"/>
      <c r="REG94" s="786"/>
      <c r="REH94" s="786"/>
      <c r="REI94" s="786"/>
      <c r="REJ94" s="786"/>
      <c r="REK94" s="786"/>
      <c r="REL94" s="786"/>
      <c r="REM94" s="786"/>
      <c r="REN94" s="786"/>
      <c r="REO94" s="786"/>
      <c r="REP94" s="786"/>
      <c r="REQ94" s="786"/>
      <c r="RER94" s="786"/>
      <c r="RES94" s="786"/>
      <c r="RET94" s="786"/>
      <c r="REU94" s="786"/>
      <c r="REV94" s="786"/>
      <c r="REW94" s="786"/>
      <c r="REX94" s="786"/>
      <c r="REY94" s="786"/>
      <c r="REZ94" s="786"/>
      <c r="RFA94" s="786"/>
      <c r="RFB94" s="786"/>
      <c r="RFC94" s="786"/>
      <c r="RFD94" s="786"/>
      <c r="RFE94" s="786"/>
      <c r="RFF94" s="786"/>
      <c r="RFG94" s="786"/>
      <c r="RFH94" s="786"/>
      <c r="RFI94" s="786"/>
      <c r="RFJ94" s="786"/>
      <c r="RFK94" s="786"/>
      <c r="RFL94" s="786"/>
      <c r="RFM94" s="786"/>
      <c r="RFN94" s="786"/>
      <c r="RFO94" s="786"/>
      <c r="RFP94" s="786"/>
      <c r="RFQ94" s="786"/>
      <c r="RFR94" s="786"/>
      <c r="RFS94" s="786"/>
      <c r="RFT94" s="786"/>
      <c r="RFU94" s="786"/>
      <c r="RFV94" s="786"/>
      <c r="RFW94" s="786"/>
      <c r="RFX94" s="786"/>
      <c r="RFY94" s="786"/>
      <c r="RFZ94" s="786"/>
      <c r="RGA94" s="786"/>
      <c r="RGB94" s="786"/>
      <c r="RGC94" s="786"/>
      <c r="RGD94" s="786"/>
      <c r="RGE94" s="786"/>
      <c r="RGF94" s="786"/>
      <c r="RGG94" s="786"/>
      <c r="RGH94" s="786"/>
      <c r="RGI94" s="786"/>
      <c r="RGJ94" s="786"/>
      <c r="RGK94" s="786"/>
      <c r="RGL94" s="786"/>
      <c r="RGM94" s="786"/>
      <c r="RGN94" s="786"/>
      <c r="RGO94" s="786"/>
      <c r="RGP94" s="786"/>
      <c r="RGQ94" s="786"/>
      <c r="RGR94" s="786"/>
      <c r="RGS94" s="786"/>
      <c r="RGT94" s="786"/>
      <c r="RGU94" s="786"/>
      <c r="RGV94" s="786"/>
      <c r="RGW94" s="786"/>
      <c r="RGX94" s="786"/>
      <c r="RGY94" s="786"/>
      <c r="RGZ94" s="786"/>
      <c r="RHA94" s="786"/>
      <c r="RHB94" s="786"/>
      <c r="RHC94" s="786"/>
      <c r="RHD94" s="786"/>
      <c r="RHE94" s="786"/>
      <c r="RHF94" s="786"/>
      <c r="RHG94" s="786"/>
      <c r="RHH94" s="786"/>
      <c r="RHI94" s="786"/>
      <c r="RHJ94" s="786"/>
      <c r="RHK94" s="786"/>
      <c r="RHL94" s="786"/>
      <c r="RHM94" s="786"/>
      <c r="RHN94" s="786"/>
      <c r="RHO94" s="786"/>
      <c r="RHP94" s="786"/>
      <c r="RHQ94" s="786"/>
      <c r="RHR94" s="786"/>
      <c r="RHS94" s="786"/>
      <c r="RHT94" s="786"/>
      <c r="RHU94" s="786"/>
      <c r="RHV94" s="786"/>
      <c r="RHW94" s="786"/>
      <c r="RHX94" s="786"/>
      <c r="RHY94" s="786"/>
      <c r="RHZ94" s="786"/>
      <c r="RIA94" s="786"/>
      <c r="RIB94" s="786"/>
      <c r="RIC94" s="786"/>
      <c r="RID94" s="786"/>
      <c r="RIE94" s="786"/>
      <c r="RIF94" s="786"/>
      <c r="RIG94" s="786"/>
      <c r="RIH94" s="786"/>
      <c r="RII94" s="786"/>
      <c r="RIJ94" s="786"/>
      <c r="RIK94" s="786"/>
      <c r="RIL94" s="786"/>
      <c r="RIM94" s="786"/>
      <c r="RIN94" s="786"/>
      <c r="RIO94" s="786"/>
      <c r="RIP94" s="786"/>
      <c r="RIQ94" s="786"/>
      <c r="RIR94" s="786"/>
      <c r="RIS94" s="786"/>
      <c r="RIT94" s="786"/>
      <c r="RIU94" s="786"/>
      <c r="RIV94" s="786"/>
      <c r="RIW94" s="786"/>
      <c r="RIX94" s="786"/>
      <c r="RIY94" s="786"/>
      <c r="RIZ94" s="786"/>
      <c r="RJA94" s="786"/>
      <c r="RJB94" s="786"/>
      <c r="RJC94" s="786"/>
      <c r="RJD94" s="786"/>
      <c r="RJE94" s="786"/>
      <c r="RJF94" s="786"/>
      <c r="RJG94" s="786"/>
      <c r="RJH94" s="786"/>
      <c r="RJI94" s="786"/>
      <c r="RJJ94" s="786"/>
      <c r="RJK94" s="786"/>
      <c r="RJL94" s="786"/>
      <c r="RJM94" s="786"/>
      <c r="RJN94" s="786"/>
      <c r="RJO94" s="786"/>
      <c r="RJP94" s="786"/>
      <c r="RJQ94" s="786"/>
      <c r="RJR94" s="786"/>
      <c r="RJS94" s="786"/>
      <c r="RJT94" s="786"/>
      <c r="RJU94" s="786"/>
      <c r="RJV94" s="786"/>
      <c r="RJW94" s="786"/>
      <c r="RJX94" s="786"/>
      <c r="RJY94" s="786"/>
      <c r="RJZ94" s="786"/>
      <c r="RKA94" s="786"/>
      <c r="RKB94" s="786"/>
      <c r="RKC94" s="786"/>
      <c r="RKD94" s="786"/>
      <c r="RKE94" s="786"/>
      <c r="RKF94" s="786"/>
      <c r="RKG94" s="786"/>
      <c r="RKH94" s="786"/>
      <c r="RKI94" s="786"/>
      <c r="RKJ94" s="786"/>
      <c r="RKK94" s="786"/>
      <c r="RKL94" s="786"/>
      <c r="RKM94" s="786"/>
      <c r="RKN94" s="786"/>
      <c r="RKO94" s="786"/>
      <c r="RKP94" s="786"/>
      <c r="RKQ94" s="786"/>
      <c r="RKR94" s="786"/>
      <c r="RKS94" s="786"/>
      <c r="RKT94" s="786"/>
      <c r="RKU94" s="786"/>
      <c r="RKV94" s="786"/>
      <c r="RKW94" s="786"/>
      <c r="RKX94" s="786"/>
      <c r="RKY94" s="786"/>
      <c r="RKZ94" s="786"/>
      <c r="RLA94" s="786"/>
      <c r="RLB94" s="786"/>
      <c r="RLC94" s="786"/>
      <c r="RLD94" s="786"/>
      <c r="RLE94" s="786"/>
      <c r="RLF94" s="786"/>
      <c r="RLG94" s="786"/>
      <c r="RLH94" s="786"/>
      <c r="RLI94" s="786"/>
      <c r="RLJ94" s="786"/>
      <c r="RLK94" s="786"/>
      <c r="RLL94" s="786"/>
      <c r="RLM94" s="786"/>
      <c r="RLN94" s="786"/>
      <c r="RLO94" s="786"/>
      <c r="RLP94" s="786"/>
      <c r="RLQ94" s="786"/>
      <c r="RLR94" s="786"/>
      <c r="RLS94" s="786"/>
      <c r="RLT94" s="786"/>
      <c r="RLU94" s="786"/>
      <c r="RLV94" s="786"/>
      <c r="RLW94" s="786"/>
      <c r="RLX94" s="786"/>
      <c r="RLY94" s="786"/>
      <c r="RLZ94" s="786"/>
      <c r="RMA94" s="786"/>
      <c r="RMB94" s="786"/>
      <c r="RMC94" s="786"/>
      <c r="RMD94" s="786"/>
      <c r="RME94" s="786"/>
      <c r="RMF94" s="786"/>
      <c r="RMG94" s="786"/>
      <c r="RMH94" s="786"/>
      <c r="RMI94" s="786"/>
      <c r="RMJ94" s="786"/>
      <c r="RMK94" s="786"/>
      <c r="RML94" s="786"/>
      <c r="RMM94" s="786"/>
      <c r="RMN94" s="786"/>
      <c r="RMO94" s="786"/>
      <c r="RMP94" s="786"/>
      <c r="RMQ94" s="786"/>
      <c r="RMR94" s="786"/>
      <c r="RMS94" s="786"/>
      <c r="RMT94" s="786"/>
      <c r="RMU94" s="786"/>
      <c r="RMV94" s="786"/>
      <c r="RMW94" s="786"/>
      <c r="RMX94" s="786"/>
      <c r="RMY94" s="786"/>
      <c r="RMZ94" s="786"/>
      <c r="RNA94" s="786"/>
      <c r="RNB94" s="786"/>
      <c r="RNC94" s="786"/>
      <c r="RND94" s="786"/>
      <c r="RNE94" s="786"/>
      <c r="RNF94" s="786"/>
      <c r="RNG94" s="786"/>
      <c r="RNH94" s="786"/>
      <c r="RNI94" s="786"/>
      <c r="RNJ94" s="786"/>
      <c r="RNK94" s="786"/>
      <c r="RNL94" s="786"/>
      <c r="RNM94" s="786"/>
      <c r="RNN94" s="786"/>
      <c r="RNO94" s="786"/>
      <c r="RNP94" s="786"/>
      <c r="RNQ94" s="786"/>
      <c r="RNR94" s="786"/>
      <c r="RNS94" s="786"/>
      <c r="RNT94" s="786"/>
      <c r="RNU94" s="786"/>
      <c r="RNV94" s="786"/>
      <c r="RNW94" s="786"/>
      <c r="RNX94" s="786"/>
      <c r="RNY94" s="786"/>
      <c r="RNZ94" s="786"/>
      <c r="ROA94" s="786"/>
      <c r="ROB94" s="786"/>
      <c r="ROC94" s="786"/>
      <c r="ROD94" s="786"/>
      <c r="ROE94" s="786"/>
      <c r="ROF94" s="786"/>
      <c r="ROG94" s="786"/>
      <c r="ROH94" s="786"/>
      <c r="ROI94" s="786"/>
      <c r="ROJ94" s="786"/>
      <c r="ROK94" s="786"/>
      <c r="ROL94" s="786"/>
      <c r="ROM94" s="786"/>
      <c r="RON94" s="786"/>
      <c r="ROO94" s="786"/>
      <c r="ROP94" s="786"/>
      <c r="ROQ94" s="786"/>
      <c r="ROR94" s="786"/>
      <c r="ROS94" s="786"/>
      <c r="ROT94" s="786"/>
      <c r="ROU94" s="786"/>
      <c r="ROV94" s="786"/>
      <c r="ROW94" s="786"/>
      <c r="ROX94" s="786"/>
      <c r="ROY94" s="786"/>
      <c r="ROZ94" s="786"/>
      <c r="RPA94" s="786"/>
      <c r="RPB94" s="786"/>
      <c r="RPC94" s="786"/>
      <c r="RPD94" s="786"/>
      <c r="RPE94" s="786"/>
      <c r="RPF94" s="786"/>
      <c r="RPG94" s="786"/>
      <c r="RPH94" s="786"/>
      <c r="RPI94" s="786"/>
      <c r="RPJ94" s="786"/>
      <c r="RPK94" s="786"/>
      <c r="RPL94" s="786"/>
      <c r="RPM94" s="786"/>
      <c r="RPN94" s="786"/>
      <c r="RPO94" s="786"/>
      <c r="RPP94" s="786"/>
      <c r="RPQ94" s="786"/>
      <c r="RPR94" s="786"/>
      <c r="RPS94" s="786"/>
      <c r="RPT94" s="786"/>
      <c r="RPU94" s="786"/>
      <c r="RPV94" s="786"/>
      <c r="RPW94" s="786"/>
      <c r="RPX94" s="786"/>
      <c r="RPY94" s="786"/>
      <c r="RPZ94" s="786"/>
      <c r="RQA94" s="786"/>
      <c r="RQB94" s="786"/>
      <c r="RQC94" s="786"/>
      <c r="RQD94" s="786"/>
      <c r="RQE94" s="786"/>
      <c r="RQF94" s="786"/>
      <c r="RQG94" s="786"/>
      <c r="RQH94" s="786"/>
      <c r="RQI94" s="786"/>
      <c r="RQJ94" s="786"/>
      <c r="RQK94" s="786"/>
      <c r="RQL94" s="786"/>
      <c r="RQM94" s="786"/>
      <c r="RQN94" s="786"/>
      <c r="RQO94" s="786"/>
      <c r="RQP94" s="786"/>
      <c r="RQQ94" s="786"/>
      <c r="RQR94" s="786"/>
      <c r="RQS94" s="786"/>
      <c r="RQT94" s="786"/>
      <c r="RQU94" s="786"/>
      <c r="RQV94" s="786"/>
      <c r="RQW94" s="786"/>
      <c r="RQX94" s="786"/>
      <c r="RQY94" s="786"/>
      <c r="RQZ94" s="786"/>
      <c r="RRA94" s="786"/>
      <c r="RRB94" s="786"/>
      <c r="RRC94" s="786"/>
      <c r="RRD94" s="786"/>
      <c r="RRE94" s="786"/>
      <c r="RRF94" s="786"/>
      <c r="RRG94" s="786"/>
      <c r="RRH94" s="786"/>
      <c r="RRI94" s="786"/>
      <c r="RRJ94" s="786"/>
      <c r="RRK94" s="786"/>
      <c r="RRL94" s="786"/>
      <c r="RRM94" s="786"/>
      <c r="RRN94" s="786"/>
      <c r="RRO94" s="786"/>
      <c r="RRP94" s="786"/>
      <c r="RRQ94" s="786"/>
      <c r="RRR94" s="786"/>
      <c r="RRS94" s="786"/>
      <c r="RRT94" s="786"/>
      <c r="RRU94" s="786"/>
      <c r="RRV94" s="786"/>
      <c r="RRW94" s="786"/>
      <c r="RRX94" s="786"/>
      <c r="RRY94" s="786"/>
      <c r="RRZ94" s="786"/>
      <c r="RSA94" s="786"/>
      <c r="RSB94" s="786"/>
      <c r="RSC94" s="786"/>
      <c r="RSD94" s="786"/>
      <c r="RSE94" s="786"/>
      <c r="RSF94" s="786"/>
      <c r="RSG94" s="786"/>
      <c r="RSH94" s="786"/>
      <c r="RSI94" s="786"/>
      <c r="RSJ94" s="786"/>
      <c r="RSK94" s="786"/>
      <c r="RSL94" s="786"/>
      <c r="RSM94" s="786"/>
      <c r="RSN94" s="786"/>
      <c r="RSO94" s="786"/>
      <c r="RSP94" s="786"/>
      <c r="RSQ94" s="786"/>
      <c r="RSR94" s="786"/>
      <c r="RSS94" s="786"/>
      <c r="RST94" s="786"/>
      <c r="RSU94" s="786"/>
      <c r="RSV94" s="786"/>
      <c r="RSW94" s="786"/>
      <c r="RSX94" s="786"/>
      <c r="RSY94" s="786"/>
      <c r="RSZ94" s="786"/>
      <c r="RTA94" s="786"/>
      <c r="RTB94" s="786"/>
      <c r="RTC94" s="786"/>
      <c r="RTD94" s="786"/>
      <c r="RTE94" s="786"/>
      <c r="RTF94" s="786"/>
      <c r="RTG94" s="786"/>
      <c r="RTH94" s="786"/>
      <c r="RTI94" s="786"/>
      <c r="RTJ94" s="786"/>
      <c r="RTK94" s="786"/>
      <c r="RTL94" s="786"/>
      <c r="RTM94" s="786"/>
      <c r="RTN94" s="786"/>
      <c r="RTO94" s="786"/>
      <c r="RTP94" s="786"/>
      <c r="RTQ94" s="786"/>
      <c r="RTR94" s="786"/>
      <c r="RTS94" s="786"/>
      <c r="RTT94" s="786"/>
      <c r="RTU94" s="786"/>
      <c r="RTV94" s="786"/>
      <c r="RTW94" s="786"/>
      <c r="RTX94" s="786"/>
      <c r="RTY94" s="786"/>
      <c r="RTZ94" s="786"/>
      <c r="RUA94" s="786"/>
      <c r="RUB94" s="786"/>
      <c r="RUC94" s="786"/>
      <c r="RUD94" s="786"/>
      <c r="RUE94" s="786"/>
      <c r="RUF94" s="786"/>
      <c r="RUG94" s="786"/>
      <c r="RUH94" s="786"/>
      <c r="RUI94" s="786"/>
      <c r="RUJ94" s="786"/>
      <c r="RUK94" s="786"/>
      <c r="RUL94" s="786"/>
      <c r="RUM94" s="786"/>
      <c r="RUN94" s="786"/>
      <c r="RUO94" s="786"/>
      <c r="RUP94" s="786"/>
      <c r="RUQ94" s="786"/>
      <c r="RUR94" s="786"/>
      <c r="RUS94" s="786"/>
      <c r="RUT94" s="786"/>
      <c r="RUU94" s="786"/>
      <c r="RUV94" s="786"/>
      <c r="RUW94" s="786"/>
      <c r="RUX94" s="786"/>
      <c r="RUY94" s="786"/>
      <c r="RUZ94" s="786"/>
      <c r="RVA94" s="786"/>
      <c r="RVB94" s="786"/>
      <c r="RVC94" s="786"/>
      <c r="RVD94" s="786"/>
      <c r="RVE94" s="786"/>
      <c r="RVF94" s="786"/>
      <c r="RVG94" s="786"/>
      <c r="RVH94" s="786"/>
      <c r="RVI94" s="786"/>
      <c r="RVJ94" s="786"/>
      <c r="RVK94" s="786"/>
      <c r="RVL94" s="786"/>
      <c r="RVM94" s="786"/>
      <c r="RVN94" s="786"/>
      <c r="RVO94" s="786"/>
      <c r="RVP94" s="786"/>
      <c r="RVQ94" s="786"/>
      <c r="RVR94" s="786"/>
      <c r="RVS94" s="786"/>
      <c r="RVT94" s="786"/>
      <c r="RVU94" s="786"/>
      <c r="RVV94" s="786"/>
      <c r="RVW94" s="786"/>
      <c r="RVX94" s="786"/>
      <c r="RVY94" s="786"/>
      <c r="RVZ94" s="786"/>
      <c r="RWA94" s="786"/>
      <c r="RWB94" s="786"/>
      <c r="RWC94" s="786"/>
      <c r="RWD94" s="786"/>
      <c r="RWE94" s="786"/>
      <c r="RWF94" s="786"/>
      <c r="RWG94" s="786"/>
      <c r="RWH94" s="786"/>
      <c r="RWI94" s="786"/>
      <c r="RWJ94" s="786"/>
      <c r="RWK94" s="786"/>
      <c r="RWL94" s="786"/>
      <c r="RWM94" s="786"/>
      <c r="RWN94" s="786"/>
      <c r="RWO94" s="786"/>
      <c r="RWP94" s="786"/>
      <c r="RWQ94" s="786"/>
      <c r="RWR94" s="786"/>
      <c r="RWS94" s="786"/>
      <c r="RWT94" s="786"/>
      <c r="RWU94" s="786"/>
      <c r="RWV94" s="786"/>
      <c r="RWW94" s="786"/>
      <c r="RWX94" s="786"/>
      <c r="RWY94" s="786"/>
      <c r="RWZ94" s="786"/>
      <c r="RXA94" s="786"/>
      <c r="RXB94" s="786"/>
      <c r="RXC94" s="786"/>
      <c r="RXD94" s="786"/>
      <c r="RXE94" s="786"/>
      <c r="RXF94" s="786"/>
      <c r="RXG94" s="786"/>
      <c r="RXH94" s="786"/>
      <c r="RXI94" s="786"/>
      <c r="RXJ94" s="786"/>
      <c r="RXK94" s="786"/>
      <c r="RXL94" s="786"/>
      <c r="RXM94" s="786"/>
      <c r="RXN94" s="786"/>
      <c r="RXO94" s="786"/>
      <c r="RXP94" s="786"/>
      <c r="RXQ94" s="786"/>
      <c r="RXR94" s="786"/>
      <c r="RXS94" s="786"/>
      <c r="RXT94" s="786"/>
      <c r="RXU94" s="786"/>
      <c r="RXV94" s="786"/>
      <c r="RXW94" s="786"/>
      <c r="RXX94" s="786"/>
      <c r="RXY94" s="786"/>
      <c r="RXZ94" s="786"/>
      <c r="RYA94" s="786"/>
      <c r="RYB94" s="786"/>
      <c r="RYC94" s="786"/>
      <c r="RYD94" s="786"/>
      <c r="RYE94" s="786"/>
      <c r="RYF94" s="786"/>
      <c r="RYG94" s="786"/>
      <c r="RYH94" s="786"/>
      <c r="RYI94" s="786"/>
      <c r="RYJ94" s="786"/>
      <c r="RYK94" s="786"/>
      <c r="RYL94" s="786"/>
      <c r="RYM94" s="786"/>
      <c r="RYN94" s="786"/>
      <c r="RYO94" s="786"/>
      <c r="RYP94" s="786"/>
      <c r="RYQ94" s="786"/>
      <c r="RYR94" s="786"/>
      <c r="RYS94" s="786"/>
      <c r="RYT94" s="786"/>
      <c r="RYU94" s="786"/>
      <c r="RYV94" s="786"/>
      <c r="RYW94" s="786"/>
      <c r="RYX94" s="786"/>
      <c r="RYY94" s="786"/>
      <c r="RYZ94" s="786"/>
      <c r="RZA94" s="786"/>
      <c r="RZB94" s="786"/>
      <c r="RZC94" s="786"/>
      <c r="RZD94" s="786"/>
      <c r="RZE94" s="786"/>
      <c r="RZF94" s="786"/>
      <c r="RZG94" s="786"/>
      <c r="RZH94" s="786"/>
      <c r="RZI94" s="786"/>
      <c r="RZJ94" s="786"/>
      <c r="RZK94" s="786"/>
      <c r="RZL94" s="786"/>
      <c r="RZM94" s="786"/>
      <c r="RZN94" s="786"/>
      <c r="RZO94" s="786"/>
      <c r="RZP94" s="786"/>
      <c r="RZQ94" s="786"/>
      <c r="RZR94" s="786"/>
      <c r="RZS94" s="786"/>
      <c r="RZT94" s="786"/>
      <c r="RZU94" s="786"/>
      <c r="RZV94" s="786"/>
      <c r="RZW94" s="786"/>
      <c r="RZX94" s="786"/>
      <c r="RZY94" s="786"/>
      <c r="RZZ94" s="786"/>
      <c r="SAA94" s="786"/>
      <c r="SAB94" s="786"/>
      <c r="SAC94" s="786"/>
      <c r="SAD94" s="786"/>
      <c r="SAE94" s="786"/>
      <c r="SAF94" s="786"/>
      <c r="SAG94" s="786"/>
      <c r="SAH94" s="786"/>
      <c r="SAI94" s="786"/>
      <c r="SAJ94" s="786"/>
      <c r="SAK94" s="786"/>
      <c r="SAL94" s="786"/>
      <c r="SAM94" s="786"/>
      <c r="SAN94" s="786"/>
      <c r="SAO94" s="786"/>
      <c r="SAP94" s="786"/>
      <c r="SAQ94" s="786"/>
      <c r="SAR94" s="786"/>
      <c r="SAS94" s="786"/>
      <c r="SAT94" s="786"/>
      <c r="SAU94" s="786"/>
      <c r="SAV94" s="786"/>
      <c r="SAW94" s="786"/>
      <c r="SAX94" s="786"/>
      <c r="SAY94" s="786"/>
      <c r="SAZ94" s="786"/>
      <c r="SBA94" s="786"/>
      <c r="SBB94" s="786"/>
      <c r="SBC94" s="786"/>
      <c r="SBD94" s="786"/>
      <c r="SBE94" s="786"/>
      <c r="SBF94" s="786"/>
      <c r="SBG94" s="786"/>
      <c r="SBH94" s="786"/>
      <c r="SBI94" s="786"/>
      <c r="SBJ94" s="786"/>
      <c r="SBK94" s="786"/>
      <c r="SBL94" s="786"/>
      <c r="SBM94" s="786"/>
      <c r="SBN94" s="786"/>
      <c r="SBO94" s="786"/>
      <c r="SBP94" s="786"/>
      <c r="SBQ94" s="786"/>
      <c r="SBR94" s="786"/>
      <c r="SBS94" s="786"/>
      <c r="SBT94" s="786"/>
      <c r="SBU94" s="786"/>
      <c r="SBV94" s="786"/>
      <c r="SBW94" s="786"/>
      <c r="SBX94" s="786"/>
      <c r="SBY94" s="786"/>
      <c r="SBZ94" s="786"/>
      <c r="SCA94" s="786"/>
      <c r="SCB94" s="786"/>
      <c r="SCC94" s="786"/>
      <c r="SCD94" s="786"/>
      <c r="SCE94" s="786"/>
      <c r="SCF94" s="786"/>
      <c r="SCG94" s="786"/>
      <c r="SCH94" s="786"/>
      <c r="SCI94" s="786"/>
      <c r="SCJ94" s="786"/>
      <c r="SCK94" s="786"/>
      <c r="SCL94" s="786"/>
      <c r="SCM94" s="786"/>
      <c r="SCN94" s="786"/>
      <c r="SCO94" s="786"/>
      <c r="SCP94" s="786"/>
      <c r="SCQ94" s="786"/>
      <c r="SCR94" s="786"/>
      <c r="SCS94" s="786"/>
      <c r="SCT94" s="786"/>
      <c r="SCU94" s="786"/>
      <c r="SCV94" s="786"/>
      <c r="SCW94" s="786"/>
      <c r="SCX94" s="786"/>
      <c r="SCY94" s="786"/>
      <c r="SCZ94" s="786"/>
      <c r="SDA94" s="786"/>
      <c r="SDB94" s="786"/>
      <c r="SDC94" s="786"/>
      <c r="SDD94" s="786"/>
      <c r="SDE94" s="786"/>
      <c r="SDF94" s="786"/>
      <c r="SDG94" s="786"/>
      <c r="SDH94" s="786"/>
      <c r="SDI94" s="786"/>
      <c r="SDJ94" s="786"/>
      <c r="SDK94" s="786"/>
      <c r="SDL94" s="786"/>
      <c r="SDM94" s="786"/>
      <c r="SDN94" s="786"/>
      <c r="SDO94" s="786"/>
      <c r="SDP94" s="786"/>
      <c r="SDQ94" s="786"/>
      <c r="SDR94" s="786"/>
      <c r="SDS94" s="786"/>
      <c r="SDT94" s="786"/>
      <c r="SDU94" s="786"/>
      <c r="SDV94" s="786"/>
      <c r="SDW94" s="786"/>
      <c r="SDX94" s="786"/>
      <c r="SDY94" s="786"/>
      <c r="SDZ94" s="786"/>
      <c r="SEA94" s="786"/>
      <c r="SEB94" s="786"/>
      <c r="SEC94" s="786"/>
      <c r="SED94" s="786"/>
      <c r="SEE94" s="786"/>
      <c r="SEF94" s="786"/>
      <c r="SEG94" s="786"/>
      <c r="SEH94" s="786"/>
      <c r="SEI94" s="786"/>
      <c r="SEJ94" s="786"/>
      <c r="SEK94" s="786"/>
      <c r="SEL94" s="786"/>
      <c r="SEM94" s="786"/>
      <c r="SEN94" s="786"/>
      <c r="SEO94" s="786"/>
      <c r="SEP94" s="786"/>
      <c r="SEQ94" s="786"/>
      <c r="SER94" s="786"/>
      <c r="SES94" s="786"/>
      <c r="SET94" s="786"/>
      <c r="SEU94" s="786"/>
      <c r="SEV94" s="786"/>
      <c r="SEW94" s="786"/>
      <c r="SEX94" s="786"/>
      <c r="SEY94" s="786"/>
      <c r="SEZ94" s="786"/>
      <c r="SFA94" s="786"/>
      <c r="SFB94" s="786"/>
      <c r="SFC94" s="786"/>
      <c r="SFD94" s="786"/>
      <c r="SFE94" s="786"/>
      <c r="SFF94" s="786"/>
      <c r="SFG94" s="786"/>
      <c r="SFH94" s="786"/>
      <c r="SFI94" s="786"/>
      <c r="SFJ94" s="786"/>
      <c r="SFK94" s="786"/>
      <c r="SFL94" s="786"/>
      <c r="SFM94" s="786"/>
      <c r="SFN94" s="786"/>
      <c r="SFO94" s="786"/>
      <c r="SFP94" s="786"/>
      <c r="SFQ94" s="786"/>
      <c r="SFR94" s="786"/>
      <c r="SFS94" s="786"/>
      <c r="SFT94" s="786"/>
      <c r="SFU94" s="786"/>
      <c r="SFV94" s="786"/>
      <c r="SFW94" s="786"/>
      <c r="SFX94" s="786"/>
      <c r="SFY94" s="786"/>
      <c r="SFZ94" s="786"/>
      <c r="SGA94" s="786"/>
      <c r="SGB94" s="786"/>
      <c r="SGC94" s="786"/>
      <c r="SGD94" s="786"/>
      <c r="SGE94" s="786"/>
      <c r="SGF94" s="786"/>
      <c r="SGG94" s="786"/>
      <c r="SGH94" s="786"/>
      <c r="SGI94" s="786"/>
      <c r="SGJ94" s="786"/>
      <c r="SGK94" s="786"/>
      <c r="SGL94" s="786"/>
      <c r="SGM94" s="786"/>
      <c r="SGN94" s="786"/>
      <c r="SGO94" s="786"/>
      <c r="SGP94" s="786"/>
      <c r="SGQ94" s="786"/>
      <c r="SGR94" s="786"/>
      <c r="SGS94" s="786"/>
      <c r="SGT94" s="786"/>
      <c r="SGU94" s="786"/>
      <c r="SGV94" s="786"/>
      <c r="SGW94" s="786"/>
      <c r="SGX94" s="786"/>
      <c r="SGY94" s="786"/>
      <c r="SGZ94" s="786"/>
      <c r="SHA94" s="786"/>
      <c r="SHB94" s="786"/>
      <c r="SHC94" s="786"/>
      <c r="SHD94" s="786"/>
      <c r="SHE94" s="786"/>
      <c r="SHF94" s="786"/>
      <c r="SHG94" s="786"/>
      <c r="SHH94" s="786"/>
      <c r="SHI94" s="786"/>
      <c r="SHJ94" s="786"/>
      <c r="SHK94" s="786"/>
      <c r="SHL94" s="786"/>
      <c r="SHM94" s="786"/>
      <c r="SHN94" s="786"/>
      <c r="SHO94" s="786"/>
      <c r="SHP94" s="786"/>
      <c r="SHQ94" s="786"/>
      <c r="SHR94" s="786"/>
      <c r="SHS94" s="786"/>
      <c r="SHT94" s="786"/>
      <c r="SHU94" s="786"/>
      <c r="SHV94" s="786"/>
      <c r="SHW94" s="786"/>
      <c r="SHX94" s="786"/>
      <c r="SHY94" s="786"/>
      <c r="SHZ94" s="786"/>
      <c r="SIA94" s="786"/>
      <c r="SIB94" s="786"/>
      <c r="SIC94" s="786"/>
      <c r="SID94" s="786"/>
      <c r="SIE94" s="786"/>
      <c r="SIF94" s="786"/>
      <c r="SIG94" s="786"/>
      <c r="SIH94" s="786"/>
      <c r="SII94" s="786"/>
      <c r="SIJ94" s="786"/>
      <c r="SIK94" s="786"/>
      <c r="SIL94" s="786"/>
      <c r="SIM94" s="786"/>
      <c r="SIN94" s="786"/>
      <c r="SIO94" s="786"/>
      <c r="SIP94" s="786"/>
      <c r="SIQ94" s="786"/>
      <c r="SIR94" s="786"/>
      <c r="SIS94" s="786"/>
      <c r="SIT94" s="786"/>
      <c r="SIU94" s="786"/>
      <c r="SIV94" s="786"/>
      <c r="SIW94" s="786"/>
      <c r="SIX94" s="786"/>
      <c r="SIY94" s="786"/>
      <c r="SIZ94" s="786"/>
      <c r="SJA94" s="786"/>
      <c r="SJB94" s="786"/>
      <c r="SJC94" s="786"/>
      <c r="SJD94" s="786"/>
      <c r="SJE94" s="786"/>
      <c r="SJF94" s="786"/>
      <c r="SJG94" s="786"/>
      <c r="SJH94" s="786"/>
      <c r="SJI94" s="786"/>
      <c r="SJJ94" s="786"/>
      <c r="SJK94" s="786"/>
      <c r="SJL94" s="786"/>
      <c r="SJM94" s="786"/>
      <c r="SJN94" s="786"/>
      <c r="SJO94" s="786"/>
      <c r="SJP94" s="786"/>
      <c r="SJQ94" s="786"/>
      <c r="SJR94" s="786"/>
      <c r="SJS94" s="786"/>
      <c r="SJT94" s="786"/>
      <c r="SJU94" s="786"/>
      <c r="SJV94" s="786"/>
      <c r="SJW94" s="786"/>
      <c r="SJX94" s="786"/>
      <c r="SJY94" s="786"/>
      <c r="SJZ94" s="786"/>
      <c r="SKA94" s="786"/>
      <c r="SKB94" s="786"/>
      <c r="SKC94" s="786"/>
      <c r="SKD94" s="786"/>
      <c r="SKE94" s="786"/>
      <c r="SKF94" s="786"/>
      <c r="SKG94" s="786"/>
      <c r="SKH94" s="786"/>
      <c r="SKI94" s="786"/>
      <c r="SKJ94" s="786"/>
      <c r="SKK94" s="786"/>
      <c r="SKL94" s="786"/>
      <c r="SKM94" s="786"/>
      <c r="SKN94" s="786"/>
      <c r="SKO94" s="786"/>
      <c r="SKP94" s="786"/>
      <c r="SKQ94" s="786"/>
      <c r="SKR94" s="786"/>
      <c r="SKS94" s="786"/>
      <c r="SKT94" s="786"/>
      <c r="SKU94" s="786"/>
      <c r="SKV94" s="786"/>
      <c r="SKW94" s="786"/>
      <c r="SKX94" s="786"/>
      <c r="SKY94" s="786"/>
      <c r="SKZ94" s="786"/>
      <c r="SLA94" s="786"/>
      <c r="SLB94" s="786"/>
      <c r="SLC94" s="786"/>
      <c r="SLD94" s="786"/>
      <c r="SLE94" s="786"/>
      <c r="SLF94" s="786"/>
      <c r="SLG94" s="786"/>
      <c r="SLH94" s="786"/>
      <c r="SLI94" s="786"/>
      <c r="SLJ94" s="786"/>
      <c r="SLK94" s="786"/>
      <c r="SLL94" s="786"/>
      <c r="SLM94" s="786"/>
      <c r="SLN94" s="786"/>
      <c r="SLO94" s="786"/>
      <c r="SLP94" s="786"/>
      <c r="SLQ94" s="786"/>
      <c r="SLR94" s="786"/>
      <c r="SLS94" s="786"/>
      <c r="SLT94" s="786"/>
      <c r="SLU94" s="786"/>
      <c r="SLV94" s="786"/>
      <c r="SLW94" s="786"/>
      <c r="SLX94" s="786"/>
      <c r="SLY94" s="786"/>
      <c r="SLZ94" s="786"/>
      <c r="SMA94" s="786"/>
      <c r="SMB94" s="786"/>
      <c r="SMC94" s="786"/>
      <c r="SMD94" s="786"/>
      <c r="SME94" s="786"/>
      <c r="SMF94" s="786"/>
      <c r="SMG94" s="786"/>
      <c r="SMH94" s="786"/>
      <c r="SMI94" s="786"/>
      <c r="SMJ94" s="786"/>
      <c r="SMK94" s="786"/>
      <c r="SML94" s="786"/>
      <c r="SMM94" s="786"/>
      <c r="SMN94" s="786"/>
      <c r="SMO94" s="786"/>
      <c r="SMP94" s="786"/>
      <c r="SMQ94" s="786"/>
      <c r="SMR94" s="786"/>
      <c r="SMS94" s="786"/>
      <c r="SMT94" s="786"/>
      <c r="SMU94" s="786"/>
      <c r="SMV94" s="786"/>
      <c r="SMW94" s="786"/>
      <c r="SMX94" s="786"/>
      <c r="SMY94" s="786"/>
      <c r="SMZ94" s="786"/>
      <c r="SNA94" s="786"/>
      <c r="SNB94" s="786"/>
      <c r="SNC94" s="786"/>
      <c r="SND94" s="786"/>
      <c r="SNE94" s="786"/>
      <c r="SNF94" s="786"/>
      <c r="SNG94" s="786"/>
      <c r="SNH94" s="786"/>
      <c r="SNI94" s="786"/>
      <c r="SNJ94" s="786"/>
      <c r="SNK94" s="786"/>
      <c r="SNL94" s="786"/>
      <c r="SNM94" s="786"/>
      <c r="SNN94" s="786"/>
      <c r="SNO94" s="786"/>
      <c r="SNP94" s="786"/>
      <c r="SNQ94" s="786"/>
      <c r="SNR94" s="786"/>
      <c r="SNS94" s="786"/>
      <c r="SNT94" s="786"/>
      <c r="SNU94" s="786"/>
      <c r="SNV94" s="786"/>
      <c r="SNW94" s="786"/>
      <c r="SNX94" s="786"/>
      <c r="SNY94" s="786"/>
      <c r="SNZ94" s="786"/>
      <c r="SOA94" s="786"/>
      <c r="SOB94" s="786"/>
      <c r="SOC94" s="786"/>
      <c r="SOD94" s="786"/>
      <c r="SOE94" s="786"/>
      <c r="SOF94" s="786"/>
      <c r="SOG94" s="786"/>
      <c r="SOH94" s="786"/>
      <c r="SOI94" s="786"/>
      <c r="SOJ94" s="786"/>
      <c r="SOK94" s="786"/>
      <c r="SOL94" s="786"/>
      <c r="SOM94" s="786"/>
      <c r="SON94" s="786"/>
      <c r="SOO94" s="786"/>
      <c r="SOP94" s="786"/>
      <c r="SOQ94" s="786"/>
      <c r="SOR94" s="786"/>
      <c r="SOS94" s="786"/>
      <c r="SOT94" s="786"/>
      <c r="SOU94" s="786"/>
      <c r="SOV94" s="786"/>
      <c r="SOW94" s="786"/>
      <c r="SOX94" s="786"/>
      <c r="SOY94" s="786"/>
      <c r="SOZ94" s="786"/>
      <c r="SPA94" s="786"/>
      <c r="SPB94" s="786"/>
      <c r="SPC94" s="786"/>
      <c r="SPD94" s="786"/>
      <c r="SPE94" s="786"/>
      <c r="SPF94" s="786"/>
      <c r="SPG94" s="786"/>
      <c r="SPH94" s="786"/>
      <c r="SPI94" s="786"/>
      <c r="SPJ94" s="786"/>
      <c r="SPK94" s="786"/>
      <c r="SPL94" s="786"/>
      <c r="SPM94" s="786"/>
      <c r="SPN94" s="786"/>
      <c r="SPO94" s="786"/>
      <c r="SPP94" s="786"/>
      <c r="SPQ94" s="786"/>
      <c r="SPR94" s="786"/>
      <c r="SPS94" s="786"/>
      <c r="SPT94" s="786"/>
      <c r="SPU94" s="786"/>
      <c r="SPV94" s="786"/>
      <c r="SPW94" s="786"/>
      <c r="SPX94" s="786"/>
      <c r="SPY94" s="786"/>
      <c r="SPZ94" s="786"/>
      <c r="SQA94" s="786"/>
      <c r="SQB94" s="786"/>
      <c r="SQC94" s="786"/>
      <c r="SQD94" s="786"/>
      <c r="SQE94" s="786"/>
      <c r="SQF94" s="786"/>
      <c r="SQG94" s="786"/>
      <c r="SQH94" s="786"/>
      <c r="SQI94" s="786"/>
      <c r="SQJ94" s="786"/>
      <c r="SQK94" s="786"/>
      <c r="SQL94" s="786"/>
      <c r="SQM94" s="786"/>
      <c r="SQN94" s="786"/>
      <c r="SQO94" s="786"/>
      <c r="SQP94" s="786"/>
      <c r="SQQ94" s="786"/>
      <c r="SQR94" s="786"/>
      <c r="SQS94" s="786"/>
      <c r="SQT94" s="786"/>
      <c r="SQU94" s="786"/>
      <c r="SQV94" s="786"/>
      <c r="SQW94" s="786"/>
      <c r="SQX94" s="786"/>
      <c r="SQY94" s="786"/>
      <c r="SQZ94" s="786"/>
      <c r="SRA94" s="786"/>
      <c r="SRB94" s="786"/>
      <c r="SRC94" s="786"/>
      <c r="SRD94" s="786"/>
      <c r="SRE94" s="786"/>
      <c r="SRF94" s="786"/>
      <c r="SRG94" s="786"/>
      <c r="SRH94" s="786"/>
      <c r="SRI94" s="786"/>
      <c r="SRJ94" s="786"/>
      <c r="SRK94" s="786"/>
      <c r="SRL94" s="786"/>
      <c r="SRM94" s="786"/>
      <c r="SRN94" s="786"/>
      <c r="SRO94" s="786"/>
      <c r="SRP94" s="786"/>
      <c r="SRQ94" s="786"/>
      <c r="SRR94" s="786"/>
      <c r="SRS94" s="786"/>
      <c r="SRT94" s="786"/>
      <c r="SRU94" s="786"/>
      <c r="SRV94" s="786"/>
      <c r="SRW94" s="786"/>
      <c r="SRX94" s="786"/>
      <c r="SRY94" s="786"/>
      <c r="SRZ94" s="786"/>
      <c r="SSA94" s="786"/>
      <c r="SSB94" s="786"/>
      <c r="SSC94" s="786"/>
      <c r="SSD94" s="786"/>
      <c r="SSE94" s="786"/>
      <c r="SSF94" s="786"/>
      <c r="SSG94" s="786"/>
      <c r="SSH94" s="786"/>
      <c r="SSI94" s="786"/>
      <c r="SSJ94" s="786"/>
      <c r="SSK94" s="786"/>
      <c r="SSL94" s="786"/>
      <c r="SSM94" s="786"/>
      <c r="SSN94" s="786"/>
      <c r="SSO94" s="786"/>
      <c r="SSP94" s="786"/>
      <c r="SSQ94" s="786"/>
      <c r="SSR94" s="786"/>
      <c r="SSS94" s="786"/>
      <c r="SST94" s="786"/>
      <c r="SSU94" s="786"/>
      <c r="SSV94" s="786"/>
      <c r="SSW94" s="786"/>
      <c r="SSX94" s="786"/>
      <c r="SSY94" s="786"/>
      <c r="SSZ94" s="786"/>
      <c r="STA94" s="786"/>
      <c r="STB94" s="786"/>
      <c r="STC94" s="786"/>
      <c r="STD94" s="786"/>
      <c r="STE94" s="786"/>
      <c r="STF94" s="786"/>
      <c r="STG94" s="786"/>
      <c r="STH94" s="786"/>
      <c r="STI94" s="786"/>
      <c r="STJ94" s="786"/>
      <c r="STK94" s="786"/>
      <c r="STL94" s="786"/>
      <c r="STM94" s="786"/>
      <c r="STN94" s="786"/>
      <c r="STO94" s="786"/>
      <c r="STP94" s="786"/>
      <c r="STQ94" s="786"/>
      <c r="STR94" s="786"/>
      <c r="STS94" s="786"/>
      <c r="STT94" s="786"/>
      <c r="STU94" s="786"/>
      <c r="STV94" s="786"/>
      <c r="STW94" s="786"/>
      <c r="STX94" s="786"/>
      <c r="STY94" s="786"/>
      <c r="STZ94" s="786"/>
      <c r="SUA94" s="786"/>
      <c r="SUB94" s="786"/>
      <c r="SUC94" s="786"/>
      <c r="SUD94" s="786"/>
      <c r="SUE94" s="786"/>
      <c r="SUF94" s="786"/>
      <c r="SUG94" s="786"/>
      <c r="SUH94" s="786"/>
      <c r="SUI94" s="786"/>
      <c r="SUJ94" s="786"/>
      <c r="SUK94" s="786"/>
      <c r="SUL94" s="786"/>
      <c r="SUM94" s="786"/>
      <c r="SUN94" s="786"/>
      <c r="SUO94" s="786"/>
      <c r="SUP94" s="786"/>
      <c r="SUQ94" s="786"/>
      <c r="SUR94" s="786"/>
      <c r="SUS94" s="786"/>
      <c r="SUT94" s="786"/>
      <c r="SUU94" s="786"/>
      <c r="SUV94" s="786"/>
      <c r="SUW94" s="786"/>
      <c r="SUX94" s="786"/>
      <c r="SUY94" s="786"/>
      <c r="SUZ94" s="786"/>
      <c r="SVA94" s="786"/>
      <c r="SVB94" s="786"/>
      <c r="SVC94" s="786"/>
      <c r="SVD94" s="786"/>
      <c r="SVE94" s="786"/>
      <c r="SVF94" s="786"/>
      <c r="SVG94" s="786"/>
      <c r="SVH94" s="786"/>
      <c r="SVI94" s="786"/>
      <c r="SVJ94" s="786"/>
      <c r="SVK94" s="786"/>
      <c r="SVL94" s="786"/>
      <c r="SVM94" s="786"/>
      <c r="SVN94" s="786"/>
      <c r="SVO94" s="786"/>
      <c r="SVP94" s="786"/>
      <c r="SVQ94" s="786"/>
      <c r="SVR94" s="786"/>
      <c r="SVS94" s="786"/>
      <c r="SVT94" s="786"/>
      <c r="SVU94" s="786"/>
      <c r="SVV94" s="786"/>
      <c r="SVW94" s="786"/>
      <c r="SVX94" s="786"/>
      <c r="SVY94" s="786"/>
      <c r="SVZ94" s="786"/>
      <c r="SWA94" s="786"/>
      <c r="SWB94" s="786"/>
      <c r="SWC94" s="786"/>
      <c r="SWD94" s="786"/>
      <c r="SWE94" s="786"/>
      <c r="SWF94" s="786"/>
      <c r="SWG94" s="786"/>
      <c r="SWH94" s="786"/>
      <c r="SWI94" s="786"/>
      <c r="SWJ94" s="786"/>
      <c r="SWK94" s="786"/>
      <c r="SWL94" s="786"/>
      <c r="SWM94" s="786"/>
      <c r="SWN94" s="786"/>
      <c r="SWO94" s="786"/>
      <c r="SWP94" s="786"/>
      <c r="SWQ94" s="786"/>
      <c r="SWR94" s="786"/>
      <c r="SWS94" s="786"/>
      <c r="SWT94" s="786"/>
      <c r="SWU94" s="786"/>
      <c r="SWV94" s="786"/>
      <c r="SWW94" s="786"/>
      <c r="SWX94" s="786"/>
      <c r="SWY94" s="786"/>
      <c r="SWZ94" s="786"/>
      <c r="SXA94" s="786"/>
      <c r="SXB94" s="786"/>
      <c r="SXC94" s="786"/>
      <c r="SXD94" s="786"/>
      <c r="SXE94" s="786"/>
      <c r="SXF94" s="786"/>
      <c r="SXG94" s="786"/>
      <c r="SXH94" s="786"/>
      <c r="SXI94" s="786"/>
      <c r="SXJ94" s="786"/>
      <c r="SXK94" s="786"/>
      <c r="SXL94" s="786"/>
      <c r="SXM94" s="786"/>
      <c r="SXN94" s="786"/>
      <c r="SXO94" s="786"/>
      <c r="SXP94" s="786"/>
      <c r="SXQ94" s="786"/>
      <c r="SXR94" s="786"/>
      <c r="SXS94" s="786"/>
      <c r="SXT94" s="786"/>
      <c r="SXU94" s="786"/>
      <c r="SXV94" s="786"/>
      <c r="SXW94" s="786"/>
      <c r="SXX94" s="786"/>
      <c r="SXY94" s="786"/>
      <c r="SXZ94" s="786"/>
      <c r="SYA94" s="786"/>
      <c r="SYB94" s="786"/>
      <c r="SYC94" s="786"/>
      <c r="SYD94" s="786"/>
      <c r="SYE94" s="786"/>
      <c r="SYF94" s="786"/>
      <c r="SYG94" s="786"/>
      <c r="SYH94" s="786"/>
      <c r="SYI94" s="786"/>
      <c r="SYJ94" s="786"/>
      <c r="SYK94" s="786"/>
      <c r="SYL94" s="786"/>
      <c r="SYM94" s="786"/>
      <c r="SYN94" s="786"/>
      <c r="SYO94" s="786"/>
      <c r="SYP94" s="786"/>
      <c r="SYQ94" s="786"/>
      <c r="SYR94" s="786"/>
      <c r="SYS94" s="786"/>
      <c r="SYT94" s="786"/>
      <c r="SYU94" s="786"/>
      <c r="SYV94" s="786"/>
      <c r="SYW94" s="786"/>
      <c r="SYX94" s="786"/>
      <c r="SYY94" s="786"/>
      <c r="SYZ94" s="786"/>
      <c r="SZA94" s="786"/>
      <c r="SZB94" s="786"/>
      <c r="SZC94" s="786"/>
      <c r="SZD94" s="786"/>
      <c r="SZE94" s="786"/>
      <c r="SZF94" s="786"/>
      <c r="SZG94" s="786"/>
      <c r="SZH94" s="786"/>
      <c r="SZI94" s="786"/>
      <c r="SZJ94" s="786"/>
      <c r="SZK94" s="786"/>
      <c r="SZL94" s="786"/>
      <c r="SZM94" s="786"/>
      <c r="SZN94" s="786"/>
      <c r="SZO94" s="786"/>
      <c r="SZP94" s="786"/>
      <c r="SZQ94" s="786"/>
      <c r="SZR94" s="786"/>
      <c r="SZS94" s="786"/>
      <c r="SZT94" s="786"/>
      <c r="SZU94" s="786"/>
      <c r="SZV94" s="786"/>
      <c r="SZW94" s="786"/>
      <c r="SZX94" s="786"/>
      <c r="SZY94" s="786"/>
      <c r="SZZ94" s="786"/>
      <c r="TAA94" s="786"/>
      <c r="TAB94" s="786"/>
      <c r="TAC94" s="786"/>
      <c r="TAD94" s="786"/>
      <c r="TAE94" s="786"/>
      <c r="TAF94" s="786"/>
      <c r="TAG94" s="786"/>
      <c r="TAH94" s="786"/>
      <c r="TAI94" s="786"/>
      <c r="TAJ94" s="786"/>
      <c r="TAK94" s="786"/>
      <c r="TAL94" s="786"/>
      <c r="TAM94" s="786"/>
      <c r="TAN94" s="786"/>
      <c r="TAO94" s="786"/>
      <c r="TAP94" s="786"/>
      <c r="TAQ94" s="786"/>
      <c r="TAR94" s="786"/>
      <c r="TAS94" s="786"/>
      <c r="TAT94" s="786"/>
      <c r="TAU94" s="786"/>
      <c r="TAV94" s="786"/>
      <c r="TAW94" s="786"/>
      <c r="TAX94" s="786"/>
      <c r="TAY94" s="786"/>
      <c r="TAZ94" s="786"/>
      <c r="TBA94" s="786"/>
      <c r="TBB94" s="786"/>
      <c r="TBC94" s="786"/>
      <c r="TBD94" s="786"/>
      <c r="TBE94" s="786"/>
      <c r="TBF94" s="786"/>
      <c r="TBG94" s="786"/>
      <c r="TBH94" s="786"/>
      <c r="TBI94" s="786"/>
      <c r="TBJ94" s="786"/>
      <c r="TBK94" s="786"/>
      <c r="TBL94" s="786"/>
      <c r="TBM94" s="786"/>
      <c r="TBN94" s="786"/>
      <c r="TBO94" s="786"/>
      <c r="TBP94" s="786"/>
      <c r="TBQ94" s="786"/>
      <c r="TBR94" s="786"/>
      <c r="TBS94" s="786"/>
      <c r="TBT94" s="786"/>
      <c r="TBU94" s="786"/>
      <c r="TBV94" s="786"/>
      <c r="TBW94" s="786"/>
      <c r="TBX94" s="786"/>
      <c r="TBY94" s="786"/>
      <c r="TBZ94" s="786"/>
      <c r="TCA94" s="786"/>
      <c r="TCB94" s="786"/>
      <c r="TCC94" s="786"/>
      <c r="TCD94" s="786"/>
      <c r="TCE94" s="786"/>
      <c r="TCF94" s="786"/>
      <c r="TCG94" s="786"/>
      <c r="TCH94" s="786"/>
      <c r="TCI94" s="786"/>
      <c r="TCJ94" s="786"/>
      <c r="TCK94" s="786"/>
      <c r="TCL94" s="786"/>
      <c r="TCM94" s="786"/>
      <c r="TCN94" s="786"/>
      <c r="TCO94" s="786"/>
      <c r="TCP94" s="786"/>
      <c r="TCQ94" s="786"/>
      <c r="TCR94" s="786"/>
      <c r="TCS94" s="786"/>
      <c r="TCT94" s="786"/>
      <c r="TCU94" s="786"/>
      <c r="TCV94" s="786"/>
      <c r="TCW94" s="786"/>
      <c r="TCX94" s="786"/>
      <c r="TCY94" s="786"/>
      <c r="TCZ94" s="786"/>
      <c r="TDA94" s="786"/>
      <c r="TDB94" s="786"/>
      <c r="TDC94" s="786"/>
      <c r="TDD94" s="786"/>
      <c r="TDE94" s="786"/>
      <c r="TDF94" s="786"/>
      <c r="TDG94" s="786"/>
      <c r="TDH94" s="786"/>
      <c r="TDI94" s="786"/>
      <c r="TDJ94" s="786"/>
      <c r="TDK94" s="786"/>
      <c r="TDL94" s="786"/>
      <c r="TDM94" s="786"/>
      <c r="TDN94" s="786"/>
      <c r="TDO94" s="786"/>
      <c r="TDP94" s="786"/>
      <c r="TDQ94" s="786"/>
      <c r="TDR94" s="786"/>
      <c r="TDS94" s="786"/>
      <c r="TDT94" s="786"/>
      <c r="TDU94" s="786"/>
      <c r="TDV94" s="786"/>
      <c r="TDW94" s="786"/>
      <c r="TDX94" s="786"/>
      <c r="TDY94" s="786"/>
      <c r="TDZ94" s="786"/>
      <c r="TEA94" s="786"/>
      <c r="TEB94" s="786"/>
      <c r="TEC94" s="786"/>
      <c r="TED94" s="786"/>
      <c r="TEE94" s="786"/>
      <c r="TEF94" s="786"/>
      <c r="TEG94" s="786"/>
      <c r="TEH94" s="786"/>
      <c r="TEI94" s="786"/>
      <c r="TEJ94" s="786"/>
      <c r="TEK94" s="786"/>
      <c r="TEL94" s="786"/>
      <c r="TEM94" s="786"/>
      <c r="TEN94" s="786"/>
      <c r="TEO94" s="786"/>
      <c r="TEP94" s="786"/>
      <c r="TEQ94" s="786"/>
      <c r="TER94" s="786"/>
      <c r="TES94" s="786"/>
      <c r="TET94" s="786"/>
      <c r="TEU94" s="786"/>
      <c r="TEV94" s="786"/>
      <c r="TEW94" s="786"/>
      <c r="TEX94" s="786"/>
      <c r="TEY94" s="786"/>
      <c r="TEZ94" s="786"/>
      <c r="TFA94" s="786"/>
      <c r="TFB94" s="786"/>
      <c r="TFC94" s="786"/>
      <c r="TFD94" s="786"/>
      <c r="TFE94" s="786"/>
      <c r="TFF94" s="786"/>
      <c r="TFG94" s="786"/>
      <c r="TFH94" s="786"/>
      <c r="TFI94" s="786"/>
      <c r="TFJ94" s="786"/>
      <c r="TFK94" s="786"/>
      <c r="TFL94" s="786"/>
      <c r="TFM94" s="786"/>
      <c r="TFN94" s="786"/>
      <c r="TFO94" s="786"/>
      <c r="TFP94" s="786"/>
      <c r="TFQ94" s="786"/>
      <c r="TFR94" s="786"/>
      <c r="TFS94" s="786"/>
      <c r="TFT94" s="786"/>
      <c r="TFU94" s="786"/>
      <c r="TFV94" s="786"/>
      <c r="TFW94" s="786"/>
      <c r="TFX94" s="786"/>
      <c r="TFY94" s="786"/>
      <c r="TFZ94" s="786"/>
      <c r="TGA94" s="786"/>
      <c r="TGB94" s="786"/>
      <c r="TGC94" s="786"/>
      <c r="TGD94" s="786"/>
      <c r="TGE94" s="786"/>
      <c r="TGF94" s="786"/>
      <c r="TGG94" s="786"/>
      <c r="TGH94" s="786"/>
      <c r="TGI94" s="786"/>
      <c r="TGJ94" s="786"/>
      <c r="TGK94" s="786"/>
      <c r="TGL94" s="786"/>
      <c r="TGM94" s="786"/>
      <c r="TGN94" s="786"/>
      <c r="TGO94" s="786"/>
      <c r="TGP94" s="786"/>
      <c r="TGQ94" s="786"/>
      <c r="TGR94" s="786"/>
      <c r="TGS94" s="786"/>
      <c r="TGT94" s="786"/>
      <c r="TGU94" s="786"/>
      <c r="TGV94" s="786"/>
      <c r="TGW94" s="786"/>
      <c r="TGX94" s="786"/>
      <c r="TGY94" s="786"/>
      <c r="TGZ94" s="786"/>
      <c r="THA94" s="786"/>
      <c r="THB94" s="786"/>
      <c r="THC94" s="786"/>
      <c r="THD94" s="786"/>
      <c r="THE94" s="786"/>
      <c r="THF94" s="786"/>
      <c r="THG94" s="786"/>
      <c r="THH94" s="786"/>
      <c r="THI94" s="786"/>
      <c r="THJ94" s="786"/>
      <c r="THK94" s="786"/>
      <c r="THL94" s="786"/>
      <c r="THM94" s="786"/>
      <c r="THN94" s="786"/>
      <c r="THO94" s="786"/>
      <c r="THP94" s="786"/>
      <c r="THQ94" s="786"/>
      <c r="THR94" s="786"/>
      <c r="THS94" s="786"/>
      <c r="THT94" s="786"/>
      <c r="THU94" s="786"/>
      <c r="THV94" s="786"/>
      <c r="THW94" s="786"/>
      <c r="THX94" s="786"/>
      <c r="THY94" s="786"/>
      <c r="THZ94" s="786"/>
      <c r="TIA94" s="786"/>
      <c r="TIB94" s="786"/>
      <c r="TIC94" s="786"/>
      <c r="TID94" s="786"/>
      <c r="TIE94" s="786"/>
      <c r="TIF94" s="786"/>
      <c r="TIG94" s="786"/>
      <c r="TIH94" s="786"/>
      <c r="TII94" s="786"/>
      <c r="TIJ94" s="786"/>
      <c r="TIK94" s="786"/>
      <c r="TIL94" s="786"/>
      <c r="TIM94" s="786"/>
      <c r="TIN94" s="786"/>
      <c r="TIO94" s="786"/>
      <c r="TIP94" s="786"/>
      <c r="TIQ94" s="786"/>
      <c r="TIR94" s="786"/>
      <c r="TIS94" s="786"/>
      <c r="TIT94" s="786"/>
      <c r="TIU94" s="786"/>
      <c r="TIV94" s="786"/>
      <c r="TIW94" s="786"/>
      <c r="TIX94" s="786"/>
      <c r="TIY94" s="786"/>
      <c r="TIZ94" s="786"/>
      <c r="TJA94" s="786"/>
      <c r="TJB94" s="786"/>
      <c r="TJC94" s="786"/>
      <c r="TJD94" s="786"/>
      <c r="TJE94" s="786"/>
      <c r="TJF94" s="786"/>
      <c r="TJG94" s="786"/>
      <c r="TJH94" s="786"/>
      <c r="TJI94" s="786"/>
      <c r="TJJ94" s="786"/>
      <c r="TJK94" s="786"/>
      <c r="TJL94" s="786"/>
      <c r="TJM94" s="786"/>
      <c r="TJN94" s="786"/>
      <c r="TJO94" s="786"/>
      <c r="TJP94" s="786"/>
      <c r="TJQ94" s="786"/>
      <c r="TJR94" s="786"/>
      <c r="TJS94" s="786"/>
      <c r="TJT94" s="786"/>
      <c r="TJU94" s="786"/>
      <c r="TJV94" s="786"/>
      <c r="TJW94" s="786"/>
      <c r="TJX94" s="786"/>
      <c r="TJY94" s="786"/>
      <c r="TJZ94" s="786"/>
      <c r="TKA94" s="786"/>
      <c r="TKB94" s="786"/>
      <c r="TKC94" s="786"/>
      <c r="TKD94" s="786"/>
      <c r="TKE94" s="786"/>
      <c r="TKF94" s="786"/>
      <c r="TKG94" s="786"/>
      <c r="TKH94" s="786"/>
      <c r="TKI94" s="786"/>
      <c r="TKJ94" s="786"/>
      <c r="TKK94" s="786"/>
      <c r="TKL94" s="786"/>
      <c r="TKM94" s="786"/>
      <c r="TKN94" s="786"/>
      <c r="TKO94" s="786"/>
      <c r="TKP94" s="786"/>
      <c r="TKQ94" s="786"/>
      <c r="TKR94" s="786"/>
      <c r="TKS94" s="786"/>
      <c r="TKT94" s="786"/>
      <c r="TKU94" s="786"/>
      <c r="TKV94" s="786"/>
      <c r="TKW94" s="786"/>
      <c r="TKX94" s="786"/>
      <c r="TKY94" s="786"/>
      <c r="TKZ94" s="786"/>
      <c r="TLA94" s="786"/>
      <c r="TLB94" s="786"/>
      <c r="TLC94" s="786"/>
      <c r="TLD94" s="786"/>
      <c r="TLE94" s="786"/>
      <c r="TLF94" s="786"/>
      <c r="TLG94" s="786"/>
      <c r="TLH94" s="786"/>
      <c r="TLI94" s="786"/>
      <c r="TLJ94" s="786"/>
      <c r="TLK94" s="786"/>
      <c r="TLL94" s="786"/>
      <c r="TLM94" s="786"/>
      <c r="TLN94" s="786"/>
      <c r="TLO94" s="786"/>
      <c r="TLP94" s="786"/>
      <c r="TLQ94" s="786"/>
      <c r="TLR94" s="786"/>
      <c r="TLS94" s="786"/>
      <c r="TLT94" s="786"/>
      <c r="TLU94" s="786"/>
      <c r="TLV94" s="786"/>
      <c r="TLW94" s="786"/>
      <c r="TLX94" s="786"/>
      <c r="TLY94" s="786"/>
      <c r="TLZ94" s="786"/>
      <c r="TMA94" s="786"/>
      <c r="TMB94" s="786"/>
      <c r="TMC94" s="786"/>
      <c r="TMD94" s="786"/>
      <c r="TME94" s="786"/>
      <c r="TMF94" s="786"/>
      <c r="TMG94" s="786"/>
      <c r="TMH94" s="786"/>
      <c r="TMI94" s="786"/>
      <c r="TMJ94" s="786"/>
      <c r="TMK94" s="786"/>
      <c r="TML94" s="786"/>
      <c r="TMM94" s="786"/>
      <c r="TMN94" s="786"/>
      <c r="TMO94" s="786"/>
      <c r="TMP94" s="786"/>
      <c r="TMQ94" s="786"/>
      <c r="TMR94" s="786"/>
      <c r="TMS94" s="786"/>
      <c r="TMT94" s="786"/>
      <c r="TMU94" s="786"/>
      <c r="TMV94" s="786"/>
      <c r="TMW94" s="786"/>
      <c r="TMX94" s="786"/>
      <c r="TMY94" s="786"/>
      <c r="TMZ94" s="786"/>
      <c r="TNA94" s="786"/>
      <c r="TNB94" s="786"/>
      <c r="TNC94" s="786"/>
      <c r="TND94" s="786"/>
      <c r="TNE94" s="786"/>
      <c r="TNF94" s="786"/>
      <c r="TNG94" s="786"/>
      <c r="TNH94" s="786"/>
      <c r="TNI94" s="786"/>
      <c r="TNJ94" s="786"/>
      <c r="TNK94" s="786"/>
      <c r="TNL94" s="786"/>
      <c r="TNM94" s="786"/>
      <c r="TNN94" s="786"/>
      <c r="TNO94" s="786"/>
      <c r="TNP94" s="786"/>
      <c r="TNQ94" s="786"/>
      <c r="TNR94" s="786"/>
      <c r="TNS94" s="786"/>
      <c r="TNT94" s="786"/>
      <c r="TNU94" s="786"/>
      <c r="TNV94" s="786"/>
      <c r="TNW94" s="786"/>
      <c r="TNX94" s="786"/>
      <c r="TNY94" s="786"/>
      <c r="TNZ94" s="786"/>
      <c r="TOA94" s="786"/>
      <c r="TOB94" s="786"/>
      <c r="TOC94" s="786"/>
      <c r="TOD94" s="786"/>
      <c r="TOE94" s="786"/>
      <c r="TOF94" s="786"/>
      <c r="TOG94" s="786"/>
      <c r="TOH94" s="786"/>
      <c r="TOI94" s="786"/>
      <c r="TOJ94" s="786"/>
      <c r="TOK94" s="786"/>
      <c r="TOL94" s="786"/>
      <c r="TOM94" s="786"/>
      <c r="TON94" s="786"/>
      <c r="TOO94" s="786"/>
      <c r="TOP94" s="786"/>
      <c r="TOQ94" s="786"/>
      <c r="TOR94" s="786"/>
      <c r="TOS94" s="786"/>
      <c r="TOT94" s="786"/>
      <c r="TOU94" s="786"/>
      <c r="TOV94" s="786"/>
      <c r="TOW94" s="786"/>
      <c r="TOX94" s="786"/>
      <c r="TOY94" s="786"/>
      <c r="TOZ94" s="786"/>
      <c r="TPA94" s="786"/>
      <c r="TPB94" s="786"/>
      <c r="TPC94" s="786"/>
      <c r="TPD94" s="786"/>
      <c r="TPE94" s="786"/>
      <c r="TPF94" s="786"/>
      <c r="TPG94" s="786"/>
      <c r="TPH94" s="786"/>
      <c r="TPI94" s="786"/>
      <c r="TPJ94" s="786"/>
      <c r="TPK94" s="786"/>
      <c r="TPL94" s="786"/>
      <c r="TPM94" s="786"/>
      <c r="TPN94" s="786"/>
      <c r="TPO94" s="786"/>
      <c r="TPP94" s="786"/>
      <c r="TPQ94" s="786"/>
      <c r="TPR94" s="786"/>
      <c r="TPS94" s="786"/>
      <c r="TPT94" s="786"/>
      <c r="TPU94" s="786"/>
      <c r="TPV94" s="786"/>
      <c r="TPW94" s="786"/>
      <c r="TPX94" s="786"/>
      <c r="TPY94" s="786"/>
      <c r="TPZ94" s="786"/>
      <c r="TQA94" s="786"/>
      <c r="TQB94" s="786"/>
      <c r="TQC94" s="786"/>
      <c r="TQD94" s="786"/>
      <c r="TQE94" s="786"/>
      <c r="TQF94" s="786"/>
      <c r="TQG94" s="786"/>
      <c r="TQH94" s="786"/>
      <c r="TQI94" s="786"/>
      <c r="TQJ94" s="786"/>
      <c r="TQK94" s="786"/>
      <c r="TQL94" s="786"/>
      <c r="TQM94" s="786"/>
      <c r="TQN94" s="786"/>
      <c r="TQO94" s="786"/>
      <c r="TQP94" s="786"/>
      <c r="TQQ94" s="786"/>
      <c r="TQR94" s="786"/>
      <c r="TQS94" s="786"/>
      <c r="TQT94" s="786"/>
      <c r="TQU94" s="786"/>
      <c r="TQV94" s="786"/>
      <c r="TQW94" s="786"/>
      <c r="TQX94" s="786"/>
      <c r="TQY94" s="786"/>
      <c r="TQZ94" s="786"/>
      <c r="TRA94" s="786"/>
      <c r="TRB94" s="786"/>
      <c r="TRC94" s="786"/>
      <c r="TRD94" s="786"/>
      <c r="TRE94" s="786"/>
      <c r="TRF94" s="786"/>
      <c r="TRG94" s="786"/>
      <c r="TRH94" s="786"/>
      <c r="TRI94" s="786"/>
      <c r="TRJ94" s="786"/>
      <c r="TRK94" s="786"/>
      <c r="TRL94" s="786"/>
      <c r="TRM94" s="786"/>
      <c r="TRN94" s="786"/>
      <c r="TRO94" s="786"/>
      <c r="TRP94" s="786"/>
      <c r="TRQ94" s="786"/>
      <c r="TRR94" s="786"/>
      <c r="TRS94" s="786"/>
      <c r="TRT94" s="786"/>
      <c r="TRU94" s="786"/>
      <c r="TRV94" s="786"/>
      <c r="TRW94" s="786"/>
      <c r="TRX94" s="786"/>
      <c r="TRY94" s="786"/>
      <c r="TRZ94" s="786"/>
      <c r="TSA94" s="786"/>
      <c r="TSB94" s="786"/>
      <c r="TSC94" s="786"/>
      <c r="TSD94" s="786"/>
      <c r="TSE94" s="786"/>
      <c r="TSF94" s="786"/>
      <c r="TSG94" s="786"/>
      <c r="TSH94" s="786"/>
      <c r="TSI94" s="786"/>
      <c r="TSJ94" s="786"/>
      <c r="TSK94" s="786"/>
      <c r="TSL94" s="786"/>
      <c r="TSM94" s="786"/>
      <c r="TSN94" s="786"/>
      <c r="TSO94" s="786"/>
      <c r="TSP94" s="786"/>
      <c r="TSQ94" s="786"/>
      <c r="TSR94" s="786"/>
      <c r="TSS94" s="786"/>
      <c r="TST94" s="786"/>
      <c r="TSU94" s="786"/>
      <c r="TSV94" s="786"/>
      <c r="TSW94" s="786"/>
      <c r="TSX94" s="786"/>
      <c r="TSY94" s="786"/>
      <c r="TSZ94" s="786"/>
      <c r="TTA94" s="786"/>
      <c r="TTB94" s="786"/>
      <c r="TTC94" s="786"/>
      <c r="TTD94" s="786"/>
      <c r="TTE94" s="786"/>
      <c r="TTF94" s="786"/>
      <c r="TTG94" s="786"/>
      <c r="TTH94" s="786"/>
      <c r="TTI94" s="786"/>
      <c r="TTJ94" s="786"/>
      <c r="TTK94" s="786"/>
      <c r="TTL94" s="786"/>
      <c r="TTM94" s="786"/>
      <c r="TTN94" s="786"/>
      <c r="TTO94" s="786"/>
      <c r="TTP94" s="786"/>
      <c r="TTQ94" s="786"/>
      <c r="TTR94" s="786"/>
      <c r="TTS94" s="786"/>
      <c r="TTT94" s="786"/>
      <c r="TTU94" s="786"/>
      <c r="TTV94" s="786"/>
      <c r="TTW94" s="786"/>
      <c r="TTX94" s="786"/>
      <c r="TTY94" s="786"/>
      <c r="TTZ94" s="786"/>
      <c r="TUA94" s="786"/>
      <c r="TUB94" s="786"/>
      <c r="TUC94" s="786"/>
      <c r="TUD94" s="786"/>
      <c r="TUE94" s="786"/>
      <c r="TUF94" s="786"/>
      <c r="TUG94" s="786"/>
      <c r="TUH94" s="786"/>
      <c r="TUI94" s="786"/>
      <c r="TUJ94" s="786"/>
      <c r="TUK94" s="786"/>
      <c r="TUL94" s="786"/>
      <c r="TUM94" s="786"/>
      <c r="TUN94" s="786"/>
      <c r="TUO94" s="786"/>
      <c r="TUP94" s="786"/>
      <c r="TUQ94" s="786"/>
      <c r="TUR94" s="786"/>
      <c r="TUS94" s="786"/>
      <c r="TUT94" s="786"/>
      <c r="TUU94" s="786"/>
      <c r="TUV94" s="786"/>
      <c r="TUW94" s="786"/>
      <c r="TUX94" s="786"/>
      <c r="TUY94" s="786"/>
      <c r="TUZ94" s="786"/>
      <c r="TVA94" s="786"/>
      <c r="TVB94" s="786"/>
      <c r="TVC94" s="786"/>
      <c r="TVD94" s="786"/>
      <c r="TVE94" s="786"/>
      <c r="TVF94" s="786"/>
      <c r="TVG94" s="786"/>
      <c r="TVH94" s="786"/>
      <c r="TVI94" s="786"/>
      <c r="TVJ94" s="786"/>
      <c r="TVK94" s="786"/>
      <c r="TVL94" s="786"/>
      <c r="TVM94" s="786"/>
      <c r="TVN94" s="786"/>
      <c r="TVO94" s="786"/>
      <c r="TVP94" s="786"/>
      <c r="TVQ94" s="786"/>
      <c r="TVR94" s="786"/>
      <c r="TVS94" s="786"/>
      <c r="TVT94" s="786"/>
      <c r="TVU94" s="786"/>
      <c r="TVV94" s="786"/>
      <c r="TVW94" s="786"/>
      <c r="TVX94" s="786"/>
      <c r="TVY94" s="786"/>
      <c r="TVZ94" s="786"/>
      <c r="TWA94" s="786"/>
      <c r="TWB94" s="786"/>
      <c r="TWC94" s="786"/>
      <c r="TWD94" s="786"/>
      <c r="TWE94" s="786"/>
      <c r="TWF94" s="786"/>
      <c r="TWG94" s="786"/>
      <c r="TWH94" s="786"/>
      <c r="TWI94" s="786"/>
      <c r="TWJ94" s="786"/>
      <c r="TWK94" s="786"/>
      <c r="TWL94" s="786"/>
      <c r="TWM94" s="786"/>
      <c r="TWN94" s="786"/>
      <c r="TWO94" s="786"/>
      <c r="TWP94" s="786"/>
      <c r="TWQ94" s="786"/>
      <c r="TWR94" s="786"/>
      <c r="TWS94" s="786"/>
      <c r="TWT94" s="786"/>
      <c r="TWU94" s="786"/>
      <c r="TWV94" s="786"/>
      <c r="TWW94" s="786"/>
      <c r="TWX94" s="786"/>
      <c r="TWY94" s="786"/>
      <c r="TWZ94" s="786"/>
      <c r="TXA94" s="786"/>
      <c r="TXB94" s="786"/>
      <c r="TXC94" s="786"/>
      <c r="TXD94" s="786"/>
      <c r="TXE94" s="786"/>
      <c r="TXF94" s="786"/>
      <c r="TXG94" s="786"/>
      <c r="TXH94" s="786"/>
      <c r="TXI94" s="786"/>
      <c r="TXJ94" s="786"/>
      <c r="TXK94" s="786"/>
      <c r="TXL94" s="786"/>
      <c r="TXM94" s="786"/>
      <c r="TXN94" s="786"/>
      <c r="TXO94" s="786"/>
      <c r="TXP94" s="786"/>
      <c r="TXQ94" s="786"/>
      <c r="TXR94" s="786"/>
      <c r="TXS94" s="786"/>
      <c r="TXT94" s="786"/>
      <c r="TXU94" s="786"/>
      <c r="TXV94" s="786"/>
      <c r="TXW94" s="786"/>
      <c r="TXX94" s="786"/>
      <c r="TXY94" s="786"/>
      <c r="TXZ94" s="786"/>
      <c r="TYA94" s="786"/>
      <c r="TYB94" s="786"/>
      <c r="TYC94" s="786"/>
      <c r="TYD94" s="786"/>
      <c r="TYE94" s="786"/>
      <c r="TYF94" s="786"/>
      <c r="TYG94" s="786"/>
      <c r="TYH94" s="786"/>
      <c r="TYI94" s="786"/>
      <c r="TYJ94" s="786"/>
      <c r="TYK94" s="786"/>
      <c r="TYL94" s="786"/>
      <c r="TYM94" s="786"/>
      <c r="TYN94" s="786"/>
      <c r="TYO94" s="786"/>
      <c r="TYP94" s="786"/>
      <c r="TYQ94" s="786"/>
      <c r="TYR94" s="786"/>
      <c r="TYS94" s="786"/>
      <c r="TYT94" s="786"/>
      <c r="TYU94" s="786"/>
      <c r="TYV94" s="786"/>
      <c r="TYW94" s="786"/>
      <c r="TYX94" s="786"/>
      <c r="TYY94" s="786"/>
      <c r="TYZ94" s="786"/>
      <c r="TZA94" s="786"/>
      <c r="TZB94" s="786"/>
      <c r="TZC94" s="786"/>
      <c r="TZD94" s="786"/>
      <c r="TZE94" s="786"/>
      <c r="TZF94" s="786"/>
      <c r="TZG94" s="786"/>
      <c r="TZH94" s="786"/>
      <c r="TZI94" s="786"/>
      <c r="TZJ94" s="786"/>
      <c r="TZK94" s="786"/>
      <c r="TZL94" s="786"/>
      <c r="TZM94" s="786"/>
      <c r="TZN94" s="786"/>
      <c r="TZO94" s="786"/>
      <c r="TZP94" s="786"/>
      <c r="TZQ94" s="786"/>
      <c r="TZR94" s="786"/>
      <c r="TZS94" s="786"/>
      <c r="TZT94" s="786"/>
      <c r="TZU94" s="786"/>
      <c r="TZV94" s="786"/>
      <c r="TZW94" s="786"/>
      <c r="TZX94" s="786"/>
      <c r="TZY94" s="786"/>
      <c r="TZZ94" s="786"/>
      <c r="UAA94" s="786"/>
      <c r="UAB94" s="786"/>
      <c r="UAC94" s="786"/>
      <c r="UAD94" s="786"/>
      <c r="UAE94" s="786"/>
      <c r="UAF94" s="786"/>
      <c r="UAG94" s="786"/>
      <c r="UAH94" s="786"/>
      <c r="UAI94" s="786"/>
      <c r="UAJ94" s="786"/>
      <c r="UAK94" s="786"/>
      <c r="UAL94" s="786"/>
      <c r="UAM94" s="786"/>
      <c r="UAN94" s="786"/>
      <c r="UAO94" s="786"/>
      <c r="UAP94" s="786"/>
      <c r="UAQ94" s="786"/>
      <c r="UAR94" s="786"/>
      <c r="UAS94" s="786"/>
      <c r="UAT94" s="786"/>
      <c r="UAU94" s="786"/>
      <c r="UAV94" s="786"/>
      <c r="UAW94" s="786"/>
      <c r="UAX94" s="786"/>
      <c r="UAY94" s="786"/>
      <c r="UAZ94" s="786"/>
      <c r="UBA94" s="786"/>
      <c r="UBB94" s="786"/>
      <c r="UBC94" s="786"/>
      <c r="UBD94" s="786"/>
      <c r="UBE94" s="786"/>
      <c r="UBF94" s="786"/>
      <c r="UBG94" s="786"/>
      <c r="UBH94" s="786"/>
      <c r="UBI94" s="786"/>
      <c r="UBJ94" s="786"/>
      <c r="UBK94" s="786"/>
      <c r="UBL94" s="786"/>
      <c r="UBM94" s="786"/>
      <c r="UBN94" s="786"/>
      <c r="UBO94" s="786"/>
      <c r="UBP94" s="786"/>
      <c r="UBQ94" s="786"/>
      <c r="UBR94" s="786"/>
      <c r="UBS94" s="786"/>
      <c r="UBT94" s="786"/>
      <c r="UBU94" s="786"/>
      <c r="UBV94" s="786"/>
      <c r="UBW94" s="786"/>
      <c r="UBX94" s="786"/>
      <c r="UBY94" s="786"/>
      <c r="UBZ94" s="786"/>
      <c r="UCA94" s="786"/>
      <c r="UCB94" s="786"/>
      <c r="UCC94" s="786"/>
      <c r="UCD94" s="786"/>
      <c r="UCE94" s="786"/>
      <c r="UCF94" s="786"/>
      <c r="UCG94" s="786"/>
      <c r="UCH94" s="786"/>
      <c r="UCI94" s="786"/>
      <c r="UCJ94" s="786"/>
      <c r="UCK94" s="786"/>
      <c r="UCL94" s="786"/>
      <c r="UCM94" s="786"/>
      <c r="UCN94" s="786"/>
      <c r="UCO94" s="786"/>
      <c r="UCP94" s="786"/>
      <c r="UCQ94" s="786"/>
      <c r="UCR94" s="786"/>
      <c r="UCS94" s="786"/>
      <c r="UCT94" s="786"/>
      <c r="UCU94" s="786"/>
      <c r="UCV94" s="786"/>
      <c r="UCW94" s="786"/>
      <c r="UCX94" s="786"/>
      <c r="UCY94" s="786"/>
      <c r="UCZ94" s="786"/>
      <c r="UDA94" s="786"/>
      <c r="UDB94" s="786"/>
      <c r="UDC94" s="786"/>
      <c r="UDD94" s="786"/>
      <c r="UDE94" s="786"/>
      <c r="UDF94" s="786"/>
      <c r="UDG94" s="786"/>
      <c r="UDH94" s="786"/>
      <c r="UDI94" s="786"/>
      <c r="UDJ94" s="786"/>
      <c r="UDK94" s="786"/>
      <c r="UDL94" s="786"/>
      <c r="UDM94" s="786"/>
      <c r="UDN94" s="786"/>
      <c r="UDO94" s="786"/>
      <c r="UDP94" s="786"/>
      <c r="UDQ94" s="786"/>
      <c r="UDR94" s="786"/>
      <c r="UDS94" s="786"/>
      <c r="UDT94" s="786"/>
      <c r="UDU94" s="786"/>
      <c r="UDV94" s="786"/>
      <c r="UDW94" s="786"/>
      <c r="UDX94" s="786"/>
      <c r="UDY94" s="786"/>
      <c r="UDZ94" s="786"/>
      <c r="UEA94" s="786"/>
      <c r="UEB94" s="786"/>
      <c r="UEC94" s="786"/>
      <c r="UED94" s="786"/>
      <c r="UEE94" s="786"/>
      <c r="UEF94" s="786"/>
      <c r="UEG94" s="786"/>
      <c r="UEH94" s="786"/>
      <c r="UEI94" s="786"/>
      <c r="UEJ94" s="786"/>
      <c r="UEK94" s="786"/>
      <c r="UEL94" s="786"/>
      <c r="UEM94" s="786"/>
      <c r="UEN94" s="786"/>
      <c r="UEO94" s="786"/>
      <c r="UEP94" s="786"/>
      <c r="UEQ94" s="786"/>
      <c r="UER94" s="786"/>
      <c r="UES94" s="786"/>
      <c r="UET94" s="786"/>
      <c r="UEU94" s="786"/>
      <c r="UEV94" s="786"/>
      <c r="UEW94" s="786"/>
      <c r="UEX94" s="786"/>
      <c r="UEY94" s="786"/>
      <c r="UEZ94" s="786"/>
      <c r="UFA94" s="786"/>
      <c r="UFB94" s="786"/>
      <c r="UFC94" s="786"/>
      <c r="UFD94" s="786"/>
      <c r="UFE94" s="786"/>
      <c r="UFF94" s="786"/>
      <c r="UFG94" s="786"/>
      <c r="UFH94" s="786"/>
      <c r="UFI94" s="786"/>
      <c r="UFJ94" s="786"/>
      <c r="UFK94" s="786"/>
      <c r="UFL94" s="786"/>
      <c r="UFM94" s="786"/>
      <c r="UFN94" s="786"/>
      <c r="UFO94" s="786"/>
      <c r="UFP94" s="786"/>
      <c r="UFQ94" s="786"/>
      <c r="UFR94" s="786"/>
      <c r="UFS94" s="786"/>
      <c r="UFT94" s="786"/>
      <c r="UFU94" s="786"/>
      <c r="UFV94" s="786"/>
      <c r="UFW94" s="786"/>
      <c r="UFX94" s="786"/>
      <c r="UFY94" s="786"/>
      <c r="UFZ94" s="786"/>
      <c r="UGA94" s="786"/>
      <c r="UGB94" s="786"/>
      <c r="UGC94" s="786"/>
      <c r="UGD94" s="786"/>
      <c r="UGE94" s="786"/>
      <c r="UGF94" s="786"/>
      <c r="UGG94" s="786"/>
      <c r="UGH94" s="786"/>
      <c r="UGI94" s="786"/>
      <c r="UGJ94" s="786"/>
      <c r="UGK94" s="786"/>
      <c r="UGL94" s="786"/>
      <c r="UGM94" s="786"/>
      <c r="UGN94" s="786"/>
      <c r="UGO94" s="786"/>
      <c r="UGP94" s="786"/>
      <c r="UGQ94" s="786"/>
      <c r="UGR94" s="786"/>
      <c r="UGS94" s="786"/>
      <c r="UGT94" s="786"/>
      <c r="UGU94" s="786"/>
      <c r="UGV94" s="786"/>
      <c r="UGW94" s="786"/>
      <c r="UGX94" s="786"/>
      <c r="UGY94" s="786"/>
      <c r="UGZ94" s="786"/>
      <c r="UHA94" s="786"/>
      <c r="UHB94" s="786"/>
      <c r="UHC94" s="786"/>
      <c r="UHD94" s="786"/>
      <c r="UHE94" s="786"/>
      <c r="UHF94" s="786"/>
      <c r="UHG94" s="786"/>
      <c r="UHH94" s="786"/>
      <c r="UHI94" s="786"/>
      <c r="UHJ94" s="786"/>
      <c r="UHK94" s="786"/>
      <c r="UHL94" s="786"/>
      <c r="UHM94" s="786"/>
      <c r="UHN94" s="786"/>
      <c r="UHO94" s="786"/>
      <c r="UHP94" s="786"/>
      <c r="UHQ94" s="786"/>
      <c r="UHR94" s="786"/>
      <c r="UHS94" s="786"/>
      <c r="UHT94" s="786"/>
      <c r="UHU94" s="786"/>
      <c r="UHV94" s="786"/>
      <c r="UHW94" s="786"/>
      <c r="UHX94" s="786"/>
      <c r="UHY94" s="786"/>
      <c r="UHZ94" s="786"/>
      <c r="UIA94" s="786"/>
      <c r="UIB94" s="786"/>
      <c r="UIC94" s="786"/>
      <c r="UID94" s="786"/>
      <c r="UIE94" s="786"/>
      <c r="UIF94" s="786"/>
      <c r="UIG94" s="786"/>
      <c r="UIH94" s="786"/>
      <c r="UII94" s="786"/>
      <c r="UIJ94" s="786"/>
      <c r="UIK94" s="786"/>
      <c r="UIL94" s="786"/>
      <c r="UIM94" s="786"/>
      <c r="UIN94" s="786"/>
      <c r="UIO94" s="786"/>
      <c r="UIP94" s="786"/>
      <c r="UIQ94" s="786"/>
      <c r="UIR94" s="786"/>
      <c r="UIS94" s="786"/>
      <c r="UIT94" s="786"/>
      <c r="UIU94" s="786"/>
      <c r="UIV94" s="786"/>
      <c r="UIW94" s="786"/>
      <c r="UIX94" s="786"/>
      <c r="UIY94" s="786"/>
      <c r="UIZ94" s="786"/>
      <c r="UJA94" s="786"/>
      <c r="UJB94" s="786"/>
      <c r="UJC94" s="786"/>
      <c r="UJD94" s="786"/>
      <c r="UJE94" s="786"/>
      <c r="UJF94" s="786"/>
      <c r="UJG94" s="786"/>
      <c r="UJH94" s="786"/>
      <c r="UJI94" s="786"/>
      <c r="UJJ94" s="786"/>
      <c r="UJK94" s="786"/>
      <c r="UJL94" s="786"/>
      <c r="UJM94" s="786"/>
      <c r="UJN94" s="786"/>
      <c r="UJO94" s="786"/>
      <c r="UJP94" s="786"/>
      <c r="UJQ94" s="786"/>
      <c r="UJR94" s="786"/>
      <c r="UJS94" s="786"/>
      <c r="UJT94" s="786"/>
      <c r="UJU94" s="786"/>
      <c r="UJV94" s="786"/>
      <c r="UJW94" s="786"/>
      <c r="UJX94" s="786"/>
      <c r="UJY94" s="786"/>
      <c r="UJZ94" s="786"/>
      <c r="UKA94" s="786"/>
      <c r="UKB94" s="786"/>
      <c r="UKC94" s="786"/>
      <c r="UKD94" s="786"/>
      <c r="UKE94" s="786"/>
      <c r="UKF94" s="786"/>
      <c r="UKG94" s="786"/>
      <c r="UKH94" s="786"/>
      <c r="UKI94" s="786"/>
      <c r="UKJ94" s="786"/>
      <c r="UKK94" s="786"/>
      <c r="UKL94" s="786"/>
      <c r="UKM94" s="786"/>
      <c r="UKN94" s="786"/>
      <c r="UKO94" s="786"/>
      <c r="UKP94" s="786"/>
      <c r="UKQ94" s="786"/>
      <c r="UKR94" s="786"/>
      <c r="UKS94" s="786"/>
      <c r="UKT94" s="786"/>
      <c r="UKU94" s="786"/>
      <c r="UKV94" s="786"/>
      <c r="UKW94" s="786"/>
      <c r="UKX94" s="786"/>
      <c r="UKY94" s="786"/>
      <c r="UKZ94" s="786"/>
      <c r="ULA94" s="786"/>
      <c r="ULB94" s="786"/>
      <c r="ULC94" s="786"/>
      <c r="ULD94" s="786"/>
      <c r="ULE94" s="786"/>
      <c r="ULF94" s="786"/>
      <c r="ULG94" s="786"/>
      <c r="ULH94" s="786"/>
      <c r="ULI94" s="786"/>
      <c r="ULJ94" s="786"/>
      <c r="ULK94" s="786"/>
      <c r="ULL94" s="786"/>
      <c r="ULM94" s="786"/>
      <c r="ULN94" s="786"/>
      <c r="ULO94" s="786"/>
      <c r="ULP94" s="786"/>
      <c r="ULQ94" s="786"/>
      <c r="ULR94" s="786"/>
      <c r="ULS94" s="786"/>
      <c r="ULT94" s="786"/>
      <c r="ULU94" s="786"/>
      <c r="ULV94" s="786"/>
      <c r="ULW94" s="786"/>
      <c r="ULX94" s="786"/>
      <c r="ULY94" s="786"/>
      <c r="ULZ94" s="786"/>
      <c r="UMA94" s="786"/>
      <c r="UMB94" s="786"/>
      <c r="UMC94" s="786"/>
      <c r="UMD94" s="786"/>
      <c r="UME94" s="786"/>
      <c r="UMF94" s="786"/>
      <c r="UMG94" s="786"/>
      <c r="UMH94" s="786"/>
      <c r="UMI94" s="786"/>
      <c r="UMJ94" s="786"/>
      <c r="UMK94" s="786"/>
      <c r="UML94" s="786"/>
      <c r="UMM94" s="786"/>
      <c r="UMN94" s="786"/>
      <c r="UMO94" s="786"/>
      <c r="UMP94" s="786"/>
      <c r="UMQ94" s="786"/>
      <c r="UMR94" s="786"/>
      <c r="UMS94" s="786"/>
      <c r="UMT94" s="786"/>
      <c r="UMU94" s="786"/>
      <c r="UMV94" s="786"/>
      <c r="UMW94" s="786"/>
      <c r="UMX94" s="786"/>
      <c r="UMY94" s="786"/>
      <c r="UMZ94" s="786"/>
      <c r="UNA94" s="786"/>
      <c r="UNB94" s="786"/>
      <c r="UNC94" s="786"/>
      <c r="UND94" s="786"/>
      <c r="UNE94" s="786"/>
      <c r="UNF94" s="786"/>
      <c r="UNG94" s="786"/>
      <c r="UNH94" s="786"/>
      <c r="UNI94" s="786"/>
      <c r="UNJ94" s="786"/>
      <c r="UNK94" s="786"/>
      <c r="UNL94" s="786"/>
      <c r="UNM94" s="786"/>
      <c r="UNN94" s="786"/>
      <c r="UNO94" s="786"/>
      <c r="UNP94" s="786"/>
      <c r="UNQ94" s="786"/>
      <c r="UNR94" s="786"/>
      <c r="UNS94" s="786"/>
      <c r="UNT94" s="786"/>
      <c r="UNU94" s="786"/>
      <c r="UNV94" s="786"/>
      <c r="UNW94" s="786"/>
      <c r="UNX94" s="786"/>
      <c r="UNY94" s="786"/>
      <c r="UNZ94" s="786"/>
      <c r="UOA94" s="786"/>
      <c r="UOB94" s="786"/>
      <c r="UOC94" s="786"/>
      <c r="UOD94" s="786"/>
      <c r="UOE94" s="786"/>
      <c r="UOF94" s="786"/>
      <c r="UOG94" s="786"/>
      <c r="UOH94" s="786"/>
      <c r="UOI94" s="786"/>
      <c r="UOJ94" s="786"/>
      <c r="UOK94" s="786"/>
      <c r="UOL94" s="786"/>
      <c r="UOM94" s="786"/>
      <c r="UON94" s="786"/>
      <c r="UOO94" s="786"/>
      <c r="UOP94" s="786"/>
      <c r="UOQ94" s="786"/>
      <c r="UOR94" s="786"/>
      <c r="UOS94" s="786"/>
      <c r="UOT94" s="786"/>
      <c r="UOU94" s="786"/>
      <c r="UOV94" s="786"/>
      <c r="UOW94" s="786"/>
      <c r="UOX94" s="786"/>
      <c r="UOY94" s="786"/>
      <c r="UOZ94" s="786"/>
      <c r="UPA94" s="786"/>
      <c r="UPB94" s="786"/>
      <c r="UPC94" s="786"/>
      <c r="UPD94" s="786"/>
      <c r="UPE94" s="786"/>
      <c r="UPF94" s="786"/>
      <c r="UPG94" s="786"/>
      <c r="UPH94" s="786"/>
      <c r="UPI94" s="786"/>
      <c r="UPJ94" s="786"/>
      <c r="UPK94" s="786"/>
      <c r="UPL94" s="786"/>
      <c r="UPM94" s="786"/>
      <c r="UPN94" s="786"/>
      <c r="UPO94" s="786"/>
      <c r="UPP94" s="786"/>
      <c r="UPQ94" s="786"/>
      <c r="UPR94" s="786"/>
      <c r="UPS94" s="786"/>
      <c r="UPT94" s="786"/>
      <c r="UPU94" s="786"/>
      <c r="UPV94" s="786"/>
      <c r="UPW94" s="786"/>
      <c r="UPX94" s="786"/>
      <c r="UPY94" s="786"/>
      <c r="UPZ94" s="786"/>
      <c r="UQA94" s="786"/>
      <c r="UQB94" s="786"/>
      <c r="UQC94" s="786"/>
      <c r="UQD94" s="786"/>
      <c r="UQE94" s="786"/>
      <c r="UQF94" s="786"/>
      <c r="UQG94" s="786"/>
      <c r="UQH94" s="786"/>
      <c r="UQI94" s="786"/>
      <c r="UQJ94" s="786"/>
      <c r="UQK94" s="786"/>
      <c r="UQL94" s="786"/>
      <c r="UQM94" s="786"/>
      <c r="UQN94" s="786"/>
      <c r="UQO94" s="786"/>
      <c r="UQP94" s="786"/>
      <c r="UQQ94" s="786"/>
      <c r="UQR94" s="786"/>
      <c r="UQS94" s="786"/>
      <c r="UQT94" s="786"/>
      <c r="UQU94" s="786"/>
      <c r="UQV94" s="786"/>
      <c r="UQW94" s="786"/>
      <c r="UQX94" s="786"/>
      <c r="UQY94" s="786"/>
      <c r="UQZ94" s="786"/>
      <c r="URA94" s="786"/>
      <c r="URB94" s="786"/>
      <c r="URC94" s="786"/>
      <c r="URD94" s="786"/>
      <c r="URE94" s="786"/>
      <c r="URF94" s="786"/>
      <c r="URG94" s="786"/>
      <c r="URH94" s="786"/>
      <c r="URI94" s="786"/>
      <c r="URJ94" s="786"/>
      <c r="URK94" s="786"/>
      <c r="URL94" s="786"/>
      <c r="URM94" s="786"/>
      <c r="URN94" s="786"/>
      <c r="URO94" s="786"/>
      <c r="URP94" s="786"/>
      <c r="URQ94" s="786"/>
      <c r="URR94" s="786"/>
      <c r="URS94" s="786"/>
      <c r="URT94" s="786"/>
      <c r="URU94" s="786"/>
      <c r="URV94" s="786"/>
      <c r="URW94" s="786"/>
      <c r="URX94" s="786"/>
      <c r="URY94" s="786"/>
      <c r="URZ94" s="786"/>
      <c r="USA94" s="786"/>
      <c r="USB94" s="786"/>
      <c r="USC94" s="786"/>
      <c r="USD94" s="786"/>
      <c r="USE94" s="786"/>
      <c r="USF94" s="786"/>
      <c r="USG94" s="786"/>
      <c r="USH94" s="786"/>
      <c r="USI94" s="786"/>
      <c r="USJ94" s="786"/>
      <c r="USK94" s="786"/>
      <c r="USL94" s="786"/>
      <c r="USM94" s="786"/>
      <c r="USN94" s="786"/>
      <c r="USO94" s="786"/>
      <c r="USP94" s="786"/>
      <c r="USQ94" s="786"/>
      <c r="USR94" s="786"/>
      <c r="USS94" s="786"/>
      <c r="UST94" s="786"/>
      <c r="USU94" s="786"/>
      <c r="USV94" s="786"/>
      <c r="USW94" s="786"/>
      <c r="USX94" s="786"/>
      <c r="USY94" s="786"/>
      <c r="USZ94" s="786"/>
      <c r="UTA94" s="786"/>
      <c r="UTB94" s="786"/>
      <c r="UTC94" s="786"/>
      <c r="UTD94" s="786"/>
      <c r="UTE94" s="786"/>
      <c r="UTF94" s="786"/>
      <c r="UTG94" s="786"/>
      <c r="UTH94" s="786"/>
      <c r="UTI94" s="786"/>
      <c r="UTJ94" s="786"/>
      <c r="UTK94" s="786"/>
      <c r="UTL94" s="786"/>
      <c r="UTM94" s="786"/>
      <c r="UTN94" s="786"/>
      <c r="UTO94" s="786"/>
      <c r="UTP94" s="786"/>
      <c r="UTQ94" s="786"/>
      <c r="UTR94" s="786"/>
      <c r="UTS94" s="786"/>
      <c r="UTT94" s="786"/>
      <c r="UTU94" s="786"/>
      <c r="UTV94" s="786"/>
      <c r="UTW94" s="786"/>
      <c r="UTX94" s="786"/>
      <c r="UTY94" s="786"/>
      <c r="UTZ94" s="786"/>
      <c r="UUA94" s="786"/>
      <c r="UUB94" s="786"/>
      <c r="UUC94" s="786"/>
      <c r="UUD94" s="786"/>
      <c r="UUE94" s="786"/>
      <c r="UUF94" s="786"/>
      <c r="UUG94" s="786"/>
      <c r="UUH94" s="786"/>
      <c r="UUI94" s="786"/>
      <c r="UUJ94" s="786"/>
      <c r="UUK94" s="786"/>
      <c r="UUL94" s="786"/>
      <c r="UUM94" s="786"/>
      <c r="UUN94" s="786"/>
      <c r="UUO94" s="786"/>
      <c r="UUP94" s="786"/>
      <c r="UUQ94" s="786"/>
      <c r="UUR94" s="786"/>
      <c r="UUS94" s="786"/>
      <c r="UUT94" s="786"/>
      <c r="UUU94" s="786"/>
      <c r="UUV94" s="786"/>
      <c r="UUW94" s="786"/>
      <c r="UUX94" s="786"/>
      <c r="UUY94" s="786"/>
      <c r="UUZ94" s="786"/>
      <c r="UVA94" s="786"/>
      <c r="UVB94" s="786"/>
      <c r="UVC94" s="786"/>
      <c r="UVD94" s="786"/>
      <c r="UVE94" s="786"/>
      <c r="UVF94" s="786"/>
      <c r="UVG94" s="786"/>
      <c r="UVH94" s="786"/>
      <c r="UVI94" s="786"/>
      <c r="UVJ94" s="786"/>
      <c r="UVK94" s="786"/>
      <c r="UVL94" s="786"/>
      <c r="UVM94" s="786"/>
      <c r="UVN94" s="786"/>
      <c r="UVO94" s="786"/>
      <c r="UVP94" s="786"/>
      <c r="UVQ94" s="786"/>
      <c r="UVR94" s="786"/>
      <c r="UVS94" s="786"/>
      <c r="UVT94" s="786"/>
      <c r="UVU94" s="786"/>
      <c r="UVV94" s="786"/>
      <c r="UVW94" s="786"/>
      <c r="UVX94" s="786"/>
      <c r="UVY94" s="786"/>
      <c r="UVZ94" s="786"/>
      <c r="UWA94" s="786"/>
      <c r="UWB94" s="786"/>
      <c r="UWC94" s="786"/>
      <c r="UWD94" s="786"/>
      <c r="UWE94" s="786"/>
      <c r="UWF94" s="786"/>
      <c r="UWG94" s="786"/>
      <c r="UWH94" s="786"/>
      <c r="UWI94" s="786"/>
      <c r="UWJ94" s="786"/>
      <c r="UWK94" s="786"/>
      <c r="UWL94" s="786"/>
      <c r="UWM94" s="786"/>
      <c r="UWN94" s="786"/>
      <c r="UWO94" s="786"/>
      <c r="UWP94" s="786"/>
      <c r="UWQ94" s="786"/>
      <c r="UWR94" s="786"/>
      <c r="UWS94" s="786"/>
      <c r="UWT94" s="786"/>
      <c r="UWU94" s="786"/>
      <c r="UWV94" s="786"/>
      <c r="UWW94" s="786"/>
      <c r="UWX94" s="786"/>
      <c r="UWY94" s="786"/>
      <c r="UWZ94" s="786"/>
      <c r="UXA94" s="786"/>
      <c r="UXB94" s="786"/>
      <c r="UXC94" s="786"/>
      <c r="UXD94" s="786"/>
      <c r="UXE94" s="786"/>
      <c r="UXF94" s="786"/>
      <c r="UXG94" s="786"/>
      <c r="UXH94" s="786"/>
      <c r="UXI94" s="786"/>
      <c r="UXJ94" s="786"/>
      <c r="UXK94" s="786"/>
      <c r="UXL94" s="786"/>
      <c r="UXM94" s="786"/>
      <c r="UXN94" s="786"/>
      <c r="UXO94" s="786"/>
      <c r="UXP94" s="786"/>
      <c r="UXQ94" s="786"/>
      <c r="UXR94" s="786"/>
      <c r="UXS94" s="786"/>
      <c r="UXT94" s="786"/>
      <c r="UXU94" s="786"/>
      <c r="UXV94" s="786"/>
      <c r="UXW94" s="786"/>
      <c r="UXX94" s="786"/>
      <c r="UXY94" s="786"/>
      <c r="UXZ94" s="786"/>
      <c r="UYA94" s="786"/>
      <c r="UYB94" s="786"/>
      <c r="UYC94" s="786"/>
      <c r="UYD94" s="786"/>
      <c r="UYE94" s="786"/>
      <c r="UYF94" s="786"/>
      <c r="UYG94" s="786"/>
      <c r="UYH94" s="786"/>
      <c r="UYI94" s="786"/>
      <c r="UYJ94" s="786"/>
      <c r="UYK94" s="786"/>
      <c r="UYL94" s="786"/>
      <c r="UYM94" s="786"/>
      <c r="UYN94" s="786"/>
      <c r="UYO94" s="786"/>
      <c r="UYP94" s="786"/>
      <c r="UYQ94" s="786"/>
      <c r="UYR94" s="786"/>
      <c r="UYS94" s="786"/>
      <c r="UYT94" s="786"/>
      <c r="UYU94" s="786"/>
      <c r="UYV94" s="786"/>
      <c r="UYW94" s="786"/>
      <c r="UYX94" s="786"/>
      <c r="UYY94" s="786"/>
      <c r="UYZ94" s="786"/>
      <c r="UZA94" s="786"/>
      <c r="UZB94" s="786"/>
      <c r="UZC94" s="786"/>
      <c r="UZD94" s="786"/>
      <c r="UZE94" s="786"/>
      <c r="UZF94" s="786"/>
      <c r="UZG94" s="786"/>
      <c r="UZH94" s="786"/>
      <c r="UZI94" s="786"/>
      <c r="UZJ94" s="786"/>
      <c r="UZK94" s="786"/>
      <c r="UZL94" s="786"/>
      <c r="UZM94" s="786"/>
      <c r="UZN94" s="786"/>
      <c r="UZO94" s="786"/>
      <c r="UZP94" s="786"/>
      <c r="UZQ94" s="786"/>
      <c r="UZR94" s="786"/>
      <c r="UZS94" s="786"/>
      <c r="UZT94" s="786"/>
      <c r="UZU94" s="786"/>
      <c r="UZV94" s="786"/>
      <c r="UZW94" s="786"/>
      <c r="UZX94" s="786"/>
      <c r="UZY94" s="786"/>
      <c r="UZZ94" s="786"/>
      <c r="VAA94" s="786"/>
      <c r="VAB94" s="786"/>
      <c r="VAC94" s="786"/>
      <c r="VAD94" s="786"/>
      <c r="VAE94" s="786"/>
      <c r="VAF94" s="786"/>
      <c r="VAG94" s="786"/>
      <c r="VAH94" s="786"/>
      <c r="VAI94" s="786"/>
      <c r="VAJ94" s="786"/>
      <c r="VAK94" s="786"/>
      <c r="VAL94" s="786"/>
      <c r="VAM94" s="786"/>
      <c r="VAN94" s="786"/>
      <c r="VAO94" s="786"/>
      <c r="VAP94" s="786"/>
      <c r="VAQ94" s="786"/>
      <c r="VAR94" s="786"/>
      <c r="VAS94" s="786"/>
      <c r="VAT94" s="786"/>
      <c r="VAU94" s="786"/>
      <c r="VAV94" s="786"/>
      <c r="VAW94" s="786"/>
      <c r="VAX94" s="786"/>
      <c r="VAY94" s="786"/>
      <c r="VAZ94" s="786"/>
      <c r="VBA94" s="786"/>
      <c r="VBB94" s="786"/>
      <c r="VBC94" s="786"/>
      <c r="VBD94" s="786"/>
      <c r="VBE94" s="786"/>
      <c r="VBF94" s="786"/>
      <c r="VBG94" s="786"/>
      <c r="VBH94" s="786"/>
      <c r="VBI94" s="786"/>
      <c r="VBJ94" s="786"/>
      <c r="VBK94" s="786"/>
      <c r="VBL94" s="786"/>
      <c r="VBM94" s="786"/>
      <c r="VBN94" s="786"/>
      <c r="VBO94" s="786"/>
      <c r="VBP94" s="786"/>
      <c r="VBQ94" s="786"/>
      <c r="VBR94" s="786"/>
      <c r="VBS94" s="786"/>
      <c r="VBT94" s="786"/>
      <c r="VBU94" s="786"/>
      <c r="VBV94" s="786"/>
      <c r="VBW94" s="786"/>
      <c r="VBX94" s="786"/>
      <c r="VBY94" s="786"/>
      <c r="VBZ94" s="786"/>
      <c r="VCA94" s="786"/>
      <c r="VCB94" s="786"/>
      <c r="VCC94" s="786"/>
      <c r="VCD94" s="786"/>
      <c r="VCE94" s="786"/>
      <c r="VCF94" s="786"/>
      <c r="VCG94" s="786"/>
      <c r="VCH94" s="786"/>
      <c r="VCI94" s="786"/>
      <c r="VCJ94" s="786"/>
      <c r="VCK94" s="786"/>
      <c r="VCL94" s="786"/>
      <c r="VCM94" s="786"/>
      <c r="VCN94" s="786"/>
      <c r="VCO94" s="786"/>
      <c r="VCP94" s="786"/>
      <c r="VCQ94" s="786"/>
      <c r="VCR94" s="786"/>
      <c r="VCS94" s="786"/>
      <c r="VCT94" s="786"/>
      <c r="VCU94" s="786"/>
      <c r="VCV94" s="786"/>
      <c r="VCW94" s="786"/>
      <c r="VCX94" s="786"/>
      <c r="VCY94" s="786"/>
      <c r="VCZ94" s="786"/>
      <c r="VDA94" s="786"/>
      <c r="VDB94" s="786"/>
      <c r="VDC94" s="786"/>
      <c r="VDD94" s="786"/>
      <c r="VDE94" s="786"/>
      <c r="VDF94" s="786"/>
      <c r="VDG94" s="786"/>
      <c r="VDH94" s="786"/>
      <c r="VDI94" s="786"/>
      <c r="VDJ94" s="786"/>
      <c r="VDK94" s="786"/>
      <c r="VDL94" s="786"/>
      <c r="VDM94" s="786"/>
      <c r="VDN94" s="786"/>
      <c r="VDO94" s="786"/>
      <c r="VDP94" s="786"/>
      <c r="VDQ94" s="786"/>
      <c r="VDR94" s="786"/>
      <c r="VDS94" s="786"/>
      <c r="VDT94" s="786"/>
      <c r="VDU94" s="786"/>
      <c r="VDV94" s="786"/>
      <c r="VDW94" s="786"/>
      <c r="VDX94" s="786"/>
      <c r="VDY94" s="786"/>
      <c r="VDZ94" s="786"/>
      <c r="VEA94" s="786"/>
      <c r="VEB94" s="786"/>
      <c r="VEC94" s="786"/>
      <c r="VED94" s="786"/>
      <c r="VEE94" s="786"/>
      <c r="VEF94" s="786"/>
      <c r="VEG94" s="786"/>
      <c r="VEH94" s="786"/>
      <c r="VEI94" s="786"/>
      <c r="VEJ94" s="786"/>
      <c r="VEK94" s="786"/>
      <c r="VEL94" s="786"/>
      <c r="VEM94" s="786"/>
      <c r="VEN94" s="786"/>
      <c r="VEO94" s="786"/>
      <c r="VEP94" s="786"/>
      <c r="VEQ94" s="786"/>
      <c r="VER94" s="786"/>
      <c r="VES94" s="786"/>
      <c r="VET94" s="786"/>
      <c r="VEU94" s="786"/>
      <c r="VEV94" s="786"/>
      <c r="VEW94" s="786"/>
      <c r="VEX94" s="786"/>
      <c r="VEY94" s="786"/>
      <c r="VEZ94" s="786"/>
      <c r="VFA94" s="786"/>
      <c r="VFB94" s="786"/>
      <c r="VFC94" s="786"/>
      <c r="VFD94" s="786"/>
      <c r="VFE94" s="786"/>
      <c r="VFF94" s="786"/>
      <c r="VFG94" s="786"/>
      <c r="VFH94" s="786"/>
      <c r="VFI94" s="786"/>
      <c r="VFJ94" s="786"/>
      <c r="VFK94" s="786"/>
      <c r="VFL94" s="786"/>
      <c r="VFM94" s="786"/>
      <c r="VFN94" s="786"/>
      <c r="VFO94" s="786"/>
      <c r="VFP94" s="786"/>
      <c r="VFQ94" s="786"/>
      <c r="VFR94" s="786"/>
      <c r="VFS94" s="786"/>
      <c r="VFT94" s="786"/>
      <c r="VFU94" s="786"/>
      <c r="VFV94" s="786"/>
      <c r="VFW94" s="786"/>
      <c r="VFX94" s="786"/>
      <c r="VFY94" s="786"/>
      <c r="VFZ94" s="786"/>
      <c r="VGA94" s="786"/>
      <c r="VGB94" s="786"/>
      <c r="VGC94" s="786"/>
      <c r="VGD94" s="786"/>
      <c r="VGE94" s="786"/>
      <c r="VGF94" s="786"/>
      <c r="VGG94" s="786"/>
      <c r="VGH94" s="786"/>
      <c r="VGI94" s="786"/>
      <c r="VGJ94" s="786"/>
      <c r="VGK94" s="786"/>
      <c r="VGL94" s="786"/>
      <c r="VGM94" s="786"/>
      <c r="VGN94" s="786"/>
      <c r="VGO94" s="786"/>
      <c r="VGP94" s="786"/>
      <c r="VGQ94" s="786"/>
      <c r="VGR94" s="786"/>
      <c r="VGS94" s="786"/>
      <c r="VGT94" s="786"/>
      <c r="VGU94" s="786"/>
      <c r="VGV94" s="786"/>
      <c r="VGW94" s="786"/>
      <c r="VGX94" s="786"/>
      <c r="VGY94" s="786"/>
      <c r="VGZ94" s="786"/>
      <c r="VHA94" s="786"/>
      <c r="VHB94" s="786"/>
      <c r="VHC94" s="786"/>
      <c r="VHD94" s="786"/>
      <c r="VHE94" s="786"/>
      <c r="VHF94" s="786"/>
      <c r="VHG94" s="786"/>
      <c r="VHH94" s="786"/>
      <c r="VHI94" s="786"/>
      <c r="VHJ94" s="786"/>
      <c r="VHK94" s="786"/>
      <c r="VHL94" s="786"/>
      <c r="VHM94" s="786"/>
      <c r="VHN94" s="786"/>
      <c r="VHO94" s="786"/>
      <c r="VHP94" s="786"/>
      <c r="VHQ94" s="786"/>
      <c r="VHR94" s="786"/>
      <c r="VHS94" s="786"/>
      <c r="VHT94" s="786"/>
      <c r="VHU94" s="786"/>
      <c r="VHV94" s="786"/>
      <c r="VHW94" s="786"/>
      <c r="VHX94" s="786"/>
      <c r="VHY94" s="786"/>
      <c r="VHZ94" s="786"/>
      <c r="VIA94" s="786"/>
      <c r="VIB94" s="786"/>
      <c r="VIC94" s="786"/>
      <c r="VID94" s="786"/>
      <c r="VIE94" s="786"/>
      <c r="VIF94" s="786"/>
      <c r="VIG94" s="786"/>
      <c r="VIH94" s="786"/>
      <c r="VII94" s="786"/>
      <c r="VIJ94" s="786"/>
      <c r="VIK94" s="786"/>
      <c r="VIL94" s="786"/>
      <c r="VIM94" s="786"/>
      <c r="VIN94" s="786"/>
      <c r="VIO94" s="786"/>
      <c r="VIP94" s="786"/>
      <c r="VIQ94" s="786"/>
      <c r="VIR94" s="786"/>
      <c r="VIS94" s="786"/>
      <c r="VIT94" s="786"/>
      <c r="VIU94" s="786"/>
      <c r="VIV94" s="786"/>
      <c r="VIW94" s="786"/>
      <c r="VIX94" s="786"/>
      <c r="VIY94" s="786"/>
      <c r="VIZ94" s="786"/>
      <c r="VJA94" s="786"/>
      <c r="VJB94" s="786"/>
      <c r="VJC94" s="786"/>
      <c r="VJD94" s="786"/>
      <c r="VJE94" s="786"/>
      <c r="VJF94" s="786"/>
      <c r="VJG94" s="786"/>
      <c r="VJH94" s="786"/>
      <c r="VJI94" s="786"/>
      <c r="VJJ94" s="786"/>
      <c r="VJK94" s="786"/>
      <c r="VJL94" s="786"/>
      <c r="VJM94" s="786"/>
      <c r="VJN94" s="786"/>
      <c r="VJO94" s="786"/>
      <c r="VJP94" s="786"/>
      <c r="VJQ94" s="786"/>
      <c r="VJR94" s="786"/>
      <c r="VJS94" s="786"/>
      <c r="VJT94" s="786"/>
      <c r="VJU94" s="786"/>
      <c r="VJV94" s="786"/>
      <c r="VJW94" s="786"/>
      <c r="VJX94" s="786"/>
      <c r="VJY94" s="786"/>
      <c r="VJZ94" s="786"/>
      <c r="VKA94" s="786"/>
      <c r="VKB94" s="786"/>
      <c r="VKC94" s="786"/>
      <c r="VKD94" s="786"/>
      <c r="VKE94" s="786"/>
      <c r="VKF94" s="786"/>
      <c r="VKG94" s="786"/>
      <c r="VKH94" s="786"/>
      <c r="VKI94" s="786"/>
      <c r="VKJ94" s="786"/>
      <c r="VKK94" s="786"/>
      <c r="VKL94" s="786"/>
      <c r="VKM94" s="786"/>
      <c r="VKN94" s="786"/>
      <c r="VKO94" s="786"/>
      <c r="VKP94" s="786"/>
      <c r="VKQ94" s="786"/>
      <c r="VKR94" s="786"/>
      <c r="VKS94" s="786"/>
      <c r="VKT94" s="786"/>
      <c r="VKU94" s="786"/>
      <c r="VKV94" s="786"/>
      <c r="VKW94" s="786"/>
      <c r="VKX94" s="786"/>
      <c r="VKY94" s="786"/>
      <c r="VKZ94" s="786"/>
      <c r="VLA94" s="786"/>
      <c r="VLB94" s="786"/>
      <c r="VLC94" s="786"/>
      <c r="VLD94" s="786"/>
      <c r="VLE94" s="786"/>
      <c r="VLF94" s="786"/>
      <c r="VLG94" s="786"/>
      <c r="VLH94" s="786"/>
      <c r="VLI94" s="786"/>
      <c r="VLJ94" s="786"/>
      <c r="VLK94" s="786"/>
      <c r="VLL94" s="786"/>
      <c r="VLM94" s="786"/>
      <c r="VLN94" s="786"/>
      <c r="VLO94" s="786"/>
      <c r="VLP94" s="786"/>
      <c r="VLQ94" s="786"/>
      <c r="VLR94" s="786"/>
      <c r="VLS94" s="786"/>
      <c r="VLT94" s="786"/>
      <c r="VLU94" s="786"/>
      <c r="VLV94" s="786"/>
      <c r="VLW94" s="786"/>
      <c r="VLX94" s="786"/>
      <c r="VLY94" s="786"/>
      <c r="VLZ94" s="786"/>
      <c r="VMA94" s="786"/>
      <c r="VMB94" s="786"/>
      <c r="VMC94" s="786"/>
      <c r="VMD94" s="786"/>
      <c r="VME94" s="786"/>
      <c r="VMF94" s="786"/>
      <c r="VMG94" s="786"/>
      <c r="VMH94" s="786"/>
      <c r="VMI94" s="786"/>
      <c r="VMJ94" s="786"/>
      <c r="VMK94" s="786"/>
      <c r="VML94" s="786"/>
      <c r="VMM94" s="786"/>
      <c r="VMN94" s="786"/>
      <c r="VMO94" s="786"/>
      <c r="VMP94" s="786"/>
      <c r="VMQ94" s="786"/>
      <c r="VMR94" s="786"/>
      <c r="VMS94" s="786"/>
      <c r="VMT94" s="786"/>
      <c r="VMU94" s="786"/>
      <c r="VMV94" s="786"/>
      <c r="VMW94" s="786"/>
      <c r="VMX94" s="786"/>
      <c r="VMY94" s="786"/>
      <c r="VMZ94" s="786"/>
      <c r="VNA94" s="786"/>
      <c r="VNB94" s="786"/>
      <c r="VNC94" s="786"/>
      <c r="VND94" s="786"/>
      <c r="VNE94" s="786"/>
      <c r="VNF94" s="786"/>
      <c r="VNG94" s="786"/>
      <c r="VNH94" s="786"/>
      <c r="VNI94" s="786"/>
      <c r="VNJ94" s="786"/>
      <c r="VNK94" s="786"/>
      <c r="VNL94" s="786"/>
      <c r="VNM94" s="786"/>
      <c r="VNN94" s="786"/>
      <c r="VNO94" s="786"/>
      <c r="VNP94" s="786"/>
      <c r="VNQ94" s="786"/>
      <c r="VNR94" s="786"/>
      <c r="VNS94" s="786"/>
      <c r="VNT94" s="786"/>
      <c r="VNU94" s="786"/>
      <c r="VNV94" s="786"/>
      <c r="VNW94" s="786"/>
      <c r="VNX94" s="786"/>
      <c r="VNY94" s="786"/>
      <c r="VNZ94" s="786"/>
      <c r="VOA94" s="786"/>
      <c r="VOB94" s="786"/>
      <c r="VOC94" s="786"/>
      <c r="VOD94" s="786"/>
      <c r="VOE94" s="786"/>
      <c r="VOF94" s="786"/>
      <c r="VOG94" s="786"/>
      <c r="VOH94" s="786"/>
      <c r="VOI94" s="786"/>
      <c r="VOJ94" s="786"/>
      <c r="VOK94" s="786"/>
      <c r="VOL94" s="786"/>
      <c r="VOM94" s="786"/>
      <c r="VON94" s="786"/>
      <c r="VOO94" s="786"/>
      <c r="VOP94" s="786"/>
      <c r="VOQ94" s="786"/>
      <c r="VOR94" s="786"/>
      <c r="VOS94" s="786"/>
      <c r="VOT94" s="786"/>
      <c r="VOU94" s="786"/>
      <c r="VOV94" s="786"/>
      <c r="VOW94" s="786"/>
      <c r="VOX94" s="786"/>
      <c r="VOY94" s="786"/>
      <c r="VOZ94" s="786"/>
      <c r="VPA94" s="786"/>
      <c r="VPB94" s="786"/>
      <c r="VPC94" s="786"/>
      <c r="VPD94" s="786"/>
      <c r="VPE94" s="786"/>
      <c r="VPF94" s="786"/>
      <c r="VPG94" s="786"/>
      <c r="VPH94" s="786"/>
      <c r="VPI94" s="786"/>
      <c r="VPJ94" s="786"/>
      <c r="VPK94" s="786"/>
      <c r="VPL94" s="786"/>
      <c r="VPM94" s="786"/>
      <c r="VPN94" s="786"/>
      <c r="VPO94" s="786"/>
      <c r="VPP94" s="786"/>
      <c r="VPQ94" s="786"/>
      <c r="VPR94" s="786"/>
      <c r="VPS94" s="786"/>
      <c r="VPT94" s="786"/>
      <c r="VPU94" s="786"/>
      <c r="VPV94" s="786"/>
      <c r="VPW94" s="786"/>
      <c r="VPX94" s="786"/>
      <c r="VPY94" s="786"/>
      <c r="VPZ94" s="786"/>
      <c r="VQA94" s="786"/>
      <c r="VQB94" s="786"/>
      <c r="VQC94" s="786"/>
      <c r="VQD94" s="786"/>
      <c r="VQE94" s="786"/>
      <c r="VQF94" s="786"/>
      <c r="VQG94" s="786"/>
      <c r="VQH94" s="786"/>
      <c r="VQI94" s="786"/>
      <c r="VQJ94" s="786"/>
      <c r="VQK94" s="786"/>
      <c r="VQL94" s="786"/>
      <c r="VQM94" s="786"/>
      <c r="VQN94" s="786"/>
      <c r="VQO94" s="786"/>
      <c r="VQP94" s="786"/>
      <c r="VQQ94" s="786"/>
      <c r="VQR94" s="786"/>
      <c r="VQS94" s="786"/>
      <c r="VQT94" s="786"/>
      <c r="VQU94" s="786"/>
      <c r="VQV94" s="786"/>
      <c r="VQW94" s="786"/>
      <c r="VQX94" s="786"/>
      <c r="VQY94" s="786"/>
      <c r="VQZ94" s="786"/>
      <c r="VRA94" s="786"/>
      <c r="VRB94" s="786"/>
      <c r="VRC94" s="786"/>
      <c r="VRD94" s="786"/>
      <c r="VRE94" s="786"/>
      <c r="VRF94" s="786"/>
      <c r="VRG94" s="786"/>
      <c r="VRH94" s="786"/>
      <c r="VRI94" s="786"/>
      <c r="VRJ94" s="786"/>
      <c r="VRK94" s="786"/>
      <c r="VRL94" s="786"/>
      <c r="VRM94" s="786"/>
      <c r="VRN94" s="786"/>
      <c r="VRO94" s="786"/>
      <c r="VRP94" s="786"/>
      <c r="VRQ94" s="786"/>
      <c r="VRR94" s="786"/>
      <c r="VRS94" s="786"/>
      <c r="VRT94" s="786"/>
      <c r="VRU94" s="786"/>
      <c r="VRV94" s="786"/>
      <c r="VRW94" s="786"/>
      <c r="VRX94" s="786"/>
      <c r="VRY94" s="786"/>
      <c r="VRZ94" s="786"/>
      <c r="VSA94" s="786"/>
      <c r="VSB94" s="786"/>
      <c r="VSC94" s="786"/>
      <c r="VSD94" s="786"/>
      <c r="VSE94" s="786"/>
      <c r="VSF94" s="786"/>
      <c r="VSG94" s="786"/>
      <c r="VSH94" s="786"/>
      <c r="VSI94" s="786"/>
      <c r="VSJ94" s="786"/>
      <c r="VSK94" s="786"/>
      <c r="VSL94" s="786"/>
      <c r="VSM94" s="786"/>
      <c r="VSN94" s="786"/>
      <c r="VSO94" s="786"/>
      <c r="VSP94" s="786"/>
      <c r="VSQ94" s="786"/>
      <c r="VSR94" s="786"/>
      <c r="VSS94" s="786"/>
      <c r="VST94" s="786"/>
      <c r="VSU94" s="786"/>
      <c r="VSV94" s="786"/>
      <c r="VSW94" s="786"/>
      <c r="VSX94" s="786"/>
      <c r="VSY94" s="786"/>
      <c r="VSZ94" s="786"/>
      <c r="VTA94" s="786"/>
      <c r="VTB94" s="786"/>
      <c r="VTC94" s="786"/>
      <c r="VTD94" s="786"/>
      <c r="VTE94" s="786"/>
      <c r="VTF94" s="786"/>
      <c r="VTG94" s="786"/>
      <c r="VTH94" s="786"/>
      <c r="VTI94" s="786"/>
      <c r="VTJ94" s="786"/>
      <c r="VTK94" s="786"/>
      <c r="VTL94" s="786"/>
      <c r="VTM94" s="786"/>
      <c r="VTN94" s="786"/>
      <c r="VTO94" s="786"/>
      <c r="VTP94" s="786"/>
      <c r="VTQ94" s="786"/>
      <c r="VTR94" s="786"/>
      <c r="VTS94" s="786"/>
      <c r="VTT94" s="786"/>
      <c r="VTU94" s="786"/>
      <c r="VTV94" s="786"/>
      <c r="VTW94" s="786"/>
      <c r="VTX94" s="786"/>
      <c r="VTY94" s="786"/>
      <c r="VTZ94" s="786"/>
      <c r="VUA94" s="786"/>
      <c r="VUB94" s="786"/>
      <c r="VUC94" s="786"/>
      <c r="VUD94" s="786"/>
      <c r="VUE94" s="786"/>
      <c r="VUF94" s="786"/>
      <c r="VUG94" s="786"/>
      <c r="VUH94" s="786"/>
      <c r="VUI94" s="786"/>
      <c r="VUJ94" s="786"/>
      <c r="VUK94" s="786"/>
      <c r="VUL94" s="786"/>
      <c r="VUM94" s="786"/>
      <c r="VUN94" s="786"/>
      <c r="VUO94" s="786"/>
      <c r="VUP94" s="786"/>
      <c r="VUQ94" s="786"/>
      <c r="VUR94" s="786"/>
      <c r="VUS94" s="786"/>
      <c r="VUT94" s="786"/>
      <c r="VUU94" s="786"/>
      <c r="VUV94" s="786"/>
      <c r="VUW94" s="786"/>
      <c r="VUX94" s="786"/>
      <c r="VUY94" s="786"/>
      <c r="VUZ94" s="786"/>
      <c r="VVA94" s="786"/>
      <c r="VVB94" s="786"/>
      <c r="VVC94" s="786"/>
      <c r="VVD94" s="786"/>
      <c r="VVE94" s="786"/>
      <c r="VVF94" s="786"/>
      <c r="VVG94" s="786"/>
      <c r="VVH94" s="786"/>
      <c r="VVI94" s="786"/>
      <c r="VVJ94" s="786"/>
      <c r="VVK94" s="786"/>
      <c r="VVL94" s="786"/>
      <c r="VVM94" s="786"/>
      <c r="VVN94" s="786"/>
      <c r="VVO94" s="786"/>
      <c r="VVP94" s="786"/>
      <c r="VVQ94" s="786"/>
      <c r="VVR94" s="786"/>
      <c r="VVS94" s="786"/>
      <c r="VVT94" s="786"/>
      <c r="VVU94" s="786"/>
      <c r="VVV94" s="786"/>
      <c r="VVW94" s="786"/>
      <c r="VVX94" s="786"/>
      <c r="VVY94" s="786"/>
      <c r="VVZ94" s="786"/>
      <c r="VWA94" s="786"/>
      <c r="VWB94" s="786"/>
      <c r="VWC94" s="786"/>
      <c r="VWD94" s="786"/>
      <c r="VWE94" s="786"/>
      <c r="VWF94" s="786"/>
      <c r="VWG94" s="786"/>
      <c r="VWH94" s="786"/>
      <c r="VWI94" s="786"/>
      <c r="VWJ94" s="786"/>
      <c r="VWK94" s="786"/>
      <c r="VWL94" s="786"/>
      <c r="VWM94" s="786"/>
      <c r="VWN94" s="786"/>
      <c r="VWO94" s="786"/>
      <c r="VWP94" s="786"/>
      <c r="VWQ94" s="786"/>
      <c r="VWR94" s="786"/>
      <c r="VWS94" s="786"/>
      <c r="VWT94" s="786"/>
      <c r="VWU94" s="786"/>
      <c r="VWV94" s="786"/>
      <c r="VWW94" s="786"/>
      <c r="VWX94" s="786"/>
      <c r="VWY94" s="786"/>
      <c r="VWZ94" s="786"/>
      <c r="VXA94" s="786"/>
      <c r="VXB94" s="786"/>
      <c r="VXC94" s="786"/>
      <c r="VXD94" s="786"/>
      <c r="VXE94" s="786"/>
      <c r="VXF94" s="786"/>
      <c r="VXG94" s="786"/>
      <c r="VXH94" s="786"/>
      <c r="VXI94" s="786"/>
      <c r="VXJ94" s="786"/>
      <c r="VXK94" s="786"/>
      <c r="VXL94" s="786"/>
      <c r="VXM94" s="786"/>
      <c r="VXN94" s="786"/>
      <c r="VXO94" s="786"/>
      <c r="VXP94" s="786"/>
      <c r="VXQ94" s="786"/>
      <c r="VXR94" s="786"/>
      <c r="VXS94" s="786"/>
      <c r="VXT94" s="786"/>
      <c r="VXU94" s="786"/>
      <c r="VXV94" s="786"/>
      <c r="VXW94" s="786"/>
      <c r="VXX94" s="786"/>
      <c r="VXY94" s="786"/>
      <c r="VXZ94" s="786"/>
      <c r="VYA94" s="786"/>
      <c r="VYB94" s="786"/>
      <c r="VYC94" s="786"/>
      <c r="VYD94" s="786"/>
      <c r="VYE94" s="786"/>
      <c r="VYF94" s="786"/>
      <c r="VYG94" s="786"/>
      <c r="VYH94" s="786"/>
      <c r="VYI94" s="786"/>
      <c r="VYJ94" s="786"/>
      <c r="VYK94" s="786"/>
      <c r="VYL94" s="786"/>
      <c r="VYM94" s="786"/>
      <c r="VYN94" s="786"/>
      <c r="VYO94" s="786"/>
      <c r="VYP94" s="786"/>
      <c r="VYQ94" s="786"/>
      <c r="VYR94" s="786"/>
      <c r="VYS94" s="786"/>
      <c r="VYT94" s="786"/>
      <c r="VYU94" s="786"/>
      <c r="VYV94" s="786"/>
      <c r="VYW94" s="786"/>
      <c r="VYX94" s="786"/>
      <c r="VYY94" s="786"/>
      <c r="VYZ94" s="786"/>
      <c r="VZA94" s="786"/>
      <c r="VZB94" s="786"/>
      <c r="VZC94" s="786"/>
      <c r="VZD94" s="786"/>
      <c r="VZE94" s="786"/>
      <c r="VZF94" s="786"/>
      <c r="VZG94" s="786"/>
      <c r="VZH94" s="786"/>
      <c r="VZI94" s="786"/>
      <c r="VZJ94" s="786"/>
      <c r="VZK94" s="786"/>
      <c r="VZL94" s="786"/>
      <c r="VZM94" s="786"/>
      <c r="VZN94" s="786"/>
      <c r="VZO94" s="786"/>
      <c r="VZP94" s="786"/>
      <c r="VZQ94" s="786"/>
      <c r="VZR94" s="786"/>
      <c r="VZS94" s="786"/>
      <c r="VZT94" s="786"/>
      <c r="VZU94" s="786"/>
      <c r="VZV94" s="786"/>
      <c r="VZW94" s="786"/>
      <c r="VZX94" s="786"/>
      <c r="VZY94" s="786"/>
      <c r="VZZ94" s="786"/>
      <c r="WAA94" s="786"/>
      <c r="WAB94" s="786"/>
      <c r="WAC94" s="786"/>
      <c r="WAD94" s="786"/>
      <c r="WAE94" s="786"/>
      <c r="WAF94" s="786"/>
      <c r="WAG94" s="786"/>
      <c r="WAH94" s="786"/>
      <c r="WAI94" s="786"/>
      <c r="WAJ94" s="786"/>
      <c r="WAK94" s="786"/>
      <c r="WAL94" s="786"/>
      <c r="WAM94" s="786"/>
      <c r="WAN94" s="786"/>
      <c r="WAO94" s="786"/>
      <c r="WAP94" s="786"/>
      <c r="WAQ94" s="786"/>
      <c r="WAR94" s="786"/>
      <c r="WAS94" s="786"/>
      <c r="WAT94" s="786"/>
      <c r="WAU94" s="786"/>
      <c r="WAV94" s="786"/>
      <c r="WAW94" s="786"/>
      <c r="WAX94" s="786"/>
      <c r="WAY94" s="786"/>
      <c r="WAZ94" s="786"/>
      <c r="WBA94" s="786"/>
      <c r="WBB94" s="786"/>
      <c r="WBC94" s="786"/>
      <c r="WBD94" s="786"/>
      <c r="WBE94" s="786"/>
      <c r="WBF94" s="786"/>
      <c r="WBG94" s="786"/>
      <c r="WBH94" s="786"/>
      <c r="WBI94" s="786"/>
      <c r="WBJ94" s="786"/>
      <c r="WBK94" s="786"/>
      <c r="WBL94" s="786"/>
      <c r="WBM94" s="786"/>
      <c r="WBN94" s="786"/>
      <c r="WBO94" s="786"/>
      <c r="WBP94" s="786"/>
      <c r="WBQ94" s="786"/>
      <c r="WBR94" s="786"/>
      <c r="WBS94" s="786"/>
      <c r="WBT94" s="786"/>
      <c r="WBU94" s="786"/>
      <c r="WBV94" s="786"/>
      <c r="WBW94" s="786"/>
      <c r="WBX94" s="786"/>
      <c r="WBY94" s="786"/>
      <c r="WBZ94" s="786"/>
      <c r="WCA94" s="786"/>
      <c r="WCB94" s="786"/>
      <c r="WCC94" s="786"/>
      <c r="WCD94" s="786"/>
      <c r="WCE94" s="786"/>
      <c r="WCF94" s="786"/>
      <c r="WCG94" s="786"/>
      <c r="WCH94" s="786"/>
      <c r="WCI94" s="786"/>
      <c r="WCJ94" s="786"/>
      <c r="WCK94" s="786"/>
      <c r="WCL94" s="786"/>
      <c r="WCM94" s="786"/>
      <c r="WCN94" s="786"/>
      <c r="WCO94" s="786"/>
      <c r="WCP94" s="786"/>
      <c r="WCQ94" s="786"/>
      <c r="WCR94" s="786"/>
      <c r="WCS94" s="786"/>
      <c r="WCT94" s="786"/>
      <c r="WCU94" s="786"/>
      <c r="WCV94" s="786"/>
      <c r="WCW94" s="786"/>
      <c r="WCX94" s="786"/>
      <c r="WCY94" s="786"/>
      <c r="WCZ94" s="786"/>
      <c r="WDA94" s="786"/>
      <c r="WDB94" s="786"/>
      <c r="WDC94" s="786"/>
      <c r="WDD94" s="786"/>
      <c r="WDE94" s="786"/>
      <c r="WDF94" s="786"/>
      <c r="WDG94" s="786"/>
      <c r="WDH94" s="786"/>
      <c r="WDI94" s="786"/>
      <c r="WDJ94" s="786"/>
      <c r="WDK94" s="786"/>
      <c r="WDL94" s="786"/>
      <c r="WDM94" s="786"/>
      <c r="WDN94" s="786"/>
      <c r="WDO94" s="786"/>
      <c r="WDP94" s="786"/>
      <c r="WDQ94" s="786"/>
      <c r="WDR94" s="786"/>
      <c r="WDS94" s="786"/>
      <c r="WDT94" s="786"/>
      <c r="WDU94" s="786"/>
      <c r="WDV94" s="786"/>
      <c r="WDW94" s="786"/>
      <c r="WDX94" s="786"/>
      <c r="WDY94" s="786"/>
      <c r="WDZ94" s="786"/>
      <c r="WEA94" s="786"/>
      <c r="WEB94" s="786"/>
      <c r="WEC94" s="786"/>
      <c r="WED94" s="786"/>
      <c r="WEE94" s="786"/>
      <c r="WEF94" s="786"/>
      <c r="WEG94" s="786"/>
      <c r="WEH94" s="786"/>
      <c r="WEI94" s="786"/>
      <c r="WEJ94" s="786"/>
      <c r="WEK94" s="786"/>
      <c r="WEL94" s="786"/>
      <c r="WEM94" s="786"/>
      <c r="WEN94" s="786"/>
      <c r="WEO94" s="786"/>
      <c r="WEP94" s="786"/>
      <c r="WEQ94" s="786"/>
      <c r="WER94" s="786"/>
      <c r="WES94" s="786"/>
      <c r="WET94" s="786"/>
      <c r="WEU94" s="786"/>
      <c r="WEV94" s="786"/>
      <c r="WEW94" s="786"/>
      <c r="WEX94" s="786"/>
      <c r="WEY94" s="786"/>
      <c r="WEZ94" s="786"/>
      <c r="WFA94" s="786"/>
      <c r="WFB94" s="786"/>
      <c r="WFC94" s="786"/>
      <c r="WFD94" s="786"/>
      <c r="WFE94" s="786"/>
      <c r="WFF94" s="786"/>
      <c r="WFG94" s="786"/>
      <c r="WFH94" s="786"/>
      <c r="WFI94" s="786"/>
      <c r="WFJ94" s="786"/>
      <c r="WFK94" s="786"/>
      <c r="WFL94" s="786"/>
      <c r="WFM94" s="786"/>
      <c r="WFN94" s="786"/>
      <c r="WFO94" s="786"/>
      <c r="WFP94" s="786"/>
      <c r="WFQ94" s="786"/>
      <c r="WFR94" s="786"/>
      <c r="WFS94" s="786"/>
      <c r="WFT94" s="786"/>
      <c r="WFU94" s="786"/>
      <c r="WFV94" s="786"/>
      <c r="WFW94" s="786"/>
      <c r="WFX94" s="786"/>
      <c r="WFY94" s="786"/>
      <c r="WFZ94" s="786"/>
      <c r="WGA94" s="786"/>
      <c r="WGB94" s="786"/>
      <c r="WGC94" s="786"/>
      <c r="WGD94" s="786"/>
      <c r="WGE94" s="786"/>
      <c r="WGF94" s="786"/>
      <c r="WGG94" s="786"/>
      <c r="WGH94" s="786"/>
      <c r="WGI94" s="786"/>
      <c r="WGJ94" s="786"/>
      <c r="WGK94" s="786"/>
      <c r="WGL94" s="786"/>
      <c r="WGM94" s="786"/>
      <c r="WGN94" s="786"/>
      <c r="WGO94" s="786"/>
      <c r="WGP94" s="786"/>
      <c r="WGQ94" s="786"/>
      <c r="WGR94" s="786"/>
      <c r="WGS94" s="786"/>
      <c r="WGT94" s="786"/>
      <c r="WGU94" s="786"/>
      <c r="WGV94" s="786"/>
      <c r="WGW94" s="786"/>
      <c r="WGX94" s="786"/>
      <c r="WGY94" s="786"/>
      <c r="WGZ94" s="786"/>
      <c r="WHA94" s="786"/>
      <c r="WHB94" s="786"/>
      <c r="WHC94" s="786"/>
      <c r="WHD94" s="786"/>
      <c r="WHE94" s="786"/>
      <c r="WHF94" s="786"/>
      <c r="WHG94" s="786"/>
      <c r="WHH94" s="786"/>
      <c r="WHI94" s="786"/>
      <c r="WHJ94" s="786"/>
      <c r="WHK94" s="786"/>
      <c r="WHL94" s="786"/>
      <c r="WHM94" s="786"/>
      <c r="WHN94" s="786"/>
      <c r="WHO94" s="786"/>
      <c r="WHP94" s="786"/>
      <c r="WHQ94" s="786"/>
      <c r="WHR94" s="786"/>
      <c r="WHS94" s="786"/>
      <c r="WHT94" s="786"/>
      <c r="WHU94" s="786"/>
      <c r="WHV94" s="786"/>
      <c r="WHW94" s="786"/>
      <c r="WHX94" s="786"/>
      <c r="WHY94" s="786"/>
      <c r="WHZ94" s="786"/>
      <c r="WIA94" s="786"/>
      <c r="WIB94" s="786"/>
      <c r="WIC94" s="786"/>
      <c r="WID94" s="786"/>
      <c r="WIE94" s="786"/>
      <c r="WIF94" s="786"/>
      <c r="WIG94" s="786"/>
      <c r="WIH94" s="786"/>
      <c r="WII94" s="786"/>
      <c r="WIJ94" s="786"/>
      <c r="WIK94" s="786"/>
      <c r="WIL94" s="786"/>
      <c r="WIM94" s="786"/>
      <c r="WIN94" s="786"/>
      <c r="WIO94" s="786"/>
      <c r="WIP94" s="786"/>
      <c r="WIQ94" s="786"/>
      <c r="WIR94" s="786"/>
      <c r="WIS94" s="786"/>
      <c r="WIT94" s="786"/>
      <c r="WIU94" s="786"/>
      <c r="WIV94" s="786"/>
      <c r="WIW94" s="786"/>
      <c r="WIX94" s="786"/>
      <c r="WIY94" s="786"/>
      <c r="WIZ94" s="786"/>
      <c r="WJA94" s="786"/>
      <c r="WJB94" s="786"/>
      <c r="WJC94" s="786"/>
      <c r="WJD94" s="786"/>
      <c r="WJE94" s="786"/>
      <c r="WJF94" s="786"/>
      <c r="WJG94" s="786"/>
      <c r="WJH94" s="786"/>
      <c r="WJI94" s="786"/>
      <c r="WJJ94" s="786"/>
      <c r="WJK94" s="786"/>
      <c r="WJL94" s="786"/>
      <c r="WJM94" s="786"/>
      <c r="WJN94" s="786"/>
      <c r="WJO94" s="786"/>
      <c r="WJP94" s="786"/>
      <c r="WJQ94" s="786"/>
      <c r="WJR94" s="786"/>
      <c r="WJS94" s="786"/>
      <c r="WJT94" s="786"/>
      <c r="WJU94" s="786"/>
      <c r="WJV94" s="786"/>
      <c r="WJW94" s="786"/>
      <c r="WJX94" s="786"/>
      <c r="WJY94" s="786"/>
      <c r="WJZ94" s="786"/>
      <c r="WKA94" s="786"/>
      <c r="WKB94" s="786"/>
      <c r="WKC94" s="786"/>
      <c r="WKD94" s="786"/>
      <c r="WKE94" s="786"/>
      <c r="WKF94" s="786"/>
      <c r="WKG94" s="786"/>
      <c r="WKH94" s="786"/>
      <c r="WKI94" s="786"/>
      <c r="WKJ94" s="786"/>
      <c r="WKK94" s="786"/>
      <c r="WKL94" s="786"/>
      <c r="WKM94" s="786"/>
      <c r="WKN94" s="786"/>
      <c r="WKO94" s="786"/>
      <c r="WKP94" s="786"/>
      <c r="WKQ94" s="786"/>
      <c r="WKR94" s="786"/>
      <c r="WKS94" s="786"/>
      <c r="WKT94" s="786"/>
      <c r="WKU94" s="786"/>
      <c r="WKV94" s="786"/>
      <c r="WKW94" s="786"/>
      <c r="WKX94" s="786"/>
      <c r="WKY94" s="786"/>
      <c r="WKZ94" s="786"/>
      <c r="WLA94" s="786"/>
      <c r="WLB94" s="786"/>
      <c r="WLC94" s="786"/>
      <c r="WLD94" s="786"/>
      <c r="WLE94" s="786"/>
      <c r="WLF94" s="786"/>
      <c r="WLG94" s="786"/>
      <c r="WLH94" s="786"/>
      <c r="WLI94" s="786"/>
      <c r="WLJ94" s="786"/>
      <c r="WLK94" s="786"/>
      <c r="WLL94" s="786"/>
      <c r="WLM94" s="786"/>
      <c r="WLN94" s="786"/>
      <c r="WLO94" s="786"/>
      <c r="WLP94" s="786"/>
      <c r="WLQ94" s="786"/>
      <c r="WLR94" s="786"/>
      <c r="WLS94" s="786"/>
      <c r="WLT94" s="786"/>
      <c r="WLU94" s="786"/>
      <c r="WLV94" s="786"/>
      <c r="WLW94" s="786"/>
      <c r="WLX94" s="786"/>
      <c r="WLY94" s="786"/>
      <c r="WLZ94" s="786"/>
      <c r="WMA94" s="786"/>
      <c r="WMB94" s="786"/>
      <c r="WMC94" s="786"/>
      <c r="WMD94" s="786"/>
      <c r="WME94" s="786"/>
      <c r="WMF94" s="786"/>
      <c r="WMG94" s="786"/>
      <c r="WMH94" s="786"/>
      <c r="WMI94" s="786"/>
      <c r="WMJ94" s="786"/>
      <c r="WMK94" s="786"/>
      <c r="WML94" s="786"/>
      <c r="WMM94" s="786"/>
      <c r="WMN94" s="786"/>
      <c r="WMO94" s="786"/>
      <c r="WMP94" s="786"/>
      <c r="WMQ94" s="786"/>
      <c r="WMR94" s="786"/>
      <c r="WMS94" s="786"/>
      <c r="WMT94" s="786"/>
      <c r="WMU94" s="786"/>
      <c r="WMV94" s="786"/>
      <c r="WMW94" s="786"/>
      <c r="WMX94" s="786"/>
      <c r="WMY94" s="786"/>
      <c r="WMZ94" s="786"/>
      <c r="WNA94" s="786"/>
      <c r="WNB94" s="786"/>
      <c r="WNC94" s="786"/>
      <c r="WND94" s="786"/>
      <c r="WNE94" s="786"/>
      <c r="WNF94" s="786"/>
      <c r="WNG94" s="786"/>
      <c r="WNH94" s="786"/>
      <c r="WNI94" s="786"/>
      <c r="WNJ94" s="786"/>
      <c r="WNK94" s="786"/>
      <c r="WNL94" s="786"/>
      <c r="WNM94" s="786"/>
      <c r="WNN94" s="786"/>
      <c r="WNO94" s="786"/>
      <c r="WNP94" s="786"/>
      <c r="WNQ94" s="786"/>
      <c r="WNR94" s="786"/>
      <c r="WNS94" s="786"/>
      <c r="WNT94" s="786"/>
      <c r="WNU94" s="786"/>
      <c r="WNV94" s="786"/>
      <c r="WNW94" s="786"/>
      <c r="WNX94" s="786"/>
      <c r="WNY94" s="786"/>
      <c r="WNZ94" s="786"/>
      <c r="WOA94" s="786"/>
      <c r="WOB94" s="786"/>
      <c r="WOC94" s="786"/>
      <c r="WOD94" s="786"/>
      <c r="WOE94" s="786"/>
      <c r="WOF94" s="786"/>
      <c r="WOG94" s="786"/>
      <c r="WOH94" s="786"/>
      <c r="WOI94" s="786"/>
      <c r="WOJ94" s="786"/>
      <c r="WOK94" s="786"/>
      <c r="WOL94" s="786"/>
      <c r="WOM94" s="786"/>
      <c r="WON94" s="786"/>
      <c r="WOO94" s="786"/>
      <c r="WOP94" s="786"/>
      <c r="WOQ94" s="786"/>
      <c r="WOR94" s="786"/>
      <c r="WOS94" s="786"/>
      <c r="WOT94" s="786"/>
      <c r="WOU94" s="786"/>
      <c r="WOV94" s="786"/>
      <c r="WOW94" s="786"/>
      <c r="WOX94" s="786"/>
      <c r="WOY94" s="786"/>
      <c r="WOZ94" s="786"/>
      <c r="WPA94" s="786"/>
      <c r="WPB94" s="786"/>
      <c r="WPC94" s="786"/>
      <c r="WPD94" s="786"/>
      <c r="WPE94" s="786"/>
      <c r="WPF94" s="786"/>
      <c r="WPG94" s="786"/>
      <c r="WPH94" s="786"/>
      <c r="WPI94" s="786"/>
      <c r="WPJ94" s="786"/>
      <c r="WPK94" s="786"/>
      <c r="WPL94" s="786"/>
      <c r="WPM94" s="786"/>
      <c r="WPN94" s="786"/>
      <c r="WPO94" s="786"/>
      <c r="WPP94" s="786"/>
      <c r="WPQ94" s="786"/>
      <c r="WPR94" s="786"/>
      <c r="WPS94" s="786"/>
      <c r="WPT94" s="786"/>
      <c r="WPU94" s="786"/>
      <c r="WPV94" s="786"/>
      <c r="WPW94" s="786"/>
      <c r="WPX94" s="786"/>
      <c r="WPY94" s="786"/>
      <c r="WPZ94" s="786"/>
      <c r="WQA94" s="786"/>
      <c r="WQB94" s="786"/>
      <c r="WQC94" s="786"/>
      <c r="WQD94" s="786"/>
      <c r="WQE94" s="786"/>
      <c r="WQF94" s="786"/>
      <c r="WQG94" s="786"/>
      <c r="WQH94" s="786"/>
      <c r="WQI94" s="786"/>
      <c r="WQJ94" s="786"/>
      <c r="WQK94" s="786"/>
      <c r="WQL94" s="786"/>
      <c r="WQM94" s="786"/>
      <c r="WQN94" s="786"/>
      <c r="WQO94" s="786"/>
      <c r="WQP94" s="786"/>
      <c r="WQQ94" s="786"/>
      <c r="WQR94" s="786"/>
      <c r="WQS94" s="786"/>
      <c r="WQT94" s="786"/>
      <c r="WQU94" s="786"/>
      <c r="WQV94" s="786"/>
      <c r="WQW94" s="786"/>
      <c r="WQX94" s="786"/>
      <c r="WQY94" s="786"/>
      <c r="WQZ94" s="786"/>
      <c r="WRA94" s="786"/>
      <c r="WRB94" s="786"/>
      <c r="WRC94" s="786"/>
      <c r="WRD94" s="786"/>
      <c r="WRE94" s="786"/>
      <c r="WRF94" s="786"/>
      <c r="WRG94" s="786"/>
      <c r="WRH94" s="786"/>
      <c r="WRI94" s="786"/>
      <c r="WRJ94" s="786"/>
      <c r="WRK94" s="786"/>
      <c r="WRL94" s="786"/>
      <c r="WRM94" s="786"/>
      <c r="WRN94" s="786"/>
      <c r="WRO94" s="786"/>
      <c r="WRP94" s="786"/>
      <c r="WRQ94" s="786"/>
      <c r="WRR94" s="786"/>
      <c r="WRS94" s="786"/>
      <c r="WRT94" s="786"/>
      <c r="WRU94" s="786"/>
      <c r="WRV94" s="786"/>
      <c r="WRW94" s="786"/>
      <c r="WRX94" s="786"/>
      <c r="WRY94" s="786"/>
      <c r="WRZ94" s="786"/>
      <c r="WSA94" s="786"/>
      <c r="WSB94" s="786"/>
      <c r="WSC94" s="786"/>
      <c r="WSD94" s="786"/>
      <c r="WSE94" s="786"/>
      <c r="WSF94" s="786"/>
      <c r="WSG94" s="786"/>
      <c r="WSH94" s="786"/>
      <c r="WSI94" s="786"/>
      <c r="WSJ94" s="786"/>
      <c r="WSK94" s="786"/>
      <c r="WSL94" s="786"/>
      <c r="WSM94" s="786"/>
      <c r="WSN94" s="786"/>
      <c r="WSO94" s="786"/>
      <c r="WSP94" s="786"/>
      <c r="WSQ94" s="786"/>
      <c r="WSR94" s="786"/>
      <c r="WSS94" s="786"/>
      <c r="WST94" s="786"/>
      <c r="WSU94" s="786"/>
      <c r="WSV94" s="786"/>
      <c r="WSW94" s="786"/>
      <c r="WSX94" s="786"/>
      <c r="WSY94" s="786"/>
      <c r="WSZ94" s="786"/>
      <c r="WTA94" s="786"/>
      <c r="WTB94" s="786"/>
      <c r="WTC94" s="786"/>
      <c r="WTD94" s="786"/>
      <c r="WTE94" s="786"/>
      <c r="WTF94" s="786"/>
      <c r="WTG94" s="786"/>
      <c r="WTH94" s="786"/>
      <c r="WTI94" s="786"/>
      <c r="WTJ94" s="786"/>
      <c r="WTK94" s="786"/>
      <c r="WTL94" s="786"/>
      <c r="WTM94" s="786"/>
      <c r="WTN94" s="786"/>
      <c r="WTO94" s="786"/>
      <c r="WTP94" s="786"/>
      <c r="WTQ94" s="786"/>
      <c r="WTR94" s="786"/>
      <c r="WTS94" s="786"/>
      <c r="WTT94" s="786"/>
      <c r="WTU94" s="786"/>
      <c r="WTV94" s="786"/>
      <c r="WTW94" s="786"/>
      <c r="WTX94" s="786"/>
      <c r="WTY94" s="786"/>
      <c r="WTZ94" s="786"/>
      <c r="WUA94" s="786"/>
      <c r="WUB94" s="786"/>
      <c r="WUC94" s="786"/>
      <c r="WUD94" s="786"/>
      <c r="WUE94" s="786"/>
      <c r="WUF94" s="786"/>
      <c r="WUG94" s="786"/>
      <c r="WUH94" s="786"/>
      <c r="WUI94" s="786"/>
      <c r="WUJ94" s="786"/>
      <c r="WUK94" s="786"/>
      <c r="WUL94" s="786"/>
      <c r="WUM94" s="786"/>
      <c r="WUN94" s="786"/>
      <c r="WUO94" s="786"/>
      <c r="WUP94" s="786"/>
      <c r="WUQ94" s="786"/>
      <c r="WUR94" s="786"/>
      <c r="WUS94" s="786"/>
      <c r="WUT94" s="786"/>
      <c r="WUU94" s="786"/>
      <c r="WUV94" s="786"/>
      <c r="WUW94" s="786"/>
      <c r="WUX94" s="786"/>
      <c r="WUY94" s="786"/>
      <c r="WUZ94" s="786"/>
      <c r="WVA94" s="786"/>
      <c r="WVB94" s="786"/>
      <c r="WVC94" s="786"/>
      <c r="WVD94" s="786"/>
      <c r="WVE94" s="786"/>
      <c r="WVF94" s="786"/>
      <c r="WVG94" s="786"/>
      <c r="WVH94" s="786"/>
      <c r="WVI94" s="786"/>
      <c r="WVJ94" s="786"/>
      <c r="WVK94" s="786"/>
      <c r="WVL94" s="786"/>
      <c r="WVM94" s="786"/>
      <c r="WVN94" s="786"/>
      <c r="WVO94" s="786"/>
      <c r="WVP94" s="786"/>
      <c r="WVQ94" s="786"/>
      <c r="WVR94" s="786"/>
      <c r="WVS94" s="786"/>
      <c r="WVT94" s="786"/>
      <c r="WVU94" s="786"/>
      <c r="WVV94" s="786"/>
      <c r="WVW94" s="786"/>
      <c r="WVX94" s="786"/>
      <c r="WVY94" s="786"/>
      <c r="WVZ94" s="786"/>
      <c r="WWA94" s="786"/>
      <c r="WWB94" s="786"/>
      <c r="WWC94" s="786"/>
      <c r="WWD94" s="786"/>
      <c r="WWE94" s="786"/>
      <c r="WWF94" s="786"/>
      <c r="WWG94" s="786"/>
      <c r="WWH94" s="786"/>
      <c r="WWI94" s="786"/>
      <c r="WWJ94" s="786"/>
      <c r="WWK94" s="786"/>
      <c r="WWL94" s="786"/>
      <c r="WWM94" s="786"/>
      <c r="WWN94" s="786"/>
      <c r="WWO94" s="786"/>
      <c r="WWP94" s="786"/>
      <c r="WWQ94" s="786"/>
      <c r="WWR94" s="786"/>
      <c r="WWS94" s="786"/>
      <c r="WWT94" s="786"/>
      <c r="WWU94" s="786"/>
      <c r="WWV94" s="786"/>
      <c r="WWW94" s="786"/>
      <c r="WWX94" s="786"/>
      <c r="WWY94" s="786"/>
      <c r="WWZ94" s="786"/>
      <c r="WXA94" s="786"/>
      <c r="WXB94" s="786"/>
      <c r="WXC94" s="786"/>
      <c r="WXD94" s="786"/>
      <c r="WXE94" s="786"/>
      <c r="WXF94" s="786"/>
      <c r="WXG94" s="786"/>
      <c r="WXH94" s="786"/>
      <c r="WXI94" s="786"/>
      <c r="WXJ94" s="786"/>
      <c r="WXK94" s="786"/>
      <c r="WXL94" s="786"/>
      <c r="WXM94" s="786"/>
      <c r="WXN94" s="786"/>
      <c r="WXO94" s="786"/>
      <c r="WXP94" s="786"/>
      <c r="WXQ94" s="786"/>
      <c r="WXR94" s="786"/>
      <c r="WXS94" s="786"/>
      <c r="WXT94" s="786"/>
      <c r="WXU94" s="786"/>
      <c r="WXV94" s="786"/>
      <c r="WXW94" s="786"/>
      <c r="WXX94" s="786"/>
      <c r="WXY94" s="786"/>
      <c r="WXZ94" s="786"/>
      <c r="WYA94" s="786"/>
      <c r="WYB94" s="786"/>
      <c r="WYC94" s="786"/>
      <c r="WYD94" s="786"/>
      <c r="WYE94" s="786"/>
      <c r="WYF94" s="786"/>
      <c r="WYG94" s="786"/>
      <c r="WYH94" s="786"/>
      <c r="WYI94" s="786"/>
      <c r="WYJ94" s="786"/>
      <c r="WYK94" s="786"/>
      <c r="WYL94" s="786"/>
      <c r="WYM94" s="786"/>
      <c r="WYN94" s="786"/>
      <c r="WYO94" s="786"/>
      <c r="WYP94" s="786"/>
      <c r="WYQ94" s="786"/>
      <c r="WYR94" s="786"/>
      <c r="WYS94" s="786"/>
      <c r="WYT94" s="786"/>
      <c r="WYU94" s="786"/>
      <c r="WYV94" s="786"/>
      <c r="WYW94" s="786"/>
      <c r="WYX94" s="786"/>
      <c r="WYY94" s="786"/>
      <c r="WYZ94" s="786"/>
      <c r="WZA94" s="786"/>
      <c r="WZB94" s="786"/>
      <c r="WZC94" s="786"/>
      <c r="WZD94" s="786"/>
      <c r="WZE94" s="786"/>
      <c r="WZF94" s="786"/>
      <c r="WZG94" s="786"/>
      <c r="WZH94" s="786"/>
      <c r="WZI94" s="786"/>
      <c r="WZJ94" s="786"/>
      <c r="WZK94" s="786"/>
      <c r="WZL94" s="786"/>
      <c r="WZM94" s="786"/>
      <c r="WZN94" s="786"/>
      <c r="WZO94" s="786"/>
      <c r="WZP94" s="786"/>
      <c r="WZQ94" s="786"/>
      <c r="WZR94" s="786"/>
      <c r="WZS94" s="786"/>
      <c r="WZT94" s="786"/>
      <c r="WZU94" s="786"/>
      <c r="WZV94" s="786"/>
      <c r="WZW94" s="786"/>
      <c r="WZX94" s="786"/>
      <c r="WZY94" s="786"/>
      <c r="WZZ94" s="786"/>
      <c r="XAA94" s="786"/>
      <c r="XAB94" s="786"/>
      <c r="XAC94" s="786"/>
      <c r="XAD94" s="786"/>
      <c r="XAE94" s="786"/>
      <c r="XAF94" s="786"/>
      <c r="XAG94" s="786"/>
      <c r="XAH94" s="786"/>
      <c r="XAI94" s="786"/>
      <c r="XAJ94" s="786"/>
      <c r="XAK94" s="786"/>
      <c r="XAL94" s="786"/>
      <c r="XAM94" s="786"/>
      <c r="XAN94" s="786"/>
      <c r="XAO94" s="786"/>
      <c r="XAP94" s="786"/>
      <c r="XAQ94" s="786"/>
      <c r="XAR94" s="786"/>
      <c r="XAS94" s="786"/>
      <c r="XAT94" s="786"/>
      <c r="XAU94" s="786"/>
      <c r="XAV94" s="786"/>
      <c r="XAW94" s="786"/>
      <c r="XAX94" s="786"/>
      <c r="XAY94" s="786"/>
      <c r="XAZ94" s="786"/>
      <c r="XBA94" s="786"/>
      <c r="XBB94" s="786"/>
      <c r="XBC94" s="786"/>
      <c r="XBD94" s="786"/>
      <c r="XBE94" s="786"/>
      <c r="XBF94" s="786"/>
      <c r="XBG94" s="786"/>
      <c r="XBH94" s="786"/>
      <c r="XBI94" s="786"/>
      <c r="XBJ94" s="786"/>
      <c r="XBK94" s="786"/>
      <c r="XBL94" s="786"/>
      <c r="XBM94" s="786"/>
      <c r="XBN94" s="786"/>
      <c r="XBO94" s="786"/>
      <c r="XBP94" s="786"/>
      <c r="XBQ94" s="786"/>
      <c r="XBR94" s="786"/>
      <c r="XBS94" s="786"/>
      <c r="XBT94" s="786"/>
      <c r="XBU94" s="786"/>
      <c r="XBV94" s="786"/>
      <c r="XBW94" s="786"/>
      <c r="XBX94" s="786"/>
      <c r="XBY94" s="786"/>
      <c r="XBZ94" s="786"/>
      <c r="XCA94" s="786"/>
      <c r="XCB94" s="786"/>
      <c r="XCC94" s="786"/>
      <c r="XCD94" s="786"/>
      <c r="XCE94" s="786"/>
      <c r="XCF94" s="786"/>
      <c r="XCG94" s="786"/>
      <c r="XCH94" s="786"/>
      <c r="XCI94" s="786"/>
      <c r="XCJ94" s="786"/>
      <c r="XCK94" s="786"/>
      <c r="XCL94" s="786"/>
      <c r="XCM94" s="786"/>
      <c r="XCN94" s="786"/>
      <c r="XCO94" s="786"/>
      <c r="XCP94" s="786"/>
      <c r="XCQ94" s="786"/>
      <c r="XCR94" s="786"/>
      <c r="XCS94" s="786"/>
      <c r="XCT94" s="786"/>
      <c r="XCU94" s="786"/>
      <c r="XCV94" s="786"/>
      <c r="XCW94" s="786"/>
      <c r="XCX94" s="786"/>
      <c r="XCY94" s="786"/>
      <c r="XCZ94" s="786"/>
      <c r="XDA94" s="786"/>
      <c r="XDB94" s="786"/>
      <c r="XDC94" s="786"/>
      <c r="XDD94" s="786"/>
      <c r="XDE94" s="786"/>
      <c r="XDF94" s="786"/>
      <c r="XDG94" s="786"/>
      <c r="XDH94" s="786"/>
      <c r="XDI94" s="786"/>
      <c r="XDJ94" s="786"/>
      <c r="XDK94" s="786"/>
      <c r="XDL94" s="786"/>
      <c r="XDM94" s="786"/>
      <c r="XDN94" s="786"/>
      <c r="XDO94" s="786"/>
      <c r="XDP94" s="786"/>
      <c r="XDQ94" s="786"/>
      <c r="XDR94" s="786"/>
      <c r="XDS94" s="786"/>
      <c r="XDT94" s="786"/>
      <c r="XDU94" s="786"/>
      <c r="XDV94" s="786"/>
      <c r="XDW94" s="786"/>
      <c r="XDX94" s="786"/>
      <c r="XDY94" s="786"/>
      <c r="XDZ94" s="786"/>
      <c r="XEA94" s="786"/>
      <c r="XEB94" s="786"/>
      <c r="XEC94" s="786"/>
      <c r="XED94" s="786"/>
      <c r="XEE94" s="786"/>
      <c r="XEF94" s="786"/>
      <c r="XEG94" s="786"/>
      <c r="XEH94" s="786"/>
      <c r="XEI94" s="786"/>
      <c r="XEJ94" s="786"/>
      <c r="XEK94" s="786"/>
      <c r="XEL94" s="786"/>
      <c r="XEM94" s="786"/>
      <c r="XEN94" s="786"/>
      <c r="XEO94" s="786"/>
      <c r="XEP94" s="786"/>
      <c r="XEQ94" s="786"/>
      <c r="XER94" s="786"/>
      <c r="XES94" s="786"/>
      <c r="XET94" s="786"/>
      <c r="XEU94" s="786"/>
      <c r="XEV94" s="786"/>
      <c r="XEW94" s="786"/>
      <c r="XEX94" s="786"/>
      <c r="XEY94" s="786"/>
      <c r="XEZ94" s="786"/>
      <c r="XFA94" s="786"/>
      <c r="XFB94" s="786"/>
      <c r="XFC94" s="786"/>
      <c r="XFD94" s="786"/>
    </row>
    <row r="95" spans="2:16384" ht="15" x14ac:dyDescent="0.25">
      <c r="B95" s="514" t="s">
        <v>631</v>
      </c>
      <c r="C95" s="129"/>
      <c r="D95" s="129"/>
      <c r="E95" s="403"/>
      <c r="F95" s="403"/>
      <c r="G95" s="403"/>
      <c r="H95" s="403"/>
      <c r="I95" s="403"/>
      <c r="J95" s="403"/>
      <c r="K95" s="403"/>
      <c r="L95" s="403"/>
      <c r="M95" s="403"/>
      <c r="N95" s="403"/>
      <c r="O95" s="403">
        <f>'[3]Batch 1'!D93</f>
        <v>0</v>
      </c>
      <c r="P95" s="486">
        <f>'[3]Batch 1'!E93</f>
        <v>0</v>
      </c>
      <c r="Q95" s="344">
        <f>'[3]Batch 1'!F93</f>
        <v>0</v>
      </c>
      <c r="R95" s="109">
        <f>'[3]Batch 1'!G93</f>
        <v>0</v>
      </c>
      <c r="S95" s="109">
        <f>'[3]Batch 1'!H93</f>
        <v>0</v>
      </c>
      <c r="T95" s="109">
        <f>'[3]Batch 1'!I93</f>
        <v>0</v>
      </c>
      <c r="U95" s="109">
        <f>'[3]Batch 1'!J93</f>
        <v>0</v>
      </c>
      <c r="V95" s="109">
        <f>'Smolt Production'!D67</f>
        <v>24.999999999999996</v>
      </c>
      <c r="W95" s="109">
        <f>'Smolt Production'!E67</f>
        <v>36.937499999999993</v>
      </c>
      <c r="X95" s="109">
        <f>'Smolt Production'!F67</f>
        <v>60.639062499999994</v>
      </c>
      <c r="Y95" s="109">
        <f>'Smolt Production'!G67</f>
        <v>119.45895312499998</v>
      </c>
      <c r="Z95" s="109">
        <f>'Smolt Production'!H67</f>
        <v>188.26731012499999</v>
      </c>
      <c r="AA95" s="109">
        <f>'Smolt Production'!I67</f>
        <v>278.1649507096875</v>
      </c>
      <c r="AB95" s="695">
        <f>'Smolt Production'!J67</f>
        <v>399.57236148818646</v>
      </c>
      <c r="AC95" s="109">
        <f>'Smolt Production'!K67</f>
        <v>539.76517860461308</v>
      </c>
      <c r="AD95" s="109">
        <f>'Smolt Production'!L67</f>
        <v>3647.8380313502589</v>
      </c>
      <c r="AE95" s="109">
        <f>'Smolt Production'!M67</f>
        <v>656.25108102043055</v>
      </c>
      <c r="AF95" s="109">
        <f>'Smolt Production'!N67</f>
        <v>722.86409397562284</v>
      </c>
      <c r="AG95" s="109">
        <f>'Smolt Production'!O67</f>
        <v>524.88737336595295</v>
      </c>
      <c r="AH95" s="109">
        <f>'Smolt Production'!P67</f>
        <v>299.09883871796393</v>
      </c>
      <c r="AI95" s="109">
        <f>'Smolt Production'!Q67</f>
        <v>328.24358602559818</v>
      </c>
      <c r="AJ95" s="109">
        <f>'Smolt Production'!R67</f>
        <v>399.95218481888264</v>
      </c>
      <c r="AK95" s="109">
        <f>'Smolt Production'!S67</f>
        <v>0</v>
      </c>
      <c r="AL95" s="109">
        <f>'Smolt Production'!T67</f>
        <v>0</v>
      </c>
      <c r="AM95" s="109">
        <f>'Smolt Production'!U67</f>
        <v>0</v>
      </c>
      <c r="AN95" s="695">
        <f>'[3]Batch 1'!AC93</f>
        <v>0</v>
      </c>
      <c r="AO95" s="109">
        <f>'[3]Batch 1'!AD93</f>
        <v>0</v>
      </c>
      <c r="AP95" s="109">
        <f>'[3]Batch 1'!AE93</f>
        <v>0</v>
      </c>
      <c r="AQ95" s="109">
        <f>'[3]Batch 1'!AF93</f>
        <v>0</v>
      </c>
      <c r="AR95" s="109">
        <f>'[3]Batch 1'!AG93</f>
        <v>0</v>
      </c>
      <c r="AS95" s="109">
        <f>'[3]Batch 1'!AC93</f>
        <v>0</v>
      </c>
      <c r="AT95" s="109">
        <f>'[3]Batch 1'!AC93</f>
        <v>0</v>
      </c>
      <c r="AU95" s="109">
        <f>'[3]Batch 1'!AD93</f>
        <v>0</v>
      </c>
      <c r="AV95" s="109">
        <f>'[3]Batch 1'!AE93</f>
        <v>0</v>
      </c>
      <c r="AW95" s="109">
        <f>'[3]Batch 1'!AF93</f>
        <v>0</v>
      </c>
      <c r="AX95" s="109">
        <f>'[3]Batch 1'!AG93</f>
        <v>0</v>
      </c>
      <c r="AY95" s="109">
        <f>'[3]Batch 1'!AH93</f>
        <v>0</v>
      </c>
      <c r="AZ95" s="695">
        <f>'[3]Batch 1'!AI93</f>
        <v>0</v>
      </c>
      <c r="BA95" s="109">
        <f>'[3]Batch 1'!AJ93</f>
        <v>0</v>
      </c>
      <c r="BB95" s="109">
        <f>'[3]Batch 1'!AK93</f>
        <v>0</v>
      </c>
      <c r="BC95" s="109">
        <f>'[3]Batch 1'!AL93</f>
        <v>0</v>
      </c>
      <c r="BD95" s="109">
        <f>'[3]Batch 1'!AM93</f>
        <v>0</v>
      </c>
      <c r="BE95" s="109">
        <f>'[3]Batch 1'!AN93</f>
        <v>0</v>
      </c>
      <c r="BF95" s="109">
        <f>'[3]Batch 1'!AO93</f>
        <v>0</v>
      </c>
      <c r="BG95" s="109">
        <f>'[3]Batch 1'!AP93</f>
        <v>0</v>
      </c>
      <c r="BH95" s="109">
        <f>'[3]Batch 1'!AQ93</f>
        <v>0</v>
      </c>
      <c r="BI95" s="109">
        <f>'[3]Batch 1'!AR93</f>
        <v>0</v>
      </c>
      <c r="BJ95" s="109">
        <f>'[3]Batch 1'!AS93</f>
        <v>0</v>
      </c>
      <c r="BK95" s="109"/>
      <c r="BL95" s="695"/>
      <c r="BM95" s="109"/>
      <c r="BN95" s="109"/>
      <c r="BO95" s="109"/>
      <c r="BP95" s="109"/>
      <c r="BQ95" s="109"/>
      <c r="BR95" s="109"/>
      <c r="BS95" s="109"/>
      <c r="BT95" s="109"/>
      <c r="BU95" s="109"/>
      <c r="BV95" s="109"/>
      <c r="BW95" s="109"/>
      <c r="BX95" s="695"/>
      <c r="BY95" s="109"/>
      <c r="BZ95" s="109"/>
      <c r="CA95" s="109"/>
      <c r="CB95" s="109"/>
      <c r="CC95" s="109"/>
      <c r="CD95" s="109"/>
      <c r="CE95" s="109"/>
      <c r="CF95" s="109"/>
      <c r="CG95" s="109"/>
      <c r="CH95" s="109"/>
      <c r="CI95" s="109"/>
      <c r="CJ95" s="695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695"/>
      <c r="CW95" s="109"/>
      <c r="CX95" s="109"/>
      <c r="CY95" s="109"/>
      <c r="CZ95" s="109"/>
      <c r="DA95" s="109"/>
      <c r="DB95" s="109"/>
      <c r="DC95" s="109"/>
      <c r="DD95" s="109"/>
      <c r="DE95" s="109"/>
      <c r="DF95" s="109"/>
      <c r="DG95" s="109"/>
      <c r="DH95" s="695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695"/>
      <c r="DU95" s="3"/>
    </row>
    <row r="96" spans="2:16384" ht="15" x14ac:dyDescent="0.25">
      <c r="B96" s="514" t="s">
        <v>632</v>
      </c>
      <c r="C96" s="129"/>
      <c r="D96" s="129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5"/>
      <c r="Q96" s="344"/>
      <c r="R96" s="108">
        <f>[3]Batch2!D93</f>
        <v>0</v>
      </c>
      <c r="S96" s="108">
        <f>[3]Batch2!E93</f>
        <v>0</v>
      </c>
      <c r="T96" s="108">
        <f>[3]Batch2!F93</f>
        <v>0</v>
      </c>
      <c r="U96" s="108">
        <f>[3]Batch2!G93</f>
        <v>0</v>
      </c>
      <c r="V96" s="108">
        <f>[3]Batch2!H93</f>
        <v>0</v>
      </c>
      <c r="W96" s="108">
        <f>[3]Batch2!I93</f>
        <v>0</v>
      </c>
      <c r="X96" s="108">
        <f>[3]Batch2!J93</f>
        <v>0</v>
      </c>
      <c r="Y96" s="108">
        <f>[3]Batch2!K93</f>
        <v>0</v>
      </c>
      <c r="Z96" s="108">
        <f>[3]Batch2!L93</f>
        <v>0</v>
      </c>
      <c r="AA96" s="108">
        <f>[3]Batch2!M93</f>
        <v>0</v>
      </c>
      <c r="AB96" s="110">
        <f>[3]Batch2!N93</f>
        <v>0</v>
      </c>
      <c r="AC96" s="109">
        <f>[3]Batch2!O93</f>
        <v>0</v>
      </c>
      <c r="AD96" s="108">
        <f>[3]Batch2!P93</f>
        <v>0</v>
      </c>
      <c r="AE96" s="108">
        <f>[3]Batch2!Q93</f>
        <v>0</v>
      </c>
      <c r="AF96" s="108">
        <f>[3]Batch2!R93</f>
        <v>0</v>
      </c>
      <c r="AG96" s="108">
        <f>[3]Batch2!S93</f>
        <v>0</v>
      </c>
      <c r="AH96" s="108">
        <f>V95</f>
        <v>24.999999999999996</v>
      </c>
      <c r="AI96" s="108">
        <f t="shared" ref="AI96:CT99" si="81">W95</f>
        <v>36.937499999999993</v>
      </c>
      <c r="AJ96" s="108">
        <f t="shared" si="81"/>
        <v>60.639062499999994</v>
      </c>
      <c r="AK96" s="108">
        <f t="shared" si="81"/>
        <v>119.45895312499998</v>
      </c>
      <c r="AL96" s="108">
        <f t="shared" si="81"/>
        <v>188.26731012499999</v>
      </c>
      <c r="AM96" s="108">
        <f t="shared" si="81"/>
        <v>278.1649507096875</v>
      </c>
      <c r="AN96" s="110">
        <f t="shared" si="81"/>
        <v>399.57236148818646</v>
      </c>
      <c r="AO96" s="109">
        <f t="shared" si="81"/>
        <v>539.76517860461308</v>
      </c>
      <c r="AP96" s="108">
        <f t="shared" si="81"/>
        <v>3647.8380313502589</v>
      </c>
      <c r="AQ96" s="108">
        <f t="shared" si="81"/>
        <v>656.25108102043055</v>
      </c>
      <c r="AR96" s="108">
        <f t="shared" si="81"/>
        <v>722.86409397562284</v>
      </c>
      <c r="AS96" s="108">
        <f t="shared" si="81"/>
        <v>524.88737336595295</v>
      </c>
      <c r="AT96" s="108">
        <f t="shared" si="81"/>
        <v>299.09883871796393</v>
      </c>
      <c r="AU96" s="108">
        <f t="shared" si="81"/>
        <v>328.24358602559818</v>
      </c>
      <c r="AV96" s="108">
        <f t="shared" si="81"/>
        <v>399.95218481888264</v>
      </c>
      <c r="AW96" s="108">
        <f t="shared" si="81"/>
        <v>0</v>
      </c>
      <c r="AX96" s="108">
        <f t="shared" si="81"/>
        <v>0</v>
      </c>
      <c r="AY96" s="108">
        <f t="shared" si="81"/>
        <v>0</v>
      </c>
      <c r="AZ96" s="110">
        <f t="shared" si="81"/>
        <v>0</v>
      </c>
      <c r="BA96" s="109">
        <f t="shared" si="81"/>
        <v>0</v>
      </c>
      <c r="BB96" s="108">
        <f t="shared" si="81"/>
        <v>0</v>
      </c>
      <c r="BC96" s="108">
        <f t="shared" si="81"/>
        <v>0</v>
      </c>
      <c r="BD96" s="108">
        <f t="shared" si="81"/>
        <v>0</v>
      </c>
      <c r="BE96" s="108">
        <f t="shared" si="81"/>
        <v>0</v>
      </c>
      <c r="BF96" s="108">
        <f t="shared" si="81"/>
        <v>0</v>
      </c>
      <c r="BG96" s="108">
        <f t="shared" si="81"/>
        <v>0</v>
      </c>
      <c r="BH96" s="108">
        <f t="shared" si="81"/>
        <v>0</v>
      </c>
      <c r="BI96" s="108">
        <f t="shared" si="81"/>
        <v>0</v>
      </c>
      <c r="BJ96" s="108">
        <f t="shared" si="81"/>
        <v>0</v>
      </c>
      <c r="BK96" s="108">
        <f t="shared" si="81"/>
        <v>0</v>
      </c>
      <c r="BL96" s="110">
        <f t="shared" si="81"/>
        <v>0</v>
      </c>
      <c r="BM96" s="109">
        <f t="shared" si="81"/>
        <v>0</v>
      </c>
      <c r="BN96" s="108">
        <f t="shared" si="81"/>
        <v>0</v>
      </c>
      <c r="BO96" s="108">
        <f t="shared" si="81"/>
        <v>0</v>
      </c>
      <c r="BP96" s="108">
        <f t="shared" si="81"/>
        <v>0</v>
      </c>
      <c r="BQ96" s="108">
        <f t="shared" si="81"/>
        <v>0</v>
      </c>
      <c r="BR96" s="108">
        <f t="shared" si="81"/>
        <v>0</v>
      </c>
      <c r="BS96" s="108">
        <f t="shared" si="81"/>
        <v>0</v>
      </c>
      <c r="BT96" s="108">
        <f t="shared" si="81"/>
        <v>0</v>
      </c>
      <c r="BU96" s="108">
        <f t="shared" si="81"/>
        <v>0</v>
      </c>
      <c r="BV96" s="108">
        <f t="shared" si="81"/>
        <v>0</v>
      </c>
      <c r="BW96" s="108">
        <f t="shared" si="81"/>
        <v>0</v>
      </c>
      <c r="BX96" s="110">
        <f t="shared" si="81"/>
        <v>0</v>
      </c>
      <c r="BY96" s="109">
        <f t="shared" si="81"/>
        <v>0</v>
      </c>
      <c r="BZ96" s="108">
        <f t="shared" si="81"/>
        <v>0</v>
      </c>
      <c r="CA96" s="108">
        <f t="shared" si="81"/>
        <v>0</v>
      </c>
      <c r="CB96" s="108">
        <f t="shared" si="81"/>
        <v>0</v>
      </c>
      <c r="CC96" s="108">
        <f t="shared" si="81"/>
        <v>0</v>
      </c>
      <c r="CD96" s="108">
        <f t="shared" si="81"/>
        <v>0</v>
      </c>
      <c r="CE96" s="108">
        <f t="shared" si="81"/>
        <v>0</v>
      </c>
      <c r="CF96" s="108">
        <f t="shared" si="81"/>
        <v>0</v>
      </c>
      <c r="CG96" s="108">
        <f t="shared" si="81"/>
        <v>0</v>
      </c>
      <c r="CH96" s="108">
        <f t="shared" si="81"/>
        <v>0</v>
      </c>
      <c r="CI96" s="108">
        <f t="shared" si="81"/>
        <v>0</v>
      </c>
      <c r="CJ96" s="110">
        <f t="shared" si="81"/>
        <v>0</v>
      </c>
      <c r="CK96" s="109">
        <f t="shared" si="81"/>
        <v>0</v>
      </c>
      <c r="CL96" s="108">
        <f t="shared" si="81"/>
        <v>0</v>
      </c>
      <c r="CM96" s="108">
        <f t="shared" si="81"/>
        <v>0</v>
      </c>
      <c r="CN96" s="108">
        <f t="shared" si="81"/>
        <v>0</v>
      </c>
      <c r="CO96" s="108">
        <f t="shared" si="81"/>
        <v>0</v>
      </c>
      <c r="CP96" s="108">
        <f t="shared" si="81"/>
        <v>0</v>
      </c>
      <c r="CQ96" s="108">
        <f t="shared" si="81"/>
        <v>0</v>
      </c>
      <c r="CR96" s="108">
        <f t="shared" si="81"/>
        <v>0</v>
      </c>
      <c r="CS96" s="108">
        <f t="shared" si="81"/>
        <v>0</v>
      </c>
      <c r="CT96" s="108">
        <f t="shared" si="81"/>
        <v>0</v>
      </c>
      <c r="CU96" s="108">
        <f t="shared" ref="CU96:DT104" si="82">CI95</f>
        <v>0</v>
      </c>
      <c r="CV96" s="110">
        <f t="shared" si="82"/>
        <v>0</v>
      </c>
      <c r="CW96" s="109">
        <f t="shared" si="82"/>
        <v>0</v>
      </c>
      <c r="CX96" s="108">
        <f t="shared" si="82"/>
        <v>0</v>
      </c>
      <c r="CY96" s="108">
        <f t="shared" si="82"/>
        <v>0</v>
      </c>
      <c r="CZ96" s="108">
        <f t="shared" si="82"/>
        <v>0</v>
      </c>
      <c r="DA96" s="108">
        <f t="shared" si="82"/>
        <v>0</v>
      </c>
      <c r="DB96" s="108">
        <f t="shared" si="82"/>
        <v>0</v>
      </c>
      <c r="DC96" s="108">
        <f t="shared" si="82"/>
        <v>0</v>
      </c>
      <c r="DD96" s="108">
        <f t="shared" si="82"/>
        <v>0</v>
      </c>
      <c r="DE96" s="108">
        <f t="shared" si="82"/>
        <v>0</v>
      </c>
      <c r="DF96" s="108">
        <f t="shared" si="82"/>
        <v>0</v>
      </c>
      <c r="DG96" s="108">
        <f t="shared" si="82"/>
        <v>0</v>
      </c>
      <c r="DH96" s="110">
        <f t="shared" si="82"/>
        <v>0</v>
      </c>
      <c r="DI96" s="109">
        <f t="shared" si="82"/>
        <v>0</v>
      </c>
      <c r="DJ96" s="108">
        <f t="shared" si="82"/>
        <v>0</v>
      </c>
      <c r="DK96" s="108">
        <f t="shared" si="82"/>
        <v>0</v>
      </c>
      <c r="DL96" s="108">
        <f t="shared" si="82"/>
        <v>0</v>
      </c>
      <c r="DM96" s="108">
        <f t="shared" si="82"/>
        <v>0</v>
      </c>
      <c r="DN96" s="108">
        <f t="shared" si="82"/>
        <v>0</v>
      </c>
      <c r="DO96" s="108">
        <f t="shared" si="82"/>
        <v>0</v>
      </c>
      <c r="DP96" s="108">
        <f t="shared" si="82"/>
        <v>0</v>
      </c>
      <c r="DQ96" s="108">
        <f t="shared" si="82"/>
        <v>0</v>
      </c>
      <c r="DR96" s="108">
        <f t="shared" si="82"/>
        <v>0</v>
      </c>
      <c r="DS96" s="108">
        <f t="shared" si="82"/>
        <v>0</v>
      </c>
      <c r="DT96" s="110">
        <f t="shared" si="82"/>
        <v>0</v>
      </c>
      <c r="DU96" s="3"/>
      <c r="APL96" s="15"/>
      <c r="APM96" s="15"/>
      <c r="APN96" s="15"/>
      <c r="APO96" s="15"/>
      <c r="APP96" s="15"/>
      <c r="APQ96" s="15"/>
      <c r="APR96" s="15"/>
      <c r="APS96" s="15"/>
      <c r="APT96" s="15"/>
      <c r="APU96" s="15"/>
      <c r="APV96" s="15"/>
      <c r="APW96" s="15"/>
      <c r="APX96" s="15"/>
      <c r="APY96" s="15"/>
      <c r="APZ96" s="15"/>
      <c r="AQA96" s="15"/>
      <c r="AQB96" s="15"/>
      <c r="AQC96" s="15"/>
      <c r="AQD96" s="15"/>
      <c r="AQE96" s="15"/>
      <c r="AQF96" s="15"/>
      <c r="AQG96" s="15"/>
      <c r="AQH96" s="15"/>
      <c r="AQI96" s="15"/>
      <c r="AQJ96" s="15"/>
      <c r="AQK96" s="15"/>
      <c r="AQL96" s="15"/>
      <c r="AQM96" s="15"/>
      <c r="AQN96" s="15"/>
      <c r="AQO96" s="15"/>
      <c r="AQP96" s="15"/>
      <c r="AQQ96" s="15"/>
      <c r="AQR96" s="15"/>
      <c r="AQS96" s="15"/>
      <c r="AQT96" s="15"/>
      <c r="AQU96" s="15"/>
      <c r="AQV96" s="15"/>
      <c r="AQW96" s="15"/>
      <c r="AQX96" s="15"/>
      <c r="AQY96" s="15"/>
      <c r="AQZ96" s="15"/>
      <c r="ARA96" s="15"/>
      <c r="ARB96" s="15"/>
      <c r="ARC96" s="15"/>
      <c r="ARD96" s="15"/>
      <c r="ARE96" s="15"/>
      <c r="ARF96" s="15"/>
      <c r="ARG96" s="15"/>
      <c r="ARH96" s="15"/>
      <c r="ARI96" s="15"/>
      <c r="ARJ96" s="15"/>
      <c r="ARK96" s="15"/>
      <c r="ARL96" s="15"/>
      <c r="ARM96" s="15"/>
      <c r="ARN96" s="15"/>
      <c r="ARO96" s="15"/>
      <c r="ARP96" s="15"/>
      <c r="ARQ96" s="15"/>
      <c r="ARR96" s="15"/>
      <c r="ARS96" s="15"/>
      <c r="ART96" s="15"/>
      <c r="ARU96" s="15"/>
      <c r="ARV96" s="15"/>
      <c r="ARW96" s="15"/>
      <c r="ARX96" s="15"/>
      <c r="ARY96" s="15"/>
      <c r="ARZ96" s="15"/>
      <c r="ASA96" s="15"/>
      <c r="ASB96" s="15"/>
      <c r="ASC96" s="15"/>
      <c r="ASD96" s="15"/>
      <c r="ASE96" s="15"/>
      <c r="ASF96" s="15"/>
      <c r="ASG96" s="15"/>
      <c r="ASH96" s="15"/>
      <c r="ASI96" s="15"/>
      <c r="ASJ96" s="15"/>
      <c r="ASK96" s="15"/>
      <c r="ASL96" s="15"/>
      <c r="ASM96" s="15"/>
      <c r="ASN96" s="15"/>
      <c r="ASO96" s="15"/>
      <c r="ASP96" s="15"/>
      <c r="ASQ96" s="15"/>
      <c r="ASR96" s="15"/>
      <c r="ASS96" s="15"/>
      <c r="AST96" s="15"/>
      <c r="ASU96" s="15"/>
      <c r="ASV96" s="15"/>
      <c r="ASW96" s="15"/>
      <c r="ASX96" s="15"/>
      <c r="ASY96" s="15"/>
      <c r="ASZ96" s="15"/>
      <c r="ATA96" s="15"/>
      <c r="ATB96" s="15"/>
      <c r="ATC96" s="15"/>
      <c r="ATD96" s="15"/>
      <c r="ATE96" s="15"/>
      <c r="ATF96" s="15"/>
      <c r="ATG96" s="15"/>
      <c r="ATH96" s="15"/>
      <c r="ATI96" s="15"/>
      <c r="ATJ96" s="15"/>
      <c r="ATK96" s="15"/>
      <c r="ATL96" s="15"/>
      <c r="ATM96" s="15"/>
      <c r="ATN96" s="15"/>
      <c r="ATO96" s="15"/>
      <c r="ATP96" s="15"/>
      <c r="ATQ96" s="15"/>
      <c r="ATR96" s="15"/>
      <c r="ATS96" s="15"/>
      <c r="ATT96" s="15"/>
      <c r="ATU96" s="15"/>
      <c r="ATV96" s="15"/>
      <c r="ATW96" s="15"/>
      <c r="ATX96" s="15"/>
      <c r="ATY96" s="15"/>
      <c r="ATZ96" s="15"/>
      <c r="AUA96" s="15"/>
      <c r="AUB96" s="15"/>
      <c r="AUC96" s="15"/>
      <c r="AUD96" s="15"/>
      <c r="AUE96" s="15"/>
      <c r="AUF96" s="15"/>
      <c r="AUG96" s="15"/>
      <c r="AUH96" s="15"/>
      <c r="AUI96" s="15"/>
      <c r="AUJ96" s="15"/>
      <c r="AUK96" s="15"/>
      <c r="AUL96" s="15"/>
      <c r="AUM96" s="15"/>
      <c r="AUN96" s="15"/>
      <c r="AUO96" s="15"/>
      <c r="AUP96" s="15"/>
      <c r="AUQ96" s="15"/>
      <c r="AUR96" s="15"/>
      <c r="AUS96" s="15"/>
      <c r="AUT96" s="15"/>
      <c r="AUU96" s="15"/>
      <c r="AUV96" s="15"/>
      <c r="AUW96" s="15"/>
      <c r="AUX96" s="15"/>
      <c r="AUY96" s="15"/>
      <c r="AUZ96" s="15"/>
      <c r="AVA96" s="15"/>
      <c r="AVB96" s="15"/>
      <c r="AVC96" s="15"/>
      <c r="AVD96" s="15"/>
      <c r="AVE96" s="15"/>
      <c r="AVF96" s="15"/>
      <c r="AVG96" s="15"/>
      <c r="AVH96" s="15"/>
      <c r="AVI96" s="15"/>
      <c r="AVJ96" s="15"/>
      <c r="AVK96" s="15"/>
      <c r="AVL96" s="15"/>
      <c r="AVM96" s="15"/>
      <c r="AVN96" s="15"/>
      <c r="AVO96" s="15"/>
      <c r="AVP96" s="15"/>
      <c r="AVQ96" s="15"/>
      <c r="AVR96" s="15"/>
      <c r="AVS96" s="15"/>
      <c r="AVT96" s="15"/>
      <c r="AVU96" s="15"/>
      <c r="AVV96" s="15"/>
      <c r="AVW96" s="15"/>
      <c r="AVX96" s="15"/>
      <c r="AVY96" s="15"/>
      <c r="AVZ96" s="15"/>
      <c r="AWA96" s="15"/>
      <c r="AWB96" s="15"/>
      <c r="AWC96" s="15"/>
      <c r="AWD96" s="15"/>
      <c r="AWE96" s="15"/>
      <c r="AWF96" s="15"/>
      <c r="AWG96" s="15"/>
      <c r="AWH96" s="15"/>
      <c r="AWI96" s="15"/>
      <c r="AWJ96" s="15"/>
      <c r="AWK96" s="15"/>
      <c r="AWL96" s="15"/>
      <c r="AWM96" s="15"/>
      <c r="AWN96" s="15"/>
      <c r="AWO96" s="15"/>
      <c r="AWP96" s="15"/>
      <c r="AWQ96" s="15"/>
      <c r="AWR96" s="15"/>
      <c r="AWS96" s="15"/>
      <c r="AWT96" s="15"/>
      <c r="AWU96" s="15"/>
      <c r="AWV96" s="15"/>
      <c r="AWW96" s="15"/>
      <c r="AWX96" s="15"/>
      <c r="AWY96" s="15"/>
      <c r="AWZ96" s="15"/>
      <c r="AXA96" s="15"/>
      <c r="AXB96" s="15"/>
      <c r="AXC96" s="15"/>
      <c r="AXD96" s="15"/>
      <c r="AXE96" s="15"/>
      <c r="AXF96" s="15"/>
      <c r="AXG96" s="15"/>
      <c r="AXH96" s="15"/>
      <c r="AXI96" s="15"/>
      <c r="AXJ96" s="15"/>
      <c r="AXK96" s="15"/>
      <c r="AXL96" s="15"/>
      <c r="AXM96" s="15"/>
      <c r="AXN96" s="15"/>
      <c r="AXO96" s="15"/>
      <c r="AXP96" s="15"/>
      <c r="AXQ96" s="15"/>
      <c r="AXR96" s="15"/>
      <c r="AXS96" s="15"/>
      <c r="AXT96" s="15"/>
      <c r="AXU96" s="15"/>
      <c r="AXV96" s="15"/>
      <c r="AXW96" s="15"/>
      <c r="AXX96" s="15"/>
      <c r="AXY96" s="15"/>
      <c r="AXZ96" s="15"/>
      <c r="AYA96" s="15"/>
      <c r="AYB96" s="15"/>
      <c r="AYC96" s="15"/>
      <c r="AYD96" s="15"/>
      <c r="AYE96" s="15"/>
      <c r="AYF96" s="15"/>
      <c r="AYG96" s="15"/>
      <c r="AYH96" s="15"/>
      <c r="AYI96" s="15"/>
      <c r="AYJ96" s="15"/>
      <c r="AYK96" s="15"/>
      <c r="AYL96" s="15"/>
      <c r="AYM96" s="15"/>
      <c r="AYN96" s="15"/>
      <c r="AYO96" s="15"/>
      <c r="AYP96" s="15"/>
      <c r="AYQ96" s="15"/>
      <c r="AYR96" s="15"/>
      <c r="AYS96" s="15"/>
      <c r="AYT96" s="15"/>
      <c r="AYU96" s="15"/>
      <c r="AYV96" s="15"/>
      <c r="AYW96" s="15"/>
      <c r="AYX96" s="15"/>
      <c r="AYY96" s="15"/>
      <c r="AYZ96" s="15"/>
      <c r="AZA96" s="15"/>
      <c r="AZB96" s="15"/>
      <c r="AZC96" s="15"/>
      <c r="AZD96" s="15"/>
      <c r="AZE96" s="15"/>
      <c r="AZF96" s="15"/>
      <c r="AZG96" s="15"/>
      <c r="AZH96" s="15"/>
      <c r="AZI96" s="15"/>
      <c r="AZJ96" s="15"/>
      <c r="AZK96" s="15"/>
      <c r="AZL96" s="15"/>
      <c r="AZM96" s="15"/>
      <c r="AZN96" s="15"/>
      <c r="AZO96" s="15"/>
      <c r="AZP96" s="15"/>
      <c r="AZQ96" s="15"/>
      <c r="AZR96" s="15"/>
      <c r="AZS96" s="15"/>
      <c r="AZT96" s="15"/>
      <c r="AZU96" s="15"/>
      <c r="AZV96" s="15"/>
      <c r="AZW96" s="15"/>
      <c r="AZX96" s="15"/>
      <c r="AZY96" s="15"/>
      <c r="AZZ96" s="15"/>
      <c r="BAA96" s="15"/>
      <c r="BAB96" s="15"/>
      <c r="BAC96" s="15"/>
      <c r="BAD96" s="15"/>
      <c r="BAE96" s="15"/>
      <c r="BAF96" s="15"/>
      <c r="BAG96" s="15"/>
      <c r="BAH96" s="15"/>
      <c r="BAI96" s="15"/>
      <c r="BAJ96" s="15"/>
      <c r="BAK96" s="15"/>
      <c r="BAL96" s="15"/>
      <c r="BAM96" s="15"/>
      <c r="BAN96" s="15"/>
      <c r="BAO96" s="15"/>
      <c r="BAP96" s="15"/>
      <c r="BAQ96" s="15"/>
      <c r="BAR96" s="15"/>
      <c r="BAS96" s="15"/>
      <c r="BAT96" s="15"/>
      <c r="BAU96" s="15"/>
      <c r="BAV96" s="15"/>
      <c r="BAW96" s="15"/>
      <c r="BAX96" s="15"/>
      <c r="BAY96" s="15"/>
      <c r="BAZ96" s="15"/>
      <c r="BBA96" s="15"/>
      <c r="BBB96" s="15"/>
      <c r="BBC96" s="15"/>
      <c r="BBD96" s="15"/>
      <c r="BBE96" s="15"/>
      <c r="BBF96" s="15"/>
      <c r="BBG96" s="15"/>
      <c r="BBH96" s="15"/>
      <c r="BBI96" s="15"/>
      <c r="BBJ96" s="15"/>
      <c r="BBK96" s="15"/>
      <c r="BBL96" s="15"/>
      <c r="BBM96" s="15"/>
      <c r="BBN96" s="15"/>
      <c r="BBO96" s="15"/>
      <c r="BBP96" s="15"/>
      <c r="BBQ96" s="15"/>
      <c r="BBR96" s="15"/>
      <c r="BBS96" s="15"/>
      <c r="BBT96" s="15"/>
      <c r="BBU96" s="15"/>
      <c r="BBV96" s="15"/>
      <c r="BBW96" s="15"/>
      <c r="BBX96" s="15"/>
      <c r="BBY96" s="15"/>
      <c r="BBZ96" s="15"/>
      <c r="BCA96" s="15"/>
      <c r="BCB96" s="15"/>
      <c r="BCC96" s="15"/>
      <c r="BCD96" s="15"/>
      <c r="BCE96" s="15"/>
      <c r="BCF96" s="15"/>
      <c r="BCG96" s="15"/>
      <c r="BCH96" s="15"/>
      <c r="BCI96" s="15"/>
      <c r="BCJ96" s="15"/>
      <c r="BCK96" s="15"/>
      <c r="BCL96" s="15"/>
      <c r="BCM96" s="15"/>
      <c r="BCN96" s="15"/>
      <c r="BCO96" s="15"/>
      <c r="BCP96" s="15"/>
      <c r="BCQ96" s="15"/>
      <c r="BCR96" s="15"/>
      <c r="BCS96" s="15"/>
      <c r="BCT96" s="15"/>
      <c r="BCU96" s="15"/>
      <c r="BCV96" s="15"/>
      <c r="BCW96" s="15"/>
      <c r="BCX96" s="15"/>
      <c r="BCY96" s="15"/>
      <c r="BCZ96" s="15"/>
      <c r="BDA96" s="15"/>
      <c r="BDB96" s="15"/>
      <c r="BDC96" s="15"/>
      <c r="BDD96" s="15"/>
      <c r="BDE96" s="15"/>
      <c r="BDF96" s="15"/>
      <c r="BDG96" s="15"/>
      <c r="BDH96" s="15"/>
      <c r="BDI96" s="15"/>
      <c r="BDJ96" s="15"/>
      <c r="BDK96" s="15"/>
      <c r="BDL96" s="15"/>
      <c r="BDM96" s="15"/>
      <c r="BDN96" s="15"/>
      <c r="BDO96" s="15"/>
      <c r="BDP96" s="15"/>
      <c r="BDQ96" s="15"/>
      <c r="BDR96" s="15"/>
      <c r="BDS96" s="15"/>
      <c r="BDT96" s="15"/>
      <c r="BDU96" s="15"/>
      <c r="BDV96" s="15"/>
      <c r="BDW96" s="15"/>
      <c r="BDX96" s="15"/>
      <c r="BDY96" s="15"/>
      <c r="BDZ96" s="15"/>
      <c r="BEA96" s="15"/>
      <c r="BEB96" s="15"/>
      <c r="BEC96" s="15"/>
      <c r="BED96" s="15"/>
      <c r="BEE96" s="15"/>
      <c r="BEF96" s="15"/>
      <c r="BEG96" s="15"/>
      <c r="BEH96" s="15"/>
      <c r="BEI96" s="15"/>
      <c r="BEJ96" s="15"/>
      <c r="BEK96" s="15"/>
      <c r="BEL96" s="15"/>
      <c r="BEM96" s="15"/>
      <c r="BEN96" s="15"/>
      <c r="BEO96" s="15"/>
      <c r="BEP96" s="15"/>
      <c r="BEQ96" s="15"/>
      <c r="BER96" s="15"/>
      <c r="BES96" s="15"/>
      <c r="BET96" s="15"/>
      <c r="BEU96" s="15"/>
      <c r="BEV96" s="15"/>
      <c r="BEW96" s="15"/>
      <c r="BEX96" s="15"/>
      <c r="BEY96" s="15"/>
      <c r="BEZ96" s="15"/>
      <c r="BFA96" s="15"/>
      <c r="BFB96" s="15"/>
      <c r="BFC96" s="15"/>
      <c r="BFD96" s="15"/>
      <c r="BFE96" s="15"/>
      <c r="BFF96" s="15"/>
      <c r="BFG96" s="15"/>
      <c r="BFH96" s="15"/>
      <c r="BFI96" s="15"/>
      <c r="BFJ96" s="15"/>
      <c r="BFK96" s="15"/>
      <c r="BFL96" s="15"/>
      <c r="BFM96" s="15"/>
      <c r="BFN96" s="15"/>
      <c r="BFO96" s="15"/>
      <c r="BFP96" s="15"/>
      <c r="BFQ96" s="15"/>
      <c r="BFR96" s="15"/>
      <c r="BFS96" s="15"/>
      <c r="BFT96" s="15"/>
      <c r="BFU96" s="15"/>
      <c r="BFV96" s="15"/>
      <c r="BFW96" s="15"/>
      <c r="BFX96" s="15"/>
      <c r="BFY96" s="15"/>
      <c r="BFZ96" s="15"/>
      <c r="BGA96" s="15"/>
      <c r="BGB96" s="15"/>
      <c r="BGC96" s="15"/>
      <c r="BGD96" s="15"/>
      <c r="BGE96" s="15"/>
      <c r="BGF96" s="15"/>
      <c r="BGG96" s="15"/>
      <c r="BGH96" s="15"/>
      <c r="BGI96" s="15"/>
      <c r="BGJ96" s="15"/>
      <c r="BGK96" s="15"/>
      <c r="BGL96" s="15"/>
      <c r="BGM96" s="15"/>
      <c r="BGN96" s="15"/>
      <c r="BGO96" s="15"/>
      <c r="BGP96" s="15"/>
      <c r="BGQ96" s="15"/>
      <c r="BGR96" s="15"/>
      <c r="BGS96" s="15"/>
      <c r="BGT96" s="15"/>
      <c r="BGU96" s="15"/>
      <c r="BGV96" s="15"/>
      <c r="BGW96" s="15"/>
      <c r="BGX96" s="15"/>
      <c r="BGY96" s="15"/>
      <c r="BGZ96" s="15"/>
      <c r="BHA96" s="15"/>
      <c r="BHB96" s="15"/>
      <c r="BHC96" s="15"/>
      <c r="BHD96" s="15"/>
      <c r="BHE96" s="15"/>
      <c r="BHF96" s="15"/>
      <c r="BHG96" s="15"/>
      <c r="BHH96" s="15"/>
      <c r="BHI96" s="15"/>
      <c r="BHJ96" s="15"/>
      <c r="BHK96" s="15"/>
      <c r="BHL96" s="15"/>
      <c r="BHM96" s="15"/>
      <c r="BHN96" s="15"/>
      <c r="BHO96" s="15"/>
      <c r="BHP96" s="15"/>
      <c r="BHQ96" s="15"/>
      <c r="BHR96" s="15"/>
      <c r="BHS96" s="15"/>
      <c r="BHT96" s="15"/>
      <c r="BHU96" s="15"/>
      <c r="BHV96" s="15"/>
      <c r="BHW96" s="15"/>
      <c r="BHX96" s="15"/>
      <c r="BHY96" s="15"/>
      <c r="BHZ96" s="15"/>
      <c r="BIA96" s="15"/>
      <c r="BIB96" s="15"/>
      <c r="BIC96" s="15"/>
      <c r="BID96" s="15"/>
      <c r="BIE96" s="15"/>
      <c r="BIF96" s="15"/>
      <c r="BIG96" s="15"/>
      <c r="BIH96" s="15"/>
      <c r="BII96" s="15"/>
      <c r="BIJ96" s="15"/>
      <c r="BIK96" s="15"/>
      <c r="BIL96" s="15"/>
      <c r="BIM96" s="15"/>
      <c r="BIN96" s="15"/>
      <c r="BIO96" s="15"/>
      <c r="BIP96" s="15"/>
      <c r="BIQ96" s="15"/>
      <c r="BIR96" s="15"/>
      <c r="BIS96" s="15"/>
      <c r="BIT96" s="15"/>
      <c r="BIU96" s="15"/>
      <c r="BIV96" s="15"/>
      <c r="BIW96" s="15"/>
      <c r="BIX96" s="15"/>
      <c r="BIY96" s="15"/>
      <c r="BIZ96" s="15"/>
      <c r="BJA96" s="15"/>
      <c r="BJB96" s="15"/>
      <c r="BJC96" s="15"/>
      <c r="BJD96" s="15"/>
      <c r="BJE96" s="15"/>
      <c r="BJF96" s="15"/>
      <c r="BJG96" s="15"/>
      <c r="BJH96" s="15"/>
      <c r="BJI96" s="15"/>
      <c r="BJJ96" s="15"/>
      <c r="BJK96" s="15"/>
      <c r="BJL96" s="15"/>
      <c r="BJM96" s="15"/>
      <c r="BJN96" s="15"/>
      <c r="BJO96" s="15"/>
      <c r="BJP96" s="15"/>
      <c r="BJQ96" s="15"/>
      <c r="BJR96" s="15"/>
      <c r="BJS96" s="15"/>
      <c r="BJT96" s="15"/>
      <c r="BJU96" s="15"/>
      <c r="BJV96" s="15"/>
      <c r="BJW96" s="15"/>
      <c r="BJX96" s="15"/>
      <c r="BJY96" s="15"/>
      <c r="BJZ96" s="15"/>
      <c r="BKA96" s="15"/>
      <c r="BKB96" s="15"/>
      <c r="BKC96" s="15"/>
      <c r="BKD96" s="15"/>
      <c r="BKE96" s="15"/>
      <c r="BKF96" s="15"/>
      <c r="BKG96" s="15"/>
      <c r="BKH96" s="15"/>
      <c r="BKI96" s="15"/>
      <c r="BKJ96" s="15"/>
      <c r="BKK96" s="15"/>
      <c r="BKL96" s="15"/>
      <c r="BKM96" s="15"/>
      <c r="BKN96" s="15"/>
      <c r="BKO96" s="15"/>
      <c r="BKP96" s="15"/>
      <c r="BKQ96" s="15"/>
      <c r="BKR96" s="15"/>
      <c r="BKS96" s="15"/>
      <c r="BKT96" s="15"/>
      <c r="BKU96" s="15"/>
      <c r="BKV96" s="15"/>
      <c r="BKW96" s="15"/>
      <c r="BKX96" s="15"/>
      <c r="BKY96" s="15"/>
      <c r="BKZ96" s="15"/>
      <c r="BLA96" s="15"/>
      <c r="BLB96" s="15"/>
      <c r="BLC96" s="15"/>
      <c r="BLD96" s="15"/>
      <c r="BLE96" s="15"/>
      <c r="BLF96" s="15"/>
      <c r="BLG96" s="15"/>
      <c r="BLH96" s="15"/>
      <c r="BLI96" s="15"/>
      <c r="BLJ96" s="15"/>
      <c r="BLK96" s="15"/>
      <c r="BLL96" s="15"/>
      <c r="BLM96" s="15"/>
      <c r="BLN96" s="15"/>
      <c r="BLO96" s="15"/>
      <c r="BLP96" s="15"/>
      <c r="BLQ96" s="15"/>
      <c r="BLR96" s="15"/>
      <c r="BLS96" s="15"/>
      <c r="BLT96" s="15"/>
      <c r="BLU96" s="15"/>
      <c r="BLV96" s="15"/>
      <c r="BLW96" s="15"/>
      <c r="BLX96" s="15"/>
      <c r="BLY96" s="15"/>
      <c r="BLZ96" s="15"/>
      <c r="BMA96" s="15"/>
      <c r="BMB96" s="15"/>
      <c r="BMC96" s="15"/>
      <c r="BMD96" s="15"/>
      <c r="BME96" s="15"/>
      <c r="BMF96" s="15"/>
      <c r="BMG96" s="15"/>
      <c r="BMH96" s="15"/>
      <c r="BMI96" s="15"/>
      <c r="BMJ96" s="15"/>
      <c r="BMK96" s="15"/>
      <c r="BML96" s="15"/>
      <c r="BMM96" s="15"/>
      <c r="BMN96" s="15"/>
      <c r="BMO96" s="15"/>
      <c r="BMP96" s="15"/>
      <c r="BMQ96" s="15"/>
      <c r="BMR96" s="15"/>
      <c r="BMS96" s="15"/>
      <c r="BMT96" s="15"/>
      <c r="BMU96" s="15"/>
      <c r="BMV96" s="15"/>
      <c r="BMW96" s="15"/>
      <c r="BMX96" s="15"/>
      <c r="BMY96" s="15"/>
      <c r="BMZ96" s="15"/>
      <c r="BNA96" s="15"/>
      <c r="BNB96" s="15"/>
      <c r="BNC96" s="15"/>
      <c r="BND96" s="15"/>
      <c r="BNE96" s="15"/>
      <c r="BNF96" s="15"/>
      <c r="BNG96" s="15"/>
      <c r="BNH96" s="15"/>
      <c r="BNI96" s="15"/>
      <c r="BNJ96" s="15"/>
      <c r="BNK96" s="15"/>
      <c r="BNL96" s="15"/>
      <c r="BNM96" s="15"/>
      <c r="BNN96" s="15"/>
      <c r="BNO96" s="15"/>
      <c r="BNP96" s="15"/>
      <c r="BNQ96" s="15"/>
      <c r="BNR96" s="15"/>
      <c r="BNS96" s="15"/>
      <c r="BNT96" s="15"/>
      <c r="BNU96" s="15"/>
      <c r="BNV96" s="15"/>
      <c r="BNW96" s="15"/>
      <c r="BNX96" s="15"/>
      <c r="BNY96" s="15"/>
      <c r="BNZ96" s="15"/>
      <c r="BOA96" s="15"/>
      <c r="BOB96" s="15"/>
      <c r="BOC96" s="15"/>
      <c r="BOD96" s="15"/>
      <c r="BOE96" s="15"/>
      <c r="BOF96" s="15"/>
      <c r="BOG96" s="15"/>
      <c r="BOH96" s="15"/>
      <c r="BOI96" s="15"/>
      <c r="BOJ96" s="15"/>
      <c r="BOK96" s="15"/>
      <c r="BOL96" s="15"/>
      <c r="BOM96" s="15"/>
      <c r="BON96" s="15"/>
      <c r="BOO96" s="15"/>
      <c r="BOP96" s="15"/>
      <c r="BOQ96" s="15"/>
      <c r="BOR96" s="15"/>
      <c r="BOS96" s="15"/>
      <c r="BOT96" s="15"/>
      <c r="BOU96" s="15"/>
      <c r="BOV96" s="15"/>
      <c r="BOW96" s="15"/>
      <c r="BOX96" s="15"/>
      <c r="BOY96" s="15"/>
      <c r="BOZ96" s="15"/>
      <c r="BPA96" s="15"/>
      <c r="BPB96" s="15"/>
      <c r="BPC96" s="15"/>
      <c r="BPD96" s="15"/>
      <c r="BPE96" s="15"/>
      <c r="BPF96" s="15"/>
      <c r="BPG96" s="15"/>
      <c r="BPH96" s="15"/>
      <c r="BPI96" s="15"/>
      <c r="BPJ96" s="15"/>
      <c r="BPK96" s="15"/>
      <c r="BPL96" s="15"/>
      <c r="BPM96" s="15"/>
      <c r="BPN96" s="15"/>
      <c r="BPO96" s="15"/>
      <c r="BPP96" s="15"/>
      <c r="BPQ96" s="15"/>
      <c r="BPR96" s="15"/>
      <c r="BPS96" s="15"/>
      <c r="BPT96" s="15"/>
      <c r="BPU96" s="15"/>
      <c r="BPV96" s="15"/>
      <c r="BPW96" s="15"/>
      <c r="BPX96" s="15"/>
      <c r="BPY96" s="15"/>
      <c r="BPZ96" s="15"/>
      <c r="BQA96" s="15"/>
      <c r="BQB96" s="15"/>
      <c r="BQC96" s="15"/>
      <c r="BQD96" s="15"/>
      <c r="BQE96" s="15"/>
      <c r="BQF96" s="15"/>
      <c r="BQG96" s="15"/>
      <c r="BQH96" s="15"/>
      <c r="BQI96" s="15"/>
      <c r="BQJ96" s="15"/>
      <c r="BQK96" s="15"/>
      <c r="BQL96" s="15"/>
      <c r="BQM96" s="15"/>
      <c r="BQN96" s="15"/>
      <c r="BQO96" s="15"/>
      <c r="BQP96" s="15"/>
      <c r="BQQ96" s="15"/>
      <c r="BQR96" s="15"/>
      <c r="BQS96" s="15"/>
      <c r="BQT96" s="15"/>
      <c r="BQU96" s="15"/>
      <c r="BQV96" s="15"/>
      <c r="BQW96" s="15"/>
      <c r="BQX96" s="15"/>
      <c r="BQY96" s="15"/>
      <c r="BQZ96" s="15"/>
      <c r="BRA96" s="15"/>
      <c r="BRB96" s="15"/>
      <c r="BRC96" s="15"/>
      <c r="BRD96" s="15"/>
      <c r="BRE96" s="15"/>
      <c r="BRF96" s="15"/>
      <c r="BRG96" s="15"/>
      <c r="BRH96" s="15"/>
      <c r="BRI96" s="15"/>
      <c r="BRJ96" s="15"/>
      <c r="BRK96" s="15"/>
      <c r="BRL96" s="15"/>
      <c r="BRM96" s="15"/>
      <c r="BRN96" s="15"/>
      <c r="BRO96" s="15"/>
      <c r="BRP96" s="15"/>
      <c r="BRQ96" s="15"/>
      <c r="BRR96" s="15"/>
      <c r="BRS96" s="15"/>
      <c r="BRT96" s="15"/>
      <c r="BRU96" s="15"/>
      <c r="BRV96" s="15"/>
      <c r="BRW96" s="15"/>
      <c r="BRX96" s="15"/>
      <c r="BRY96" s="15"/>
      <c r="BRZ96" s="15"/>
      <c r="BSA96" s="15"/>
      <c r="BSB96" s="15"/>
      <c r="BSC96" s="15"/>
      <c r="BSD96" s="15"/>
      <c r="BSE96" s="15"/>
      <c r="BSF96" s="15"/>
      <c r="BSG96" s="15"/>
      <c r="BSH96" s="15"/>
      <c r="BSI96" s="15"/>
      <c r="BSJ96" s="15"/>
      <c r="BSK96" s="15"/>
      <c r="BSL96" s="15"/>
      <c r="BSM96" s="15"/>
      <c r="BSN96" s="15"/>
      <c r="BSO96" s="15"/>
      <c r="BSP96" s="15"/>
      <c r="BSQ96" s="15"/>
      <c r="BSR96" s="15"/>
      <c r="BSS96" s="15"/>
      <c r="BST96" s="15"/>
      <c r="BSU96" s="15"/>
      <c r="BSV96" s="15"/>
      <c r="BSW96" s="15"/>
      <c r="BSX96" s="15"/>
      <c r="BSY96" s="15"/>
      <c r="BSZ96" s="15"/>
      <c r="BTA96" s="15"/>
      <c r="BTB96" s="15"/>
      <c r="BTC96" s="15"/>
      <c r="BTD96" s="15"/>
      <c r="BTE96" s="15"/>
      <c r="BTF96" s="15"/>
      <c r="BTG96" s="15"/>
      <c r="BTH96" s="15"/>
      <c r="BTI96" s="15"/>
      <c r="BTJ96" s="15"/>
      <c r="BTK96" s="15"/>
      <c r="BTL96" s="15"/>
      <c r="BTM96" s="15"/>
      <c r="BTN96" s="15"/>
      <c r="BTO96" s="15"/>
      <c r="BTP96" s="15"/>
      <c r="BTQ96" s="15"/>
      <c r="BTR96" s="15"/>
      <c r="BTS96" s="15"/>
      <c r="BTT96" s="15"/>
      <c r="BTU96" s="15"/>
      <c r="BTV96" s="15"/>
      <c r="BTW96" s="15"/>
      <c r="BTX96" s="15"/>
      <c r="BTY96" s="15"/>
      <c r="BTZ96" s="15"/>
      <c r="BUA96" s="15"/>
      <c r="BUB96" s="15"/>
      <c r="BUC96" s="15"/>
      <c r="BUD96" s="15"/>
      <c r="BUE96" s="15"/>
      <c r="BUF96" s="15"/>
      <c r="BUG96" s="15"/>
      <c r="BUH96" s="15"/>
      <c r="BUI96" s="15"/>
      <c r="BUJ96" s="15"/>
      <c r="BUK96" s="15"/>
      <c r="BUL96" s="15"/>
      <c r="BUM96" s="15"/>
      <c r="BUN96" s="15"/>
      <c r="BUO96" s="15"/>
      <c r="BUP96" s="15"/>
      <c r="BUQ96" s="15"/>
      <c r="BUR96" s="15"/>
      <c r="BUS96" s="15"/>
      <c r="BUT96" s="15"/>
      <c r="BUU96" s="15"/>
      <c r="BUV96" s="15"/>
      <c r="BUW96" s="15"/>
      <c r="BUX96" s="15"/>
      <c r="BUY96" s="15"/>
      <c r="BUZ96" s="15"/>
      <c r="BVA96" s="15"/>
      <c r="BVB96" s="15"/>
      <c r="BVC96" s="15"/>
      <c r="BVD96" s="15"/>
      <c r="BVE96" s="15"/>
      <c r="BVF96" s="15"/>
      <c r="BVG96" s="15"/>
      <c r="BVH96" s="15"/>
      <c r="BVI96" s="15"/>
      <c r="BVJ96" s="15"/>
      <c r="BVK96" s="15"/>
      <c r="BVL96" s="15"/>
      <c r="BVM96" s="15"/>
      <c r="BVN96" s="15"/>
      <c r="BVO96" s="15"/>
      <c r="BVP96" s="15"/>
      <c r="BVQ96" s="15"/>
      <c r="BVR96" s="15"/>
      <c r="BVS96" s="15"/>
      <c r="BVT96" s="15"/>
      <c r="BVU96" s="15"/>
      <c r="BVV96" s="15"/>
      <c r="BVW96" s="15"/>
      <c r="BVX96" s="15"/>
      <c r="BVY96" s="15"/>
      <c r="BVZ96" s="15"/>
      <c r="BWA96" s="15"/>
      <c r="BWB96" s="15"/>
      <c r="BWC96" s="15"/>
      <c r="BWD96" s="15"/>
      <c r="BWE96" s="15"/>
      <c r="BWF96" s="15"/>
      <c r="BWG96" s="15"/>
      <c r="BWH96" s="15"/>
      <c r="BWI96" s="15"/>
      <c r="BWJ96" s="15"/>
      <c r="BWK96" s="15"/>
      <c r="BWL96" s="15"/>
      <c r="BWM96" s="15"/>
      <c r="BWN96" s="15"/>
      <c r="BWO96" s="15"/>
      <c r="BWP96" s="15"/>
      <c r="BWQ96" s="15"/>
      <c r="BWR96" s="15"/>
      <c r="BWS96" s="15"/>
      <c r="BWT96" s="15"/>
      <c r="BWU96" s="15"/>
      <c r="BWV96" s="15"/>
      <c r="BWW96" s="15"/>
      <c r="BWX96" s="15"/>
      <c r="BWY96" s="15"/>
      <c r="BWZ96" s="15"/>
      <c r="BXA96" s="15"/>
      <c r="BXB96" s="15"/>
      <c r="BXC96" s="15"/>
      <c r="BXD96" s="15"/>
      <c r="BXE96" s="15"/>
      <c r="BXF96" s="15"/>
      <c r="BXG96" s="15"/>
      <c r="BXH96" s="15"/>
      <c r="BXI96" s="15"/>
      <c r="BXJ96" s="15"/>
      <c r="BXK96" s="15"/>
      <c r="BXL96" s="15"/>
      <c r="BXM96" s="15"/>
      <c r="BXN96" s="15"/>
      <c r="BXO96" s="15"/>
      <c r="BXP96" s="15"/>
      <c r="BXQ96" s="15"/>
      <c r="BXR96" s="15"/>
      <c r="BXS96" s="15"/>
      <c r="BXT96" s="15"/>
      <c r="BXU96" s="15"/>
      <c r="BXV96" s="15"/>
      <c r="BXW96" s="15"/>
      <c r="BXX96" s="15"/>
      <c r="BXY96" s="15"/>
      <c r="BXZ96" s="15"/>
      <c r="BYA96" s="15"/>
      <c r="BYB96" s="15"/>
      <c r="BYC96" s="15"/>
      <c r="BYD96" s="15"/>
      <c r="BYE96" s="15"/>
      <c r="BYF96" s="15"/>
      <c r="BYG96" s="15"/>
      <c r="BYH96" s="15"/>
      <c r="BYI96" s="15"/>
      <c r="BYJ96" s="15"/>
      <c r="BYK96" s="15"/>
      <c r="BYL96" s="15"/>
      <c r="BYM96" s="15"/>
      <c r="BYN96" s="15"/>
      <c r="BYO96" s="15"/>
      <c r="BYP96" s="15"/>
      <c r="BYQ96" s="15"/>
      <c r="BYR96" s="15"/>
      <c r="BYS96" s="15"/>
      <c r="BYT96" s="15"/>
      <c r="BYU96" s="15"/>
      <c r="BYV96" s="15"/>
      <c r="BYW96" s="15"/>
      <c r="BYX96" s="15"/>
      <c r="BYY96" s="15"/>
      <c r="BYZ96" s="15"/>
      <c r="BZA96" s="15"/>
      <c r="BZB96" s="15"/>
      <c r="BZC96" s="15"/>
      <c r="BZD96" s="15"/>
      <c r="BZE96" s="15"/>
      <c r="BZF96" s="15"/>
      <c r="BZG96" s="15"/>
      <c r="BZH96" s="15"/>
      <c r="BZI96" s="15"/>
      <c r="BZJ96" s="15"/>
      <c r="BZK96" s="15"/>
      <c r="BZL96" s="15"/>
      <c r="BZM96" s="15"/>
      <c r="BZN96" s="15"/>
      <c r="BZO96" s="15"/>
      <c r="BZP96" s="15"/>
      <c r="BZQ96" s="15"/>
      <c r="BZR96" s="15"/>
      <c r="BZS96" s="15"/>
      <c r="BZT96" s="15"/>
      <c r="BZU96" s="15"/>
      <c r="BZV96" s="15"/>
      <c r="BZW96" s="15"/>
      <c r="BZX96" s="15"/>
      <c r="BZY96" s="15"/>
      <c r="BZZ96" s="15"/>
      <c r="CAA96" s="15"/>
      <c r="CAB96" s="15"/>
      <c r="CAC96" s="15"/>
      <c r="CAD96" s="15"/>
      <c r="CAE96" s="15"/>
      <c r="CAF96" s="15"/>
      <c r="CAG96" s="15"/>
      <c r="CAH96" s="15"/>
      <c r="CAI96" s="15"/>
      <c r="CAJ96" s="15"/>
      <c r="CAK96" s="15"/>
      <c r="CAL96" s="15"/>
      <c r="CAM96" s="15"/>
      <c r="CAN96" s="15"/>
      <c r="CAO96" s="15"/>
      <c r="CAP96" s="15"/>
      <c r="CAQ96" s="15"/>
      <c r="CAR96" s="15"/>
      <c r="CAS96" s="15"/>
      <c r="CAT96" s="15"/>
      <c r="CAU96" s="15"/>
      <c r="CAV96" s="15"/>
      <c r="CAW96" s="15"/>
      <c r="CAX96" s="15"/>
      <c r="CAY96" s="15"/>
      <c r="CAZ96" s="15"/>
      <c r="CBA96" s="15"/>
      <c r="CBB96" s="15"/>
      <c r="CBC96" s="15"/>
      <c r="CBD96" s="15"/>
      <c r="CBE96" s="15"/>
      <c r="CBF96" s="15"/>
      <c r="CBG96" s="15"/>
      <c r="CBH96" s="15"/>
      <c r="CBI96" s="15"/>
      <c r="CBJ96" s="15"/>
      <c r="CBK96" s="15"/>
      <c r="CBL96" s="15"/>
      <c r="CBM96" s="15"/>
      <c r="CBN96" s="15"/>
      <c r="CBO96" s="15"/>
      <c r="CBP96" s="15"/>
      <c r="CBQ96" s="15"/>
      <c r="CBR96" s="15"/>
      <c r="CBS96" s="15"/>
      <c r="CBT96" s="15"/>
      <c r="CBU96" s="15"/>
      <c r="CBV96" s="15"/>
      <c r="CBW96" s="15"/>
      <c r="CBX96" s="15"/>
      <c r="CBY96" s="15"/>
      <c r="CBZ96" s="15"/>
      <c r="CCA96" s="15"/>
      <c r="CCB96" s="15"/>
      <c r="CCC96" s="15"/>
      <c r="CCD96" s="15"/>
      <c r="CCE96" s="15"/>
      <c r="CCF96" s="15"/>
      <c r="CCG96" s="15"/>
      <c r="CCH96" s="15"/>
      <c r="CCI96" s="15"/>
      <c r="CCJ96" s="15"/>
      <c r="CCK96" s="15"/>
      <c r="CCL96" s="15"/>
      <c r="CCM96" s="15"/>
      <c r="CCN96" s="15"/>
      <c r="CCO96" s="15"/>
      <c r="CCP96" s="15"/>
      <c r="CCQ96" s="15"/>
      <c r="CCR96" s="15"/>
      <c r="CCS96" s="15"/>
      <c r="CCT96" s="15"/>
      <c r="CCU96" s="15"/>
      <c r="CCV96" s="15"/>
      <c r="CCW96" s="15"/>
      <c r="CCX96" s="15"/>
      <c r="CCY96" s="15"/>
      <c r="CCZ96" s="15"/>
      <c r="CDA96" s="15"/>
      <c r="CDB96" s="15"/>
      <c r="CDC96" s="15"/>
      <c r="CDD96" s="15"/>
      <c r="CDE96" s="15"/>
      <c r="CDF96" s="15"/>
      <c r="CDG96" s="15"/>
      <c r="CDH96" s="15"/>
      <c r="CDI96" s="15"/>
      <c r="CDJ96" s="15"/>
      <c r="CDK96" s="15"/>
      <c r="CDL96" s="15"/>
      <c r="CDM96" s="15"/>
      <c r="CDN96" s="15"/>
      <c r="CDO96" s="15"/>
      <c r="CDP96" s="15"/>
      <c r="CDQ96" s="15"/>
      <c r="CDR96" s="15"/>
      <c r="CDS96" s="15"/>
      <c r="CDT96" s="15"/>
      <c r="CDU96" s="15"/>
      <c r="CDV96" s="15"/>
      <c r="CDW96" s="15"/>
      <c r="CDX96" s="15"/>
      <c r="CDY96" s="15"/>
      <c r="CDZ96" s="15"/>
      <c r="CEA96" s="15"/>
      <c r="CEB96" s="15"/>
      <c r="CEC96" s="15"/>
      <c r="CED96" s="15"/>
      <c r="CEE96" s="15"/>
      <c r="CEF96" s="15"/>
      <c r="CEG96" s="15"/>
      <c r="CEH96" s="15"/>
      <c r="CEI96" s="15"/>
      <c r="CEJ96" s="15"/>
      <c r="CEK96" s="15"/>
      <c r="CEL96" s="15"/>
      <c r="CEM96" s="15"/>
      <c r="CEN96" s="15"/>
      <c r="CEO96" s="15"/>
      <c r="CEP96" s="15"/>
      <c r="CEQ96" s="15"/>
      <c r="CER96" s="15"/>
      <c r="CES96" s="15"/>
      <c r="CET96" s="15"/>
      <c r="CEU96" s="15"/>
      <c r="CEV96" s="15"/>
      <c r="CEW96" s="15"/>
      <c r="CEX96" s="15"/>
      <c r="CEY96" s="15"/>
      <c r="CEZ96" s="15"/>
      <c r="CFA96" s="15"/>
      <c r="CFB96" s="15"/>
      <c r="CFC96" s="15"/>
      <c r="CFD96" s="15"/>
      <c r="CFE96" s="15"/>
      <c r="CFF96" s="15"/>
      <c r="CFG96" s="15"/>
      <c r="CFH96" s="15"/>
      <c r="CFI96" s="15"/>
      <c r="CFJ96" s="15"/>
      <c r="CFK96" s="15"/>
      <c r="CFL96" s="15"/>
      <c r="CFM96" s="15"/>
      <c r="CFN96" s="15"/>
      <c r="CFO96" s="15"/>
      <c r="CFP96" s="15"/>
      <c r="CFQ96" s="15"/>
      <c r="CFR96" s="15"/>
      <c r="CFS96" s="15"/>
      <c r="CFT96" s="15"/>
      <c r="CFU96" s="15"/>
      <c r="CFV96" s="15"/>
      <c r="CFW96" s="15"/>
      <c r="CFX96" s="15"/>
      <c r="CFY96" s="15"/>
      <c r="CFZ96" s="15"/>
      <c r="CGA96" s="15"/>
      <c r="CGB96" s="15"/>
      <c r="CGC96" s="15"/>
      <c r="CGD96" s="15"/>
      <c r="CGE96" s="15"/>
      <c r="CGF96" s="15"/>
      <c r="CGG96" s="15"/>
      <c r="CGH96" s="15"/>
      <c r="CGI96" s="15"/>
      <c r="CGJ96" s="15"/>
      <c r="CGK96" s="15"/>
      <c r="CGL96" s="15"/>
      <c r="CGM96" s="15"/>
      <c r="CGN96" s="15"/>
      <c r="CGO96" s="15"/>
      <c r="CGP96" s="15"/>
      <c r="CGQ96" s="15"/>
      <c r="CGR96" s="15"/>
      <c r="CGS96" s="15"/>
      <c r="CGT96" s="15"/>
      <c r="CGU96" s="15"/>
      <c r="CGV96" s="15"/>
      <c r="CGW96" s="15"/>
      <c r="CGX96" s="15"/>
      <c r="CGY96" s="15"/>
      <c r="CGZ96" s="15"/>
      <c r="CHA96" s="15"/>
      <c r="CHB96" s="15"/>
      <c r="CHC96" s="15"/>
      <c r="CHD96" s="15"/>
      <c r="CHE96" s="15"/>
      <c r="CHF96" s="15"/>
      <c r="CHG96" s="15"/>
      <c r="CHH96" s="15"/>
      <c r="CHI96" s="15"/>
      <c r="CHJ96" s="15"/>
      <c r="CHK96" s="15"/>
      <c r="CHL96" s="15"/>
      <c r="CHM96" s="15"/>
      <c r="CHN96" s="15"/>
      <c r="CHO96" s="15"/>
      <c r="CHP96" s="15"/>
      <c r="CHQ96" s="15"/>
      <c r="CHR96" s="15"/>
      <c r="CHS96" s="15"/>
      <c r="CHT96" s="15"/>
      <c r="CHU96" s="15"/>
      <c r="CHV96" s="15"/>
      <c r="CHW96" s="15"/>
      <c r="CHX96" s="15"/>
      <c r="CHY96" s="15"/>
      <c r="CHZ96" s="15"/>
      <c r="CIA96" s="15"/>
      <c r="CIB96" s="15"/>
      <c r="CIC96" s="15"/>
      <c r="CID96" s="15"/>
      <c r="CIE96" s="15"/>
      <c r="CIF96" s="15"/>
      <c r="CIG96" s="15"/>
      <c r="CIH96" s="15"/>
      <c r="CII96" s="15"/>
      <c r="CIJ96" s="15"/>
      <c r="CIK96" s="15"/>
      <c r="CIL96" s="15"/>
      <c r="CIM96" s="15"/>
      <c r="CIN96" s="15"/>
      <c r="CIO96" s="15"/>
      <c r="CIP96" s="15"/>
      <c r="CIQ96" s="15"/>
      <c r="CIR96" s="15"/>
      <c r="CIS96" s="15"/>
      <c r="CIT96" s="15"/>
      <c r="CIU96" s="15"/>
      <c r="CIV96" s="15"/>
      <c r="CIW96" s="15"/>
      <c r="CIX96" s="15"/>
      <c r="CIY96" s="15"/>
      <c r="CIZ96" s="15"/>
      <c r="CJA96" s="15"/>
      <c r="CJB96" s="15"/>
      <c r="CJC96" s="15"/>
      <c r="CJD96" s="15"/>
      <c r="CJE96" s="15"/>
      <c r="CJF96" s="15"/>
      <c r="CJG96" s="15"/>
      <c r="CJH96" s="15"/>
      <c r="CJI96" s="15"/>
      <c r="CJJ96" s="15"/>
      <c r="CJK96" s="15"/>
      <c r="CJL96" s="15"/>
      <c r="CJM96" s="15"/>
      <c r="CJN96" s="15"/>
      <c r="CJO96" s="15"/>
      <c r="CJP96" s="15"/>
      <c r="CJQ96" s="15"/>
      <c r="CJR96" s="15"/>
      <c r="CJS96" s="15"/>
      <c r="CJT96" s="15"/>
      <c r="CJU96" s="15"/>
      <c r="CJV96" s="15"/>
      <c r="CJW96" s="15"/>
      <c r="CJX96" s="15"/>
      <c r="CJY96" s="15"/>
      <c r="CJZ96" s="15"/>
      <c r="CKA96" s="15"/>
      <c r="CKB96" s="15"/>
      <c r="CKC96" s="15"/>
      <c r="CKD96" s="15"/>
      <c r="CKE96" s="15"/>
      <c r="CKF96" s="15"/>
      <c r="CKG96" s="15"/>
      <c r="CKH96" s="15"/>
      <c r="CKI96" s="15"/>
      <c r="CKJ96" s="15"/>
      <c r="CKK96" s="15"/>
      <c r="CKL96" s="15"/>
      <c r="CKM96" s="15"/>
      <c r="CKN96" s="15"/>
      <c r="CKO96" s="15"/>
      <c r="CKP96" s="15"/>
      <c r="CKQ96" s="15"/>
      <c r="CKR96" s="15"/>
      <c r="CKS96" s="15"/>
      <c r="CKT96" s="15"/>
      <c r="CKU96" s="15"/>
      <c r="CKV96" s="15"/>
      <c r="CKW96" s="15"/>
      <c r="CKX96" s="15"/>
      <c r="CKY96" s="15"/>
      <c r="CKZ96" s="15"/>
      <c r="CLA96" s="15"/>
      <c r="CLB96" s="15"/>
      <c r="CLC96" s="15"/>
      <c r="CLD96" s="15"/>
      <c r="CLE96" s="15"/>
      <c r="CLF96" s="15"/>
      <c r="CLG96" s="15"/>
      <c r="CLH96" s="15"/>
      <c r="CLI96" s="15"/>
      <c r="CLJ96" s="15"/>
      <c r="CLK96" s="15"/>
      <c r="CLL96" s="15"/>
      <c r="CLM96" s="15"/>
      <c r="CLN96" s="15"/>
      <c r="CLO96" s="15"/>
      <c r="CLP96" s="15"/>
      <c r="CLQ96" s="15"/>
      <c r="CLR96" s="15"/>
      <c r="CLS96" s="15"/>
      <c r="CLT96" s="15"/>
      <c r="CLU96" s="15"/>
      <c r="CLV96" s="15"/>
      <c r="CLW96" s="15"/>
      <c r="CLX96" s="15"/>
      <c r="CLY96" s="15"/>
      <c r="CLZ96" s="15"/>
      <c r="CMA96" s="15"/>
      <c r="CMB96" s="15"/>
      <c r="CMC96" s="15"/>
      <c r="CMD96" s="15"/>
      <c r="CME96" s="15"/>
      <c r="CMF96" s="15"/>
      <c r="CMG96" s="15"/>
      <c r="CMH96" s="15"/>
      <c r="CMI96" s="15"/>
      <c r="CMJ96" s="15"/>
      <c r="CMK96" s="15"/>
      <c r="CML96" s="15"/>
      <c r="CMM96" s="15"/>
      <c r="CMN96" s="15"/>
      <c r="CMO96" s="15"/>
      <c r="CMP96" s="15"/>
      <c r="CMQ96" s="15"/>
      <c r="CMR96" s="15"/>
      <c r="CMS96" s="15"/>
      <c r="CMT96" s="15"/>
      <c r="CMU96" s="15"/>
      <c r="CMV96" s="15"/>
      <c r="CMW96" s="15"/>
      <c r="CMX96" s="15"/>
      <c r="CMY96" s="15"/>
      <c r="CMZ96" s="15"/>
      <c r="CNA96" s="15"/>
      <c r="CNB96" s="15"/>
      <c r="CNC96" s="15"/>
      <c r="CND96" s="15"/>
      <c r="CNE96" s="15"/>
      <c r="CNF96" s="15"/>
      <c r="CNG96" s="15"/>
      <c r="CNH96" s="15"/>
      <c r="CNI96" s="15"/>
      <c r="CNJ96" s="15"/>
      <c r="CNK96" s="15"/>
      <c r="CNL96" s="15"/>
      <c r="CNM96" s="15"/>
      <c r="CNN96" s="15"/>
      <c r="CNO96" s="15"/>
      <c r="CNP96" s="15"/>
      <c r="CNQ96" s="15"/>
      <c r="CNR96" s="15"/>
      <c r="CNS96" s="15"/>
      <c r="CNT96" s="15"/>
      <c r="CNU96" s="15"/>
      <c r="CNV96" s="15"/>
      <c r="CNW96" s="15"/>
      <c r="CNX96" s="15"/>
      <c r="CNY96" s="15"/>
      <c r="CNZ96" s="15"/>
      <c r="COA96" s="15"/>
      <c r="COB96" s="15"/>
      <c r="COC96" s="15"/>
      <c r="COD96" s="15"/>
      <c r="COE96" s="15"/>
      <c r="COF96" s="15"/>
      <c r="COG96" s="15"/>
      <c r="COH96" s="15"/>
      <c r="COI96" s="15"/>
      <c r="COJ96" s="15"/>
      <c r="COK96" s="15"/>
      <c r="COL96" s="15"/>
      <c r="COM96" s="15"/>
      <c r="CON96" s="15"/>
      <c r="COO96" s="15"/>
      <c r="COP96" s="15"/>
      <c r="COQ96" s="15"/>
      <c r="COR96" s="15"/>
      <c r="COS96" s="15"/>
      <c r="COT96" s="15"/>
      <c r="COU96" s="15"/>
      <c r="COV96" s="15"/>
      <c r="COW96" s="15"/>
      <c r="COX96" s="15"/>
      <c r="COY96" s="15"/>
      <c r="COZ96" s="15"/>
      <c r="CPA96" s="15"/>
      <c r="CPB96" s="15"/>
      <c r="CPC96" s="15"/>
      <c r="CPD96" s="15"/>
      <c r="CPE96" s="15"/>
      <c r="CPF96" s="15"/>
      <c r="CPG96" s="15"/>
      <c r="CPH96" s="15"/>
      <c r="CPI96" s="15"/>
      <c r="CPJ96" s="15"/>
      <c r="CPK96" s="15"/>
      <c r="CPL96" s="15"/>
      <c r="CPM96" s="15"/>
      <c r="CPN96" s="15"/>
      <c r="CPO96" s="15"/>
      <c r="CPP96" s="15"/>
      <c r="CPQ96" s="15"/>
      <c r="CPR96" s="15"/>
      <c r="CPS96" s="15"/>
      <c r="CPT96" s="15"/>
      <c r="CPU96" s="15"/>
      <c r="CPV96" s="15"/>
      <c r="CPW96" s="15"/>
      <c r="CPX96" s="15"/>
      <c r="CPY96" s="15"/>
      <c r="CPZ96" s="15"/>
      <c r="CQA96" s="15"/>
      <c r="CQB96" s="15"/>
      <c r="CQC96" s="15"/>
      <c r="CQD96" s="15"/>
      <c r="CQE96" s="15"/>
      <c r="CQF96" s="15"/>
      <c r="CQG96" s="15"/>
      <c r="CQH96" s="15"/>
      <c r="CQI96" s="15"/>
      <c r="CQJ96" s="15"/>
      <c r="CQK96" s="15"/>
      <c r="CQL96" s="15"/>
      <c r="CQM96" s="15"/>
      <c r="CQN96" s="15"/>
      <c r="CQO96" s="15"/>
      <c r="CQP96" s="15"/>
      <c r="CQQ96" s="15"/>
      <c r="CQR96" s="15"/>
      <c r="CQS96" s="15"/>
      <c r="CQT96" s="15"/>
      <c r="CQU96" s="15"/>
      <c r="CQV96" s="15"/>
      <c r="CQW96" s="15"/>
      <c r="CQX96" s="15"/>
      <c r="CQY96" s="15"/>
      <c r="CQZ96" s="15"/>
      <c r="CRA96" s="15"/>
      <c r="CRB96" s="15"/>
      <c r="CRC96" s="15"/>
      <c r="CRD96" s="15"/>
      <c r="CRE96" s="15"/>
      <c r="CRF96" s="15"/>
      <c r="CRG96" s="15"/>
      <c r="CRH96" s="15"/>
      <c r="CRI96" s="15"/>
      <c r="CRJ96" s="15"/>
      <c r="CRK96" s="15"/>
      <c r="CRL96" s="15"/>
      <c r="CRM96" s="15"/>
      <c r="CRN96" s="15"/>
      <c r="CRO96" s="15"/>
      <c r="CRP96" s="15"/>
      <c r="CRQ96" s="15"/>
      <c r="CRR96" s="15"/>
      <c r="CRS96" s="15"/>
      <c r="CRT96" s="15"/>
      <c r="CRU96" s="15"/>
      <c r="CRV96" s="15"/>
      <c r="CRW96" s="15"/>
      <c r="CRX96" s="15"/>
      <c r="CRY96" s="15"/>
      <c r="CRZ96" s="15"/>
      <c r="CSA96" s="15"/>
      <c r="CSB96" s="15"/>
      <c r="CSC96" s="15"/>
      <c r="CSD96" s="15"/>
      <c r="CSE96" s="15"/>
      <c r="CSF96" s="15"/>
      <c r="CSG96" s="15"/>
      <c r="CSH96" s="15"/>
      <c r="CSI96" s="15"/>
      <c r="CSJ96" s="15"/>
      <c r="CSK96" s="15"/>
      <c r="CSL96" s="15"/>
      <c r="CSM96" s="15"/>
      <c r="CSN96" s="15"/>
      <c r="CSO96" s="15"/>
      <c r="CSP96" s="15"/>
      <c r="CSQ96" s="15"/>
      <c r="CSR96" s="15"/>
      <c r="CSS96" s="15"/>
      <c r="CST96" s="15"/>
      <c r="CSU96" s="15"/>
      <c r="CSV96" s="15"/>
      <c r="CSW96" s="15"/>
      <c r="CSX96" s="15"/>
      <c r="CSY96" s="15"/>
      <c r="CSZ96" s="15"/>
      <c r="CTA96" s="15"/>
      <c r="CTB96" s="15"/>
      <c r="CTC96" s="15"/>
      <c r="CTD96" s="15"/>
      <c r="CTE96" s="15"/>
      <c r="CTF96" s="15"/>
      <c r="CTG96" s="15"/>
      <c r="CTH96" s="15"/>
      <c r="CTI96" s="15"/>
      <c r="CTJ96" s="15"/>
      <c r="CTK96" s="15"/>
      <c r="CTL96" s="15"/>
      <c r="CTM96" s="15"/>
      <c r="CTN96" s="15"/>
      <c r="CTO96" s="15"/>
      <c r="CTP96" s="15"/>
      <c r="CTQ96" s="15"/>
      <c r="CTR96" s="15"/>
      <c r="CTS96" s="15"/>
      <c r="CTT96" s="15"/>
      <c r="CTU96" s="15"/>
      <c r="CTV96" s="15"/>
      <c r="CTW96" s="15"/>
      <c r="CTX96" s="15"/>
      <c r="CTY96" s="15"/>
      <c r="CTZ96" s="15"/>
      <c r="CUA96" s="15"/>
      <c r="CUB96" s="15"/>
      <c r="CUC96" s="15"/>
      <c r="CUD96" s="15"/>
      <c r="CUE96" s="15"/>
      <c r="CUF96" s="15"/>
      <c r="CUG96" s="15"/>
      <c r="CUH96" s="15"/>
      <c r="CUI96" s="15"/>
      <c r="CUJ96" s="15"/>
      <c r="CUK96" s="15"/>
      <c r="CUL96" s="15"/>
      <c r="CUM96" s="15"/>
      <c r="CUN96" s="15"/>
      <c r="CUO96" s="15"/>
      <c r="CUP96" s="15"/>
      <c r="CUQ96" s="15"/>
      <c r="CUR96" s="15"/>
      <c r="CUS96" s="15"/>
      <c r="CUT96" s="15"/>
      <c r="CUU96" s="15"/>
      <c r="CUV96" s="15"/>
      <c r="CUW96" s="15"/>
      <c r="CUX96" s="15"/>
      <c r="CUY96" s="15"/>
      <c r="CUZ96" s="15"/>
      <c r="CVA96" s="15"/>
      <c r="CVB96" s="15"/>
      <c r="CVC96" s="15"/>
      <c r="CVD96" s="15"/>
      <c r="CVE96" s="15"/>
      <c r="CVF96" s="15"/>
      <c r="CVG96" s="15"/>
      <c r="CVH96" s="15"/>
      <c r="CVI96" s="15"/>
      <c r="CVJ96" s="15"/>
      <c r="CVK96" s="15"/>
      <c r="CVL96" s="15"/>
      <c r="CVM96" s="15"/>
      <c r="CVN96" s="15"/>
      <c r="CVO96" s="15"/>
      <c r="CVP96" s="15"/>
      <c r="CVQ96" s="15"/>
      <c r="CVR96" s="15"/>
      <c r="CVS96" s="15"/>
      <c r="CVT96" s="15"/>
      <c r="CVU96" s="15"/>
      <c r="CVV96" s="15"/>
      <c r="CVW96" s="15"/>
      <c r="CVX96" s="15"/>
      <c r="CVY96" s="15"/>
      <c r="CVZ96" s="15"/>
      <c r="CWA96" s="15"/>
      <c r="CWB96" s="15"/>
      <c r="CWC96" s="15"/>
      <c r="CWD96" s="15"/>
      <c r="CWE96" s="15"/>
      <c r="CWF96" s="15"/>
      <c r="CWG96" s="15"/>
      <c r="CWH96" s="15"/>
      <c r="CWI96" s="15"/>
      <c r="CWJ96" s="15"/>
      <c r="CWK96" s="15"/>
      <c r="CWL96" s="15"/>
      <c r="CWM96" s="15"/>
      <c r="CWN96" s="15"/>
      <c r="CWO96" s="15"/>
      <c r="CWP96" s="15"/>
      <c r="CWQ96" s="15"/>
      <c r="CWR96" s="15"/>
      <c r="CWS96" s="15"/>
      <c r="CWT96" s="15"/>
      <c r="CWU96" s="15"/>
      <c r="CWV96" s="15"/>
      <c r="CWW96" s="15"/>
      <c r="CWX96" s="15"/>
      <c r="CWY96" s="15"/>
      <c r="CWZ96" s="15"/>
      <c r="CXA96" s="15"/>
      <c r="CXB96" s="15"/>
      <c r="CXC96" s="15"/>
      <c r="CXD96" s="15"/>
      <c r="CXE96" s="15"/>
      <c r="CXF96" s="15"/>
      <c r="CXG96" s="15"/>
      <c r="CXH96" s="15"/>
      <c r="CXI96" s="15"/>
      <c r="CXJ96" s="15"/>
      <c r="CXK96" s="15"/>
      <c r="CXL96" s="15"/>
      <c r="CXM96" s="15"/>
      <c r="CXN96" s="15"/>
      <c r="CXO96" s="15"/>
      <c r="CXP96" s="15"/>
      <c r="CXQ96" s="15"/>
      <c r="CXR96" s="15"/>
      <c r="CXS96" s="15"/>
      <c r="CXT96" s="15"/>
      <c r="CXU96" s="15"/>
      <c r="CXV96" s="15"/>
      <c r="CXW96" s="15"/>
      <c r="CXX96" s="15"/>
      <c r="CXY96" s="15"/>
      <c r="CXZ96" s="15"/>
      <c r="CYA96" s="15"/>
      <c r="CYB96" s="15"/>
      <c r="CYC96" s="15"/>
      <c r="CYD96" s="15"/>
      <c r="CYE96" s="15"/>
      <c r="CYF96" s="15"/>
      <c r="CYG96" s="15"/>
      <c r="CYH96" s="15"/>
      <c r="CYI96" s="15"/>
      <c r="CYJ96" s="15"/>
      <c r="CYK96" s="15"/>
      <c r="CYL96" s="15"/>
      <c r="CYM96" s="15"/>
      <c r="CYN96" s="15"/>
      <c r="CYO96" s="15"/>
      <c r="CYP96" s="15"/>
      <c r="CYQ96" s="15"/>
      <c r="CYR96" s="15"/>
      <c r="CYS96" s="15"/>
      <c r="CYT96" s="15"/>
      <c r="CYU96" s="15"/>
      <c r="CYV96" s="15"/>
      <c r="CYW96" s="15"/>
      <c r="CYX96" s="15"/>
      <c r="CYY96" s="15"/>
      <c r="CYZ96" s="15"/>
      <c r="CZA96" s="15"/>
      <c r="CZB96" s="15"/>
      <c r="CZC96" s="15"/>
      <c r="CZD96" s="15"/>
      <c r="CZE96" s="15"/>
      <c r="CZF96" s="15"/>
      <c r="CZG96" s="15"/>
      <c r="CZH96" s="15"/>
      <c r="CZI96" s="15"/>
      <c r="CZJ96" s="15"/>
      <c r="CZK96" s="15"/>
      <c r="CZL96" s="15"/>
      <c r="CZM96" s="15"/>
      <c r="CZN96" s="15"/>
      <c r="CZO96" s="15"/>
      <c r="CZP96" s="15"/>
      <c r="CZQ96" s="15"/>
      <c r="CZR96" s="15"/>
      <c r="CZS96" s="15"/>
      <c r="CZT96" s="15"/>
      <c r="CZU96" s="15"/>
      <c r="CZV96" s="15"/>
      <c r="CZW96" s="15"/>
      <c r="CZX96" s="15"/>
      <c r="CZY96" s="15"/>
      <c r="CZZ96" s="15"/>
      <c r="DAA96" s="15"/>
      <c r="DAB96" s="15"/>
      <c r="DAC96" s="15"/>
      <c r="DAD96" s="15"/>
      <c r="DAE96" s="15"/>
      <c r="DAF96" s="15"/>
      <c r="DAG96" s="15"/>
      <c r="DAH96" s="15"/>
      <c r="DAI96" s="15"/>
      <c r="DAJ96" s="15"/>
      <c r="DAK96" s="15"/>
      <c r="DAL96" s="15"/>
      <c r="DAM96" s="15"/>
      <c r="DAN96" s="15"/>
      <c r="DAO96" s="15"/>
      <c r="DAP96" s="15"/>
      <c r="DAQ96" s="15"/>
      <c r="DAR96" s="15"/>
      <c r="DAS96" s="15"/>
      <c r="DAT96" s="15"/>
      <c r="DAU96" s="15"/>
      <c r="DAV96" s="15"/>
      <c r="DAW96" s="15"/>
      <c r="DAX96" s="15"/>
      <c r="DAY96" s="15"/>
      <c r="DAZ96" s="15"/>
      <c r="DBA96" s="15"/>
      <c r="DBB96" s="15"/>
      <c r="DBC96" s="15"/>
      <c r="DBD96" s="15"/>
      <c r="DBE96" s="15"/>
      <c r="DBF96" s="15"/>
      <c r="DBG96" s="15"/>
      <c r="DBH96" s="15"/>
      <c r="DBI96" s="15"/>
      <c r="DBJ96" s="15"/>
      <c r="DBK96" s="15"/>
      <c r="DBL96" s="15"/>
      <c r="DBM96" s="15"/>
      <c r="DBN96" s="15"/>
      <c r="DBO96" s="15"/>
      <c r="DBP96" s="15"/>
      <c r="DBQ96" s="15"/>
      <c r="DBR96" s="15"/>
      <c r="DBS96" s="15"/>
      <c r="DBT96" s="15"/>
      <c r="DBU96" s="15"/>
      <c r="DBV96" s="15"/>
      <c r="DBW96" s="15"/>
      <c r="DBX96" s="15"/>
      <c r="DBY96" s="15"/>
      <c r="DBZ96" s="15"/>
      <c r="DCA96" s="15"/>
      <c r="DCB96" s="15"/>
      <c r="DCC96" s="15"/>
      <c r="DCD96" s="15"/>
      <c r="DCE96" s="15"/>
      <c r="DCF96" s="15"/>
      <c r="DCG96" s="15"/>
      <c r="DCH96" s="15"/>
      <c r="DCI96" s="15"/>
      <c r="DCJ96" s="15"/>
      <c r="DCK96" s="15"/>
      <c r="DCL96" s="15"/>
      <c r="DCM96" s="15"/>
      <c r="DCN96" s="15"/>
      <c r="DCO96" s="15"/>
      <c r="DCP96" s="15"/>
      <c r="DCQ96" s="15"/>
      <c r="DCR96" s="15"/>
      <c r="DCS96" s="15"/>
      <c r="DCT96" s="15"/>
      <c r="DCU96" s="15"/>
      <c r="DCV96" s="15"/>
      <c r="DCW96" s="15"/>
      <c r="DCX96" s="15"/>
      <c r="DCY96" s="15"/>
      <c r="DCZ96" s="15"/>
      <c r="DDA96" s="15"/>
      <c r="DDB96" s="15"/>
      <c r="DDC96" s="15"/>
      <c r="DDD96" s="15"/>
      <c r="DDE96" s="15"/>
      <c r="DDF96" s="15"/>
      <c r="DDG96" s="15"/>
      <c r="DDH96" s="15"/>
      <c r="DDI96" s="15"/>
      <c r="DDJ96" s="15"/>
      <c r="DDK96" s="15"/>
      <c r="DDL96" s="15"/>
      <c r="DDM96" s="15"/>
      <c r="DDN96" s="15"/>
      <c r="DDO96" s="15"/>
      <c r="DDP96" s="15"/>
      <c r="DDQ96" s="15"/>
      <c r="DDR96" s="15"/>
      <c r="DDS96" s="15"/>
      <c r="DDT96" s="15"/>
      <c r="DDU96" s="15"/>
      <c r="DDV96" s="15"/>
      <c r="DDW96" s="15"/>
      <c r="DDX96" s="15"/>
      <c r="DDY96" s="15"/>
      <c r="DDZ96" s="15"/>
      <c r="DEA96" s="15"/>
      <c r="DEB96" s="15"/>
      <c r="DEC96" s="15"/>
      <c r="DED96" s="15"/>
      <c r="DEE96" s="15"/>
      <c r="DEF96" s="15"/>
      <c r="DEG96" s="15"/>
      <c r="DEH96" s="15"/>
      <c r="DEI96" s="15"/>
      <c r="DEJ96" s="15"/>
      <c r="DEK96" s="15"/>
      <c r="DEL96" s="15"/>
      <c r="DEM96" s="15"/>
      <c r="DEN96" s="15"/>
      <c r="DEO96" s="15"/>
      <c r="DEP96" s="15"/>
      <c r="DEQ96" s="15"/>
      <c r="DER96" s="15"/>
      <c r="DES96" s="15"/>
      <c r="DET96" s="15"/>
      <c r="DEU96" s="15"/>
      <c r="DEV96" s="15"/>
      <c r="DEW96" s="15"/>
      <c r="DEX96" s="15"/>
      <c r="DEY96" s="15"/>
      <c r="DEZ96" s="15"/>
      <c r="DFA96" s="15"/>
      <c r="DFB96" s="15"/>
      <c r="DFC96" s="15"/>
      <c r="DFD96" s="15"/>
      <c r="DFE96" s="15"/>
      <c r="DFF96" s="15"/>
      <c r="DFG96" s="15"/>
      <c r="DFH96" s="15"/>
      <c r="DFI96" s="15"/>
      <c r="DFJ96" s="15"/>
      <c r="DFK96" s="15"/>
      <c r="DFL96" s="15"/>
      <c r="DFM96" s="15"/>
      <c r="DFN96" s="15"/>
      <c r="DFO96" s="15"/>
      <c r="DFP96" s="15"/>
      <c r="DFQ96" s="15"/>
      <c r="DFR96" s="15"/>
      <c r="DFS96" s="15"/>
      <c r="DFT96" s="15"/>
      <c r="DFU96" s="15"/>
      <c r="DFV96" s="15"/>
      <c r="DFW96" s="15"/>
      <c r="DFX96" s="15"/>
      <c r="DFY96" s="15"/>
      <c r="DFZ96" s="15"/>
      <c r="DGA96" s="15"/>
      <c r="DGB96" s="15"/>
      <c r="DGC96" s="15"/>
      <c r="DGD96" s="15"/>
      <c r="DGE96" s="15"/>
      <c r="DGF96" s="15"/>
      <c r="DGG96" s="15"/>
      <c r="DGH96" s="15"/>
      <c r="DGI96" s="15"/>
      <c r="DGJ96" s="15"/>
      <c r="DGK96" s="15"/>
      <c r="DGL96" s="15"/>
      <c r="DGM96" s="15"/>
      <c r="DGN96" s="15"/>
      <c r="DGO96" s="15"/>
      <c r="DGP96" s="15"/>
      <c r="DGQ96" s="15"/>
      <c r="DGR96" s="15"/>
      <c r="DGS96" s="15"/>
      <c r="DGT96" s="15"/>
      <c r="DGU96" s="15"/>
      <c r="DGV96" s="15"/>
      <c r="DGW96" s="15"/>
      <c r="DGX96" s="15"/>
      <c r="DGY96" s="15"/>
      <c r="DGZ96" s="15"/>
      <c r="DHA96" s="15"/>
      <c r="DHB96" s="15"/>
      <c r="DHC96" s="15"/>
      <c r="DHD96" s="15"/>
      <c r="DHE96" s="15"/>
      <c r="DHF96" s="15"/>
      <c r="DHG96" s="15"/>
      <c r="DHH96" s="15"/>
      <c r="DHI96" s="15"/>
      <c r="DHJ96" s="15"/>
      <c r="DHK96" s="15"/>
      <c r="DHL96" s="15"/>
      <c r="DHM96" s="15"/>
      <c r="DHN96" s="15"/>
      <c r="DHO96" s="15"/>
      <c r="DHP96" s="15"/>
      <c r="DHQ96" s="15"/>
      <c r="DHR96" s="15"/>
      <c r="DHS96" s="15"/>
      <c r="DHT96" s="15"/>
      <c r="DHU96" s="15"/>
      <c r="DHV96" s="15"/>
      <c r="DHW96" s="15"/>
      <c r="DHX96" s="15"/>
      <c r="DHY96" s="15"/>
      <c r="DHZ96" s="15"/>
      <c r="DIA96" s="15"/>
      <c r="DIB96" s="15"/>
      <c r="DIC96" s="15"/>
      <c r="DID96" s="15"/>
      <c r="DIE96" s="15"/>
      <c r="DIF96" s="15"/>
      <c r="DIG96" s="15"/>
      <c r="DIH96" s="15"/>
      <c r="DII96" s="15"/>
      <c r="DIJ96" s="15"/>
      <c r="DIK96" s="15"/>
      <c r="DIL96" s="15"/>
      <c r="DIM96" s="15"/>
      <c r="DIN96" s="15"/>
      <c r="DIO96" s="15"/>
      <c r="DIP96" s="15"/>
      <c r="DIQ96" s="15"/>
      <c r="DIR96" s="15"/>
      <c r="DIS96" s="15"/>
      <c r="DIT96" s="15"/>
      <c r="DIU96" s="15"/>
      <c r="DIV96" s="15"/>
      <c r="DIW96" s="15"/>
      <c r="DIX96" s="15"/>
      <c r="DIY96" s="15"/>
      <c r="DIZ96" s="15"/>
      <c r="DJA96" s="15"/>
      <c r="DJB96" s="15"/>
      <c r="DJC96" s="15"/>
      <c r="DJD96" s="15"/>
      <c r="DJE96" s="15"/>
      <c r="DJF96" s="15"/>
      <c r="DJG96" s="15"/>
      <c r="DJH96" s="15"/>
      <c r="DJI96" s="15"/>
      <c r="DJJ96" s="15"/>
      <c r="DJK96" s="15"/>
      <c r="DJL96" s="15"/>
      <c r="DJM96" s="15"/>
      <c r="DJN96" s="15"/>
      <c r="DJO96" s="15"/>
      <c r="DJP96" s="15"/>
      <c r="DJQ96" s="15"/>
      <c r="DJR96" s="15"/>
      <c r="DJS96" s="15"/>
      <c r="DJT96" s="15"/>
      <c r="DJU96" s="15"/>
      <c r="DJV96" s="15"/>
      <c r="DJW96" s="15"/>
      <c r="DJX96" s="15"/>
      <c r="DJY96" s="15"/>
      <c r="DJZ96" s="15"/>
      <c r="DKA96" s="15"/>
      <c r="DKB96" s="15"/>
      <c r="DKC96" s="15"/>
      <c r="DKD96" s="15"/>
      <c r="DKE96" s="15"/>
      <c r="DKF96" s="15"/>
      <c r="DKG96" s="15"/>
      <c r="DKH96" s="15"/>
      <c r="DKI96" s="15"/>
      <c r="DKJ96" s="15"/>
      <c r="DKK96" s="15"/>
      <c r="DKL96" s="15"/>
      <c r="DKM96" s="15"/>
      <c r="DKN96" s="15"/>
      <c r="DKO96" s="15"/>
      <c r="DKP96" s="15"/>
      <c r="DKQ96" s="15"/>
      <c r="DKR96" s="15"/>
      <c r="DKS96" s="15"/>
      <c r="DKT96" s="15"/>
      <c r="DKU96" s="15"/>
      <c r="DKV96" s="15"/>
      <c r="DKW96" s="15"/>
      <c r="DKX96" s="15"/>
      <c r="DKY96" s="15"/>
      <c r="DKZ96" s="15"/>
      <c r="DLA96" s="15"/>
      <c r="DLB96" s="15"/>
      <c r="DLC96" s="15"/>
      <c r="DLD96" s="15"/>
      <c r="DLE96" s="15"/>
      <c r="DLF96" s="15"/>
      <c r="DLG96" s="15"/>
      <c r="DLH96" s="15"/>
      <c r="DLI96" s="15"/>
      <c r="DLJ96" s="15"/>
      <c r="DLK96" s="15"/>
      <c r="DLL96" s="15"/>
      <c r="DLM96" s="15"/>
      <c r="DLN96" s="15"/>
      <c r="DLO96" s="15"/>
      <c r="DLP96" s="15"/>
      <c r="DLQ96" s="15"/>
      <c r="DLR96" s="15"/>
      <c r="DLS96" s="15"/>
      <c r="DLT96" s="15"/>
      <c r="DLU96" s="15"/>
      <c r="DLV96" s="15"/>
      <c r="DLW96" s="15"/>
      <c r="DLX96" s="15"/>
      <c r="DLY96" s="15"/>
      <c r="DLZ96" s="15"/>
      <c r="DMA96" s="15"/>
      <c r="DMB96" s="15"/>
      <c r="DMC96" s="15"/>
      <c r="DMD96" s="15"/>
      <c r="DME96" s="15"/>
      <c r="DMF96" s="15"/>
      <c r="DMG96" s="15"/>
      <c r="DMH96" s="15"/>
      <c r="DMI96" s="15"/>
      <c r="DMJ96" s="15"/>
      <c r="DMK96" s="15"/>
      <c r="DML96" s="15"/>
      <c r="DMM96" s="15"/>
      <c r="DMN96" s="15"/>
      <c r="DMO96" s="15"/>
      <c r="DMP96" s="15"/>
      <c r="DMQ96" s="15"/>
      <c r="DMR96" s="15"/>
      <c r="DMS96" s="15"/>
      <c r="DMT96" s="15"/>
      <c r="DMU96" s="15"/>
      <c r="DMV96" s="15"/>
      <c r="DMW96" s="15"/>
      <c r="DMX96" s="15"/>
      <c r="DMY96" s="15"/>
      <c r="DMZ96" s="15"/>
      <c r="DNA96" s="15"/>
      <c r="DNB96" s="15"/>
      <c r="DNC96" s="15"/>
      <c r="DND96" s="15"/>
      <c r="DNE96" s="15"/>
      <c r="DNF96" s="15"/>
      <c r="DNG96" s="15"/>
      <c r="DNH96" s="15"/>
      <c r="DNI96" s="15"/>
      <c r="DNJ96" s="15"/>
      <c r="DNK96" s="15"/>
      <c r="DNL96" s="15"/>
      <c r="DNM96" s="15"/>
      <c r="DNN96" s="15"/>
      <c r="DNO96" s="15"/>
      <c r="DNP96" s="15"/>
      <c r="DNQ96" s="15"/>
      <c r="DNR96" s="15"/>
      <c r="DNS96" s="15"/>
      <c r="DNT96" s="15"/>
      <c r="DNU96" s="15"/>
      <c r="DNV96" s="15"/>
      <c r="DNW96" s="15"/>
      <c r="DNX96" s="15"/>
      <c r="DNY96" s="15"/>
      <c r="DNZ96" s="15"/>
      <c r="DOA96" s="15"/>
      <c r="DOB96" s="15"/>
      <c r="DOC96" s="15"/>
      <c r="DOD96" s="15"/>
      <c r="DOE96" s="15"/>
      <c r="DOF96" s="15"/>
      <c r="DOG96" s="15"/>
      <c r="DOH96" s="15"/>
      <c r="DOI96" s="15"/>
      <c r="DOJ96" s="15"/>
      <c r="DOK96" s="15"/>
      <c r="DOL96" s="15"/>
      <c r="DOM96" s="15"/>
      <c r="DON96" s="15"/>
      <c r="DOO96" s="15"/>
      <c r="DOP96" s="15"/>
      <c r="DOQ96" s="15"/>
      <c r="DOR96" s="15"/>
      <c r="DOS96" s="15"/>
      <c r="DOT96" s="15"/>
      <c r="DOU96" s="15"/>
      <c r="DOV96" s="15"/>
      <c r="DOW96" s="15"/>
      <c r="DOX96" s="15"/>
      <c r="DOY96" s="15"/>
      <c r="DOZ96" s="15"/>
      <c r="DPA96" s="15"/>
      <c r="DPB96" s="15"/>
      <c r="DPC96" s="15"/>
      <c r="DPD96" s="15"/>
      <c r="DPE96" s="15"/>
      <c r="DPF96" s="15"/>
      <c r="DPG96" s="15"/>
      <c r="DPH96" s="15"/>
      <c r="DPI96" s="15"/>
      <c r="DPJ96" s="15"/>
      <c r="DPK96" s="15"/>
      <c r="DPL96" s="15"/>
      <c r="DPM96" s="15"/>
      <c r="DPN96" s="15"/>
      <c r="DPO96" s="15"/>
      <c r="DPP96" s="15"/>
      <c r="DPQ96" s="15"/>
      <c r="DPR96" s="15"/>
      <c r="DPS96" s="15"/>
      <c r="DPT96" s="15"/>
      <c r="DPU96" s="15"/>
      <c r="DPV96" s="15"/>
      <c r="DPW96" s="15"/>
      <c r="DPX96" s="15"/>
      <c r="DPY96" s="15"/>
      <c r="DPZ96" s="15"/>
      <c r="DQA96" s="15"/>
      <c r="DQB96" s="15"/>
      <c r="DQC96" s="15"/>
      <c r="DQD96" s="15"/>
      <c r="DQE96" s="15"/>
      <c r="DQF96" s="15"/>
      <c r="DQG96" s="15"/>
      <c r="DQH96" s="15"/>
      <c r="DQI96" s="15"/>
      <c r="DQJ96" s="15"/>
      <c r="DQK96" s="15"/>
      <c r="DQL96" s="15"/>
      <c r="DQM96" s="15"/>
      <c r="DQN96" s="15"/>
      <c r="DQO96" s="15"/>
      <c r="DQP96" s="15"/>
      <c r="DQQ96" s="15"/>
      <c r="DQR96" s="15"/>
      <c r="DQS96" s="15"/>
      <c r="DQT96" s="15"/>
      <c r="DQU96" s="15"/>
      <c r="DQV96" s="15"/>
      <c r="DQW96" s="15"/>
      <c r="DQX96" s="15"/>
      <c r="DQY96" s="15"/>
      <c r="DQZ96" s="15"/>
      <c r="DRA96" s="15"/>
      <c r="DRB96" s="15"/>
      <c r="DRC96" s="15"/>
      <c r="DRD96" s="15"/>
      <c r="DRE96" s="15"/>
      <c r="DRF96" s="15"/>
      <c r="DRG96" s="15"/>
      <c r="DRH96" s="15"/>
      <c r="DRI96" s="15"/>
      <c r="DRJ96" s="15"/>
      <c r="DRK96" s="15"/>
      <c r="DRL96" s="15"/>
      <c r="DRM96" s="15"/>
      <c r="DRN96" s="15"/>
      <c r="DRO96" s="15"/>
      <c r="DRP96" s="15"/>
      <c r="DRQ96" s="15"/>
      <c r="DRR96" s="15"/>
      <c r="DRS96" s="15"/>
      <c r="DRT96" s="15"/>
      <c r="DRU96" s="15"/>
      <c r="DRV96" s="15"/>
      <c r="DRW96" s="15"/>
      <c r="DRX96" s="15"/>
      <c r="DRY96" s="15"/>
      <c r="DRZ96" s="15"/>
      <c r="DSA96" s="15"/>
      <c r="DSB96" s="15"/>
      <c r="DSC96" s="15"/>
      <c r="DSD96" s="15"/>
      <c r="DSE96" s="15"/>
      <c r="DSF96" s="15"/>
      <c r="DSG96" s="15"/>
      <c r="DSH96" s="15"/>
      <c r="DSI96" s="15"/>
      <c r="DSJ96" s="15"/>
      <c r="DSK96" s="15"/>
      <c r="DSL96" s="15"/>
      <c r="DSM96" s="15"/>
      <c r="DSN96" s="15"/>
      <c r="DSO96" s="15"/>
      <c r="DSP96" s="15"/>
      <c r="DSQ96" s="15"/>
      <c r="DSR96" s="15"/>
      <c r="DSS96" s="15"/>
      <c r="DST96" s="15"/>
      <c r="DSU96" s="15"/>
      <c r="DSV96" s="15"/>
      <c r="DSW96" s="15"/>
      <c r="DSX96" s="15"/>
      <c r="DSY96" s="15"/>
      <c r="DSZ96" s="15"/>
      <c r="DTA96" s="15"/>
      <c r="DTB96" s="15"/>
      <c r="DTC96" s="15"/>
      <c r="DTD96" s="15"/>
      <c r="DTE96" s="15"/>
      <c r="DTF96" s="15"/>
      <c r="DTG96" s="15"/>
      <c r="DTH96" s="15"/>
      <c r="DTI96" s="15"/>
      <c r="DTJ96" s="15"/>
      <c r="DTK96" s="15"/>
      <c r="DTL96" s="15"/>
      <c r="DTM96" s="15"/>
      <c r="DTN96" s="15"/>
      <c r="DTO96" s="15"/>
      <c r="DTP96" s="15"/>
      <c r="DTQ96" s="15"/>
      <c r="DTR96" s="15"/>
      <c r="DTS96" s="15"/>
      <c r="DTT96" s="15"/>
      <c r="DTU96" s="15"/>
      <c r="DTV96" s="15"/>
      <c r="DTW96" s="15"/>
      <c r="DTX96" s="15"/>
      <c r="DTY96" s="15"/>
      <c r="DTZ96" s="15"/>
      <c r="DUA96" s="15"/>
      <c r="DUB96" s="15"/>
      <c r="DUC96" s="15"/>
      <c r="DUD96" s="15"/>
      <c r="DUE96" s="15"/>
      <c r="DUF96" s="15"/>
      <c r="DUG96" s="15"/>
      <c r="DUH96" s="15"/>
      <c r="DUI96" s="15"/>
      <c r="DUJ96" s="15"/>
      <c r="DUK96" s="15"/>
      <c r="DUL96" s="15"/>
      <c r="DUM96" s="15"/>
      <c r="DUN96" s="15"/>
      <c r="DUO96" s="15"/>
      <c r="DUP96" s="15"/>
      <c r="DUQ96" s="15"/>
      <c r="DUR96" s="15"/>
      <c r="DUS96" s="15"/>
      <c r="DUT96" s="15"/>
      <c r="DUU96" s="15"/>
      <c r="DUV96" s="15"/>
      <c r="DUW96" s="15"/>
      <c r="DUX96" s="15"/>
      <c r="DUY96" s="15"/>
      <c r="DUZ96" s="15"/>
      <c r="DVA96" s="15"/>
      <c r="DVB96" s="15"/>
      <c r="DVC96" s="15"/>
      <c r="DVD96" s="15"/>
      <c r="DVE96" s="15"/>
      <c r="DVF96" s="15"/>
      <c r="DVG96" s="15"/>
      <c r="DVH96" s="15"/>
      <c r="DVI96" s="15"/>
      <c r="DVJ96" s="15"/>
      <c r="DVK96" s="15"/>
      <c r="DVL96" s="15"/>
      <c r="DVM96" s="15"/>
      <c r="DVN96" s="15"/>
      <c r="DVO96" s="15"/>
      <c r="DVP96" s="15"/>
      <c r="DVQ96" s="15"/>
      <c r="DVR96" s="15"/>
      <c r="DVS96" s="15"/>
      <c r="DVT96" s="15"/>
      <c r="DVU96" s="15"/>
      <c r="DVV96" s="15"/>
      <c r="DVW96" s="15"/>
      <c r="DVX96" s="15"/>
      <c r="DVY96" s="15"/>
      <c r="DVZ96" s="15"/>
      <c r="DWA96" s="15"/>
      <c r="DWB96" s="15"/>
      <c r="DWC96" s="15"/>
      <c r="DWD96" s="15"/>
      <c r="DWE96" s="15"/>
      <c r="DWF96" s="15"/>
      <c r="DWG96" s="15"/>
      <c r="DWH96" s="15"/>
      <c r="DWI96" s="15"/>
      <c r="DWJ96" s="15"/>
      <c r="DWK96" s="15"/>
      <c r="DWL96" s="15"/>
      <c r="DWM96" s="15"/>
      <c r="DWN96" s="15"/>
      <c r="DWO96" s="15"/>
      <c r="DWP96" s="15"/>
      <c r="DWQ96" s="15"/>
      <c r="DWR96" s="15"/>
      <c r="DWS96" s="15"/>
      <c r="DWT96" s="15"/>
      <c r="DWU96" s="15"/>
      <c r="DWV96" s="15"/>
      <c r="DWW96" s="15"/>
      <c r="DWX96" s="15"/>
      <c r="DWY96" s="15"/>
      <c r="DWZ96" s="15"/>
      <c r="DXA96" s="15"/>
      <c r="DXB96" s="15"/>
      <c r="DXC96" s="15"/>
      <c r="DXD96" s="15"/>
      <c r="DXE96" s="15"/>
      <c r="DXF96" s="15"/>
      <c r="DXG96" s="15"/>
      <c r="DXH96" s="15"/>
      <c r="DXI96" s="15"/>
      <c r="DXJ96" s="15"/>
      <c r="DXK96" s="15"/>
      <c r="DXL96" s="15"/>
      <c r="DXM96" s="15"/>
      <c r="DXN96" s="15"/>
      <c r="DXO96" s="15"/>
      <c r="DXP96" s="15"/>
      <c r="DXQ96" s="15"/>
      <c r="DXR96" s="15"/>
      <c r="DXS96" s="15"/>
      <c r="DXT96" s="15"/>
      <c r="DXU96" s="15"/>
      <c r="DXV96" s="15"/>
      <c r="DXW96" s="15"/>
      <c r="DXX96" s="15"/>
      <c r="DXY96" s="15"/>
      <c r="DXZ96" s="15"/>
      <c r="DYA96" s="15"/>
      <c r="DYB96" s="15"/>
      <c r="DYC96" s="15"/>
      <c r="DYD96" s="15"/>
      <c r="DYE96" s="15"/>
      <c r="DYF96" s="15"/>
      <c r="DYG96" s="15"/>
      <c r="DYH96" s="15"/>
      <c r="DYI96" s="15"/>
      <c r="DYJ96" s="15"/>
      <c r="DYK96" s="15"/>
      <c r="DYL96" s="15"/>
      <c r="DYM96" s="15"/>
      <c r="DYN96" s="15"/>
      <c r="DYO96" s="15"/>
      <c r="DYP96" s="15"/>
      <c r="DYQ96" s="15"/>
      <c r="DYR96" s="15"/>
      <c r="DYS96" s="15"/>
      <c r="DYT96" s="15"/>
      <c r="DYU96" s="15"/>
      <c r="DYV96" s="15"/>
      <c r="DYW96" s="15"/>
      <c r="DYX96" s="15"/>
      <c r="DYY96" s="15"/>
      <c r="DYZ96" s="15"/>
      <c r="DZA96" s="15"/>
      <c r="DZB96" s="15"/>
      <c r="DZC96" s="15"/>
      <c r="DZD96" s="15"/>
      <c r="DZE96" s="15"/>
      <c r="DZF96" s="15"/>
      <c r="DZG96" s="15"/>
      <c r="DZH96" s="15"/>
      <c r="DZI96" s="15"/>
      <c r="DZJ96" s="15"/>
      <c r="DZK96" s="15"/>
      <c r="DZL96" s="15"/>
      <c r="DZM96" s="15"/>
      <c r="DZN96" s="15"/>
      <c r="DZO96" s="15"/>
      <c r="DZP96" s="15"/>
      <c r="DZQ96" s="15"/>
      <c r="DZR96" s="15"/>
      <c r="DZS96" s="15"/>
      <c r="DZT96" s="15"/>
      <c r="DZU96" s="15"/>
      <c r="DZV96" s="15"/>
      <c r="DZW96" s="15"/>
      <c r="DZX96" s="15"/>
      <c r="DZY96" s="15"/>
      <c r="DZZ96" s="15"/>
      <c r="EAA96" s="15"/>
      <c r="EAB96" s="15"/>
      <c r="EAC96" s="15"/>
      <c r="EAD96" s="15"/>
      <c r="EAE96" s="15"/>
      <c r="EAF96" s="15"/>
      <c r="EAG96" s="15"/>
      <c r="EAH96" s="15"/>
      <c r="EAI96" s="15"/>
      <c r="EAJ96" s="15"/>
      <c r="EAK96" s="15"/>
      <c r="EAL96" s="15"/>
      <c r="EAM96" s="15"/>
      <c r="EAN96" s="15"/>
      <c r="EAO96" s="15"/>
      <c r="EAP96" s="15"/>
      <c r="EAQ96" s="15"/>
      <c r="EAR96" s="15"/>
      <c r="EAS96" s="15"/>
      <c r="EAT96" s="15"/>
      <c r="EAU96" s="15"/>
      <c r="EAV96" s="15"/>
      <c r="EAW96" s="15"/>
      <c r="EAX96" s="15"/>
      <c r="EAY96" s="15"/>
      <c r="EAZ96" s="15"/>
      <c r="EBA96" s="15"/>
      <c r="EBB96" s="15"/>
      <c r="EBC96" s="15"/>
      <c r="EBD96" s="15"/>
      <c r="EBE96" s="15"/>
      <c r="EBF96" s="15"/>
      <c r="EBG96" s="15"/>
      <c r="EBH96" s="15"/>
      <c r="EBI96" s="15"/>
      <c r="EBJ96" s="15"/>
      <c r="EBK96" s="15"/>
      <c r="EBL96" s="15"/>
      <c r="EBM96" s="15"/>
      <c r="EBN96" s="15"/>
      <c r="EBO96" s="15"/>
      <c r="EBP96" s="15"/>
      <c r="EBQ96" s="15"/>
      <c r="EBR96" s="15"/>
      <c r="EBS96" s="15"/>
      <c r="EBT96" s="15"/>
      <c r="EBU96" s="15"/>
      <c r="EBV96" s="15"/>
      <c r="EBW96" s="15"/>
      <c r="EBX96" s="15"/>
      <c r="EBY96" s="15"/>
      <c r="EBZ96" s="15"/>
      <c r="ECA96" s="15"/>
      <c r="ECB96" s="15"/>
      <c r="ECC96" s="15"/>
      <c r="ECD96" s="15"/>
      <c r="ECE96" s="15"/>
      <c r="ECF96" s="15"/>
      <c r="ECG96" s="15"/>
      <c r="ECH96" s="15"/>
      <c r="ECI96" s="15"/>
      <c r="ECJ96" s="15"/>
      <c r="ECK96" s="15"/>
      <c r="ECL96" s="15"/>
      <c r="ECM96" s="15"/>
      <c r="ECN96" s="15"/>
      <c r="ECO96" s="15"/>
      <c r="ECP96" s="15"/>
      <c r="ECQ96" s="15"/>
      <c r="ECR96" s="15"/>
      <c r="ECS96" s="15"/>
      <c r="ECT96" s="15"/>
      <c r="ECU96" s="15"/>
      <c r="ECV96" s="15"/>
      <c r="ECW96" s="15"/>
      <c r="ECX96" s="15"/>
      <c r="ECY96" s="15"/>
      <c r="ECZ96" s="15"/>
      <c r="EDA96" s="15"/>
      <c r="EDB96" s="15"/>
      <c r="EDC96" s="15"/>
      <c r="EDD96" s="15"/>
      <c r="EDE96" s="15"/>
      <c r="EDF96" s="15"/>
      <c r="EDG96" s="15"/>
      <c r="EDH96" s="15"/>
      <c r="EDI96" s="15"/>
      <c r="EDJ96" s="15"/>
      <c r="EDK96" s="15"/>
      <c r="EDL96" s="15"/>
      <c r="EDM96" s="15"/>
      <c r="EDN96" s="15"/>
      <c r="EDO96" s="15"/>
      <c r="EDP96" s="15"/>
      <c r="EDQ96" s="15"/>
      <c r="EDR96" s="15"/>
      <c r="EDS96" s="15"/>
      <c r="EDT96" s="15"/>
      <c r="EDU96" s="15"/>
      <c r="EDV96" s="15"/>
      <c r="EDW96" s="15"/>
      <c r="EDX96" s="15"/>
      <c r="EDY96" s="15"/>
      <c r="EDZ96" s="15"/>
      <c r="EEA96" s="15"/>
      <c r="EEB96" s="15"/>
      <c r="EEC96" s="15"/>
      <c r="EED96" s="15"/>
      <c r="EEE96" s="15"/>
      <c r="EEF96" s="15"/>
      <c r="EEG96" s="15"/>
      <c r="EEH96" s="15"/>
      <c r="EEI96" s="15"/>
      <c r="EEJ96" s="15"/>
      <c r="EEK96" s="15"/>
      <c r="EEL96" s="15"/>
      <c r="EEM96" s="15"/>
      <c r="EEN96" s="15"/>
      <c r="EEO96" s="15"/>
      <c r="EEP96" s="15"/>
      <c r="EEQ96" s="15"/>
      <c r="EER96" s="15"/>
      <c r="EES96" s="15"/>
      <c r="EET96" s="15"/>
      <c r="EEU96" s="15"/>
      <c r="EEV96" s="15"/>
      <c r="EEW96" s="15"/>
      <c r="EEX96" s="15"/>
      <c r="EEY96" s="15"/>
      <c r="EEZ96" s="15"/>
      <c r="EFA96" s="15"/>
      <c r="EFB96" s="15"/>
      <c r="EFC96" s="15"/>
      <c r="EFD96" s="15"/>
      <c r="EFE96" s="15"/>
      <c r="EFF96" s="15"/>
      <c r="EFG96" s="15"/>
      <c r="EFH96" s="15"/>
      <c r="EFI96" s="15"/>
      <c r="EFJ96" s="15"/>
      <c r="EFK96" s="15"/>
      <c r="EFL96" s="15"/>
      <c r="EFM96" s="15"/>
      <c r="EFN96" s="15"/>
      <c r="EFO96" s="15"/>
      <c r="EFP96" s="15"/>
      <c r="EFQ96" s="15"/>
      <c r="EFR96" s="15"/>
      <c r="EFS96" s="15"/>
      <c r="EFT96" s="15"/>
      <c r="EFU96" s="15"/>
      <c r="EFV96" s="15"/>
      <c r="EFW96" s="15"/>
      <c r="EFX96" s="15"/>
      <c r="EFY96" s="15"/>
      <c r="EFZ96" s="15"/>
      <c r="EGA96" s="15"/>
      <c r="EGB96" s="15"/>
      <c r="EGC96" s="15"/>
      <c r="EGD96" s="15"/>
      <c r="EGE96" s="15"/>
      <c r="EGF96" s="15"/>
      <c r="EGG96" s="15"/>
      <c r="EGH96" s="15"/>
      <c r="EGI96" s="15"/>
      <c r="EGJ96" s="15"/>
      <c r="EGK96" s="15"/>
      <c r="EGL96" s="15"/>
      <c r="EGM96" s="15"/>
      <c r="EGN96" s="15"/>
      <c r="EGO96" s="15"/>
      <c r="EGP96" s="15"/>
      <c r="EGQ96" s="15"/>
      <c r="EGR96" s="15"/>
      <c r="EGS96" s="15"/>
      <c r="EGT96" s="15"/>
      <c r="EGU96" s="15"/>
      <c r="EGV96" s="15"/>
      <c r="EGW96" s="15"/>
      <c r="EGX96" s="15"/>
      <c r="EGY96" s="15"/>
      <c r="EGZ96" s="15"/>
      <c r="EHA96" s="15"/>
      <c r="EHB96" s="15"/>
      <c r="EHC96" s="15"/>
      <c r="EHD96" s="15"/>
      <c r="EHE96" s="15"/>
      <c r="EHF96" s="15"/>
      <c r="EHG96" s="15"/>
      <c r="EHH96" s="15"/>
      <c r="EHI96" s="15"/>
      <c r="EHJ96" s="15"/>
      <c r="EHK96" s="15"/>
      <c r="EHL96" s="15"/>
      <c r="EHM96" s="15"/>
      <c r="EHN96" s="15"/>
      <c r="EHO96" s="15"/>
      <c r="EHP96" s="15"/>
      <c r="EHQ96" s="15"/>
      <c r="EHR96" s="15"/>
      <c r="EHS96" s="15"/>
      <c r="EHT96" s="15"/>
      <c r="EHU96" s="15"/>
      <c r="EHV96" s="15"/>
      <c r="EHW96" s="15"/>
      <c r="EHX96" s="15"/>
      <c r="EHY96" s="15"/>
      <c r="EHZ96" s="15"/>
      <c r="EIA96" s="15"/>
      <c r="EIB96" s="15"/>
      <c r="EIC96" s="15"/>
      <c r="EID96" s="15"/>
      <c r="EIE96" s="15"/>
      <c r="EIF96" s="15"/>
      <c r="EIG96" s="15"/>
      <c r="EIH96" s="15"/>
      <c r="EII96" s="15"/>
      <c r="EIJ96" s="15"/>
      <c r="EIK96" s="15"/>
      <c r="EIL96" s="15"/>
      <c r="EIM96" s="15"/>
      <c r="EIN96" s="15"/>
      <c r="EIO96" s="15"/>
      <c r="EIP96" s="15"/>
      <c r="EIQ96" s="15"/>
      <c r="EIR96" s="15"/>
      <c r="EIS96" s="15"/>
      <c r="EIT96" s="15"/>
      <c r="EIU96" s="15"/>
      <c r="EIV96" s="15"/>
      <c r="EIW96" s="15"/>
      <c r="EIX96" s="15"/>
      <c r="EIY96" s="15"/>
      <c r="EIZ96" s="15"/>
      <c r="EJA96" s="15"/>
      <c r="EJB96" s="15"/>
      <c r="EJC96" s="15"/>
      <c r="EJD96" s="15"/>
      <c r="EJE96" s="15"/>
      <c r="EJF96" s="15"/>
      <c r="EJG96" s="15"/>
      <c r="EJH96" s="15"/>
      <c r="EJI96" s="15"/>
      <c r="EJJ96" s="15"/>
      <c r="EJK96" s="15"/>
      <c r="EJL96" s="15"/>
      <c r="EJM96" s="15"/>
      <c r="EJN96" s="15"/>
      <c r="EJO96" s="15"/>
      <c r="EJP96" s="15"/>
      <c r="EJQ96" s="15"/>
      <c r="EJR96" s="15"/>
      <c r="EJS96" s="15"/>
      <c r="EJT96" s="15"/>
      <c r="EJU96" s="15"/>
      <c r="EJV96" s="15"/>
      <c r="EJW96" s="15"/>
      <c r="EJX96" s="15"/>
      <c r="EJY96" s="15"/>
      <c r="EJZ96" s="15"/>
      <c r="EKA96" s="15"/>
      <c r="EKB96" s="15"/>
      <c r="EKC96" s="15"/>
      <c r="EKD96" s="15"/>
      <c r="EKE96" s="15"/>
      <c r="EKF96" s="15"/>
      <c r="EKG96" s="15"/>
      <c r="EKH96" s="15"/>
      <c r="EKI96" s="15"/>
      <c r="EKJ96" s="15"/>
      <c r="EKK96" s="15"/>
      <c r="EKL96" s="15"/>
      <c r="EKM96" s="15"/>
      <c r="EKN96" s="15"/>
      <c r="EKO96" s="15"/>
      <c r="EKP96" s="15"/>
      <c r="EKQ96" s="15"/>
      <c r="EKR96" s="15"/>
      <c r="EKS96" s="15"/>
      <c r="EKT96" s="15"/>
      <c r="EKU96" s="15"/>
      <c r="EKV96" s="15"/>
      <c r="EKW96" s="15"/>
      <c r="EKX96" s="15"/>
      <c r="EKY96" s="15"/>
      <c r="EKZ96" s="15"/>
      <c r="ELA96" s="15"/>
      <c r="ELB96" s="15"/>
      <c r="ELC96" s="15"/>
      <c r="ELD96" s="15"/>
      <c r="ELE96" s="15"/>
      <c r="ELF96" s="15"/>
      <c r="ELG96" s="15"/>
      <c r="ELH96" s="15"/>
      <c r="ELI96" s="15"/>
      <c r="ELJ96" s="15"/>
      <c r="ELK96" s="15"/>
      <c r="ELL96" s="15"/>
      <c r="ELM96" s="15"/>
      <c r="ELN96" s="15"/>
      <c r="ELO96" s="15"/>
      <c r="ELP96" s="15"/>
      <c r="ELQ96" s="15"/>
      <c r="ELR96" s="15"/>
      <c r="ELS96" s="15"/>
      <c r="ELT96" s="15"/>
      <c r="ELU96" s="15"/>
      <c r="ELV96" s="15"/>
      <c r="ELW96" s="15"/>
      <c r="ELX96" s="15"/>
      <c r="ELY96" s="15"/>
      <c r="ELZ96" s="15"/>
      <c r="EMA96" s="15"/>
      <c r="EMB96" s="15"/>
      <c r="EMC96" s="15"/>
      <c r="EMD96" s="15"/>
      <c r="EME96" s="15"/>
      <c r="EMF96" s="15"/>
      <c r="EMG96" s="15"/>
      <c r="EMH96" s="15"/>
      <c r="EMI96" s="15"/>
      <c r="EMJ96" s="15"/>
      <c r="EMK96" s="15"/>
      <c r="EML96" s="15"/>
      <c r="EMM96" s="15"/>
      <c r="EMN96" s="15"/>
      <c r="EMO96" s="15"/>
      <c r="EMP96" s="15"/>
      <c r="EMQ96" s="15"/>
      <c r="EMR96" s="15"/>
      <c r="EMS96" s="15"/>
      <c r="EMT96" s="15"/>
      <c r="EMU96" s="15"/>
      <c r="EMV96" s="15"/>
      <c r="EMW96" s="15"/>
      <c r="EMX96" s="15"/>
      <c r="EMY96" s="15"/>
      <c r="EMZ96" s="15"/>
      <c r="ENA96" s="15"/>
      <c r="ENB96" s="15"/>
      <c r="ENC96" s="15"/>
      <c r="END96" s="15"/>
      <c r="ENE96" s="15"/>
      <c r="ENF96" s="15"/>
      <c r="ENG96" s="15"/>
      <c r="ENH96" s="15"/>
      <c r="ENI96" s="15"/>
      <c r="ENJ96" s="15"/>
      <c r="ENK96" s="15"/>
      <c r="ENL96" s="15"/>
      <c r="ENM96" s="15"/>
      <c r="ENN96" s="15"/>
      <c r="ENO96" s="15"/>
      <c r="ENP96" s="15"/>
      <c r="ENQ96" s="15"/>
      <c r="ENR96" s="15"/>
      <c r="ENS96" s="15"/>
      <c r="ENT96" s="15"/>
      <c r="ENU96" s="15"/>
      <c r="ENV96" s="15"/>
      <c r="ENW96" s="15"/>
      <c r="ENX96" s="15"/>
      <c r="ENY96" s="15"/>
      <c r="ENZ96" s="15"/>
      <c r="EOA96" s="15"/>
      <c r="EOB96" s="15"/>
      <c r="EOC96" s="15"/>
      <c r="EOD96" s="15"/>
      <c r="EOE96" s="15"/>
      <c r="EOF96" s="15"/>
      <c r="EOG96" s="15"/>
      <c r="EOH96" s="15"/>
      <c r="EOI96" s="15"/>
      <c r="EOJ96" s="15"/>
      <c r="EOK96" s="15"/>
      <c r="EOL96" s="15"/>
      <c r="EOM96" s="15"/>
      <c r="EON96" s="15"/>
      <c r="EOO96" s="15"/>
      <c r="EOP96" s="15"/>
      <c r="EOQ96" s="15"/>
      <c r="EOR96" s="15"/>
      <c r="EOS96" s="15"/>
      <c r="EOT96" s="15"/>
      <c r="EOU96" s="15"/>
      <c r="EOV96" s="15"/>
      <c r="EOW96" s="15"/>
      <c r="EOX96" s="15"/>
      <c r="EOY96" s="15"/>
      <c r="EOZ96" s="15"/>
      <c r="EPA96" s="15"/>
      <c r="EPB96" s="15"/>
      <c r="EPC96" s="15"/>
      <c r="EPD96" s="15"/>
      <c r="EPE96" s="15"/>
      <c r="EPF96" s="15"/>
      <c r="EPG96" s="15"/>
      <c r="EPH96" s="15"/>
      <c r="EPI96" s="15"/>
      <c r="EPJ96" s="15"/>
      <c r="EPK96" s="15"/>
      <c r="EPL96" s="15"/>
      <c r="EPM96" s="15"/>
      <c r="EPN96" s="15"/>
      <c r="EPO96" s="15"/>
      <c r="EPP96" s="15"/>
      <c r="EPQ96" s="15"/>
      <c r="EPR96" s="15"/>
      <c r="EPS96" s="15"/>
      <c r="EPT96" s="15"/>
      <c r="EPU96" s="15"/>
      <c r="EPV96" s="15"/>
      <c r="EPW96" s="15"/>
      <c r="EPX96" s="15"/>
      <c r="EPY96" s="15"/>
      <c r="EPZ96" s="15"/>
      <c r="EQA96" s="15"/>
      <c r="EQB96" s="15"/>
      <c r="EQC96" s="15"/>
      <c r="EQD96" s="15"/>
      <c r="EQE96" s="15"/>
      <c r="EQF96" s="15"/>
      <c r="EQG96" s="15"/>
      <c r="EQH96" s="15"/>
      <c r="EQI96" s="15"/>
      <c r="EQJ96" s="15"/>
      <c r="EQK96" s="15"/>
      <c r="EQL96" s="15"/>
      <c r="EQM96" s="15"/>
      <c r="EQN96" s="15"/>
      <c r="EQO96" s="15"/>
      <c r="EQP96" s="15"/>
      <c r="EQQ96" s="15"/>
      <c r="EQR96" s="15"/>
      <c r="EQS96" s="15"/>
      <c r="EQT96" s="15"/>
      <c r="EQU96" s="15"/>
      <c r="EQV96" s="15"/>
      <c r="EQW96" s="15"/>
      <c r="EQX96" s="15"/>
      <c r="EQY96" s="15"/>
      <c r="EQZ96" s="15"/>
      <c r="ERA96" s="15"/>
      <c r="ERB96" s="15"/>
      <c r="ERC96" s="15"/>
      <c r="ERD96" s="15"/>
      <c r="ERE96" s="15"/>
      <c r="ERF96" s="15"/>
      <c r="ERG96" s="15"/>
      <c r="ERH96" s="15"/>
      <c r="ERI96" s="15"/>
      <c r="ERJ96" s="15"/>
      <c r="ERK96" s="15"/>
      <c r="ERL96" s="15"/>
      <c r="ERM96" s="15"/>
      <c r="ERN96" s="15"/>
      <c r="ERO96" s="15"/>
      <c r="ERP96" s="15"/>
      <c r="ERQ96" s="15"/>
      <c r="ERR96" s="15"/>
      <c r="ERS96" s="15"/>
      <c r="ERT96" s="15"/>
      <c r="ERU96" s="15"/>
      <c r="ERV96" s="15"/>
      <c r="ERW96" s="15"/>
      <c r="ERX96" s="15"/>
      <c r="ERY96" s="15"/>
      <c r="ERZ96" s="15"/>
      <c r="ESA96" s="15"/>
      <c r="ESB96" s="15"/>
      <c r="ESC96" s="15"/>
      <c r="ESD96" s="15"/>
      <c r="ESE96" s="15"/>
      <c r="ESF96" s="15"/>
      <c r="ESG96" s="15"/>
      <c r="ESH96" s="15"/>
      <c r="ESI96" s="15"/>
      <c r="ESJ96" s="15"/>
      <c r="ESK96" s="15"/>
      <c r="ESL96" s="15"/>
      <c r="ESM96" s="15"/>
      <c r="ESN96" s="15"/>
      <c r="ESO96" s="15"/>
      <c r="ESP96" s="15"/>
      <c r="ESQ96" s="15"/>
      <c r="ESR96" s="15"/>
      <c r="ESS96" s="15"/>
      <c r="EST96" s="15"/>
      <c r="ESU96" s="15"/>
      <c r="ESV96" s="15"/>
      <c r="ESW96" s="15"/>
      <c r="ESX96" s="15"/>
      <c r="ESY96" s="15"/>
      <c r="ESZ96" s="15"/>
      <c r="ETA96" s="15"/>
      <c r="ETB96" s="15"/>
      <c r="ETC96" s="15"/>
      <c r="ETD96" s="15"/>
      <c r="ETE96" s="15"/>
      <c r="ETF96" s="15"/>
      <c r="ETG96" s="15"/>
      <c r="ETH96" s="15"/>
      <c r="ETI96" s="15"/>
      <c r="ETJ96" s="15"/>
      <c r="ETK96" s="15"/>
      <c r="ETL96" s="15"/>
      <c r="ETM96" s="15"/>
      <c r="ETN96" s="15"/>
      <c r="ETO96" s="15"/>
      <c r="ETP96" s="15"/>
      <c r="ETQ96" s="15"/>
      <c r="ETR96" s="15"/>
      <c r="ETS96" s="15"/>
      <c r="ETT96" s="15"/>
      <c r="ETU96" s="15"/>
      <c r="ETV96" s="15"/>
      <c r="ETW96" s="15"/>
      <c r="ETX96" s="15"/>
      <c r="ETY96" s="15"/>
      <c r="ETZ96" s="15"/>
      <c r="EUA96" s="15"/>
      <c r="EUB96" s="15"/>
      <c r="EUC96" s="15"/>
      <c r="EUD96" s="15"/>
      <c r="EUE96" s="15"/>
      <c r="EUF96" s="15"/>
      <c r="EUG96" s="15"/>
      <c r="EUH96" s="15"/>
      <c r="EUI96" s="15"/>
      <c r="EUJ96" s="15"/>
      <c r="EUK96" s="15"/>
      <c r="EUL96" s="15"/>
      <c r="EUM96" s="15"/>
      <c r="EUN96" s="15"/>
      <c r="EUO96" s="15"/>
      <c r="EUP96" s="15"/>
      <c r="EUQ96" s="15"/>
      <c r="EUR96" s="15"/>
      <c r="EUS96" s="15"/>
      <c r="EUT96" s="15"/>
      <c r="EUU96" s="15"/>
      <c r="EUV96" s="15"/>
      <c r="EUW96" s="15"/>
      <c r="EUX96" s="15"/>
      <c r="EUY96" s="15"/>
      <c r="EUZ96" s="15"/>
      <c r="EVA96" s="15"/>
      <c r="EVB96" s="15"/>
      <c r="EVC96" s="15"/>
      <c r="EVD96" s="15"/>
      <c r="EVE96" s="15"/>
      <c r="EVF96" s="15"/>
      <c r="EVG96" s="15"/>
      <c r="EVH96" s="15"/>
      <c r="EVI96" s="15"/>
      <c r="EVJ96" s="15"/>
      <c r="EVK96" s="15"/>
      <c r="EVL96" s="15"/>
      <c r="EVM96" s="15"/>
      <c r="EVN96" s="15"/>
      <c r="EVO96" s="15"/>
      <c r="EVP96" s="15"/>
      <c r="EVQ96" s="15"/>
      <c r="EVR96" s="15"/>
      <c r="EVS96" s="15"/>
      <c r="EVT96" s="15"/>
      <c r="EVU96" s="15"/>
      <c r="EVV96" s="15"/>
      <c r="EVW96" s="15"/>
      <c r="EVX96" s="15"/>
      <c r="EVY96" s="15"/>
      <c r="EVZ96" s="15"/>
      <c r="EWA96" s="15"/>
      <c r="EWB96" s="15"/>
      <c r="EWC96" s="15"/>
      <c r="EWD96" s="15"/>
      <c r="EWE96" s="15"/>
      <c r="EWF96" s="15"/>
      <c r="EWG96" s="15"/>
      <c r="EWH96" s="15"/>
      <c r="EWI96" s="15"/>
      <c r="EWJ96" s="15"/>
      <c r="EWK96" s="15"/>
      <c r="EWL96" s="15"/>
      <c r="EWM96" s="15"/>
      <c r="EWN96" s="15"/>
      <c r="EWO96" s="15"/>
      <c r="EWP96" s="15"/>
      <c r="EWQ96" s="15"/>
      <c r="EWR96" s="15"/>
      <c r="EWS96" s="15"/>
      <c r="EWT96" s="15"/>
      <c r="EWU96" s="15"/>
      <c r="EWV96" s="15"/>
      <c r="EWW96" s="15"/>
      <c r="EWX96" s="15"/>
      <c r="EWY96" s="15"/>
      <c r="EWZ96" s="15"/>
      <c r="EXA96" s="15"/>
      <c r="EXB96" s="15"/>
      <c r="EXC96" s="15"/>
      <c r="EXD96" s="15"/>
      <c r="EXE96" s="15"/>
      <c r="EXF96" s="15"/>
      <c r="EXG96" s="15"/>
      <c r="EXH96" s="15"/>
      <c r="EXI96" s="15"/>
      <c r="EXJ96" s="15"/>
      <c r="EXK96" s="15"/>
      <c r="EXL96" s="15"/>
      <c r="EXM96" s="15"/>
      <c r="EXN96" s="15"/>
      <c r="EXO96" s="15"/>
      <c r="EXP96" s="15"/>
      <c r="EXQ96" s="15"/>
      <c r="EXR96" s="15"/>
      <c r="EXS96" s="15"/>
      <c r="EXT96" s="15"/>
      <c r="EXU96" s="15"/>
      <c r="EXV96" s="15"/>
      <c r="EXW96" s="15"/>
      <c r="EXX96" s="15"/>
      <c r="EXY96" s="15"/>
      <c r="EXZ96" s="15"/>
      <c r="EYA96" s="15"/>
      <c r="EYB96" s="15"/>
      <c r="EYC96" s="15"/>
      <c r="EYD96" s="15"/>
      <c r="EYE96" s="15"/>
      <c r="EYF96" s="15"/>
      <c r="EYG96" s="15"/>
      <c r="EYH96" s="15"/>
      <c r="EYI96" s="15"/>
      <c r="EYJ96" s="15"/>
      <c r="EYK96" s="15"/>
      <c r="EYL96" s="15"/>
      <c r="EYM96" s="15"/>
      <c r="EYN96" s="15"/>
      <c r="EYO96" s="15"/>
      <c r="EYP96" s="15"/>
      <c r="EYQ96" s="15"/>
      <c r="EYR96" s="15"/>
      <c r="EYS96" s="15"/>
      <c r="EYT96" s="15"/>
      <c r="EYU96" s="15"/>
      <c r="EYV96" s="15"/>
      <c r="EYW96" s="15"/>
      <c r="EYX96" s="15"/>
      <c r="EYY96" s="15"/>
      <c r="EYZ96" s="15"/>
      <c r="EZA96" s="15"/>
      <c r="EZB96" s="15"/>
      <c r="EZC96" s="15"/>
      <c r="EZD96" s="15"/>
      <c r="EZE96" s="15"/>
      <c r="EZF96" s="15"/>
      <c r="EZG96" s="15"/>
      <c r="EZH96" s="15"/>
      <c r="EZI96" s="15"/>
      <c r="EZJ96" s="15"/>
      <c r="EZK96" s="15"/>
      <c r="EZL96" s="15"/>
      <c r="EZM96" s="15"/>
      <c r="EZN96" s="15"/>
      <c r="EZO96" s="15"/>
      <c r="EZP96" s="15"/>
      <c r="EZQ96" s="15"/>
      <c r="EZR96" s="15"/>
      <c r="EZS96" s="15"/>
      <c r="EZT96" s="15"/>
      <c r="EZU96" s="15"/>
      <c r="EZV96" s="15"/>
      <c r="EZW96" s="15"/>
      <c r="EZX96" s="15"/>
      <c r="EZY96" s="15"/>
      <c r="EZZ96" s="15"/>
      <c r="FAA96" s="15"/>
      <c r="FAB96" s="15"/>
      <c r="FAC96" s="15"/>
      <c r="FAD96" s="15"/>
      <c r="FAE96" s="15"/>
      <c r="FAF96" s="15"/>
      <c r="FAG96" s="15"/>
      <c r="FAH96" s="15"/>
      <c r="FAI96" s="15"/>
      <c r="FAJ96" s="15"/>
      <c r="FAK96" s="15"/>
      <c r="FAL96" s="15"/>
      <c r="FAM96" s="15"/>
      <c r="FAN96" s="15"/>
      <c r="FAO96" s="15"/>
      <c r="FAP96" s="15"/>
      <c r="FAQ96" s="15"/>
      <c r="FAR96" s="15"/>
      <c r="FAS96" s="15"/>
      <c r="FAT96" s="15"/>
      <c r="FAU96" s="15"/>
      <c r="FAV96" s="15"/>
      <c r="FAW96" s="15"/>
      <c r="FAX96" s="15"/>
      <c r="FAY96" s="15"/>
      <c r="FAZ96" s="15"/>
      <c r="FBA96" s="15"/>
      <c r="FBB96" s="15"/>
      <c r="FBC96" s="15"/>
      <c r="FBD96" s="15"/>
      <c r="FBE96" s="15"/>
      <c r="FBF96" s="15"/>
      <c r="FBG96" s="15"/>
      <c r="FBH96" s="15"/>
      <c r="FBI96" s="15"/>
      <c r="FBJ96" s="15"/>
      <c r="FBK96" s="15"/>
      <c r="FBL96" s="15"/>
      <c r="FBM96" s="15"/>
      <c r="FBN96" s="15"/>
      <c r="FBO96" s="15"/>
      <c r="FBP96" s="15"/>
      <c r="FBQ96" s="15"/>
      <c r="FBR96" s="15"/>
      <c r="FBS96" s="15"/>
      <c r="FBT96" s="15"/>
      <c r="FBU96" s="15"/>
      <c r="FBV96" s="15"/>
      <c r="FBW96" s="15"/>
      <c r="FBX96" s="15"/>
      <c r="FBY96" s="15"/>
      <c r="FBZ96" s="15"/>
      <c r="FCA96" s="15"/>
      <c r="FCB96" s="15"/>
      <c r="FCC96" s="15"/>
      <c r="FCD96" s="15"/>
      <c r="FCE96" s="15"/>
      <c r="FCF96" s="15"/>
      <c r="FCG96" s="15"/>
      <c r="FCH96" s="15"/>
      <c r="FCI96" s="15"/>
      <c r="FCJ96" s="15"/>
      <c r="FCK96" s="15"/>
      <c r="FCL96" s="15"/>
      <c r="FCM96" s="15"/>
      <c r="FCN96" s="15"/>
      <c r="FCO96" s="15"/>
      <c r="FCP96" s="15"/>
      <c r="FCQ96" s="15"/>
      <c r="FCR96" s="15"/>
      <c r="FCS96" s="15"/>
      <c r="FCT96" s="15"/>
      <c r="FCU96" s="15"/>
      <c r="FCV96" s="15"/>
      <c r="FCW96" s="15"/>
      <c r="FCX96" s="15"/>
      <c r="FCY96" s="15"/>
      <c r="FCZ96" s="15"/>
      <c r="FDA96" s="15"/>
      <c r="FDB96" s="15"/>
      <c r="FDC96" s="15"/>
      <c r="FDD96" s="15"/>
      <c r="FDE96" s="15"/>
      <c r="FDF96" s="15"/>
      <c r="FDG96" s="15"/>
      <c r="FDH96" s="15"/>
      <c r="FDI96" s="15"/>
      <c r="FDJ96" s="15"/>
      <c r="FDK96" s="15"/>
      <c r="FDL96" s="15"/>
      <c r="FDM96" s="15"/>
      <c r="FDN96" s="15"/>
      <c r="FDO96" s="15"/>
      <c r="FDP96" s="15"/>
      <c r="FDQ96" s="15"/>
      <c r="FDR96" s="15"/>
      <c r="FDS96" s="15"/>
      <c r="FDT96" s="15"/>
      <c r="FDU96" s="15"/>
      <c r="FDV96" s="15"/>
      <c r="FDW96" s="15"/>
      <c r="FDX96" s="15"/>
      <c r="FDY96" s="15"/>
      <c r="FDZ96" s="15"/>
      <c r="FEA96" s="15"/>
      <c r="FEB96" s="15"/>
      <c r="FEC96" s="15"/>
      <c r="FED96" s="15"/>
      <c r="FEE96" s="15"/>
      <c r="FEF96" s="15"/>
      <c r="FEG96" s="15"/>
      <c r="FEH96" s="15"/>
      <c r="FEI96" s="15"/>
      <c r="FEJ96" s="15"/>
      <c r="FEK96" s="15"/>
      <c r="FEL96" s="15"/>
      <c r="FEM96" s="15"/>
      <c r="FEN96" s="15"/>
      <c r="FEO96" s="15"/>
      <c r="FEP96" s="15"/>
      <c r="FEQ96" s="15"/>
      <c r="FER96" s="15"/>
      <c r="FES96" s="15"/>
      <c r="FET96" s="15"/>
      <c r="FEU96" s="15"/>
      <c r="FEV96" s="15"/>
      <c r="FEW96" s="15"/>
      <c r="FEX96" s="15"/>
      <c r="FEY96" s="15"/>
      <c r="FEZ96" s="15"/>
      <c r="FFA96" s="15"/>
      <c r="FFB96" s="15"/>
      <c r="FFC96" s="15"/>
      <c r="FFD96" s="15"/>
      <c r="FFE96" s="15"/>
      <c r="FFF96" s="15"/>
      <c r="FFG96" s="15"/>
      <c r="FFH96" s="15"/>
      <c r="FFI96" s="15"/>
      <c r="FFJ96" s="15"/>
      <c r="FFK96" s="15"/>
      <c r="FFL96" s="15"/>
      <c r="FFM96" s="15"/>
      <c r="FFN96" s="15"/>
      <c r="FFO96" s="15"/>
      <c r="FFP96" s="15"/>
      <c r="FFQ96" s="15"/>
      <c r="FFR96" s="15"/>
      <c r="FFS96" s="15"/>
      <c r="FFT96" s="15"/>
      <c r="FFU96" s="15"/>
      <c r="FFV96" s="15"/>
      <c r="FFW96" s="15"/>
      <c r="FFX96" s="15"/>
      <c r="FFY96" s="15"/>
      <c r="FFZ96" s="15"/>
      <c r="FGA96" s="15"/>
      <c r="FGB96" s="15"/>
      <c r="FGC96" s="15"/>
      <c r="FGD96" s="15"/>
      <c r="FGE96" s="15"/>
      <c r="FGF96" s="15"/>
      <c r="FGG96" s="15"/>
      <c r="FGH96" s="15"/>
      <c r="FGI96" s="15"/>
      <c r="FGJ96" s="15"/>
      <c r="FGK96" s="15"/>
      <c r="FGL96" s="15"/>
      <c r="FGM96" s="15"/>
      <c r="FGN96" s="15"/>
      <c r="FGO96" s="15"/>
      <c r="FGP96" s="15"/>
      <c r="FGQ96" s="15"/>
      <c r="FGR96" s="15"/>
      <c r="FGS96" s="15"/>
      <c r="FGT96" s="15"/>
      <c r="FGU96" s="15"/>
      <c r="FGV96" s="15"/>
      <c r="FGW96" s="15"/>
      <c r="FGX96" s="15"/>
      <c r="FGY96" s="15"/>
      <c r="FGZ96" s="15"/>
      <c r="FHA96" s="15"/>
      <c r="FHB96" s="15"/>
      <c r="FHC96" s="15"/>
      <c r="FHD96" s="15"/>
      <c r="FHE96" s="15"/>
      <c r="FHF96" s="15"/>
      <c r="FHG96" s="15"/>
      <c r="FHH96" s="15"/>
      <c r="FHI96" s="15"/>
      <c r="FHJ96" s="15"/>
      <c r="FHK96" s="15"/>
      <c r="FHL96" s="15"/>
      <c r="FHM96" s="15"/>
      <c r="FHN96" s="15"/>
      <c r="FHO96" s="15"/>
      <c r="FHP96" s="15"/>
      <c r="FHQ96" s="15"/>
      <c r="FHR96" s="15"/>
      <c r="FHS96" s="15"/>
      <c r="FHT96" s="15"/>
      <c r="FHU96" s="15"/>
      <c r="FHV96" s="15"/>
      <c r="FHW96" s="15"/>
      <c r="FHX96" s="15"/>
      <c r="FHY96" s="15"/>
      <c r="FHZ96" s="15"/>
      <c r="FIA96" s="15"/>
      <c r="FIB96" s="15"/>
      <c r="FIC96" s="15"/>
      <c r="FID96" s="15"/>
      <c r="FIE96" s="15"/>
      <c r="FIF96" s="15"/>
      <c r="FIG96" s="15"/>
      <c r="FIH96" s="15"/>
      <c r="FII96" s="15"/>
      <c r="FIJ96" s="15"/>
      <c r="FIK96" s="15"/>
      <c r="FIL96" s="15"/>
      <c r="FIM96" s="15"/>
      <c r="FIN96" s="15"/>
      <c r="FIO96" s="15"/>
      <c r="FIP96" s="15"/>
      <c r="FIQ96" s="15"/>
      <c r="FIR96" s="15"/>
      <c r="FIS96" s="15"/>
      <c r="FIT96" s="15"/>
      <c r="FIU96" s="15"/>
      <c r="FIV96" s="15"/>
      <c r="FIW96" s="15"/>
      <c r="FIX96" s="15"/>
      <c r="FIY96" s="15"/>
      <c r="FIZ96" s="15"/>
      <c r="FJA96" s="15"/>
      <c r="FJB96" s="15"/>
      <c r="FJC96" s="15"/>
      <c r="FJD96" s="15"/>
      <c r="FJE96" s="15"/>
      <c r="FJF96" s="15"/>
      <c r="FJG96" s="15"/>
      <c r="FJH96" s="15"/>
      <c r="FJI96" s="15"/>
      <c r="FJJ96" s="15"/>
      <c r="FJK96" s="15"/>
      <c r="FJL96" s="15"/>
      <c r="FJM96" s="15"/>
      <c r="FJN96" s="15"/>
      <c r="FJO96" s="15"/>
      <c r="FJP96" s="15"/>
      <c r="FJQ96" s="15"/>
      <c r="FJR96" s="15"/>
      <c r="FJS96" s="15"/>
      <c r="FJT96" s="15"/>
      <c r="FJU96" s="15"/>
      <c r="FJV96" s="15"/>
      <c r="FJW96" s="15"/>
      <c r="FJX96" s="15"/>
      <c r="FJY96" s="15"/>
      <c r="FJZ96" s="15"/>
      <c r="FKA96" s="15"/>
      <c r="FKB96" s="15"/>
      <c r="FKC96" s="15"/>
      <c r="FKD96" s="15"/>
      <c r="FKE96" s="15"/>
      <c r="FKF96" s="15"/>
      <c r="FKG96" s="15"/>
      <c r="FKH96" s="15"/>
      <c r="FKI96" s="15"/>
      <c r="FKJ96" s="15"/>
      <c r="FKK96" s="15"/>
      <c r="FKL96" s="15"/>
      <c r="FKM96" s="15"/>
      <c r="FKN96" s="15"/>
      <c r="FKO96" s="15"/>
      <c r="FKP96" s="15"/>
      <c r="FKQ96" s="15"/>
      <c r="FKR96" s="15"/>
      <c r="FKS96" s="15"/>
      <c r="FKT96" s="15"/>
      <c r="FKU96" s="15"/>
      <c r="FKV96" s="15"/>
      <c r="FKW96" s="15"/>
      <c r="FKX96" s="15"/>
      <c r="FKY96" s="15"/>
      <c r="FKZ96" s="15"/>
      <c r="FLA96" s="15"/>
      <c r="FLB96" s="15"/>
      <c r="FLC96" s="15"/>
      <c r="FLD96" s="15"/>
      <c r="FLE96" s="15"/>
      <c r="FLF96" s="15"/>
      <c r="FLG96" s="15"/>
      <c r="FLH96" s="15"/>
      <c r="FLI96" s="15"/>
      <c r="FLJ96" s="15"/>
      <c r="FLK96" s="15"/>
      <c r="FLL96" s="15"/>
      <c r="FLM96" s="15"/>
      <c r="FLN96" s="15"/>
      <c r="FLO96" s="15"/>
      <c r="FLP96" s="15"/>
      <c r="FLQ96" s="15"/>
      <c r="FLR96" s="15"/>
      <c r="FLS96" s="15"/>
      <c r="FLT96" s="15"/>
      <c r="FLU96" s="15"/>
      <c r="FLV96" s="15"/>
      <c r="FLW96" s="15"/>
      <c r="FLX96" s="15"/>
      <c r="FLY96" s="15"/>
      <c r="FLZ96" s="15"/>
      <c r="FMA96" s="15"/>
      <c r="FMB96" s="15"/>
      <c r="FMC96" s="15"/>
      <c r="FMD96" s="15"/>
      <c r="FME96" s="15"/>
      <c r="FMF96" s="15"/>
      <c r="FMG96" s="15"/>
      <c r="FMH96" s="15"/>
      <c r="FMI96" s="15"/>
      <c r="FMJ96" s="15"/>
      <c r="FMK96" s="15"/>
      <c r="FML96" s="15"/>
      <c r="FMM96" s="15"/>
      <c r="FMN96" s="15"/>
      <c r="FMO96" s="15"/>
      <c r="FMP96" s="15"/>
      <c r="FMQ96" s="15"/>
      <c r="FMR96" s="15"/>
      <c r="FMS96" s="15"/>
      <c r="FMT96" s="15"/>
      <c r="FMU96" s="15"/>
      <c r="FMV96" s="15"/>
      <c r="FMW96" s="15"/>
      <c r="FMX96" s="15"/>
      <c r="FMY96" s="15"/>
      <c r="FMZ96" s="15"/>
      <c r="FNA96" s="15"/>
      <c r="FNB96" s="15"/>
      <c r="FNC96" s="15"/>
      <c r="FND96" s="15"/>
      <c r="FNE96" s="15"/>
      <c r="FNF96" s="15"/>
      <c r="FNG96" s="15"/>
      <c r="FNH96" s="15"/>
      <c r="FNI96" s="15"/>
      <c r="FNJ96" s="15"/>
      <c r="FNK96" s="15"/>
      <c r="FNL96" s="15"/>
      <c r="FNM96" s="15"/>
      <c r="FNN96" s="15"/>
      <c r="FNO96" s="15"/>
      <c r="FNP96" s="15"/>
      <c r="FNQ96" s="15"/>
      <c r="FNR96" s="15"/>
      <c r="FNS96" s="15"/>
      <c r="FNT96" s="15"/>
      <c r="FNU96" s="15"/>
      <c r="FNV96" s="15"/>
      <c r="FNW96" s="15"/>
      <c r="FNX96" s="15"/>
      <c r="FNY96" s="15"/>
      <c r="FNZ96" s="15"/>
      <c r="FOA96" s="15"/>
      <c r="FOB96" s="15"/>
      <c r="FOC96" s="15"/>
      <c r="FOD96" s="15"/>
      <c r="FOE96" s="15"/>
      <c r="FOF96" s="15"/>
      <c r="FOG96" s="15"/>
      <c r="FOH96" s="15"/>
      <c r="FOI96" s="15"/>
      <c r="FOJ96" s="15"/>
      <c r="FOK96" s="15"/>
      <c r="FOL96" s="15"/>
      <c r="FOM96" s="15"/>
      <c r="FON96" s="15"/>
      <c r="FOO96" s="15"/>
      <c r="FOP96" s="15"/>
      <c r="FOQ96" s="15"/>
      <c r="FOR96" s="15"/>
      <c r="FOS96" s="15"/>
      <c r="FOT96" s="15"/>
      <c r="FOU96" s="15"/>
      <c r="FOV96" s="15"/>
      <c r="FOW96" s="15"/>
      <c r="FOX96" s="15"/>
      <c r="FOY96" s="15"/>
      <c r="FOZ96" s="15"/>
      <c r="FPA96" s="15"/>
      <c r="FPB96" s="15"/>
      <c r="FPC96" s="15"/>
      <c r="FPD96" s="15"/>
      <c r="FPE96" s="15"/>
      <c r="FPF96" s="15"/>
      <c r="FPG96" s="15"/>
      <c r="FPH96" s="15"/>
      <c r="FPI96" s="15"/>
      <c r="FPJ96" s="15"/>
      <c r="FPK96" s="15"/>
      <c r="FPL96" s="15"/>
      <c r="FPM96" s="15"/>
      <c r="FPN96" s="15"/>
      <c r="FPO96" s="15"/>
      <c r="FPP96" s="15"/>
      <c r="FPQ96" s="15"/>
      <c r="FPR96" s="15"/>
      <c r="FPS96" s="15"/>
      <c r="FPT96" s="15"/>
      <c r="FPU96" s="15"/>
      <c r="FPV96" s="15"/>
      <c r="FPW96" s="15"/>
      <c r="FPX96" s="15"/>
      <c r="FPY96" s="15"/>
      <c r="FPZ96" s="15"/>
      <c r="FQA96" s="15"/>
      <c r="FQB96" s="15"/>
      <c r="FQC96" s="15"/>
      <c r="FQD96" s="15"/>
      <c r="FQE96" s="15"/>
      <c r="FQF96" s="15"/>
      <c r="FQG96" s="15"/>
      <c r="FQH96" s="15"/>
      <c r="FQI96" s="15"/>
      <c r="FQJ96" s="15"/>
      <c r="FQK96" s="15"/>
      <c r="FQL96" s="15"/>
      <c r="FQM96" s="15"/>
      <c r="FQN96" s="15"/>
      <c r="FQO96" s="15"/>
      <c r="FQP96" s="15"/>
      <c r="FQQ96" s="15"/>
      <c r="FQR96" s="15"/>
      <c r="FQS96" s="15"/>
      <c r="FQT96" s="15"/>
      <c r="FQU96" s="15"/>
      <c r="FQV96" s="15"/>
      <c r="FQW96" s="15"/>
      <c r="FQX96" s="15"/>
      <c r="FQY96" s="15"/>
      <c r="FQZ96" s="15"/>
      <c r="FRA96" s="15"/>
      <c r="FRB96" s="15"/>
      <c r="FRC96" s="15"/>
      <c r="FRD96" s="15"/>
      <c r="FRE96" s="15"/>
      <c r="FRF96" s="15"/>
      <c r="FRG96" s="15"/>
      <c r="FRH96" s="15"/>
      <c r="FRI96" s="15"/>
      <c r="FRJ96" s="15"/>
      <c r="FRK96" s="15"/>
      <c r="FRL96" s="15"/>
      <c r="FRM96" s="15"/>
      <c r="FRN96" s="15"/>
      <c r="FRO96" s="15"/>
      <c r="FRP96" s="15"/>
      <c r="FRQ96" s="15"/>
      <c r="FRR96" s="15"/>
      <c r="FRS96" s="15"/>
      <c r="FRT96" s="15"/>
      <c r="FRU96" s="15"/>
      <c r="FRV96" s="15"/>
      <c r="FRW96" s="15"/>
      <c r="FRX96" s="15"/>
      <c r="FRY96" s="15"/>
      <c r="FRZ96" s="15"/>
      <c r="FSA96" s="15"/>
      <c r="FSB96" s="15"/>
      <c r="FSC96" s="15"/>
      <c r="FSD96" s="15"/>
      <c r="FSE96" s="15"/>
      <c r="FSF96" s="15"/>
      <c r="FSG96" s="15"/>
      <c r="FSH96" s="15"/>
      <c r="FSI96" s="15"/>
      <c r="FSJ96" s="15"/>
      <c r="FSK96" s="15"/>
      <c r="FSL96" s="15"/>
      <c r="FSM96" s="15"/>
      <c r="FSN96" s="15"/>
      <c r="FSO96" s="15"/>
      <c r="FSP96" s="15"/>
      <c r="FSQ96" s="15"/>
      <c r="FSR96" s="15"/>
      <c r="FSS96" s="15"/>
      <c r="FST96" s="15"/>
      <c r="FSU96" s="15"/>
      <c r="FSV96" s="15"/>
      <c r="FSW96" s="15"/>
      <c r="FSX96" s="15"/>
      <c r="FSY96" s="15"/>
      <c r="FSZ96" s="15"/>
      <c r="FTA96" s="15"/>
      <c r="FTB96" s="15"/>
      <c r="FTC96" s="15"/>
      <c r="FTD96" s="15"/>
      <c r="FTE96" s="15"/>
      <c r="FTF96" s="15"/>
      <c r="FTG96" s="15"/>
      <c r="FTH96" s="15"/>
      <c r="FTI96" s="15"/>
      <c r="FTJ96" s="15"/>
      <c r="FTK96" s="15"/>
      <c r="FTL96" s="15"/>
      <c r="FTM96" s="15"/>
      <c r="FTN96" s="15"/>
      <c r="FTO96" s="15"/>
      <c r="FTP96" s="15"/>
      <c r="FTQ96" s="15"/>
      <c r="FTR96" s="15"/>
      <c r="FTS96" s="15"/>
      <c r="FTT96" s="15"/>
      <c r="FTU96" s="15"/>
      <c r="FTV96" s="15"/>
      <c r="FTW96" s="15"/>
      <c r="FTX96" s="15"/>
      <c r="FTY96" s="15"/>
      <c r="FTZ96" s="15"/>
      <c r="FUA96" s="15"/>
      <c r="FUB96" s="15"/>
      <c r="FUC96" s="15"/>
      <c r="FUD96" s="15"/>
      <c r="FUE96" s="15"/>
      <c r="FUF96" s="15"/>
      <c r="FUG96" s="15"/>
      <c r="FUH96" s="15"/>
      <c r="FUI96" s="15"/>
      <c r="FUJ96" s="15"/>
      <c r="FUK96" s="15"/>
      <c r="FUL96" s="15"/>
      <c r="FUM96" s="15"/>
      <c r="FUN96" s="15"/>
      <c r="FUO96" s="15"/>
      <c r="FUP96" s="15"/>
      <c r="FUQ96" s="15"/>
      <c r="FUR96" s="15"/>
      <c r="FUS96" s="15"/>
      <c r="FUT96" s="15"/>
      <c r="FUU96" s="15"/>
      <c r="FUV96" s="15"/>
      <c r="FUW96" s="15"/>
      <c r="FUX96" s="15"/>
      <c r="FUY96" s="15"/>
      <c r="FUZ96" s="15"/>
      <c r="FVA96" s="15"/>
      <c r="FVB96" s="15"/>
      <c r="FVC96" s="15"/>
      <c r="FVD96" s="15"/>
      <c r="FVE96" s="15"/>
      <c r="FVF96" s="15"/>
      <c r="FVG96" s="15"/>
      <c r="FVH96" s="15"/>
      <c r="FVI96" s="15"/>
      <c r="FVJ96" s="15"/>
      <c r="FVK96" s="15"/>
      <c r="FVL96" s="15"/>
      <c r="FVM96" s="15"/>
      <c r="FVN96" s="15"/>
      <c r="FVO96" s="15"/>
      <c r="FVP96" s="15"/>
      <c r="FVQ96" s="15"/>
      <c r="FVR96" s="15"/>
      <c r="FVS96" s="15"/>
      <c r="FVT96" s="15"/>
      <c r="FVU96" s="15"/>
      <c r="FVV96" s="15"/>
      <c r="FVW96" s="15"/>
      <c r="FVX96" s="15"/>
      <c r="FVY96" s="15"/>
      <c r="FVZ96" s="15"/>
      <c r="FWA96" s="15"/>
      <c r="FWB96" s="15"/>
      <c r="FWC96" s="15"/>
      <c r="FWD96" s="15"/>
      <c r="FWE96" s="15"/>
      <c r="FWF96" s="15"/>
      <c r="FWG96" s="15"/>
      <c r="FWH96" s="15"/>
      <c r="FWI96" s="15"/>
      <c r="FWJ96" s="15"/>
      <c r="FWK96" s="15"/>
      <c r="FWL96" s="15"/>
      <c r="FWM96" s="15"/>
      <c r="FWN96" s="15"/>
      <c r="FWO96" s="15"/>
      <c r="FWP96" s="15"/>
      <c r="FWQ96" s="15"/>
      <c r="FWR96" s="15"/>
      <c r="FWS96" s="15"/>
      <c r="FWT96" s="15"/>
      <c r="FWU96" s="15"/>
      <c r="FWV96" s="15"/>
      <c r="FWW96" s="15"/>
      <c r="FWX96" s="15"/>
      <c r="FWY96" s="15"/>
      <c r="FWZ96" s="15"/>
      <c r="FXA96" s="15"/>
      <c r="FXB96" s="15"/>
      <c r="FXC96" s="15"/>
      <c r="FXD96" s="15"/>
      <c r="FXE96" s="15"/>
      <c r="FXF96" s="15"/>
      <c r="FXG96" s="15"/>
      <c r="FXH96" s="15"/>
      <c r="FXI96" s="15"/>
      <c r="FXJ96" s="15"/>
      <c r="FXK96" s="15"/>
      <c r="FXL96" s="15"/>
      <c r="FXM96" s="15"/>
      <c r="FXN96" s="15"/>
      <c r="FXO96" s="15"/>
      <c r="FXP96" s="15"/>
      <c r="FXQ96" s="15"/>
      <c r="FXR96" s="15"/>
      <c r="FXS96" s="15"/>
      <c r="FXT96" s="15"/>
      <c r="FXU96" s="15"/>
      <c r="FXV96" s="15"/>
      <c r="FXW96" s="15"/>
      <c r="FXX96" s="15"/>
      <c r="FXY96" s="15"/>
      <c r="FXZ96" s="15"/>
      <c r="FYA96" s="15"/>
      <c r="FYB96" s="15"/>
      <c r="FYC96" s="15"/>
      <c r="FYD96" s="15"/>
      <c r="FYE96" s="15"/>
      <c r="FYF96" s="15"/>
      <c r="FYG96" s="15"/>
      <c r="FYH96" s="15"/>
      <c r="FYI96" s="15"/>
      <c r="FYJ96" s="15"/>
      <c r="FYK96" s="15"/>
      <c r="FYL96" s="15"/>
      <c r="FYM96" s="15"/>
      <c r="FYN96" s="15"/>
      <c r="FYO96" s="15"/>
      <c r="FYP96" s="15"/>
      <c r="FYQ96" s="15"/>
      <c r="FYR96" s="15"/>
      <c r="FYS96" s="15"/>
      <c r="FYT96" s="15"/>
      <c r="FYU96" s="15"/>
      <c r="FYV96" s="15"/>
      <c r="FYW96" s="15"/>
      <c r="FYX96" s="15"/>
      <c r="FYY96" s="15"/>
      <c r="FYZ96" s="15"/>
      <c r="FZA96" s="15"/>
      <c r="FZB96" s="15"/>
      <c r="FZC96" s="15"/>
      <c r="FZD96" s="15"/>
      <c r="FZE96" s="15"/>
      <c r="FZF96" s="15"/>
      <c r="FZG96" s="15"/>
      <c r="FZH96" s="15"/>
      <c r="FZI96" s="15"/>
      <c r="FZJ96" s="15"/>
      <c r="FZK96" s="15"/>
      <c r="FZL96" s="15"/>
      <c r="FZM96" s="15"/>
      <c r="FZN96" s="15"/>
      <c r="FZO96" s="15"/>
      <c r="FZP96" s="15"/>
      <c r="FZQ96" s="15"/>
      <c r="FZR96" s="15"/>
      <c r="FZS96" s="15"/>
      <c r="FZT96" s="15"/>
      <c r="FZU96" s="15"/>
      <c r="FZV96" s="15"/>
      <c r="FZW96" s="15"/>
      <c r="FZX96" s="15"/>
      <c r="FZY96" s="15"/>
      <c r="FZZ96" s="15"/>
      <c r="GAA96" s="15"/>
      <c r="GAB96" s="15"/>
      <c r="GAC96" s="15"/>
      <c r="GAD96" s="15"/>
      <c r="GAE96" s="15"/>
      <c r="GAF96" s="15"/>
      <c r="GAG96" s="15"/>
      <c r="GAH96" s="15"/>
      <c r="GAI96" s="15"/>
      <c r="GAJ96" s="15"/>
      <c r="GAK96" s="15"/>
      <c r="GAL96" s="15"/>
      <c r="GAM96" s="15"/>
      <c r="GAN96" s="15"/>
      <c r="GAO96" s="15"/>
      <c r="GAP96" s="15"/>
      <c r="GAQ96" s="15"/>
      <c r="GAR96" s="15"/>
      <c r="GAS96" s="15"/>
      <c r="GAT96" s="15"/>
      <c r="GAU96" s="15"/>
      <c r="GAV96" s="15"/>
      <c r="GAW96" s="15"/>
      <c r="GAX96" s="15"/>
      <c r="GAY96" s="15"/>
      <c r="GAZ96" s="15"/>
      <c r="GBA96" s="15"/>
      <c r="GBB96" s="15"/>
      <c r="GBC96" s="15"/>
      <c r="GBD96" s="15"/>
      <c r="GBE96" s="15"/>
      <c r="GBF96" s="15"/>
      <c r="GBG96" s="15"/>
      <c r="GBH96" s="15"/>
      <c r="GBI96" s="15"/>
      <c r="GBJ96" s="15"/>
      <c r="GBK96" s="15"/>
      <c r="GBL96" s="15"/>
      <c r="GBM96" s="15"/>
      <c r="GBN96" s="15"/>
      <c r="GBO96" s="15"/>
      <c r="GBP96" s="15"/>
      <c r="GBQ96" s="15"/>
      <c r="GBR96" s="15"/>
      <c r="GBS96" s="15"/>
      <c r="GBT96" s="15"/>
      <c r="GBU96" s="15"/>
      <c r="GBV96" s="15"/>
      <c r="GBW96" s="15"/>
      <c r="GBX96" s="15"/>
      <c r="GBY96" s="15"/>
      <c r="GBZ96" s="15"/>
      <c r="GCA96" s="15"/>
      <c r="GCB96" s="15"/>
      <c r="GCC96" s="15"/>
      <c r="GCD96" s="15"/>
      <c r="GCE96" s="15"/>
      <c r="GCF96" s="15"/>
      <c r="GCG96" s="15"/>
      <c r="GCH96" s="15"/>
      <c r="GCI96" s="15"/>
      <c r="GCJ96" s="15"/>
      <c r="GCK96" s="15"/>
      <c r="GCL96" s="15"/>
      <c r="GCM96" s="15"/>
      <c r="GCN96" s="15"/>
      <c r="GCO96" s="15"/>
      <c r="GCP96" s="15"/>
      <c r="GCQ96" s="15"/>
      <c r="GCR96" s="15"/>
      <c r="GCS96" s="15"/>
      <c r="GCT96" s="15"/>
      <c r="GCU96" s="15"/>
      <c r="GCV96" s="15"/>
      <c r="GCW96" s="15"/>
      <c r="GCX96" s="15"/>
      <c r="GCY96" s="15"/>
      <c r="GCZ96" s="15"/>
      <c r="GDA96" s="15"/>
      <c r="GDB96" s="15"/>
      <c r="GDC96" s="15"/>
      <c r="GDD96" s="15"/>
      <c r="GDE96" s="15"/>
      <c r="GDF96" s="15"/>
      <c r="GDG96" s="15"/>
      <c r="GDH96" s="15"/>
      <c r="GDI96" s="15"/>
      <c r="GDJ96" s="15"/>
      <c r="GDK96" s="15"/>
      <c r="GDL96" s="15"/>
      <c r="GDM96" s="15"/>
      <c r="GDN96" s="15"/>
      <c r="GDO96" s="15"/>
      <c r="GDP96" s="15"/>
      <c r="GDQ96" s="15"/>
      <c r="GDR96" s="15"/>
      <c r="GDS96" s="15"/>
      <c r="GDT96" s="15"/>
      <c r="GDU96" s="15"/>
      <c r="GDV96" s="15"/>
      <c r="GDW96" s="15"/>
      <c r="GDX96" s="15"/>
      <c r="GDY96" s="15"/>
      <c r="GDZ96" s="15"/>
      <c r="GEA96" s="15"/>
      <c r="GEB96" s="15"/>
      <c r="GEC96" s="15"/>
      <c r="GED96" s="15"/>
      <c r="GEE96" s="15"/>
      <c r="GEF96" s="15"/>
      <c r="GEG96" s="15"/>
      <c r="GEH96" s="15"/>
      <c r="GEI96" s="15"/>
      <c r="GEJ96" s="15"/>
      <c r="GEK96" s="15"/>
      <c r="GEL96" s="15"/>
      <c r="GEM96" s="15"/>
      <c r="GEN96" s="15"/>
      <c r="GEO96" s="15"/>
      <c r="GEP96" s="15"/>
      <c r="GEQ96" s="15"/>
      <c r="GER96" s="15"/>
      <c r="GES96" s="15"/>
      <c r="GET96" s="15"/>
      <c r="GEU96" s="15"/>
      <c r="GEV96" s="15"/>
      <c r="GEW96" s="15"/>
      <c r="GEX96" s="15"/>
      <c r="GEY96" s="15"/>
      <c r="GEZ96" s="15"/>
      <c r="GFA96" s="15"/>
      <c r="GFB96" s="15"/>
      <c r="GFC96" s="15"/>
      <c r="GFD96" s="15"/>
      <c r="GFE96" s="15"/>
      <c r="GFF96" s="15"/>
      <c r="GFG96" s="15"/>
      <c r="GFH96" s="15"/>
      <c r="GFI96" s="15"/>
      <c r="GFJ96" s="15"/>
      <c r="GFK96" s="15"/>
      <c r="GFL96" s="15"/>
      <c r="GFM96" s="15"/>
      <c r="GFN96" s="15"/>
      <c r="GFO96" s="15"/>
      <c r="GFP96" s="15"/>
      <c r="GFQ96" s="15"/>
      <c r="GFR96" s="15"/>
      <c r="GFS96" s="15"/>
      <c r="GFT96" s="15"/>
      <c r="GFU96" s="15"/>
      <c r="GFV96" s="15"/>
      <c r="GFW96" s="15"/>
      <c r="GFX96" s="15"/>
      <c r="GFY96" s="15"/>
      <c r="GFZ96" s="15"/>
      <c r="GGA96" s="15"/>
      <c r="GGB96" s="15"/>
      <c r="GGC96" s="15"/>
      <c r="GGD96" s="15"/>
      <c r="GGE96" s="15"/>
      <c r="GGF96" s="15"/>
      <c r="GGG96" s="15"/>
      <c r="GGH96" s="15"/>
      <c r="GGI96" s="15"/>
      <c r="GGJ96" s="15"/>
      <c r="GGK96" s="15"/>
      <c r="GGL96" s="15"/>
      <c r="GGM96" s="15"/>
      <c r="GGN96" s="15"/>
      <c r="GGO96" s="15"/>
      <c r="GGP96" s="15"/>
      <c r="GGQ96" s="15"/>
      <c r="GGR96" s="15"/>
      <c r="GGS96" s="15"/>
      <c r="GGT96" s="15"/>
      <c r="GGU96" s="15"/>
      <c r="GGV96" s="15"/>
      <c r="GGW96" s="15"/>
      <c r="GGX96" s="15"/>
      <c r="GGY96" s="15"/>
      <c r="GGZ96" s="15"/>
      <c r="GHA96" s="15"/>
      <c r="GHB96" s="15"/>
      <c r="GHC96" s="15"/>
      <c r="GHD96" s="15"/>
      <c r="GHE96" s="15"/>
      <c r="GHF96" s="15"/>
      <c r="GHG96" s="15"/>
      <c r="GHH96" s="15"/>
      <c r="GHI96" s="15"/>
      <c r="GHJ96" s="15"/>
      <c r="GHK96" s="15"/>
      <c r="GHL96" s="15"/>
      <c r="GHM96" s="15"/>
      <c r="GHN96" s="15"/>
      <c r="GHO96" s="15"/>
      <c r="GHP96" s="15"/>
      <c r="GHQ96" s="15"/>
      <c r="GHR96" s="15"/>
      <c r="GHS96" s="15"/>
      <c r="GHT96" s="15"/>
      <c r="GHU96" s="15"/>
      <c r="GHV96" s="15"/>
      <c r="GHW96" s="15"/>
      <c r="GHX96" s="15"/>
      <c r="GHY96" s="15"/>
      <c r="GHZ96" s="15"/>
      <c r="GIA96" s="15"/>
      <c r="GIB96" s="15"/>
      <c r="GIC96" s="15"/>
      <c r="GID96" s="15"/>
      <c r="GIE96" s="15"/>
      <c r="GIF96" s="15"/>
      <c r="GIG96" s="15"/>
      <c r="GIH96" s="15"/>
      <c r="GII96" s="15"/>
      <c r="GIJ96" s="15"/>
      <c r="GIK96" s="15"/>
      <c r="GIL96" s="15"/>
      <c r="GIM96" s="15"/>
      <c r="GIN96" s="15"/>
      <c r="GIO96" s="15"/>
      <c r="GIP96" s="15"/>
      <c r="GIQ96" s="15"/>
      <c r="GIR96" s="15"/>
      <c r="GIS96" s="15"/>
      <c r="GIT96" s="15"/>
      <c r="GIU96" s="15"/>
      <c r="GIV96" s="15"/>
      <c r="GIW96" s="15"/>
      <c r="GIX96" s="15"/>
      <c r="GIY96" s="15"/>
      <c r="GIZ96" s="15"/>
      <c r="GJA96" s="15"/>
      <c r="GJB96" s="15"/>
      <c r="GJC96" s="15"/>
      <c r="GJD96" s="15"/>
      <c r="GJE96" s="15"/>
      <c r="GJF96" s="15"/>
      <c r="GJG96" s="15"/>
      <c r="GJH96" s="15"/>
      <c r="GJI96" s="15"/>
      <c r="GJJ96" s="15"/>
      <c r="GJK96" s="15"/>
      <c r="GJL96" s="15"/>
      <c r="GJM96" s="15"/>
      <c r="GJN96" s="15"/>
      <c r="GJO96" s="15"/>
      <c r="GJP96" s="15"/>
      <c r="GJQ96" s="15"/>
      <c r="GJR96" s="15"/>
      <c r="GJS96" s="15"/>
      <c r="GJT96" s="15"/>
      <c r="GJU96" s="15"/>
      <c r="GJV96" s="15"/>
      <c r="GJW96" s="15"/>
      <c r="GJX96" s="15"/>
      <c r="GJY96" s="15"/>
      <c r="GJZ96" s="15"/>
      <c r="GKA96" s="15"/>
      <c r="GKB96" s="15"/>
      <c r="GKC96" s="15"/>
      <c r="GKD96" s="15"/>
      <c r="GKE96" s="15"/>
      <c r="GKF96" s="15"/>
      <c r="GKG96" s="15"/>
      <c r="GKH96" s="15"/>
      <c r="GKI96" s="15"/>
      <c r="GKJ96" s="15"/>
      <c r="GKK96" s="15"/>
      <c r="GKL96" s="15"/>
      <c r="GKM96" s="15"/>
      <c r="GKN96" s="15"/>
      <c r="GKO96" s="15"/>
      <c r="GKP96" s="15"/>
      <c r="GKQ96" s="15"/>
      <c r="GKR96" s="15"/>
      <c r="GKS96" s="15"/>
      <c r="GKT96" s="15"/>
      <c r="GKU96" s="15"/>
      <c r="GKV96" s="15"/>
      <c r="GKW96" s="15"/>
      <c r="GKX96" s="15"/>
      <c r="GKY96" s="15"/>
      <c r="GKZ96" s="15"/>
      <c r="GLA96" s="15"/>
      <c r="GLB96" s="15"/>
      <c r="GLC96" s="15"/>
      <c r="GLD96" s="15"/>
      <c r="GLE96" s="15"/>
      <c r="GLF96" s="15"/>
      <c r="GLG96" s="15"/>
      <c r="GLH96" s="15"/>
      <c r="GLI96" s="15"/>
      <c r="GLJ96" s="15"/>
      <c r="GLK96" s="15"/>
      <c r="GLL96" s="15"/>
      <c r="GLM96" s="15"/>
      <c r="GLN96" s="15"/>
      <c r="GLO96" s="15"/>
      <c r="GLP96" s="15"/>
      <c r="GLQ96" s="15"/>
      <c r="GLR96" s="15"/>
      <c r="GLS96" s="15"/>
      <c r="GLT96" s="15"/>
      <c r="GLU96" s="15"/>
      <c r="GLV96" s="15"/>
      <c r="GLW96" s="15"/>
      <c r="GLX96" s="15"/>
      <c r="GLY96" s="15"/>
      <c r="GLZ96" s="15"/>
      <c r="GMA96" s="15"/>
      <c r="GMB96" s="15"/>
      <c r="GMC96" s="15"/>
      <c r="GMD96" s="15"/>
      <c r="GME96" s="15"/>
      <c r="GMF96" s="15"/>
      <c r="GMG96" s="15"/>
      <c r="GMH96" s="15"/>
      <c r="GMI96" s="15"/>
      <c r="GMJ96" s="15"/>
      <c r="GMK96" s="15"/>
      <c r="GML96" s="15"/>
      <c r="GMM96" s="15"/>
      <c r="GMN96" s="15"/>
      <c r="GMO96" s="15"/>
      <c r="GMP96" s="15"/>
      <c r="GMQ96" s="15"/>
      <c r="GMR96" s="15"/>
      <c r="GMS96" s="15"/>
      <c r="GMT96" s="15"/>
      <c r="GMU96" s="15"/>
      <c r="GMV96" s="15"/>
      <c r="GMW96" s="15"/>
      <c r="GMX96" s="15"/>
      <c r="GMY96" s="15"/>
      <c r="GMZ96" s="15"/>
      <c r="GNA96" s="15"/>
      <c r="GNB96" s="15"/>
      <c r="GNC96" s="15"/>
      <c r="GND96" s="15"/>
      <c r="GNE96" s="15"/>
      <c r="GNF96" s="15"/>
      <c r="GNG96" s="15"/>
      <c r="GNH96" s="15"/>
      <c r="GNI96" s="15"/>
      <c r="GNJ96" s="15"/>
      <c r="GNK96" s="15"/>
      <c r="GNL96" s="15"/>
      <c r="GNM96" s="15"/>
      <c r="GNN96" s="15"/>
      <c r="GNO96" s="15"/>
      <c r="GNP96" s="15"/>
      <c r="GNQ96" s="15"/>
      <c r="GNR96" s="15"/>
      <c r="GNS96" s="15"/>
      <c r="GNT96" s="15"/>
      <c r="GNU96" s="15"/>
      <c r="GNV96" s="15"/>
      <c r="GNW96" s="15"/>
      <c r="GNX96" s="15"/>
      <c r="GNY96" s="15"/>
      <c r="GNZ96" s="15"/>
      <c r="GOA96" s="15"/>
      <c r="GOB96" s="15"/>
      <c r="GOC96" s="15"/>
      <c r="GOD96" s="15"/>
      <c r="GOE96" s="15"/>
      <c r="GOF96" s="15"/>
      <c r="GOG96" s="15"/>
      <c r="GOH96" s="15"/>
      <c r="GOI96" s="15"/>
      <c r="GOJ96" s="15"/>
      <c r="GOK96" s="15"/>
      <c r="GOL96" s="15"/>
      <c r="GOM96" s="15"/>
      <c r="GON96" s="15"/>
      <c r="GOO96" s="15"/>
      <c r="GOP96" s="15"/>
      <c r="GOQ96" s="15"/>
      <c r="GOR96" s="15"/>
      <c r="GOS96" s="15"/>
      <c r="GOT96" s="15"/>
      <c r="GOU96" s="15"/>
      <c r="GOV96" s="15"/>
      <c r="GOW96" s="15"/>
      <c r="GOX96" s="15"/>
      <c r="GOY96" s="15"/>
      <c r="GOZ96" s="15"/>
      <c r="GPA96" s="15"/>
      <c r="GPB96" s="15"/>
      <c r="GPC96" s="15"/>
      <c r="GPD96" s="15"/>
      <c r="GPE96" s="15"/>
      <c r="GPF96" s="15"/>
      <c r="GPG96" s="15"/>
      <c r="GPH96" s="15"/>
      <c r="GPI96" s="15"/>
      <c r="GPJ96" s="15"/>
      <c r="GPK96" s="15"/>
      <c r="GPL96" s="15"/>
      <c r="GPM96" s="15"/>
      <c r="GPN96" s="15"/>
      <c r="GPO96" s="15"/>
      <c r="GPP96" s="15"/>
      <c r="GPQ96" s="15"/>
      <c r="GPR96" s="15"/>
      <c r="GPS96" s="15"/>
      <c r="GPT96" s="15"/>
      <c r="GPU96" s="15"/>
      <c r="GPV96" s="15"/>
      <c r="GPW96" s="15"/>
      <c r="GPX96" s="15"/>
      <c r="GPY96" s="15"/>
      <c r="GPZ96" s="15"/>
      <c r="GQA96" s="15"/>
      <c r="GQB96" s="15"/>
      <c r="GQC96" s="15"/>
      <c r="GQD96" s="15"/>
      <c r="GQE96" s="15"/>
      <c r="GQF96" s="15"/>
      <c r="GQG96" s="15"/>
      <c r="GQH96" s="15"/>
      <c r="GQI96" s="15"/>
      <c r="GQJ96" s="15"/>
      <c r="GQK96" s="15"/>
      <c r="GQL96" s="15"/>
      <c r="GQM96" s="15"/>
      <c r="GQN96" s="15"/>
      <c r="GQO96" s="15"/>
      <c r="GQP96" s="15"/>
      <c r="GQQ96" s="15"/>
      <c r="GQR96" s="15"/>
      <c r="GQS96" s="15"/>
      <c r="GQT96" s="15"/>
      <c r="GQU96" s="15"/>
      <c r="GQV96" s="15"/>
      <c r="GQW96" s="15"/>
      <c r="GQX96" s="15"/>
      <c r="GQY96" s="15"/>
      <c r="GQZ96" s="15"/>
      <c r="GRA96" s="15"/>
      <c r="GRB96" s="15"/>
      <c r="GRC96" s="15"/>
      <c r="GRD96" s="15"/>
      <c r="GRE96" s="15"/>
      <c r="GRF96" s="15"/>
      <c r="GRG96" s="15"/>
      <c r="GRH96" s="15"/>
      <c r="GRI96" s="15"/>
      <c r="GRJ96" s="15"/>
      <c r="GRK96" s="15"/>
      <c r="GRL96" s="15"/>
      <c r="GRM96" s="15"/>
      <c r="GRN96" s="15"/>
      <c r="GRO96" s="15"/>
      <c r="GRP96" s="15"/>
      <c r="GRQ96" s="15"/>
      <c r="GRR96" s="15"/>
      <c r="GRS96" s="15"/>
      <c r="GRT96" s="15"/>
      <c r="GRU96" s="15"/>
      <c r="GRV96" s="15"/>
      <c r="GRW96" s="15"/>
      <c r="GRX96" s="15"/>
      <c r="GRY96" s="15"/>
      <c r="GRZ96" s="15"/>
      <c r="GSA96" s="15"/>
      <c r="GSB96" s="15"/>
      <c r="GSC96" s="15"/>
      <c r="GSD96" s="15"/>
      <c r="GSE96" s="15"/>
      <c r="GSF96" s="15"/>
      <c r="GSG96" s="15"/>
      <c r="GSH96" s="15"/>
      <c r="GSI96" s="15"/>
      <c r="GSJ96" s="15"/>
      <c r="GSK96" s="15"/>
      <c r="GSL96" s="15"/>
      <c r="GSM96" s="15"/>
      <c r="GSN96" s="15"/>
      <c r="GSO96" s="15"/>
      <c r="GSP96" s="15"/>
      <c r="GSQ96" s="15"/>
      <c r="GSR96" s="15"/>
      <c r="GSS96" s="15"/>
      <c r="GST96" s="15"/>
      <c r="GSU96" s="15"/>
      <c r="GSV96" s="15"/>
      <c r="GSW96" s="15"/>
      <c r="GSX96" s="15"/>
      <c r="GSY96" s="15"/>
      <c r="GSZ96" s="15"/>
      <c r="GTA96" s="15"/>
      <c r="GTB96" s="15"/>
      <c r="GTC96" s="15"/>
      <c r="GTD96" s="15"/>
      <c r="GTE96" s="15"/>
      <c r="GTF96" s="15"/>
      <c r="GTG96" s="15"/>
      <c r="GTH96" s="15"/>
      <c r="GTI96" s="15"/>
      <c r="GTJ96" s="15"/>
      <c r="GTK96" s="15"/>
      <c r="GTL96" s="15"/>
      <c r="GTM96" s="15"/>
      <c r="GTN96" s="15"/>
      <c r="GTO96" s="15"/>
      <c r="GTP96" s="15"/>
      <c r="GTQ96" s="15"/>
      <c r="GTR96" s="15"/>
      <c r="GTS96" s="15"/>
      <c r="GTT96" s="15"/>
      <c r="GTU96" s="15"/>
      <c r="GTV96" s="15"/>
      <c r="GTW96" s="15"/>
      <c r="GTX96" s="15"/>
      <c r="GTY96" s="15"/>
      <c r="GTZ96" s="15"/>
      <c r="GUA96" s="15"/>
      <c r="GUB96" s="15"/>
      <c r="GUC96" s="15"/>
      <c r="GUD96" s="15"/>
      <c r="GUE96" s="15"/>
      <c r="GUF96" s="15"/>
      <c r="GUG96" s="15"/>
      <c r="GUH96" s="15"/>
      <c r="GUI96" s="15"/>
      <c r="GUJ96" s="15"/>
      <c r="GUK96" s="15"/>
      <c r="GUL96" s="15"/>
      <c r="GUM96" s="15"/>
      <c r="GUN96" s="15"/>
      <c r="GUO96" s="15"/>
      <c r="GUP96" s="15"/>
      <c r="GUQ96" s="15"/>
      <c r="GUR96" s="15"/>
      <c r="GUS96" s="15"/>
      <c r="GUT96" s="15"/>
      <c r="GUU96" s="15"/>
      <c r="GUV96" s="15"/>
      <c r="GUW96" s="15"/>
      <c r="GUX96" s="15"/>
      <c r="GUY96" s="15"/>
      <c r="GUZ96" s="15"/>
      <c r="GVA96" s="15"/>
      <c r="GVB96" s="15"/>
      <c r="GVC96" s="15"/>
      <c r="GVD96" s="15"/>
      <c r="GVE96" s="15"/>
      <c r="GVF96" s="15"/>
      <c r="GVG96" s="15"/>
      <c r="GVH96" s="15"/>
      <c r="GVI96" s="15"/>
      <c r="GVJ96" s="15"/>
      <c r="GVK96" s="15"/>
      <c r="GVL96" s="15"/>
      <c r="GVM96" s="15"/>
      <c r="GVN96" s="15"/>
      <c r="GVO96" s="15"/>
      <c r="GVP96" s="15"/>
      <c r="GVQ96" s="15"/>
      <c r="GVR96" s="15"/>
      <c r="GVS96" s="15"/>
      <c r="GVT96" s="15"/>
      <c r="GVU96" s="15"/>
      <c r="GVV96" s="15"/>
      <c r="GVW96" s="15"/>
      <c r="GVX96" s="15"/>
      <c r="GVY96" s="15"/>
      <c r="GVZ96" s="15"/>
      <c r="GWA96" s="15"/>
      <c r="GWB96" s="15"/>
      <c r="GWC96" s="15"/>
      <c r="GWD96" s="15"/>
      <c r="GWE96" s="15"/>
      <c r="GWF96" s="15"/>
      <c r="GWG96" s="15"/>
      <c r="GWH96" s="15"/>
      <c r="GWI96" s="15"/>
      <c r="GWJ96" s="15"/>
      <c r="GWK96" s="15"/>
      <c r="GWL96" s="15"/>
      <c r="GWM96" s="15"/>
      <c r="GWN96" s="15"/>
      <c r="GWO96" s="15"/>
      <c r="GWP96" s="15"/>
      <c r="GWQ96" s="15"/>
      <c r="GWR96" s="15"/>
      <c r="GWS96" s="15"/>
      <c r="GWT96" s="15"/>
      <c r="GWU96" s="15"/>
      <c r="GWV96" s="15"/>
      <c r="GWW96" s="15"/>
      <c r="GWX96" s="15"/>
      <c r="GWY96" s="15"/>
      <c r="GWZ96" s="15"/>
      <c r="GXA96" s="15"/>
      <c r="GXB96" s="15"/>
      <c r="GXC96" s="15"/>
      <c r="GXD96" s="15"/>
      <c r="GXE96" s="15"/>
      <c r="GXF96" s="15"/>
      <c r="GXG96" s="15"/>
      <c r="GXH96" s="15"/>
      <c r="GXI96" s="15"/>
      <c r="GXJ96" s="15"/>
      <c r="GXK96" s="15"/>
      <c r="GXL96" s="15"/>
      <c r="GXM96" s="15"/>
      <c r="GXN96" s="15"/>
      <c r="GXO96" s="15"/>
      <c r="GXP96" s="15"/>
      <c r="GXQ96" s="15"/>
      <c r="GXR96" s="15"/>
      <c r="GXS96" s="15"/>
      <c r="GXT96" s="15"/>
      <c r="GXU96" s="15"/>
      <c r="GXV96" s="15"/>
      <c r="GXW96" s="15"/>
      <c r="GXX96" s="15"/>
      <c r="GXY96" s="15"/>
      <c r="GXZ96" s="15"/>
      <c r="GYA96" s="15"/>
      <c r="GYB96" s="15"/>
      <c r="GYC96" s="15"/>
      <c r="GYD96" s="15"/>
      <c r="GYE96" s="15"/>
      <c r="GYF96" s="15"/>
      <c r="GYG96" s="15"/>
      <c r="GYH96" s="15"/>
      <c r="GYI96" s="15"/>
      <c r="GYJ96" s="15"/>
      <c r="GYK96" s="15"/>
      <c r="GYL96" s="15"/>
      <c r="GYM96" s="15"/>
      <c r="GYN96" s="15"/>
      <c r="GYO96" s="15"/>
      <c r="GYP96" s="15"/>
      <c r="GYQ96" s="15"/>
      <c r="GYR96" s="15"/>
      <c r="GYS96" s="15"/>
      <c r="GYT96" s="15"/>
      <c r="GYU96" s="15"/>
      <c r="GYV96" s="15"/>
      <c r="GYW96" s="15"/>
      <c r="GYX96" s="15"/>
      <c r="GYY96" s="15"/>
      <c r="GYZ96" s="15"/>
      <c r="GZA96" s="15"/>
      <c r="GZB96" s="15"/>
      <c r="GZC96" s="15"/>
      <c r="GZD96" s="15"/>
      <c r="GZE96" s="15"/>
      <c r="GZF96" s="15"/>
      <c r="GZG96" s="15"/>
      <c r="GZH96" s="15"/>
      <c r="GZI96" s="15"/>
      <c r="GZJ96" s="15"/>
      <c r="GZK96" s="15"/>
      <c r="GZL96" s="15"/>
      <c r="GZM96" s="15"/>
      <c r="GZN96" s="15"/>
      <c r="GZO96" s="15"/>
      <c r="GZP96" s="15"/>
      <c r="GZQ96" s="15"/>
      <c r="GZR96" s="15"/>
      <c r="GZS96" s="15"/>
      <c r="GZT96" s="15"/>
      <c r="GZU96" s="15"/>
      <c r="GZV96" s="15"/>
      <c r="GZW96" s="15"/>
      <c r="GZX96" s="15"/>
      <c r="GZY96" s="15"/>
      <c r="GZZ96" s="15"/>
      <c r="HAA96" s="15"/>
      <c r="HAB96" s="15"/>
      <c r="HAC96" s="15"/>
      <c r="HAD96" s="15"/>
      <c r="HAE96" s="15"/>
      <c r="HAF96" s="15"/>
      <c r="HAG96" s="15"/>
      <c r="HAH96" s="15"/>
      <c r="HAI96" s="15"/>
      <c r="HAJ96" s="15"/>
      <c r="HAK96" s="15"/>
      <c r="HAL96" s="15"/>
      <c r="HAM96" s="15"/>
      <c r="HAN96" s="15"/>
      <c r="HAO96" s="15"/>
      <c r="HAP96" s="15"/>
      <c r="HAQ96" s="15"/>
      <c r="HAR96" s="15"/>
      <c r="HAS96" s="15"/>
      <c r="HAT96" s="15"/>
      <c r="HAU96" s="15"/>
      <c r="HAV96" s="15"/>
      <c r="HAW96" s="15"/>
      <c r="HAX96" s="15"/>
      <c r="HAY96" s="15"/>
      <c r="HAZ96" s="15"/>
      <c r="HBA96" s="15"/>
      <c r="HBB96" s="15"/>
      <c r="HBC96" s="15"/>
      <c r="HBD96" s="15"/>
      <c r="HBE96" s="15"/>
      <c r="HBF96" s="15"/>
      <c r="HBG96" s="15"/>
      <c r="HBH96" s="15"/>
      <c r="HBI96" s="15"/>
      <c r="HBJ96" s="15"/>
      <c r="HBK96" s="15"/>
      <c r="HBL96" s="15"/>
      <c r="HBM96" s="15"/>
      <c r="HBN96" s="15"/>
      <c r="HBO96" s="15"/>
      <c r="HBP96" s="15"/>
      <c r="HBQ96" s="15"/>
      <c r="HBR96" s="15"/>
      <c r="HBS96" s="15"/>
      <c r="HBT96" s="15"/>
      <c r="HBU96" s="15"/>
      <c r="HBV96" s="15"/>
      <c r="HBW96" s="15"/>
      <c r="HBX96" s="15"/>
      <c r="HBY96" s="15"/>
      <c r="HBZ96" s="15"/>
      <c r="HCA96" s="15"/>
      <c r="HCB96" s="15"/>
      <c r="HCC96" s="15"/>
      <c r="HCD96" s="15"/>
      <c r="HCE96" s="15"/>
      <c r="HCF96" s="15"/>
      <c r="HCG96" s="15"/>
      <c r="HCH96" s="15"/>
      <c r="HCI96" s="15"/>
      <c r="HCJ96" s="15"/>
      <c r="HCK96" s="15"/>
      <c r="HCL96" s="15"/>
      <c r="HCM96" s="15"/>
      <c r="HCN96" s="15"/>
      <c r="HCO96" s="15"/>
      <c r="HCP96" s="15"/>
      <c r="HCQ96" s="15"/>
      <c r="HCR96" s="15"/>
      <c r="HCS96" s="15"/>
      <c r="HCT96" s="15"/>
      <c r="HCU96" s="15"/>
      <c r="HCV96" s="15"/>
      <c r="HCW96" s="15"/>
      <c r="HCX96" s="15"/>
      <c r="HCY96" s="15"/>
      <c r="HCZ96" s="15"/>
      <c r="HDA96" s="15"/>
      <c r="HDB96" s="15"/>
      <c r="HDC96" s="15"/>
      <c r="HDD96" s="15"/>
      <c r="HDE96" s="15"/>
      <c r="HDF96" s="15"/>
      <c r="HDG96" s="15"/>
      <c r="HDH96" s="15"/>
      <c r="HDI96" s="15"/>
      <c r="HDJ96" s="15"/>
      <c r="HDK96" s="15"/>
      <c r="HDL96" s="15"/>
      <c r="HDM96" s="15"/>
      <c r="HDN96" s="15"/>
      <c r="HDO96" s="15"/>
      <c r="HDP96" s="15"/>
      <c r="HDQ96" s="15"/>
      <c r="HDR96" s="15"/>
      <c r="HDS96" s="15"/>
      <c r="HDT96" s="15"/>
      <c r="HDU96" s="15"/>
      <c r="HDV96" s="15"/>
      <c r="HDW96" s="15"/>
      <c r="HDX96" s="15"/>
      <c r="HDY96" s="15"/>
      <c r="HDZ96" s="15"/>
      <c r="HEA96" s="15"/>
      <c r="HEB96" s="15"/>
      <c r="HEC96" s="15"/>
      <c r="HED96" s="15"/>
      <c r="HEE96" s="15"/>
      <c r="HEF96" s="15"/>
      <c r="HEG96" s="15"/>
      <c r="HEH96" s="15"/>
      <c r="HEI96" s="15"/>
      <c r="HEJ96" s="15"/>
      <c r="HEK96" s="15"/>
      <c r="HEL96" s="15"/>
      <c r="HEM96" s="15"/>
      <c r="HEN96" s="15"/>
      <c r="HEO96" s="15"/>
      <c r="HEP96" s="15"/>
      <c r="HEQ96" s="15"/>
      <c r="HER96" s="15"/>
      <c r="HES96" s="15"/>
      <c r="HET96" s="15"/>
      <c r="HEU96" s="15"/>
      <c r="HEV96" s="15"/>
      <c r="HEW96" s="15"/>
      <c r="HEX96" s="15"/>
      <c r="HEY96" s="15"/>
      <c r="HEZ96" s="15"/>
      <c r="HFA96" s="15"/>
      <c r="HFB96" s="15"/>
      <c r="HFC96" s="15"/>
      <c r="HFD96" s="15"/>
      <c r="HFE96" s="15"/>
      <c r="HFF96" s="15"/>
      <c r="HFG96" s="15"/>
      <c r="HFH96" s="15"/>
      <c r="HFI96" s="15"/>
      <c r="HFJ96" s="15"/>
      <c r="HFK96" s="15"/>
      <c r="HFL96" s="15"/>
      <c r="HFM96" s="15"/>
      <c r="HFN96" s="15"/>
      <c r="HFO96" s="15"/>
      <c r="HFP96" s="15"/>
      <c r="HFQ96" s="15"/>
      <c r="HFR96" s="15"/>
      <c r="HFS96" s="15"/>
      <c r="HFT96" s="15"/>
      <c r="HFU96" s="15"/>
      <c r="HFV96" s="15"/>
      <c r="HFW96" s="15"/>
      <c r="HFX96" s="15"/>
      <c r="HFY96" s="15"/>
      <c r="HFZ96" s="15"/>
      <c r="HGA96" s="15"/>
      <c r="HGB96" s="15"/>
      <c r="HGC96" s="15"/>
      <c r="HGD96" s="15"/>
      <c r="HGE96" s="15"/>
      <c r="HGF96" s="15"/>
      <c r="HGG96" s="15"/>
      <c r="HGH96" s="15"/>
      <c r="HGI96" s="15"/>
      <c r="HGJ96" s="15"/>
      <c r="HGK96" s="15"/>
      <c r="HGL96" s="15"/>
      <c r="HGM96" s="15"/>
      <c r="HGN96" s="15"/>
      <c r="HGO96" s="15"/>
      <c r="HGP96" s="15"/>
      <c r="HGQ96" s="15"/>
      <c r="HGR96" s="15"/>
      <c r="HGS96" s="15"/>
      <c r="HGT96" s="15"/>
      <c r="HGU96" s="15"/>
      <c r="HGV96" s="15"/>
      <c r="HGW96" s="15"/>
      <c r="HGX96" s="15"/>
      <c r="HGY96" s="15"/>
      <c r="HGZ96" s="15"/>
      <c r="HHA96" s="15"/>
      <c r="HHB96" s="15"/>
      <c r="HHC96" s="15"/>
      <c r="HHD96" s="15"/>
      <c r="HHE96" s="15"/>
      <c r="HHF96" s="15"/>
      <c r="HHG96" s="15"/>
      <c r="HHH96" s="15"/>
      <c r="HHI96" s="15"/>
      <c r="HHJ96" s="15"/>
      <c r="HHK96" s="15"/>
      <c r="HHL96" s="15"/>
      <c r="HHM96" s="15"/>
      <c r="HHN96" s="15"/>
      <c r="HHO96" s="15"/>
      <c r="HHP96" s="15"/>
      <c r="HHQ96" s="15"/>
      <c r="HHR96" s="15"/>
      <c r="HHS96" s="15"/>
      <c r="HHT96" s="15"/>
      <c r="HHU96" s="15"/>
      <c r="HHV96" s="15"/>
      <c r="HHW96" s="15"/>
      <c r="HHX96" s="15"/>
      <c r="HHY96" s="15"/>
      <c r="HHZ96" s="15"/>
      <c r="HIA96" s="15"/>
      <c r="HIB96" s="15"/>
      <c r="HIC96" s="15"/>
      <c r="HID96" s="15"/>
      <c r="HIE96" s="15"/>
      <c r="HIF96" s="15"/>
      <c r="HIG96" s="15"/>
      <c r="HIH96" s="15"/>
      <c r="HII96" s="15"/>
      <c r="HIJ96" s="15"/>
      <c r="HIK96" s="15"/>
      <c r="HIL96" s="15"/>
      <c r="HIM96" s="15"/>
      <c r="HIN96" s="15"/>
      <c r="HIO96" s="15"/>
      <c r="HIP96" s="15"/>
      <c r="HIQ96" s="15"/>
      <c r="HIR96" s="15"/>
      <c r="HIS96" s="15"/>
      <c r="HIT96" s="15"/>
      <c r="HIU96" s="15"/>
      <c r="HIV96" s="15"/>
      <c r="HIW96" s="15"/>
      <c r="HIX96" s="15"/>
      <c r="HIY96" s="15"/>
      <c r="HIZ96" s="15"/>
      <c r="HJA96" s="15"/>
      <c r="HJB96" s="15"/>
      <c r="HJC96" s="15"/>
      <c r="HJD96" s="15"/>
      <c r="HJE96" s="15"/>
      <c r="HJF96" s="15"/>
      <c r="HJG96" s="15"/>
      <c r="HJH96" s="15"/>
      <c r="HJI96" s="15"/>
      <c r="HJJ96" s="15"/>
      <c r="HJK96" s="15"/>
      <c r="HJL96" s="15"/>
      <c r="HJM96" s="15"/>
      <c r="HJN96" s="15"/>
      <c r="HJO96" s="15"/>
      <c r="HJP96" s="15"/>
      <c r="HJQ96" s="15"/>
      <c r="HJR96" s="15"/>
      <c r="HJS96" s="15"/>
      <c r="HJT96" s="15"/>
      <c r="HJU96" s="15"/>
      <c r="HJV96" s="15"/>
      <c r="HJW96" s="15"/>
      <c r="HJX96" s="15"/>
      <c r="HJY96" s="15"/>
      <c r="HJZ96" s="15"/>
      <c r="HKA96" s="15"/>
      <c r="HKB96" s="15"/>
      <c r="HKC96" s="15"/>
      <c r="HKD96" s="15"/>
      <c r="HKE96" s="15"/>
      <c r="HKF96" s="15"/>
      <c r="HKG96" s="15"/>
      <c r="HKH96" s="15"/>
      <c r="HKI96" s="15"/>
      <c r="HKJ96" s="15"/>
      <c r="HKK96" s="15"/>
      <c r="HKL96" s="15"/>
      <c r="HKM96" s="15"/>
      <c r="HKN96" s="15"/>
      <c r="HKO96" s="15"/>
      <c r="HKP96" s="15"/>
      <c r="HKQ96" s="15"/>
      <c r="HKR96" s="15"/>
      <c r="HKS96" s="15"/>
      <c r="HKT96" s="15"/>
      <c r="HKU96" s="15"/>
      <c r="HKV96" s="15"/>
      <c r="HKW96" s="15"/>
      <c r="HKX96" s="15"/>
      <c r="HKY96" s="15"/>
      <c r="HKZ96" s="15"/>
      <c r="HLA96" s="15"/>
      <c r="HLB96" s="15"/>
      <c r="HLC96" s="15"/>
      <c r="HLD96" s="15"/>
      <c r="HLE96" s="15"/>
      <c r="HLF96" s="15"/>
      <c r="HLG96" s="15"/>
      <c r="HLH96" s="15"/>
      <c r="HLI96" s="15"/>
      <c r="HLJ96" s="15"/>
      <c r="HLK96" s="15"/>
      <c r="HLL96" s="15"/>
      <c r="HLM96" s="15"/>
      <c r="HLN96" s="15"/>
      <c r="HLO96" s="15"/>
      <c r="HLP96" s="15"/>
      <c r="HLQ96" s="15"/>
      <c r="HLR96" s="15"/>
      <c r="HLS96" s="15"/>
      <c r="HLT96" s="15"/>
      <c r="HLU96" s="15"/>
      <c r="HLV96" s="15"/>
      <c r="HLW96" s="15"/>
      <c r="HLX96" s="15"/>
      <c r="HLY96" s="15"/>
      <c r="HLZ96" s="15"/>
      <c r="HMA96" s="15"/>
      <c r="HMB96" s="15"/>
      <c r="HMC96" s="15"/>
      <c r="HMD96" s="15"/>
      <c r="HME96" s="15"/>
      <c r="HMF96" s="15"/>
      <c r="HMG96" s="15"/>
      <c r="HMH96" s="15"/>
      <c r="HMI96" s="15"/>
      <c r="HMJ96" s="15"/>
      <c r="HMK96" s="15"/>
      <c r="HML96" s="15"/>
      <c r="HMM96" s="15"/>
      <c r="HMN96" s="15"/>
      <c r="HMO96" s="15"/>
      <c r="HMP96" s="15"/>
      <c r="HMQ96" s="15"/>
      <c r="HMR96" s="15"/>
      <c r="HMS96" s="15"/>
      <c r="HMT96" s="15"/>
      <c r="HMU96" s="15"/>
      <c r="HMV96" s="15"/>
      <c r="HMW96" s="15"/>
      <c r="HMX96" s="15"/>
      <c r="HMY96" s="15"/>
      <c r="HMZ96" s="15"/>
      <c r="HNA96" s="15"/>
      <c r="HNB96" s="15"/>
      <c r="HNC96" s="15"/>
      <c r="HND96" s="15"/>
      <c r="HNE96" s="15"/>
      <c r="HNF96" s="15"/>
      <c r="HNG96" s="15"/>
      <c r="HNH96" s="15"/>
      <c r="HNI96" s="15"/>
      <c r="HNJ96" s="15"/>
      <c r="HNK96" s="15"/>
      <c r="HNL96" s="15"/>
      <c r="HNM96" s="15"/>
      <c r="HNN96" s="15"/>
      <c r="HNO96" s="15"/>
      <c r="HNP96" s="15"/>
      <c r="HNQ96" s="15"/>
      <c r="HNR96" s="15"/>
      <c r="HNS96" s="15"/>
      <c r="HNT96" s="15"/>
      <c r="HNU96" s="15"/>
      <c r="HNV96" s="15"/>
      <c r="HNW96" s="15"/>
      <c r="HNX96" s="15"/>
      <c r="HNY96" s="15"/>
      <c r="HNZ96" s="15"/>
      <c r="HOA96" s="15"/>
      <c r="HOB96" s="15"/>
      <c r="HOC96" s="15"/>
      <c r="HOD96" s="15"/>
      <c r="HOE96" s="15"/>
      <c r="HOF96" s="15"/>
      <c r="HOG96" s="15"/>
      <c r="HOH96" s="15"/>
      <c r="HOI96" s="15"/>
      <c r="HOJ96" s="15"/>
      <c r="HOK96" s="15"/>
      <c r="HOL96" s="15"/>
      <c r="HOM96" s="15"/>
      <c r="HON96" s="15"/>
      <c r="HOO96" s="15"/>
      <c r="HOP96" s="15"/>
      <c r="HOQ96" s="15"/>
      <c r="HOR96" s="15"/>
      <c r="HOS96" s="15"/>
      <c r="HOT96" s="15"/>
      <c r="HOU96" s="15"/>
      <c r="HOV96" s="15"/>
      <c r="HOW96" s="15"/>
      <c r="HOX96" s="15"/>
      <c r="HOY96" s="15"/>
      <c r="HOZ96" s="15"/>
      <c r="HPA96" s="15"/>
      <c r="HPB96" s="15"/>
      <c r="HPC96" s="15"/>
      <c r="HPD96" s="15"/>
      <c r="HPE96" s="15"/>
      <c r="HPF96" s="15"/>
      <c r="HPG96" s="15"/>
      <c r="HPH96" s="15"/>
      <c r="HPI96" s="15"/>
      <c r="HPJ96" s="15"/>
      <c r="HPK96" s="15"/>
      <c r="HPL96" s="15"/>
      <c r="HPM96" s="15"/>
      <c r="HPN96" s="15"/>
      <c r="HPO96" s="15"/>
      <c r="HPP96" s="15"/>
      <c r="HPQ96" s="15"/>
      <c r="HPR96" s="15"/>
      <c r="HPS96" s="15"/>
      <c r="HPT96" s="15"/>
      <c r="HPU96" s="15"/>
      <c r="HPV96" s="15"/>
      <c r="HPW96" s="15"/>
      <c r="HPX96" s="15"/>
      <c r="HPY96" s="15"/>
      <c r="HPZ96" s="15"/>
      <c r="HQA96" s="15"/>
      <c r="HQB96" s="15"/>
      <c r="HQC96" s="15"/>
      <c r="HQD96" s="15"/>
      <c r="HQE96" s="15"/>
      <c r="HQF96" s="15"/>
      <c r="HQG96" s="15"/>
      <c r="HQH96" s="15"/>
      <c r="HQI96" s="15"/>
      <c r="HQJ96" s="15"/>
      <c r="HQK96" s="15"/>
      <c r="HQL96" s="15"/>
      <c r="HQM96" s="15"/>
      <c r="HQN96" s="15"/>
      <c r="HQO96" s="15"/>
      <c r="HQP96" s="15"/>
      <c r="HQQ96" s="15"/>
      <c r="HQR96" s="15"/>
      <c r="HQS96" s="15"/>
      <c r="HQT96" s="15"/>
      <c r="HQU96" s="15"/>
      <c r="HQV96" s="15"/>
      <c r="HQW96" s="15"/>
      <c r="HQX96" s="15"/>
      <c r="HQY96" s="15"/>
      <c r="HQZ96" s="15"/>
      <c r="HRA96" s="15"/>
      <c r="HRB96" s="15"/>
      <c r="HRC96" s="15"/>
      <c r="HRD96" s="15"/>
      <c r="HRE96" s="15"/>
      <c r="HRF96" s="15"/>
      <c r="HRG96" s="15"/>
      <c r="HRH96" s="15"/>
      <c r="HRI96" s="15"/>
      <c r="HRJ96" s="15"/>
      <c r="HRK96" s="15"/>
      <c r="HRL96" s="15"/>
      <c r="HRM96" s="15"/>
      <c r="HRN96" s="15"/>
      <c r="HRO96" s="15"/>
      <c r="HRP96" s="15"/>
      <c r="HRQ96" s="15"/>
      <c r="HRR96" s="15"/>
      <c r="HRS96" s="15"/>
      <c r="HRT96" s="15"/>
      <c r="HRU96" s="15"/>
      <c r="HRV96" s="15"/>
      <c r="HRW96" s="15"/>
      <c r="HRX96" s="15"/>
      <c r="HRY96" s="15"/>
      <c r="HRZ96" s="15"/>
      <c r="HSA96" s="15"/>
      <c r="HSB96" s="15"/>
      <c r="HSC96" s="15"/>
      <c r="HSD96" s="15"/>
      <c r="HSE96" s="15"/>
      <c r="HSF96" s="15"/>
      <c r="HSG96" s="15"/>
      <c r="HSH96" s="15"/>
      <c r="HSI96" s="15"/>
      <c r="HSJ96" s="15"/>
      <c r="HSK96" s="15"/>
      <c r="HSL96" s="15"/>
      <c r="HSM96" s="15"/>
      <c r="HSN96" s="15"/>
      <c r="HSO96" s="15"/>
      <c r="HSP96" s="15"/>
      <c r="HSQ96" s="15"/>
      <c r="HSR96" s="15"/>
      <c r="HSS96" s="15"/>
      <c r="HST96" s="15"/>
      <c r="HSU96" s="15"/>
      <c r="HSV96" s="15"/>
      <c r="HSW96" s="15"/>
      <c r="HSX96" s="15"/>
      <c r="HSY96" s="15"/>
      <c r="HSZ96" s="15"/>
      <c r="HTA96" s="15"/>
      <c r="HTB96" s="15"/>
      <c r="HTC96" s="15"/>
      <c r="HTD96" s="15"/>
      <c r="HTE96" s="15"/>
      <c r="HTF96" s="15"/>
      <c r="HTG96" s="15"/>
      <c r="HTH96" s="15"/>
      <c r="HTI96" s="15"/>
      <c r="HTJ96" s="15"/>
      <c r="HTK96" s="15"/>
      <c r="HTL96" s="15"/>
      <c r="HTM96" s="15"/>
      <c r="HTN96" s="15"/>
      <c r="HTO96" s="15"/>
      <c r="HTP96" s="15"/>
      <c r="HTQ96" s="15"/>
      <c r="HTR96" s="15"/>
      <c r="HTS96" s="15"/>
      <c r="HTT96" s="15"/>
      <c r="HTU96" s="15"/>
      <c r="HTV96" s="15"/>
      <c r="HTW96" s="15"/>
      <c r="HTX96" s="15"/>
      <c r="HTY96" s="15"/>
      <c r="HTZ96" s="15"/>
      <c r="HUA96" s="15"/>
      <c r="HUB96" s="15"/>
      <c r="HUC96" s="15"/>
      <c r="HUD96" s="15"/>
      <c r="HUE96" s="15"/>
      <c r="HUF96" s="15"/>
      <c r="HUG96" s="15"/>
      <c r="HUH96" s="15"/>
      <c r="HUI96" s="15"/>
      <c r="HUJ96" s="15"/>
      <c r="HUK96" s="15"/>
      <c r="HUL96" s="15"/>
      <c r="HUM96" s="15"/>
      <c r="HUN96" s="15"/>
      <c r="HUO96" s="15"/>
      <c r="HUP96" s="15"/>
      <c r="HUQ96" s="15"/>
      <c r="HUR96" s="15"/>
      <c r="HUS96" s="15"/>
      <c r="HUT96" s="15"/>
      <c r="HUU96" s="15"/>
      <c r="HUV96" s="15"/>
      <c r="HUW96" s="15"/>
      <c r="HUX96" s="15"/>
      <c r="HUY96" s="15"/>
      <c r="HUZ96" s="15"/>
      <c r="HVA96" s="15"/>
      <c r="HVB96" s="15"/>
      <c r="HVC96" s="15"/>
      <c r="HVD96" s="15"/>
      <c r="HVE96" s="15"/>
      <c r="HVF96" s="15"/>
      <c r="HVG96" s="15"/>
      <c r="HVH96" s="15"/>
      <c r="HVI96" s="15"/>
      <c r="HVJ96" s="15"/>
      <c r="HVK96" s="15"/>
      <c r="HVL96" s="15"/>
      <c r="HVM96" s="15"/>
      <c r="HVN96" s="15"/>
      <c r="HVO96" s="15"/>
      <c r="HVP96" s="15"/>
      <c r="HVQ96" s="15"/>
      <c r="HVR96" s="15"/>
      <c r="HVS96" s="15"/>
      <c r="HVT96" s="15"/>
      <c r="HVU96" s="15"/>
      <c r="HVV96" s="15"/>
      <c r="HVW96" s="15"/>
      <c r="HVX96" s="15"/>
      <c r="HVY96" s="15"/>
      <c r="HVZ96" s="15"/>
      <c r="HWA96" s="15"/>
      <c r="HWB96" s="15"/>
      <c r="HWC96" s="15"/>
      <c r="HWD96" s="15"/>
      <c r="HWE96" s="15"/>
      <c r="HWF96" s="15"/>
      <c r="HWG96" s="15"/>
      <c r="HWH96" s="15"/>
      <c r="HWI96" s="15"/>
      <c r="HWJ96" s="15"/>
      <c r="HWK96" s="15"/>
      <c r="HWL96" s="15"/>
      <c r="HWM96" s="15"/>
      <c r="HWN96" s="15"/>
      <c r="HWO96" s="15"/>
      <c r="HWP96" s="15"/>
      <c r="HWQ96" s="15"/>
      <c r="HWR96" s="15"/>
      <c r="HWS96" s="15"/>
      <c r="HWT96" s="15"/>
      <c r="HWU96" s="15"/>
      <c r="HWV96" s="15"/>
      <c r="HWW96" s="15"/>
      <c r="HWX96" s="15"/>
      <c r="HWY96" s="15"/>
      <c r="HWZ96" s="15"/>
      <c r="HXA96" s="15"/>
      <c r="HXB96" s="15"/>
      <c r="HXC96" s="15"/>
      <c r="HXD96" s="15"/>
      <c r="HXE96" s="15"/>
      <c r="HXF96" s="15"/>
      <c r="HXG96" s="15"/>
      <c r="HXH96" s="15"/>
      <c r="HXI96" s="15"/>
      <c r="HXJ96" s="15"/>
      <c r="HXK96" s="15"/>
      <c r="HXL96" s="15"/>
      <c r="HXM96" s="15"/>
      <c r="HXN96" s="15"/>
      <c r="HXO96" s="15"/>
      <c r="HXP96" s="15"/>
      <c r="HXQ96" s="15"/>
      <c r="HXR96" s="15"/>
      <c r="HXS96" s="15"/>
      <c r="HXT96" s="15"/>
      <c r="HXU96" s="15"/>
      <c r="HXV96" s="15"/>
      <c r="HXW96" s="15"/>
      <c r="HXX96" s="15"/>
      <c r="HXY96" s="15"/>
      <c r="HXZ96" s="15"/>
      <c r="HYA96" s="15"/>
      <c r="HYB96" s="15"/>
      <c r="HYC96" s="15"/>
      <c r="HYD96" s="15"/>
      <c r="HYE96" s="15"/>
      <c r="HYF96" s="15"/>
      <c r="HYG96" s="15"/>
      <c r="HYH96" s="15"/>
      <c r="HYI96" s="15"/>
      <c r="HYJ96" s="15"/>
      <c r="HYK96" s="15"/>
      <c r="HYL96" s="15"/>
      <c r="HYM96" s="15"/>
      <c r="HYN96" s="15"/>
      <c r="HYO96" s="15"/>
      <c r="HYP96" s="15"/>
      <c r="HYQ96" s="15"/>
      <c r="HYR96" s="15"/>
      <c r="HYS96" s="15"/>
      <c r="HYT96" s="15"/>
      <c r="HYU96" s="15"/>
      <c r="HYV96" s="15"/>
      <c r="HYW96" s="15"/>
      <c r="HYX96" s="15"/>
      <c r="HYY96" s="15"/>
      <c r="HYZ96" s="15"/>
      <c r="HZA96" s="15"/>
      <c r="HZB96" s="15"/>
      <c r="HZC96" s="15"/>
      <c r="HZD96" s="15"/>
      <c r="HZE96" s="15"/>
      <c r="HZF96" s="15"/>
      <c r="HZG96" s="15"/>
      <c r="HZH96" s="15"/>
      <c r="HZI96" s="15"/>
      <c r="HZJ96" s="15"/>
      <c r="HZK96" s="15"/>
      <c r="HZL96" s="15"/>
      <c r="HZM96" s="15"/>
      <c r="HZN96" s="15"/>
      <c r="HZO96" s="15"/>
      <c r="HZP96" s="15"/>
      <c r="HZQ96" s="15"/>
      <c r="HZR96" s="15"/>
      <c r="HZS96" s="15"/>
      <c r="HZT96" s="15"/>
      <c r="HZU96" s="15"/>
      <c r="HZV96" s="15"/>
      <c r="HZW96" s="15"/>
      <c r="HZX96" s="15"/>
      <c r="HZY96" s="15"/>
      <c r="HZZ96" s="15"/>
      <c r="IAA96" s="15"/>
      <c r="IAB96" s="15"/>
      <c r="IAC96" s="15"/>
      <c r="IAD96" s="15"/>
      <c r="IAE96" s="15"/>
      <c r="IAF96" s="15"/>
      <c r="IAG96" s="15"/>
      <c r="IAH96" s="15"/>
      <c r="IAI96" s="15"/>
      <c r="IAJ96" s="15"/>
      <c r="IAK96" s="15"/>
      <c r="IAL96" s="15"/>
      <c r="IAM96" s="15"/>
      <c r="IAN96" s="15"/>
      <c r="IAO96" s="15"/>
      <c r="IAP96" s="15"/>
      <c r="IAQ96" s="15"/>
      <c r="IAR96" s="15"/>
      <c r="IAS96" s="15"/>
      <c r="IAT96" s="15"/>
      <c r="IAU96" s="15"/>
      <c r="IAV96" s="15"/>
      <c r="IAW96" s="15"/>
      <c r="IAX96" s="15"/>
      <c r="IAY96" s="15"/>
      <c r="IAZ96" s="15"/>
      <c r="IBA96" s="15"/>
      <c r="IBB96" s="15"/>
      <c r="IBC96" s="15"/>
      <c r="IBD96" s="15"/>
      <c r="IBE96" s="15"/>
      <c r="IBF96" s="15"/>
      <c r="IBG96" s="15"/>
      <c r="IBH96" s="15"/>
      <c r="IBI96" s="15"/>
      <c r="IBJ96" s="15"/>
      <c r="IBK96" s="15"/>
      <c r="IBL96" s="15"/>
      <c r="IBM96" s="15"/>
      <c r="IBN96" s="15"/>
      <c r="IBO96" s="15"/>
      <c r="IBP96" s="15"/>
      <c r="IBQ96" s="15"/>
      <c r="IBR96" s="15"/>
      <c r="IBS96" s="15"/>
      <c r="IBT96" s="15"/>
      <c r="IBU96" s="15"/>
      <c r="IBV96" s="15"/>
      <c r="IBW96" s="15"/>
      <c r="IBX96" s="15"/>
      <c r="IBY96" s="15"/>
      <c r="IBZ96" s="15"/>
      <c r="ICA96" s="15"/>
      <c r="ICB96" s="15"/>
      <c r="ICC96" s="15"/>
      <c r="ICD96" s="15"/>
      <c r="ICE96" s="15"/>
      <c r="ICF96" s="15"/>
      <c r="ICG96" s="15"/>
      <c r="ICH96" s="15"/>
      <c r="ICI96" s="15"/>
      <c r="ICJ96" s="15"/>
      <c r="ICK96" s="15"/>
      <c r="ICL96" s="15"/>
      <c r="ICM96" s="15"/>
      <c r="ICN96" s="15"/>
      <c r="ICO96" s="15"/>
      <c r="ICP96" s="15"/>
      <c r="ICQ96" s="15"/>
      <c r="ICR96" s="15"/>
      <c r="ICS96" s="15"/>
      <c r="ICT96" s="15"/>
      <c r="ICU96" s="15"/>
      <c r="ICV96" s="15"/>
      <c r="ICW96" s="15"/>
      <c r="ICX96" s="15"/>
      <c r="ICY96" s="15"/>
      <c r="ICZ96" s="15"/>
      <c r="IDA96" s="15"/>
      <c r="IDB96" s="15"/>
      <c r="IDC96" s="15"/>
      <c r="IDD96" s="15"/>
      <c r="IDE96" s="15"/>
      <c r="IDF96" s="15"/>
      <c r="IDG96" s="15"/>
      <c r="IDH96" s="15"/>
      <c r="IDI96" s="15"/>
      <c r="IDJ96" s="15"/>
      <c r="IDK96" s="15"/>
      <c r="IDL96" s="15"/>
      <c r="IDM96" s="15"/>
      <c r="IDN96" s="15"/>
      <c r="IDO96" s="15"/>
      <c r="IDP96" s="15"/>
      <c r="IDQ96" s="15"/>
      <c r="IDR96" s="15"/>
      <c r="IDS96" s="15"/>
      <c r="IDT96" s="15"/>
      <c r="IDU96" s="15"/>
      <c r="IDV96" s="15"/>
      <c r="IDW96" s="15"/>
      <c r="IDX96" s="15"/>
      <c r="IDY96" s="15"/>
      <c r="IDZ96" s="15"/>
      <c r="IEA96" s="15"/>
      <c r="IEB96" s="15"/>
      <c r="IEC96" s="15"/>
      <c r="IED96" s="15"/>
      <c r="IEE96" s="15"/>
      <c r="IEF96" s="15"/>
      <c r="IEG96" s="15"/>
      <c r="IEH96" s="15"/>
      <c r="IEI96" s="15"/>
      <c r="IEJ96" s="15"/>
      <c r="IEK96" s="15"/>
      <c r="IEL96" s="15"/>
      <c r="IEM96" s="15"/>
      <c r="IEN96" s="15"/>
      <c r="IEO96" s="15"/>
      <c r="IEP96" s="15"/>
      <c r="IEQ96" s="15"/>
      <c r="IER96" s="15"/>
      <c r="IES96" s="15"/>
      <c r="IET96" s="15"/>
      <c r="IEU96" s="15"/>
      <c r="IEV96" s="15"/>
      <c r="IEW96" s="15"/>
      <c r="IEX96" s="15"/>
      <c r="IEY96" s="15"/>
      <c r="IEZ96" s="15"/>
      <c r="IFA96" s="15"/>
      <c r="IFB96" s="15"/>
      <c r="IFC96" s="15"/>
      <c r="IFD96" s="15"/>
      <c r="IFE96" s="15"/>
      <c r="IFF96" s="15"/>
      <c r="IFG96" s="15"/>
      <c r="IFH96" s="15"/>
      <c r="IFI96" s="15"/>
      <c r="IFJ96" s="15"/>
      <c r="IFK96" s="15"/>
      <c r="IFL96" s="15"/>
      <c r="IFM96" s="15"/>
      <c r="IFN96" s="15"/>
      <c r="IFO96" s="15"/>
      <c r="IFP96" s="15"/>
      <c r="IFQ96" s="15"/>
      <c r="IFR96" s="15"/>
      <c r="IFS96" s="15"/>
      <c r="IFT96" s="15"/>
      <c r="IFU96" s="15"/>
      <c r="IFV96" s="15"/>
      <c r="IFW96" s="15"/>
      <c r="IFX96" s="15"/>
      <c r="IFY96" s="15"/>
      <c r="IFZ96" s="15"/>
      <c r="IGA96" s="15"/>
      <c r="IGB96" s="15"/>
      <c r="IGC96" s="15"/>
      <c r="IGD96" s="15"/>
      <c r="IGE96" s="15"/>
      <c r="IGF96" s="15"/>
      <c r="IGG96" s="15"/>
      <c r="IGH96" s="15"/>
      <c r="IGI96" s="15"/>
      <c r="IGJ96" s="15"/>
      <c r="IGK96" s="15"/>
      <c r="IGL96" s="15"/>
      <c r="IGM96" s="15"/>
      <c r="IGN96" s="15"/>
      <c r="IGO96" s="15"/>
      <c r="IGP96" s="15"/>
      <c r="IGQ96" s="15"/>
      <c r="IGR96" s="15"/>
      <c r="IGS96" s="15"/>
      <c r="IGT96" s="15"/>
      <c r="IGU96" s="15"/>
      <c r="IGV96" s="15"/>
      <c r="IGW96" s="15"/>
      <c r="IGX96" s="15"/>
      <c r="IGY96" s="15"/>
      <c r="IGZ96" s="15"/>
      <c r="IHA96" s="15"/>
      <c r="IHB96" s="15"/>
      <c r="IHC96" s="15"/>
      <c r="IHD96" s="15"/>
      <c r="IHE96" s="15"/>
      <c r="IHF96" s="15"/>
      <c r="IHG96" s="15"/>
      <c r="IHH96" s="15"/>
      <c r="IHI96" s="15"/>
      <c r="IHJ96" s="15"/>
      <c r="IHK96" s="15"/>
      <c r="IHL96" s="15"/>
      <c r="IHM96" s="15"/>
      <c r="IHN96" s="15"/>
      <c r="IHO96" s="15"/>
      <c r="IHP96" s="15"/>
      <c r="IHQ96" s="15"/>
      <c r="IHR96" s="15"/>
      <c r="IHS96" s="15"/>
      <c r="IHT96" s="15"/>
      <c r="IHU96" s="15"/>
      <c r="IHV96" s="15"/>
      <c r="IHW96" s="15"/>
      <c r="IHX96" s="15"/>
      <c r="IHY96" s="15"/>
      <c r="IHZ96" s="15"/>
      <c r="IIA96" s="15"/>
      <c r="IIB96" s="15"/>
      <c r="IIC96" s="15"/>
      <c r="IID96" s="15"/>
      <c r="IIE96" s="15"/>
      <c r="IIF96" s="15"/>
      <c r="IIG96" s="15"/>
      <c r="IIH96" s="15"/>
      <c r="III96" s="15"/>
      <c r="IIJ96" s="15"/>
      <c r="IIK96" s="15"/>
      <c r="IIL96" s="15"/>
      <c r="IIM96" s="15"/>
      <c r="IIN96" s="15"/>
      <c r="IIO96" s="15"/>
      <c r="IIP96" s="15"/>
      <c r="IIQ96" s="15"/>
      <c r="IIR96" s="15"/>
      <c r="IIS96" s="15"/>
      <c r="IIT96" s="15"/>
      <c r="IIU96" s="15"/>
      <c r="IIV96" s="15"/>
      <c r="IIW96" s="15"/>
      <c r="IIX96" s="15"/>
      <c r="IIY96" s="15"/>
      <c r="IIZ96" s="15"/>
      <c r="IJA96" s="15"/>
      <c r="IJB96" s="15"/>
      <c r="IJC96" s="15"/>
      <c r="IJD96" s="15"/>
      <c r="IJE96" s="15"/>
      <c r="IJF96" s="15"/>
      <c r="IJG96" s="15"/>
      <c r="IJH96" s="15"/>
      <c r="IJI96" s="15"/>
      <c r="IJJ96" s="15"/>
      <c r="IJK96" s="15"/>
      <c r="IJL96" s="15"/>
      <c r="IJM96" s="15"/>
      <c r="IJN96" s="15"/>
      <c r="IJO96" s="15"/>
      <c r="IJP96" s="15"/>
      <c r="IJQ96" s="15"/>
      <c r="IJR96" s="15"/>
      <c r="IJS96" s="15"/>
      <c r="IJT96" s="15"/>
      <c r="IJU96" s="15"/>
      <c r="IJV96" s="15"/>
      <c r="IJW96" s="15"/>
      <c r="IJX96" s="15"/>
      <c r="IJY96" s="15"/>
      <c r="IJZ96" s="15"/>
      <c r="IKA96" s="15"/>
      <c r="IKB96" s="15"/>
      <c r="IKC96" s="15"/>
      <c r="IKD96" s="15"/>
      <c r="IKE96" s="15"/>
      <c r="IKF96" s="15"/>
      <c r="IKG96" s="15"/>
      <c r="IKH96" s="15"/>
      <c r="IKI96" s="15"/>
      <c r="IKJ96" s="15"/>
      <c r="IKK96" s="15"/>
      <c r="IKL96" s="15"/>
      <c r="IKM96" s="15"/>
      <c r="IKN96" s="15"/>
      <c r="IKO96" s="15"/>
      <c r="IKP96" s="15"/>
      <c r="IKQ96" s="15"/>
      <c r="IKR96" s="15"/>
      <c r="IKS96" s="15"/>
      <c r="IKT96" s="15"/>
      <c r="IKU96" s="15"/>
      <c r="IKV96" s="15"/>
      <c r="IKW96" s="15"/>
      <c r="IKX96" s="15"/>
      <c r="IKY96" s="15"/>
      <c r="IKZ96" s="15"/>
      <c r="ILA96" s="15"/>
      <c r="ILB96" s="15"/>
      <c r="ILC96" s="15"/>
      <c r="ILD96" s="15"/>
      <c r="ILE96" s="15"/>
      <c r="ILF96" s="15"/>
      <c r="ILG96" s="15"/>
      <c r="ILH96" s="15"/>
      <c r="ILI96" s="15"/>
      <c r="ILJ96" s="15"/>
      <c r="ILK96" s="15"/>
      <c r="ILL96" s="15"/>
      <c r="ILM96" s="15"/>
      <c r="ILN96" s="15"/>
      <c r="ILO96" s="15"/>
      <c r="ILP96" s="15"/>
      <c r="ILQ96" s="15"/>
      <c r="ILR96" s="15"/>
      <c r="ILS96" s="15"/>
      <c r="ILT96" s="15"/>
      <c r="ILU96" s="15"/>
      <c r="ILV96" s="15"/>
      <c r="ILW96" s="15"/>
      <c r="ILX96" s="15"/>
      <c r="ILY96" s="15"/>
      <c r="ILZ96" s="15"/>
      <c r="IMA96" s="15"/>
      <c r="IMB96" s="15"/>
      <c r="IMC96" s="15"/>
      <c r="IMD96" s="15"/>
      <c r="IME96" s="15"/>
      <c r="IMF96" s="15"/>
      <c r="IMG96" s="15"/>
      <c r="IMH96" s="15"/>
      <c r="IMI96" s="15"/>
      <c r="IMJ96" s="15"/>
      <c r="IMK96" s="15"/>
      <c r="IML96" s="15"/>
      <c r="IMM96" s="15"/>
      <c r="IMN96" s="15"/>
      <c r="IMO96" s="15"/>
      <c r="IMP96" s="15"/>
      <c r="IMQ96" s="15"/>
      <c r="IMR96" s="15"/>
      <c r="IMS96" s="15"/>
      <c r="IMT96" s="15"/>
      <c r="IMU96" s="15"/>
      <c r="IMV96" s="15"/>
      <c r="IMW96" s="15"/>
      <c r="IMX96" s="15"/>
      <c r="IMY96" s="15"/>
      <c r="IMZ96" s="15"/>
      <c r="INA96" s="15"/>
      <c r="INB96" s="15"/>
      <c r="INC96" s="15"/>
      <c r="IND96" s="15"/>
      <c r="INE96" s="15"/>
      <c r="INF96" s="15"/>
      <c r="ING96" s="15"/>
      <c r="INH96" s="15"/>
      <c r="INI96" s="15"/>
      <c r="INJ96" s="15"/>
      <c r="INK96" s="15"/>
      <c r="INL96" s="15"/>
      <c r="INM96" s="15"/>
      <c r="INN96" s="15"/>
      <c r="INO96" s="15"/>
      <c r="INP96" s="15"/>
      <c r="INQ96" s="15"/>
      <c r="INR96" s="15"/>
      <c r="INS96" s="15"/>
      <c r="INT96" s="15"/>
      <c r="INU96" s="15"/>
      <c r="INV96" s="15"/>
      <c r="INW96" s="15"/>
      <c r="INX96" s="15"/>
      <c r="INY96" s="15"/>
      <c r="INZ96" s="15"/>
      <c r="IOA96" s="15"/>
      <c r="IOB96" s="15"/>
      <c r="IOC96" s="15"/>
      <c r="IOD96" s="15"/>
      <c r="IOE96" s="15"/>
      <c r="IOF96" s="15"/>
      <c r="IOG96" s="15"/>
      <c r="IOH96" s="15"/>
      <c r="IOI96" s="15"/>
      <c r="IOJ96" s="15"/>
      <c r="IOK96" s="15"/>
      <c r="IOL96" s="15"/>
      <c r="IOM96" s="15"/>
      <c r="ION96" s="15"/>
      <c r="IOO96" s="15"/>
      <c r="IOP96" s="15"/>
      <c r="IOQ96" s="15"/>
      <c r="IOR96" s="15"/>
      <c r="IOS96" s="15"/>
      <c r="IOT96" s="15"/>
      <c r="IOU96" s="15"/>
      <c r="IOV96" s="15"/>
      <c r="IOW96" s="15"/>
      <c r="IOX96" s="15"/>
      <c r="IOY96" s="15"/>
      <c r="IOZ96" s="15"/>
      <c r="IPA96" s="15"/>
      <c r="IPB96" s="15"/>
      <c r="IPC96" s="15"/>
      <c r="IPD96" s="15"/>
      <c r="IPE96" s="15"/>
      <c r="IPF96" s="15"/>
      <c r="IPG96" s="15"/>
      <c r="IPH96" s="15"/>
      <c r="IPI96" s="15"/>
      <c r="IPJ96" s="15"/>
      <c r="IPK96" s="15"/>
      <c r="IPL96" s="15"/>
      <c r="IPM96" s="15"/>
      <c r="IPN96" s="15"/>
      <c r="IPO96" s="15"/>
      <c r="IPP96" s="15"/>
      <c r="IPQ96" s="15"/>
      <c r="IPR96" s="15"/>
      <c r="IPS96" s="15"/>
      <c r="IPT96" s="15"/>
      <c r="IPU96" s="15"/>
      <c r="IPV96" s="15"/>
      <c r="IPW96" s="15"/>
      <c r="IPX96" s="15"/>
      <c r="IPY96" s="15"/>
      <c r="IPZ96" s="15"/>
      <c r="IQA96" s="15"/>
      <c r="IQB96" s="15"/>
      <c r="IQC96" s="15"/>
      <c r="IQD96" s="15"/>
      <c r="IQE96" s="15"/>
      <c r="IQF96" s="15"/>
      <c r="IQG96" s="15"/>
      <c r="IQH96" s="15"/>
      <c r="IQI96" s="15"/>
      <c r="IQJ96" s="15"/>
      <c r="IQK96" s="15"/>
      <c r="IQL96" s="15"/>
      <c r="IQM96" s="15"/>
      <c r="IQN96" s="15"/>
      <c r="IQO96" s="15"/>
      <c r="IQP96" s="15"/>
      <c r="IQQ96" s="15"/>
      <c r="IQR96" s="15"/>
      <c r="IQS96" s="15"/>
      <c r="IQT96" s="15"/>
      <c r="IQU96" s="15"/>
      <c r="IQV96" s="15"/>
      <c r="IQW96" s="15"/>
      <c r="IQX96" s="15"/>
      <c r="IQY96" s="15"/>
      <c r="IQZ96" s="15"/>
      <c r="IRA96" s="15"/>
      <c r="IRB96" s="15"/>
      <c r="IRC96" s="15"/>
      <c r="IRD96" s="15"/>
      <c r="IRE96" s="15"/>
      <c r="IRF96" s="15"/>
      <c r="IRG96" s="15"/>
      <c r="IRH96" s="15"/>
      <c r="IRI96" s="15"/>
      <c r="IRJ96" s="15"/>
      <c r="IRK96" s="15"/>
      <c r="IRL96" s="15"/>
      <c r="IRM96" s="15"/>
      <c r="IRN96" s="15"/>
      <c r="IRO96" s="15"/>
      <c r="IRP96" s="15"/>
      <c r="IRQ96" s="15"/>
      <c r="IRR96" s="15"/>
      <c r="IRS96" s="15"/>
      <c r="IRT96" s="15"/>
      <c r="IRU96" s="15"/>
      <c r="IRV96" s="15"/>
      <c r="IRW96" s="15"/>
      <c r="IRX96" s="15"/>
      <c r="IRY96" s="15"/>
      <c r="IRZ96" s="15"/>
      <c r="ISA96" s="15"/>
      <c r="ISB96" s="15"/>
      <c r="ISC96" s="15"/>
      <c r="ISD96" s="15"/>
      <c r="ISE96" s="15"/>
      <c r="ISF96" s="15"/>
      <c r="ISG96" s="15"/>
      <c r="ISH96" s="15"/>
      <c r="ISI96" s="15"/>
      <c r="ISJ96" s="15"/>
      <c r="ISK96" s="15"/>
      <c r="ISL96" s="15"/>
      <c r="ISM96" s="15"/>
      <c r="ISN96" s="15"/>
      <c r="ISO96" s="15"/>
      <c r="ISP96" s="15"/>
      <c r="ISQ96" s="15"/>
      <c r="ISR96" s="15"/>
      <c r="ISS96" s="15"/>
      <c r="IST96" s="15"/>
      <c r="ISU96" s="15"/>
      <c r="ISV96" s="15"/>
      <c r="ISW96" s="15"/>
      <c r="ISX96" s="15"/>
      <c r="ISY96" s="15"/>
      <c r="ISZ96" s="15"/>
      <c r="ITA96" s="15"/>
      <c r="ITB96" s="15"/>
      <c r="ITC96" s="15"/>
      <c r="ITD96" s="15"/>
      <c r="ITE96" s="15"/>
      <c r="ITF96" s="15"/>
      <c r="ITG96" s="15"/>
      <c r="ITH96" s="15"/>
      <c r="ITI96" s="15"/>
      <c r="ITJ96" s="15"/>
      <c r="ITK96" s="15"/>
      <c r="ITL96" s="15"/>
      <c r="ITM96" s="15"/>
      <c r="ITN96" s="15"/>
      <c r="ITO96" s="15"/>
      <c r="ITP96" s="15"/>
      <c r="ITQ96" s="15"/>
      <c r="ITR96" s="15"/>
      <c r="ITS96" s="15"/>
      <c r="ITT96" s="15"/>
      <c r="ITU96" s="15"/>
      <c r="ITV96" s="15"/>
      <c r="ITW96" s="15"/>
      <c r="ITX96" s="15"/>
      <c r="ITY96" s="15"/>
      <c r="ITZ96" s="15"/>
      <c r="IUA96" s="15"/>
      <c r="IUB96" s="15"/>
      <c r="IUC96" s="15"/>
      <c r="IUD96" s="15"/>
      <c r="IUE96" s="15"/>
      <c r="IUF96" s="15"/>
      <c r="IUG96" s="15"/>
      <c r="IUH96" s="15"/>
      <c r="IUI96" s="15"/>
      <c r="IUJ96" s="15"/>
      <c r="IUK96" s="15"/>
      <c r="IUL96" s="15"/>
      <c r="IUM96" s="15"/>
      <c r="IUN96" s="15"/>
      <c r="IUO96" s="15"/>
      <c r="IUP96" s="15"/>
      <c r="IUQ96" s="15"/>
      <c r="IUR96" s="15"/>
      <c r="IUS96" s="15"/>
      <c r="IUT96" s="15"/>
      <c r="IUU96" s="15"/>
      <c r="IUV96" s="15"/>
      <c r="IUW96" s="15"/>
      <c r="IUX96" s="15"/>
      <c r="IUY96" s="15"/>
      <c r="IUZ96" s="15"/>
      <c r="IVA96" s="15"/>
      <c r="IVB96" s="15"/>
      <c r="IVC96" s="15"/>
      <c r="IVD96" s="15"/>
      <c r="IVE96" s="15"/>
      <c r="IVF96" s="15"/>
      <c r="IVG96" s="15"/>
      <c r="IVH96" s="15"/>
      <c r="IVI96" s="15"/>
      <c r="IVJ96" s="15"/>
      <c r="IVK96" s="15"/>
      <c r="IVL96" s="15"/>
      <c r="IVM96" s="15"/>
      <c r="IVN96" s="15"/>
      <c r="IVO96" s="15"/>
      <c r="IVP96" s="15"/>
      <c r="IVQ96" s="15"/>
      <c r="IVR96" s="15"/>
      <c r="IVS96" s="15"/>
      <c r="IVT96" s="15"/>
      <c r="IVU96" s="15"/>
      <c r="IVV96" s="15"/>
      <c r="IVW96" s="15"/>
      <c r="IVX96" s="15"/>
      <c r="IVY96" s="15"/>
      <c r="IVZ96" s="15"/>
      <c r="IWA96" s="15"/>
      <c r="IWB96" s="15"/>
      <c r="IWC96" s="15"/>
      <c r="IWD96" s="15"/>
      <c r="IWE96" s="15"/>
      <c r="IWF96" s="15"/>
      <c r="IWG96" s="15"/>
      <c r="IWH96" s="15"/>
      <c r="IWI96" s="15"/>
      <c r="IWJ96" s="15"/>
      <c r="IWK96" s="15"/>
      <c r="IWL96" s="15"/>
      <c r="IWM96" s="15"/>
      <c r="IWN96" s="15"/>
      <c r="IWO96" s="15"/>
      <c r="IWP96" s="15"/>
      <c r="IWQ96" s="15"/>
      <c r="IWR96" s="15"/>
      <c r="IWS96" s="15"/>
      <c r="IWT96" s="15"/>
      <c r="IWU96" s="15"/>
      <c r="IWV96" s="15"/>
      <c r="IWW96" s="15"/>
      <c r="IWX96" s="15"/>
      <c r="IWY96" s="15"/>
      <c r="IWZ96" s="15"/>
      <c r="IXA96" s="15"/>
      <c r="IXB96" s="15"/>
      <c r="IXC96" s="15"/>
      <c r="IXD96" s="15"/>
      <c r="IXE96" s="15"/>
      <c r="IXF96" s="15"/>
      <c r="IXG96" s="15"/>
      <c r="IXH96" s="15"/>
      <c r="IXI96" s="15"/>
      <c r="IXJ96" s="15"/>
      <c r="IXK96" s="15"/>
      <c r="IXL96" s="15"/>
      <c r="IXM96" s="15"/>
      <c r="IXN96" s="15"/>
      <c r="IXO96" s="15"/>
      <c r="IXP96" s="15"/>
      <c r="IXQ96" s="15"/>
      <c r="IXR96" s="15"/>
      <c r="IXS96" s="15"/>
      <c r="IXT96" s="15"/>
      <c r="IXU96" s="15"/>
      <c r="IXV96" s="15"/>
      <c r="IXW96" s="15"/>
      <c r="IXX96" s="15"/>
      <c r="IXY96" s="15"/>
      <c r="IXZ96" s="15"/>
      <c r="IYA96" s="15"/>
      <c r="IYB96" s="15"/>
      <c r="IYC96" s="15"/>
      <c r="IYD96" s="15"/>
      <c r="IYE96" s="15"/>
      <c r="IYF96" s="15"/>
      <c r="IYG96" s="15"/>
      <c r="IYH96" s="15"/>
      <c r="IYI96" s="15"/>
      <c r="IYJ96" s="15"/>
      <c r="IYK96" s="15"/>
      <c r="IYL96" s="15"/>
      <c r="IYM96" s="15"/>
      <c r="IYN96" s="15"/>
      <c r="IYO96" s="15"/>
      <c r="IYP96" s="15"/>
      <c r="IYQ96" s="15"/>
      <c r="IYR96" s="15"/>
      <c r="IYS96" s="15"/>
      <c r="IYT96" s="15"/>
      <c r="IYU96" s="15"/>
      <c r="IYV96" s="15"/>
      <c r="IYW96" s="15"/>
      <c r="IYX96" s="15"/>
      <c r="IYY96" s="15"/>
      <c r="IYZ96" s="15"/>
      <c r="IZA96" s="15"/>
      <c r="IZB96" s="15"/>
      <c r="IZC96" s="15"/>
      <c r="IZD96" s="15"/>
      <c r="IZE96" s="15"/>
      <c r="IZF96" s="15"/>
      <c r="IZG96" s="15"/>
      <c r="IZH96" s="15"/>
      <c r="IZI96" s="15"/>
      <c r="IZJ96" s="15"/>
      <c r="IZK96" s="15"/>
      <c r="IZL96" s="15"/>
      <c r="IZM96" s="15"/>
      <c r="IZN96" s="15"/>
      <c r="IZO96" s="15"/>
      <c r="IZP96" s="15"/>
      <c r="IZQ96" s="15"/>
      <c r="IZR96" s="15"/>
      <c r="IZS96" s="15"/>
      <c r="IZT96" s="15"/>
      <c r="IZU96" s="15"/>
      <c r="IZV96" s="15"/>
      <c r="IZW96" s="15"/>
      <c r="IZX96" s="15"/>
      <c r="IZY96" s="15"/>
      <c r="IZZ96" s="15"/>
      <c r="JAA96" s="15"/>
      <c r="JAB96" s="15"/>
      <c r="JAC96" s="15"/>
      <c r="JAD96" s="15"/>
      <c r="JAE96" s="15"/>
      <c r="JAF96" s="15"/>
      <c r="JAG96" s="15"/>
      <c r="JAH96" s="15"/>
      <c r="JAI96" s="15"/>
      <c r="JAJ96" s="15"/>
      <c r="JAK96" s="15"/>
      <c r="JAL96" s="15"/>
      <c r="JAM96" s="15"/>
      <c r="JAN96" s="15"/>
      <c r="JAO96" s="15"/>
      <c r="JAP96" s="15"/>
      <c r="JAQ96" s="15"/>
      <c r="JAR96" s="15"/>
      <c r="JAS96" s="15"/>
      <c r="JAT96" s="15"/>
      <c r="JAU96" s="15"/>
      <c r="JAV96" s="15"/>
      <c r="JAW96" s="15"/>
      <c r="JAX96" s="15"/>
      <c r="JAY96" s="15"/>
      <c r="JAZ96" s="15"/>
      <c r="JBA96" s="15"/>
      <c r="JBB96" s="15"/>
      <c r="JBC96" s="15"/>
      <c r="JBD96" s="15"/>
      <c r="JBE96" s="15"/>
      <c r="JBF96" s="15"/>
      <c r="JBG96" s="15"/>
      <c r="JBH96" s="15"/>
      <c r="JBI96" s="15"/>
      <c r="JBJ96" s="15"/>
      <c r="JBK96" s="15"/>
      <c r="JBL96" s="15"/>
      <c r="JBM96" s="15"/>
      <c r="JBN96" s="15"/>
      <c r="JBO96" s="15"/>
      <c r="JBP96" s="15"/>
      <c r="JBQ96" s="15"/>
      <c r="JBR96" s="15"/>
      <c r="JBS96" s="15"/>
      <c r="JBT96" s="15"/>
      <c r="JBU96" s="15"/>
      <c r="JBV96" s="15"/>
      <c r="JBW96" s="15"/>
      <c r="JBX96" s="15"/>
      <c r="JBY96" s="15"/>
      <c r="JBZ96" s="15"/>
      <c r="JCA96" s="15"/>
      <c r="JCB96" s="15"/>
      <c r="JCC96" s="15"/>
      <c r="JCD96" s="15"/>
      <c r="JCE96" s="15"/>
      <c r="JCF96" s="15"/>
      <c r="JCG96" s="15"/>
      <c r="JCH96" s="15"/>
      <c r="JCI96" s="15"/>
      <c r="JCJ96" s="15"/>
      <c r="JCK96" s="15"/>
      <c r="JCL96" s="15"/>
      <c r="JCM96" s="15"/>
      <c r="JCN96" s="15"/>
      <c r="JCO96" s="15"/>
      <c r="JCP96" s="15"/>
      <c r="JCQ96" s="15"/>
      <c r="JCR96" s="15"/>
      <c r="JCS96" s="15"/>
      <c r="JCT96" s="15"/>
      <c r="JCU96" s="15"/>
      <c r="JCV96" s="15"/>
      <c r="JCW96" s="15"/>
      <c r="JCX96" s="15"/>
      <c r="JCY96" s="15"/>
      <c r="JCZ96" s="15"/>
      <c r="JDA96" s="15"/>
      <c r="JDB96" s="15"/>
      <c r="JDC96" s="15"/>
      <c r="JDD96" s="15"/>
      <c r="JDE96" s="15"/>
      <c r="JDF96" s="15"/>
      <c r="JDG96" s="15"/>
      <c r="JDH96" s="15"/>
      <c r="JDI96" s="15"/>
      <c r="JDJ96" s="15"/>
      <c r="JDK96" s="15"/>
      <c r="JDL96" s="15"/>
      <c r="JDM96" s="15"/>
      <c r="JDN96" s="15"/>
      <c r="JDO96" s="15"/>
      <c r="JDP96" s="15"/>
      <c r="JDQ96" s="15"/>
      <c r="JDR96" s="15"/>
      <c r="JDS96" s="15"/>
      <c r="JDT96" s="15"/>
      <c r="JDU96" s="15"/>
      <c r="JDV96" s="15"/>
      <c r="JDW96" s="15"/>
      <c r="JDX96" s="15"/>
      <c r="JDY96" s="15"/>
      <c r="JDZ96" s="15"/>
      <c r="JEA96" s="15"/>
      <c r="JEB96" s="15"/>
      <c r="JEC96" s="15"/>
      <c r="JED96" s="15"/>
      <c r="JEE96" s="15"/>
      <c r="JEF96" s="15"/>
      <c r="JEG96" s="15"/>
      <c r="JEH96" s="15"/>
      <c r="JEI96" s="15"/>
      <c r="JEJ96" s="15"/>
      <c r="JEK96" s="15"/>
      <c r="JEL96" s="15"/>
      <c r="JEM96" s="15"/>
      <c r="JEN96" s="15"/>
      <c r="JEO96" s="15"/>
      <c r="JEP96" s="15"/>
      <c r="JEQ96" s="15"/>
      <c r="JER96" s="15"/>
      <c r="JES96" s="15"/>
      <c r="JET96" s="15"/>
      <c r="JEU96" s="15"/>
      <c r="JEV96" s="15"/>
      <c r="JEW96" s="15"/>
      <c r="JEX96" s="15"/>
      <c r="JEY96" s="15"/>
      <c r="JEZ96" s="15"/>
      <c r="JFA96" s="15"/>
      <c r="JFB96" s="15"/>
      <c r="JFC96" s="15"/>
      <c r="JFD96" s="15"/>
      <c r="JFE96" s="15"/>
      <c r="JFF96" s="15"/>
      <c r="JFG96" s="15"/>
      <c r="JFH96" s="15"/>
      <c r="JFI96" s="15"/>
      <c r="JFJ96" s="15"/>
      <c r="JFK96" s="15"/>
      <c r="JFL96" s="15"/>
      <c r="JFM96" s="15"/>
      <c r="JFN96" s="15"/>
      <c r="JFO96" s="15"/>
      <c r="JFP96" s="15"/>
      <c r="JFQ96" s="15"/>
      <c r="JFR96" s="15"/>
      <c r="JFS96" s="15"/>
      <c r="JFT96" s="15"/>
      <c r="JFU96" s="15"/>
      <c r="JFV96" s="15"/>
      <c r="JFW96" s="15"/>
      <c r="JFX96" s="15"/>
      <c r="JFY96" s="15"/>
      <c r="JFZ96" s="15"/>
      <c r="JGA96" s="15"/>
      <c r="JGB96" s="15"/>
      <c r="JGC96" s="15"/>
      <c r="JGD96" s="15"/>
      <c r="JGE96" s="15"/>
      <c r="JGF96" s="15"/>
      <c r="JGG96" s="15"/>
      <c r="JGH96" s="15"/>
      <c r="JGI96" s="15"/>
      <c r="JGJ96" s="15"/>
      <c r="JGK96" s="15"/>
      <c r="JGL96" s="15"/>
      <c r="JGM96" s="15"/>
      <c r="JGN96" s="15"/>
      <c r="JGO96" s="15"/>
      <c r="JGP96" s="15"/>
      <c r="JGQ96" s="15"/>
      <c r="JGR96" s="15"/>
      <c r="JGS96" s="15"/>
      <c r="JGT96" s="15"/>
      <c r="JGU96" s="15"/>
      <c r="JGV96" s="15"/>
      <c r="JGW96" s="15"/>
      <c r="JGX96" s="15"/>
      <c r="JGY96" s="15"/>
      <c r="JGZ96" s="15"/>
      <c r="JHA96" s="15"/>
      <c r="JHB96" s="15"/>
      <c r="JHC96" s="15"/>
      <c r="JHD96" s="15"/>
      <c r="JHE96" s="15"/>
      <c r="JHF96" s="15"/>
      <c r="JHG96" s="15"/>
      <c r="JHH96" s="15"/>
      <c r="JHI96" s="15"/>
      <c r="JHJ96" s="15"/>
      <c r="JHK96" s="15"/>
      <c r="JHL96" s="15"/>
      <c r="JHM96" s="15"/>
      <c r="JHN96" s="15"/>
      <c r="JHO96" s="15"/>
      <c r="JHP96" s="15"/>
      <c r="JHQ96" s="15"/>
      <c r="JHR96" s="15"/>
      <c r="JHS96" s="15"/>
      <c r="JHT96" s="15"/>
      <c r="JHU96" s="15"/>
      <c r="JHV96" s="15"/>
      <c r="JHW96" s="15"/>
      <c r="JHX96" s="15"/>
      <c r="JHY96" s="15"/>
      <c r="JHZ96" s="15"/>
      <c r="JIA96" s="15"/>
      <c r="JIB96" s="15"/>
      <c r="JIC96" s="15"/>
      <c r="JID96" s="15"/>
      <c r="JIE96" s="15"/>
      <c r="JIF96" s="15"/>
      <c r="JIG96" s="15"/>
      <c r="JIH96" s="15"/>
      <c r="JII96" s="15"/>
      <c r="JIJ96" s="15"/>
      <c r="JIK96" s="15"/>
      <c r="JIL96" s="15"/>
      <c r="JIM96" s="15"/>
      <c r="JIN96" s="15"/>
      <c r="JIO96" s="15"/>
      <c r="JIP96" s="15"/>
      <c r="JIQ96" s="15"/>
      <c r="JIR96" s="15"/>
      <c r="JIS96" s="15"/>
      <c r="JIT96" s="15"/>
      <c r="JIU96" s="15"/>
      <c r="JIV96" s="15"/>
      <c r="JIW96" s="15"/>
      <c r="JIX96" s="15"/>
      <c r="JIY96" s="15"/>
      <c r="JIZ96" s="15"/>
      <c r="JJA96" s="15"/>
      <c r="JJB96" s="15"/>
      <c r="JJC96" s="15"/>
      <c r="JJD96" s="15"/>
      <c r="JJE96" s="15"/>
      <c r="JJF96" s="15"/>
      <c r="JJG96" s="15"/>
      <c r="JJH96" s="15"/>
      <c r="JJI96" s="15"/>
      <c r="JJJ96" s="15"/>
      <c r="JJK96" s="15"/>
      <c r="JJL96" s="15"/>
      <c r="JJM96" s="15"/>
      <c r="JJN96" s="15"/>
      <c r="JJO96" s="15"/>
      <c r="JJP96" s="15"/>
      <c r="JJQ96" s="15"/>
      <c r="JJR96" s="15"/>
      <c r="JJS96" s="15"/>
      <c r="JJT96" s="15"/>
      <c r="JJU96" s="15"/>
      <c r="JJV96" s="15"/>
      <c r="JJW96" s="15"/>
      <c r="JJX96" s="15"/>
      <c r="JJY96" s="15"/>
      <c r="JJZ96" s="15"/>
      <c r="JKA96" s="15"/>
      <c r="JKB96" s="15"/>
      <c r="JKC96" s="15"/>
      <c r="JKD96" s="15"/>
      <c r="JKE96" s="15"/>
      <c r="JKF96" s="15"/>
      <c r="JKG96" s="15"/>
      <c r="JKH96" s="15"/>
      <c r="JKI96" s="15"/>
      <c r="JKJ96" s="15"/>
      <c r="JKK96" s="15"/>
      <c r="JKL96" s="15"/>
      <c r="JKM96" s="15"/>
      <c r="JKN96" s="15"/>
      <c r="JKO96" s="15"/>
      <c r="JKP96" s="15"/>
      <c r="JKQ96" s="15"/>
      <c r="JKR96" s="15"/>
      <c r="JKS96" s="15"/>
      <c r="JKT96" s="15"/>
      <c r="JKU96" s="15"/>
      <c r="JKV96" s="15"/>
      <c r="JKW96" s="15"/>
      <c r="JKX96" s="15"/>
      <c r="JKY96" s="15"/>
      <c r="JKZ96" s="15"/>
      <c r="JLA96" s="15"/>
      <c r="JLB96" s="15"/>
      <c r="JLC96" s="15"/>
      <c r="JLD96" s="15"/>
      <c r="JLE96" s="15"/>
      <c r="JLF96" s="15"/>
      <c r="JLG96" s="15"/>
      <c r="JLH96" s="15"/>
      <c r="JLI96" s="15"/>
      <c r="JLJ96" s="15"/>
      <c r="JLK96" s="15"/>
      <c r="JLL96" s="15"/>
      <c r="JLM96" s="15"/>
      <c r="JLN96" s="15"/>
      <c r="JLO96" s="15"/>
      <c r="JLP96" s="15"/>
      <c r="JLQ96" s="15"/>
      <c r="JLR96" s="15"/>
      <c r="JLS96" s="15"/>
      <c r="JLT96" s="15"/>
      <c r="JLU96" s="15"/>
      <c r="JLV96" s="15"/>
      <c r="JLW96" s="15"/>
      <c r="JLX96" s="15"/>
      <c r="JLY96" s="15"/>
      <c r="JLZ96" s="15"/>
      <c r="JMA96" s="15"/>
      <c r="JMB96" s="15"/>
      <c r="JMC96" s="15"/>
      <c r="JMD96" s="15"/>
      <c r="JME96" s="15"/>
      <c r="JMF96" s="15"/>
      <c r="JMG96" s="15"/>
      <c r="JMH96" s="15"/>
      <c r="JMI96" s="15"/>
      <c r="JMJ96" s="15"/>
      <c r="JMK96" s="15"/>
      <c r="JML96" s="15"/>
      <c r="JMM96" s="15"/>
      <c r="JMN96" s="15"/>
      <c r="JMO96" s="15"/>
      <c r="JMP96" s="15"/>
      <c r="JMQ96" s="15"/>
      <c r="JMR96" s="15"/>
      <c r="JMS96" s="15"/>
      <c r="JMT96" s="15"/>
      <c r="JMU96" s="15"/>
      <c r="JMV96" s="15"/>
      <c r="JMW96" s="15"/>
      <c r="JMX96" s="15"/>
      <c r="JMY96" s="15"/>
      <c r="JMZ96" s="15"/>
      <c r="JNA96" s="15"/>
      <c r="JNB96" s="15"/>
      <c r="JNC96" s="15"/>
      <c r="JND96" s="15"/>
      <c r="JNE96" s="15"/>
      <c r="JNF96" s="15"/>
      <c r="JNG96" s="15"/>
      <c r="JNH96" s="15"/>
      <c r="JNI96" s="15"/>
      <c r="JNJ96" s="15"/>
      <c r="JNK96" s="15"/>
      <c r="JNL96" s="15"/>
      <c r="JNM96" s="15"/>
      <c r="JNN96" s="15"/>
      <c r="JNO96" s="15"/>
      <c r="JNP96" s="15"/>
      <c r="JNQ96" s="15"/>
      <c r="JNR96" s="15"/>
      <c r="JNS96" s="15"/>
      <c r="JNT96" s="15"/>
      <c r="JNU96" s="15"/>
      <c r="JNV96" s="15"/>
      <c r="JNW96" s="15"/>
      <c r="JNX96" s="15"/>
      <c r="JNY96" s="15"/>
      <c r="JNZ96" s="15"/>
      <c r="JOA96" s="15"/>
      <c r="JOB96" s="15"/>
      <c r="JOC96" s="15"/>
      <c r="JOD96" s="15"/>
      <c r="JOE96" s="15"/>
      <c r="JOF96" s="15"/>
      <c r="JOG96" s="15"/>
      <c r="JOH96" s="15"/>
      <c r="JOI96" s="15"/>
      <c r="JOJ96" s="15"/>
      <c r="JOK96" s="15"/>
      <c r="JOL96" s="15"/>
      <c r="JOM96" s="15"/>
      <c r="JON96" s="15"/>
      <c r="JOO96" s="15"/>
      <c r="JOP96" s="15"/>
      <c r="JOQ96" s="15"/>
      <c r="JOR96" s="15"/>
      <c r="JOS96" s="15"/>
      <c r="JOT96" s="15"/>
      <c r="JOU96" s="15"/>
      <c r="JOV96" s="15"/>
      <c r="JOW96" s="15"/>
      <c r="JOX96" s="15"/>
      <c r="JOY96" s="15"/>
      <c r="JOZ96" s="15"/>
      <c r="JPA96" s="15"/>
      <c r="JPB96" s="15"/>
      <c r="JPC96" s="15"/>
      <c r="JPD96" s="15"/>
      <c r="JPE96" s="15"/>
      <c r="JPF96" s="15"/>
      <c r="JPG96" s="15"/>
      <c r="JPH96" s="15"/>
      <c r="JPI96" s="15"/>
      <c r="JPJ96" s="15"/>
      <c r="JPK96" s="15"/>
      <c r="JPL96" s="15"/>
      <c r="JPM96" s="15"/>
      <c r="JPN96" s="15"/>
      <c r="JPO96" s="15"/>
      <c r="JPP96" s="15"/>
      <c r="JPQ96" s="15"/>
      <c r="JPR96" s="15"/>
      <c r="JPS96" s="15"/>
      <c r="JPT96" s="15"/>
      <c r="JPU96" s="15"/>
      <c r="JPV96" s="15"/>
      <c r="JPW96" s="15"/>
      <c r="JPX96" s="15"/>
      <c r="JPY96" s="15"/>
      <c r="JPZ96" s="15"/>
      <c r="JQA96" s="15"/>
      <c r="JQB96" s="15"/>
      <c r="JQC96" s="15"/>
      <c r="JQD96" s="15"/>
      <c r="JQE96" s="15"/>
      <c r="JQF96" s="15"/>
      <c r="JQG96" s="15"/>
      <c r="JQH96" s="15"/>
      <c r="JQI96" s="15"/>
      <c r="JQJ96" s="15"/>
      <c r="JQK96" s="15"/>
      <c r="JQL96" s="15"/>
      <c r="JQM96" s="15"/>
      <c r="JQN96" s="15"/>
      <c r="JQO96" s="15"/>
      <c r="JQP96" s="15"/>
      <c r="JQQ96" s="15"/>
      <c r="JQR96" s="15"/>
      <c r="JQS96" s="15"/>
      <c r="JQT96" s="15"/>
      <c r="JQU96" s="15"/>
      <c r="JQV96" s="15"/>
      <c r="JQW96" s="15"/>
      <c r="JQX96" s="15"/>
      <c r="JQY96" s="15"/>
      <c r="JQZ96" s="15"/>
      <c r="JRA96" s="15"/>
      <c r="JRB96" s="15"/>
      <c r="JRC96" s="15"/>
      <c r="JRD96" s="15"/>
      <c r="JRE96" s="15"/>
      <c r="JRF96" s="15"/>
      <c r="JRG96" s="15"/>
      <c r="JRH96" s="15"/>
      <c r="JRI96" s="15"/>
      <c r="JRJ96" s="15"/>
      <c r="JRK96" s="15"/>
      <c r="JRL96" s="15"/>
      <c r="JRM96" s="15"/>
      <c r="JRN96" s="15"/>
      <c r="JRO96" s="15"/>
      <c r="JRP96" s="15"/>
      <c r="JRQ96" s="15"/>
      <c r="JRR96" s="15"/>
      <c r="JRS96" s="15"/>
      <c r="JRT96" s="15"/>
      <c r="JRU96" s="15"/>
      <c r="JRV96" s="15"/>
      <c r="JRW96" s="15"/>
      <c r="JRX96" s="15"/>
      <c r="JRY96" s="15"/>
      <c r="JRZ96" s="15"/>
      <c r="JSA96" s="15"/>
      <c r="JSB96" s="15"/>
      <c r="JSC96" s="15"/>
      <c r="JSD96" s="15"/>
      <c r="JSE96" s="15"/>
      <c r="JSF96" s="15"/>
      <c r="JSG96" s="15"/>
      <c r="JSH96" s="15"/>
      <c r="JSI96" s="15"/>
      <c r="JSJ96" s="15"/>
      <c r="JSK96" s="15"/>
      <c r="JSL96" s="15"/>
      <c r="JSM96" s="15"/>
      <c r="JSN96" s="15"/>
      <c r="JSO96" s="15"/>
      <c r="JSP96" s="15"/>
      <c r="JSQ96" s="15"/>
      <c r="JSR96" s="15"/>
      <c r="JSS96" s="15"/>
      <c r="JST96" s="15"/>
      <c r="JSU96" s="15"/>
      <c r="JSV96" s="15"/>
      <c r="JSW96" s="15"/>
      <c r="JSX96" s="15"/>
      <c r="JSY96" s="15"/>
      <c r="JSZ96" s="15"/>
      <c r="JTA96" s="15"/>
      <c r="JTB96" s="15"/>
      <c r="JTC96" s="15"/>
      <c r="JTD96" s="15"/>
      <c r="JTE96" s="15"/>
      <c r="JTF96" s="15"/>
      <c r="JTG96" s="15"/>
      <c r="JTH96" s="15"/>
      <c r="JTI96" s="15"/>
      <c r="JTJ96" s="15"/>
      <c r="JTK96" s="15"/>
      <c r="JTL96" s="15"/>
      <c r="JTM96" s="15"/>
      <c r="JTN96" s="15"/>
      <c r="JTO96" s="15"/>
      <c r="JTP96" s="15"/>
      <c r="JTQ96" s="15"/>
      <c r="JTR96" s="15"/>
      <c r="JTS96" s="15"/>
      <c r="JTT96" s="15"/>
      <c r="JTU96" s="15"/>
      <c r="JTV96" s="15"/>
      <c r="JTW96" s="15"/>
      <c r="JTX96" s="15"/>
      <c r="JTY96" s="15"/>
      <c r="JTZ96" s="15"/>
      <c r="JUA96" s="15"/>
      <c r="JUB96" s="15"/>
      <c r="JUC96" s="15"/>
      <c r="JUD96" s="15"/>
      <c r="JUE96" s="15"/>
      <c r="JUF96" s="15"/>
      <c r="JUG96" s="15"/>
      <c r="JUH96" s="15"/>
      <c r="JUI96" s="15"/>
      <c r="JUJ96" s="15"/>
      <c r="JUK96" s="15"/>
      <c r="JUL96" s="15"/>
      <c r="JUM96" s="15"/>
      <c r="JUN96" s="15"/>
      <c r="JUO96" s="15"/>
      <c r="JUP96" s="15"/>
      <c r="JUQ96" s="15"/>
      <c r="JUR96" s="15"/>
      <c r="JUS96" s="15"/>
      <c r="JUT96" s="15"/>
      <c r="JUU96" s="15"/>
      <c r="JUV96" s="15"/>
      <c r="JUW96" s="15"/>
      <c r="JUX96" s="15"/>
      <c r="JUY96" s="15"/>
      <c r="JUZ96" s="15"/>
      <c r="JVA96" s="15"/>
      <c r="JVB96" s="15"/>
      <c r="JVC96" s="15"/>
      <c r="JVD96" s="15"/>
      <c r="JVE96" s="15"/>
      <c r="JVF96" s="15"/>
      <c r="JVG96" s="15"/>
      <c r="JVH96" s="15"/>
      <c r="JVI96" s="15"/>
      <c r="JVJ96" s="15"/>
      <c r="JVK96" s="15"/>
      <c r="JVL96" s="15"/>
      <c r="JVM96" s="15"/>
      <c r="JVN96" s="15"/>
      <c r="JVO96" s="15"/>
      <c r="JVP96" s="15"/>
      <c r="JVQ96" s="15"/>
      <c r="JVR96" s="15"/>
      <c r="JVS96" s="15"/>
      <c r="JVT96" s="15"/>
      <c r="JVU96" s="15"/>
      <c r="JVV96" s="15"/>
      <c r="JVW96" s="15"/>
      <c r="JVX96" s="15"/>
      <c r="JVY96" s="15"/>
      <c r="JVZ96" s="15"/>
      <c r="JWA96" s="15"/>
      <c r="JWB96" s="15"/>
      <c r="JWC96" s="15"/>
      <c r="JWD96" s="15"/>
      <c r="JWE96" s="15"/>
      <c r="JWF96" s="15"/>
      <c r="JWG96" s="15"/>
      <c r="JWH96" s="15"/>
      <c r="JWI96" s="15"/>
      <c r="JWJ96" s="15"/>
      <c r="JWK96" s="15"/>
      <c r="JWL96" s="15"/>
      <c r="JWM96" s="15"/>
      <c r="JWN96" s="15"/>
      <c r="JWO96" s="15"/>
      <c r="JWP96" s="15"/>
      <c r="JWQ96" s="15"/>
      <c r="JWR96" s="15"/>
      <c r="JWS96" s="15"/>
      <c r="JWT96" s="15"/>
      <c r="JWU96" s="15"/>
      <c r="JWV96" s="15"/>
      <c r="JWW96" s="15"/>
      <c r="JWX96" s="15"/>
      <c r="JWY96" s="15"/>
      <c r="JWZ96" s="15"/>
      <c r="JXA96" s="15"/>
      <c r="JXB96" s="15"/>
      <c r="JXC96" s="15"/>
      <c r="JXD96" s="15"/>
      <c r="JXE96" s="15"/>
      <c r="JXF96" s="15"/>
      <c r="JXG96" s="15"/>
      <c r="JXH96" s="15"/>
      <c r="JXI96" s="15"/>
      <c r="JXJ96" s="15"/>
      <c r="JXK96" s="15"/>
      <c r="JXL96" s="15"/>
      <c r="JXM96" s="15"/>
      <c r="JXN96" s="15"/>
      <c r="JXO96" s="15"/>
      <c r="JXP96" s="15"/>
      <c r="JXQ96" s="15"/>
      <c r="JXR96" s="15"/>
      <c r="JXS96" s="15"/>
      <c r="JXT96" s="15"/>
      <c r="JXU96" s="15"/>
      <c r="JXV96" s="15"/>
      <c r="JXW96" s="15"/>
      <c r="JXX96" s="15"/>
      <c r="JXY96" s="15"/>
      <c r="JXZ96" s="15"/>
      <c r="JYA96" s="15"/>
      <c r="JYB96" s="15"/>
      <c r="JYC96" s="15"/>
      <c r="JYD96" s="15"/>
      <c r="JYE96" s="15"/>
      <c r="JYF96" s="15"/>
      <c r="JYG96" s="15"/>
      <c r="JYH96" s="15"/>
      <c r="JYI96" s="15"/>
      <c r="JYJ96" s="15"/>
      <c r="JYK96" s="15"/>
      <c r="JYL96" s="15"/>
      <c r="JYM96" s="15"/>
      <c r="JYN96" s="15"/>
      <c r="JYO96" s="15"/>
      <c r="JYP96" s="15"/>
      <c r="JYQ96" s="15"/>
      <c r="JYR96" s="15"/>
      <c r="JYS96" s="15"/>
      <c r="JYT96" s="15"/>
      <c r="JYU96" s="15"/>
      <c r="JYV96" s="15"/>
      <c r="JYW96" s="15"/>
      <c r="JYX96" s="15"/>
      <c r="JYY96" s="15"/>
      <c r="JYZ96" s="15"/>
      <c r="JZA96" s="15"/>
      <c r="JZB96" s="15"/>
      <c r="JZC96" s="15"/>
      <c r="JZD96" s="15"/>
      <c r="JZE96" s="15"/>
      <c r="JZF96" s="15"/>
      <c r="JZG96" s="15"/>
      <c r="JZH96" s="15"/>
      <c r="JZI96" s="15"/>
      <c r="JZJ96" s="15"/>
      <c r="JZK96" s="15"/>
      <c r="JZL96" s="15"/>
      <c r="JZM96" s="15"/>
      <c r="JZN96" s="15"/>
      <c r="JZO96" s="15"/>
      <c r="JZP96" s="15"/>
      <c r="JZQ96" s="15"/>
      <c r="JZR96" s="15"/>
      <c r="JZS96" s="15"/>
      <c r="JZT96" s="15"/>
      <c r="JZU96" s="15"/>
      <c r="JZV96" s="15"/>
      <c r="JZW96" s="15"/>
      <c r="JZX96" s="15"/>
      <c r="JZY96" s="15"/>
      <c r="JZZ96" s="15"/>
      <c r="KAA96" s="15"/>
      <c r="KAB96" s="15"/>
      <c r="KAC96" s="15"/>
      <c r="KAD96" s="15"/>
      <c r="KAE96" s="15"/>
      <c r="KAF96" s="15"/>
      <c r="KAG96" s="15"/>
      <c r="KAH96" s="15"/>
      <c r="KAI96" s="15"/>
      <c r="KAJ96" s="15"/>
      <c r="KAK96" s="15"/>
      <c r="KAL96" s="15"/>
      <c r="KAM96" s="15"/>
      <c r="KAN96" s="15"/>
      <c r="KAO96" s="15"/>
      <c r="KAP96" s="15"/>
      <c r="KAQ96" s="15"/>
      <c r="KAR96" s="15"/>
      <c r="KAS96" s="15"/>
      <c r="KAT96" s="15"/>
      <c r="KAU96" s="15"/>
      <c r="KAV96" s="15"/>
      <c r="KAW96" s="15"/>
      <c r="KAX96" s="15"/>
      <c r="KAY96" s="15"/>
      <c r="KAZ96" s="15"/>
      <c r="KBA96" s="15"/>
      <c r="KBB96" s="15"/>
      <c r="KBC96" s="15"/>
      <c r="KBD96" s="15"/>
      <c r="KBE96" s="15"/>
      <c r="KBF96" s="15"/>
      <c r="KBG96" s="15"/>
      <c r="KBH96" s="15"/>
      <c r="KBI96" s="15"/>
      <c r="KBJ96" s="15"/>
      <c r="KBK96" s="15"/>
      <c r="KBL96" s="15"/>
      <c r="KBM96" s="15"/>
      <c r="KBN96" s="15"/>
      <c r="KBO96" s="15"/>
      <c r="KBP96" s="15"/>
      <c r="KBQ96" s="15"/>
      <c r="KBR96" s="15"/>
      <c r="KBS96" s="15"/>
      <c r="KBT96" s="15"/>
      <c r="KBU96" s="15"/>
      <c r="KBV96" s="15"/>
      <c r="KBW96" s="15"/>
      <c r="KBX96" s="15"/>
      <c r="KBY96" s="15"/>
      <c r="KBZ96" s="15"/>
      <c r="KCA96" s="15"/>
      <c r="KCB96" s="15"/>
      <c r="KCC96" s="15"/>
      <c r="KCD96" s="15"/>
      <c r="KCE96" s="15"/>
      <c r="KCF96" s="15"/>
      <c r="KCG96" s="15"/>
      <c r="KCH96" s="15"/>
      <c r="KCI96" s="15"/>
      <c r="KCJ96" s="15"/>
      <c r="KCK96" s="15"/>
      <c r="KCL96" s="15"/>
      <c r="KCM96" s="15"/>
      <c r="KCN96" s="15"/>
      <c r="KCO96" s="15"/>
      <c r="KCP96" s="15"/>
      <c r="KCQ96" s="15"/>
      <c r="KCR96" s="15"/>
      <c r="KCS96" s="15"/>
      <c r="KCT96" s="15"/>
      <c r="KCU96" s="15"/>
      <c r="KCV96" s="15"/>
      <c r="KCW96" s="15"/>
      <c r="KCX96" s="15"/>
      <c r="KCY96" s="15"/>
      <c r="KCZ96" s="15"/>
      <c r="KDA96" s="15"/>
      <c r="KDB96" s="15"/>
      <c r="KDC96" s="15"/>
      <c r="KDD96" s="15"/>
      <c r="KDE96" s="15"/>
      <c r="KDF96" s="15"/>
      <c r="KDG96" s="15"/>
      <c r="KDH96" s="15"/>
      <c r="KDI96" s="15"/>
      <c r="KDJ96" s="15"/>
      <c r="KDK96" s="15"/>
      <c r="KDL96" s="15"/>
      <c r="KDM96" s="15"/>
      <c r="KDN96" s="15"/>
      <c r="KDO96" s="15"/>
      <c r="KDP96" s="15"/>
      <c r="KDQ96" s="15"/>
      <c r="KDR96" s="15"/>
      <c r="KDS96" s="15"/>
      <c r="KDT96" s="15"/>
      <c r="KDU96" s="15"/>
      <c r="KDV96" s="15"/>
      <c r="KDW96" s="15"/>
      <c r="KDX96" s="15"/>
      <c r="KDY96" s="15"/>
      <c r="KDZ96" s="15"/>
      <c r="KEA96" s="15"/>
      <c r="KEB96" s="15"/>
      <c r="KEC96" s="15"/>
      <c r="KED96" s="15"/>
      <c r="KEE96" s="15"/>
      <c r="KEF96" s="15"/>
      <c r="KEG96" s="15"/>
      <c r="KEH96" s="15"/>
      <c r="KEI96" s="15"/>
      <c r="KEJ96" s="15"/>
      <c r="KEK96" s="15"/>
      <c r="KEL96" s="15"/>
      <c r="KEM96" s="15"/>
      <c r="KEN96" s="15"/>
      <c r="KEO96" s="15"/>
      <c r="KEP96" s="15"/>
      <c r="KEQ96" s="15"/>
      <c r="KER96" s="15"/>
      <c r="KES96" s="15"/>
      <c r="KET96" s="15"/>
      <c r="KEU96" s="15"/>
      <c r="KEV96" s="15"/>
      <c r="KEW96" s="15"/>
      <c r="KEX96" s="15"/>
      <c r="KEY96" s="15"/>
      <c r="KEZ96" s="15"/>
      <c r="KFA96" s="15"/>
      <c r="KFB96" s="15"/>
      <c r="KFC96" s="15"/>
      <c r="KFD96" s="15"/>
      <c r="KFE96" s="15"/>
      <c r="KFF96" s="15"/>
      <c r="KFG96" s="15"/>
      <c r="KFH96" s="15"/>
      <c r="KFI96" s="15"/>
      <c r="KFJ96" s="15"/>
      <c r="KFK96" s="15"/>
      <c r="KFL96" s="15"/>
      <c r="KFM96" s="15"/>
      <c r="KFN96" s="15"/>
      <c r="KFO96" s="15"/>
      <c r="KFP96" s="15"/>
      <c r="KFQ96" s="15"/>
      <c r="KFR96" s="15"/>
      <c r="KFS96" s="15"/>
      <c r="KFT96" s="15"/>
      <c r="KFU96" s="15"/>
      <c r="KFV96" s="15"/>
      <c r="KFW96" s="15"/>
      <c r="KFX96" s="15"/>
      <c r="KFY96" s="15"/>
      <c r="KFZ96" s="15"/>
      <c r="KGA96" s="15"/>
      <c r="KGB96" s="15"/>
      <c r="KGC96" s="15"/>
      <c r="KGD96" s="15"/>
      <c r="KGE96" s="15"/>
      <c r="KGF96" s="15"/>
      <c r="KGG96" s="15"/>
      <c r="KGH96" s="15"/>
      <c r="KGI96" s="15"/>
      <c r="KGJ96" s="15"/>
      <c r="KGK96" s="15"/>
      <c r="KGL96" s="15"/>
      <c r="KGM96" s="15"/>
      <c r="KGN96" s="15"/>
      <c r="KGO96" s="15"/>
      <c r="KGP96" s="15"/>
      <c r="KGQ96" s="15"/>
      <c r="KGR96" s="15"/>
      <c r="KGS96" s="15"/>
      <c r="KGT96" s="15"/>
      <c r="KGU96" s="15"/>
      <c r="KGV96" s="15"/>
      <c r="KGW96" s="15"/>
      <c r="KGX96" s="15"/>
      <c r="KGY96" s="15"/>
      <c r="KGZ96" s="15"/>
      <c r="KHA96" s="15"/>
      <c r="KHB96" s="15"/>
      <c r="KHC96" s="15"/>
      <c r="KHD96" s="15"/>
      <c r="KHE96" s="15"/>
      <c r="KHF96" s="15"/>
      <c r="KHG96" s="15"/>
      <c r="KHH96" s="15"/>
      <c r="KHI96" s="15"/>
      <c r="KHJ96" s="15"/>
      <c r="KHK96" s="15"/>
      <c r="KHL96" s="15"/>
      <c r="KHM96" s="15"/>
      <c r="KHN96" s="15"/>
      <c r="KHO96" s="15"/>
      <c r="KHP96" s="15"/>
      <c r="KHQ96" s="15"/>
      <c r="KHR96" s="15"/>
      <c r="KHS96" s="15"/>
      <c r="KHT96" s="15"/>
      <c r="KHU96" s="15"/>
      <c r="KHV96" s="15"/>
      <c r="KHW96" s="15"/>
      <c r="KHX96" s="15"/>
      <c r="KHY96" s="15"/>
      <c r="KHZ96" s="15"/>
      <c r="KIA96" s="15"/>
      <c r="KIB96" s="15"/>
      <c r="KIC96" s="15"/>
      <c r="KID96" s="15"/>
      <c r="KIE96" s="15"/>
      <c r="KIF96" s="15"/>
      <c r="KIG96" s="15"/>
      <c r="KIH96" s="15"/>
      <c r="KII96" s="15"/>
      <c r="KIJ96" s="15"/>
      <c r="KIK96" s="15"/>
      <c r="KIL96" s="15"/>
      <c r="KIM96" s="15"/>
      <c r="KIN96" s="15"/>
      <c r="KIO96" s="15"/>
      <c r="KIP96" s="15"/>
      <c r="KIQ96" s="15"/>
      <c r="KIR96" s="15"/>
      <c r="KIS96" s="15"/>
      <c r="KIT96" s="15"/>
      <c r="KIU96" s="15"/>
      <c r="KIV96" s="15"/>
      <c r="KIW96" s="15"/>
      <c r="KIX96" s="15"/>
      <c r="KIY96" s="15"/>
      <c r="KIZ96" s="15"/>
      <c r="KJA96" s="15"/>
      <c r="KJB96" s="15"/>
      <c r="KJC96" s="15"/>
      <c r="KJD96" s="15"/>
      <c r="KJE96" s="15"/>
      <c r="KJF96" s="15"/>
      <c r="KJG96" s="15"/>
      <c r="KJH96" s="15"/>
      <c r="KJI96" s="15"/>
      <c r="KJJ96" s="15"/>
      <c r="KJK96" s="15"/>
      <c r="KJL96" s="15"/>
      <c r="KJM96" s="15"/>
      <c r="KJN96" s="15"/>
      <c r="KJO96" s="15"/>
      <c r="KJP96" s="15"/>
      <c r="KJQ96" s="15"/>
      <c r="KJR96" s="15"/>
      <c r="KJS96" s="15"/>
      <c r="KJT96" s="15"/>
      <c r="KJU96" s="15"/>
      <c r="KJV96" s="15"/>
      <c r="KJW96" s="15"/>
      <c r="KJX96" s="15"/>
      <c r="KJY96" s="15"/>
      <c r="KJZ96" s="15"/>
      <c r="KKA96" s="15"/>
      <c r="KKB96" s="15"/>
      <c r="KKC96" s="15"/>
      <c r="KKD96" s="15"/>
      <c r="KKE96" s="15"/>
      <c r="KKF96" s="15"/>
      <c r="KKG96" s="15"/>
      <c r="KKH96" s="15"/>
      <c r="KKI96" s="15"/>
      <c r="KKJ96" s="15"/>
      <c r="KKK96" s="15"/>
      <c r="KKL96" s="15"/>
      <c r="KKM96" s="15"/>
      <c r="KKN96" s="15"/>
      <c r="KKO96" s="15"/>
      <c r="KKP96" s="15"/>
      <c r="KKQ96" s="15"/>
      <c r="KKR96" s="15"/>
      <c r="KKS96" s="15"/>
      <c r="KKT96" s="15"/>
      <c r="KKU96" s="15"/>
      <c r="KKV96" s="15"/>
      <c r="KKW96" s="15"/>
      <c r="KKX96" s="15"/>
      <c r="KKY96" s="15"/>
      <c r="KKZ96" s="15"/>
      <c r="KLA96" s="15"/>
      <c r="KLB96" s="15"/>
      <c r="KLC96" s="15"/>
      <c r="KLD96" s="15"/>
      <c r="KLE96" s="15"/>
      <c r="KLF96" s="15"/>
      <c r="KLG96" s="15"/>
      <c r="KLH96" s="15"/>
      <c r="KLI96" s="15"/>
      <c r="KLJ96" s="15"/>
      <c r="KLK96" s="15"/>
      <c r="KLL96" s="15"/>
      <c r="KLM96" s="15"/>
      <c r="KLN96" s="15"/>
      <c r="KLO96" s="15"/>
      <c r="KLP96" s="15"/>
      <c r="KLQ96" s="15"/>
      <c r="KLR96" s="15"/>
      <c r="KLS96" s="15"/>
      <c r="KLT96" s="15"/>
      <c r="KLU96" s="15"/>
      <c r="KLV96" s="15"/>
      <c r="KLW96" s="15"/>
      <c r="KLX96" s="15"/>
      <c r="KLY96" s="15"/>
      <c r="KLZ96" s="15"/>
      <c r="KMA96" s="15"/>
      <c r="KMB96" s="15"/>
      <c r="KMC96" s="15"/>
      <c r="KMD96" s="15"/>
      <c r="KME96" s="15"/>
      <c r="KMF96" s="15"/>
      <c r="KMG96" s="15"/>
      <c r="KMH96" s="15"/>
      <c r="KMI96" s="15"/>
      <c r="KMJ96" s="15"/>
      <c r="KMK96" s="15"/>
      <c r="KML96" s="15"/>
      <c r="KMM96" s="15"/>
      <c r="KMN96" s="15"/>
      <c r="KMO96" s="15"/>
      <c r="KMP96" s="15"/>
      <c r="KMQ96" s="15"/>
      <c r="KMR96" s="15"/>
      <c r="KMS96" s="15"/>
      <c r="KMT96" s="15"/>
      <c r="KMU96" s="15"/>
      <c r="KMV96" s="15"/>
      <c r="KMW96" s="15"/>
      <c r="KMX96" s="15"/>
      <c r="KMY96" s="15"/>
      <c r="KMZ96" s="15"/>
      <c r="KNA96" s="15"/>
      <c r="KNB96" s="15"/>
      <c r="KNC96" s="15"/>
      <c r="KND96" s="15"/>
      <c r="KNE96" s="15"/>
      <c r="KNF96" s="15"/>
      <c r="KNG96" s="15"/>
      <c r="KNH96" s="15"/>
      <c r="KNI96" s="15"/>
      <c r="KNJ96" s="15"/>
      <c r="KNK96" s="15"/>
      <c r="KNL96" s="15"/>
      <c r="KNM96" s="15"/>
      <c r="KNN96" s="15"/>
      <c r="KNO96" s="15"/>
      <c r="KNP96" s="15"/>
      <c r="KNQ96" s="15"/>
      <c r="KNR96" s="15"/>
      <c r="KNS96" s="15"/>
      <c r="KNT96" s="15"/>
      <c r="KNU96" s="15"/>
      <c r="KNV96" s="15"/>
      <c r="KNW96" s="15"/>
      <c r="KNX96" s="15"/>
      <c r="KNY96" s="15"/>
      <c r="KNZ96" s="15"/>
      <c r="KOA96" s="15"/>
      <c r="KOB96" s="15"/>
      <c r="KOC96" s="15"/>
      <c r="KOD96" s="15"/>
      <c r="KOE96" s="15"/>
      <c r="KOF96" s="15"/>
      <c r="KOG96" s="15"/>
      <c r="KOH96" s="15"/>
      <c r="KOI96" s="15"/>
      <c r="KOJ96" s="15"/>
      <c r="KOK96" s="15"/>
      <c r="KOL96" s="15"/>
      <c r="KOM96" s="15"/>
      <c r="KON96" s="15"/>
      <c r="KOO96" s="15"/>
      <c r="KOP96" s="15"/>
      <c r="KOQ96" s="15"/>
      <c r="KOR96" s="15"/>
      <c r="KOS96" s="15"/>
      <c r="KOT96" s="15"/>
      <c r="KOU96" s="15"/>
      <c r="KOV96" s="15"/>
      <c r="KOW96" s="15"/>
      <c r="KOX96" s="15"/>
      <c r="KOY96" s="15"/>
      <c r="KOZ96" s="15"/>
      <c r="KPA96" s="15"/>
      <c r="KPB96" s="15"/>
      <c r="KPC96" s="15"/>
      <c r="KPD96" s="15"/>
      <c r="KPE96" s="15"/>
      <c r="KPF96" s="15"/>
      <c r="KPG96" s="15"/>
      <c r="KPH96" s="15"/>
      <c r="KPI96" s="15"/>
      <c r="KPJ96" s="15"/>
      <c r="KPK96" s="15"/>
      <c r="KPL96" s="15"/>
      <c r="KPM96" s="15"/>
      <c r="KPN96" s="15"/>
      <c r="KPO96" s="15"/>
      <c r="KPP96" s="15"/>
      <c r="KPQ96" s="15"/>
      <c r="KPR96" s="15"/>
      <c r="KPS96" s="15"/>
      <c r="KPT96" s="15"/>
      <c r="KPU96" s="15"/>
      <c r="KPV96" s="15"/>
      <c r="KPW96" s="15"/>
      <c r="KPX96" s="15"/>
      <c r="KPY96" s="15"/>
      <c r="KPZ96" s="15"/>
      <c r="KQA96" s="15"/>
      <c r="KQB96" s="15"/>
      <c r="KQC96" s="15"/>
      <c r="KQD96" s="15"/>
      <c r="KQE96" s="15"/>
      <c r="KQF96" s="15"/>
      <c r="KQG96" s="15"/>
      <c r="KQH96" s="15"/>
      <c r="KQI96" s="15"/>
      <c r="KQJ96" s="15"/>
      <c r="KQK96" s="15"/>
      <c r="KQL96" s="15"/>
      <c r="KQM96" s="15"/>
      <c r="KQN96" s="15"/>
      <c r="KQO96" s="15"/>
      <c r="KQP96" s="15"/>
      <c r="KQQ96" s="15"/>
      <c r="KQR96" s="15"/>
      <c r="KQS96" s="15"/>
      <c r="KQT96" s="15"/>
      <c r="KQU96" s="15"/>
      <c r="KQV96" s="15"/>
      <c r="KQW96" s="15"/>
      <c r="KQX96" s="15"/>
      <c r="KQY96" s="15"/>
      <c r="KQZ96" s="15"/>
      <c r="KRA96" s="15"/>
      <c r="KRB96" s="15"/>
      <c r="KRC96" s="15"/>
      <c r="KRD96" s="15"/>
      <c r="KRE96" s="15"/>
      <c r="KRF96" s="15"/>
      <c r="KRG96" s="15"/>
      <c r="KRH96" s="15"/>
      <c r="KRI96" s="15"/>
      <c r="KRJ96" s="15"/>
      <c r="KRK96" s="15"/>
      <c r="KRL96" s="15"/>
      <c r="KRM96" s="15"/>
      <c r="KRN96" s="15"/>
      <c r="KRO96" s="15"/>
      <c r="KRP96" s="15"/>
      <c r="KRQ96" s="15"/>
      <c r="KRR96" s="15"/>
      <c r="KRS96" s="15"/>
      <c r="KRT96" s="15"/>
      <c r="KRU96" s="15"/>
      <c r="KRV96" s="15"/>
      <c r="KRW96" s="15"/>
      <c r="KRX96" s="15"/>
      <c r="KRY96" s="15"/>
      <c r="KRZ96" s="15"/>
      <c r="KSA96" s="15"/>
      <c r="KSB96" s="15"/>
      <c r="KSC96" s="15"/>
      <c r="KSD96" s="15"/>
      <c r="KSE96" s="15"/>
      <c r="KSF96" s="15"/>
      <c r="KSG96" s="15"/>
      <c r="KSH96" s="15"/>
      <c r="KSI96" s="15"/>
      <c r="KSJ96" s="15"/>
      <c r="KSK96" s="15"/>
      <c r="KSL96" s="15"/>
      <c r="KSM96" s="15"/>
      <c r="KSN96" s="15"/>
      <c r="KSO96" s="15"/>
      <c r="KSP96" s="15"/>
      <c r="KSQ96" s="15"/>
      <c r="KSR96" s="15"/>
      <c r="KSS96" s="15"/>
      <c r="KST96" s="15"/>
      <c r="KSU96" s="15"/>
      <c r="KSV96" s="15"/>
      <c r="KSW96" s="15"/>
      <c r="KSX96" s="15"/>
      <c r="KSY96" s="15"/>
      <c r="KSZ96" s="15"/>
      <c r="KTA96" s="15"/>
      <c r="KTB96" s="15"/>
      <c r="KTC96" s="15"/>
      <c r="KTD96" s="15"/>
      <c r="KTE96" s="15"/>
      <c r="KTF96" s="15"/>
      <c r="KTG96" s="15"/>
      <c r="KTH96" s="15"/>
      <c r="KTI96" s="15"/>
      <c r="KTJ96" s="15"/>
      <c r="KTK96" s="15"/>
      <c r="KTL96" s="15"/>
      <c r="KTM96" s="15"/>
      <c r="KTN96" s="15"/>
      <c r="KTO96" s="15"/>
      <c r="KTP96" s="15"/>
      <c r="KTQ96" s="15"/>
      <c r="KTR96" s="15"/>
      <c r="KTS96" s="15"/>
      <c r="KTT96" s="15"/>
      <c r="KTU96" s="15"/>
      <c r="KTV96" s="15"/>
      <c r="KTW96" s="15"/>
      <c r="KTX96" s="15"/>
      <c r="KTY96" s="15"/>
      <c r="KTZ96" s="15"/>
      <c r="KUA96" s="15"/>
      <c r="KUB96" s="15"/>
      <c r="KUC96" s="15"/>
      <c r="KUD96" s="15"/>
      <c r="KUE96" s="15"/>
      <c r="KUF96" s="15"/>
      <c r="KUG96" s="15"/>
      <c r="KUH96" s="15"/>
      <c r="KUI96" s="15"/>
      <c r="KUJ96" s="15"/>
      <c r="KUK96" s="15"/>
      <c r="KUL96" s="15"/>
      <c r="KUM96" s="15"/>
      <c r="KUN96" s="15"/>
      <c r="KUO96" s="15"/>
      <c r="KUP96" s="15"/>
      <c r="KUQ96" s="15"/>
      <c r="KUR96" s="15"/>
      <c r="KUS96" s="15"/>
      <c r="KUT96" s="15"/>
      <c r="KUU96" s="15"/>
      <c r="KUV96" s="15"/>
      <c r="KUW96" s="15"/>
      <c r="KUX96" s="15"/>
      <c r="KUY96" s="15"/>
      <c r="KUZ96" s="15"/>
      <c r="KVA96" s="15"/>
      <c r="KVB96" s="15"/>
      <c r="KVC96" s="15"/>
      <c r="KVD96" s="15"/>
      <c r="KVE96" s="15"/>
      <c r="KVF96" s="15"/>
      <c r="KVG96" s="15"/>
      <c r="KVH96" s="15"/>
      <c r="KVI96" s="15"/>
      <c r="KVJ96" s="15"/>
      <c r="KVK96" s="15"/>
      <c r="KVL96" s="15"/>
      <c r="KVM96" s="15"/>
      <c r="KVN96" s="15"/>
      <c r="KVO96" s="15"/>
      <c r="KVP96" s="15"/>
      <c r="KVQ96" s="15"/>
      <c r="KVR96" s="15"/>
      <c r="KVS96" s="15"/>
      <c r="KVT96" s="15"/>
      <c r="KVU96" s="15"/>
      <c r="KVV96" s="15"/>
      <c r="KVW96" s="15"/>
      <c r="KVX96" s="15"/>
      <c r="KVY96" s="15"/>
      <c r="KVZ96" s="15"/>
      <c r="KWA96" s="15"/>
      <c r="KWB96" s="15"/>
      <c r="KWC96" s="15"/>
      <c r="KWD96" s="15"/>
      <c r="KWE96" s="15"/>
      <c r="KWF96" s="15"/>
      <c r="KWG96" s="15"/>
      <c r="KWH96" s="15"/>
      <c r="KWI96" s="15"/>
      <c r="KWJ96" s="15"/>
      <c r="KWK96" s="15"/>
      <c r="KWL96" s="15"/>
      <c r="KWM96" s="15"/>
      <c r="KWN96" s="15"/>
      <c r="KWO96" s="15"/>
      <c r="KWP96" s="15"/>
      <c r="KWQ96" s="15"/>
      <c r="KWR96" s="15"/>
      <c r="KWS96" s="15"/>
      <c r="KWT96" s="15"/>
      <c r="KWU96" s="15"/>
      <c r="KWV96" s="15"/>
      <c r="KWW96" s="15"/>
      <c r="KWX96" s="15"/>
      <c r="KWY96" s="15"/>
      <c r="KWZ96" s="15"/>
      <c r="KXA96" s="15"/>
      <c r="KXB96" s="15"/>
      <c r="KXC96" s="15"/>
      <c r="KXD96" s="15"/>
      <c r="KXE96" s="15"/>
      <c r="KXF96" s="15"/>
      <c r="KXG96" s="15"/>
      <c r="KXH96" s="15"/>
      <c r="KXI96" s="15"/>
      <c r="KXJ96" s="15"/>
      <c r="KXK96" s="15"/>
      <c r="KXL96" s="15"/>
      <c r="KXM96" s="15"/>
      <c r="KXN96" s="15"/>
      <c r="KXO96" s="15"/>
      <c r="KXP96" s="15"/>
      <c r="KXQ96" s="15"/>
      <c r="KXR96" s="15"/>
      <c r="KXS96" s="15"/>
      <c r="KXT96" s="15"/>
      <c r="KXU96" s="15"/>
      <c r="KXV96" s="15"/>
      <c r="KXW96" s="15"/>
      <c r="KXX96" s="15"/>
      <c r="KXY96" s="15"/>
      <c r="KXZ96" s="15"/>
      <c r="KYA96" s="15"/>
      <c r="KYB96" s="15"/>
      <c r="KYC96" s="15"/>
      <c r="KYD96" s="15"/>
      <c r="KYE96" s="15"/>
      <c r="KYF96" s="15"/>
      <c r="KYG96" s="15"/>
      <c r="KYH96" s="15"/>
      <c r="KYI96" s="15"/>
      <c r="KYJ96" s="15"/>
      <c r="KYK96" s="15"/>
      <c r="KYL96" s="15"/>
      <c r="KYM96" s="15"/>
      <c r="KYN96" s="15"/>
      <c r="KYO96" s="15"/>
      <c r="KYP96" s="15"/>
      <c r="KYQ96" s="15"/>
      <c r="KYR96" s="15"/>
      <c r="KYS96" s="15"/>
      <c r="KYT96" s="15"/>
      <c r="KYU96" s="15"/>
      <c r="KYV96" s="15"/>
      <c r="KYW96" s="15"/>
      <c r="KYX96" s="15"/>
      <c r="KYY96" s="15"/>
      <c r="KYZ96" s="15"/>
      <c r="KZA96" s="15"/>
      <c r="KZB96" s="15"/>
      <c r="KZC96" s="15"/>
      <c r="KZD96" s="15"/>
      <c r="KZE96" s="15"/>
      <c r="KZF96" s="15"/>
      <c r="KZG96" s="15"/>
      <c r="KZH96" s="15"/>
      <c r="KZI96" s="15"/>
      <c r="KZJ96" s="15"/>
      <c r="KZK96" s="15"/>
      <c r="KZL96" s="15"/>
      <c r="KZM96" s="15"/>
      <c r="KZN96" s="15"/>
      <c r="KZO96" s="15"/>
      <c r="KZP96" s="15"/>
      <c r="KZQ96" s="15"/>
      <c r="KZR96" s="15"/>
      <c r="KZS96" s="15"/>
      <c r="KZT96" s="15"/>
      <c r="KZU96" s="15"/>
      <c r="KZV96" s="15"/>
      <c r="KZW96" s="15"/>
      <c r="KZX96" s="15"/>
      <c r="KZY96" s="15"/>
      <c r="KZZ96" s="15"/>
      <c r="LAA96" s="15"/>
      <c r="LAB96" s="15"/>
      <c r="LAC96" s="15"/>
      <c r="LAD96" s="15"/>
      <c r="LAE96" s="15"/>
      <c r="LAF96" s="15"/>
      <c r="LAG96" s="15"/>
      <c r="LAH96" s="15"/>
      <c r="LAI96" s="15"/>
      <c r="LAJ96" s="15"/>
      <c r="LAK96" s="15"/>
      <c r="LAL96" s="15"/>
      <c r="LAM96" s="15"/>
      <c r="LAN96" s="15"/>
      <c r="LAO96" s="15"/>
      <c r="LAP96" s="15"/>
      <c r="LAQ96" s="15"/>
      <c r="LAR96" s="15"/>
      <c r="LAS96" s="15"/>
      <c r="LAT96" s="15"/>
      <c r="LAU96" s="15"/>
      <c r="LAV96" s="15"/>
      <c r="LAW96" s="15"/>
      <c r="LAX96" s="15"/>
      <c r="LAY96" s="15"/>
      <c r="LAZ96" s="15"/>
      <c r="LBA96" s="15"/>
      <c r="LBB96" s="15"/>
      <c r="LBC96" s="15"/>
      <c r="LBD96" s="15"/>
      <c r="LBE96" s="15"/>
      <c r="LBF96" s="15"/>
      <c r="LBG96" s="15"/>
      <c r="LBH96" s="15"/>
      <c r="LBI96" s="15"/>
      <c r="LBJ96" s="15"/>
      <c r="LBK96" s="15"/>
      <c r="LBL96" s="15"/>
      <c r="LBM96" s="15"/>
      <c r="LBN96" s="15"/>
      <c r="LBO96" s="15"/>
      <c r="LBP96" s="15"/>
      <c r="LBQ96" s="15"/>
      <c r="LBR96" s="15"/>
      <c r="LBS96" s="15"/>
      <c r="LBT96" s="15"/>
      <c r="LBU96" s="15"/>
      <c r="LBV96" s="15"/>
      <c r="LBW96" s="15"/>
      <c r="LBX96" s="15"/>
      <c r="LBY96" s="15"/>
      <c r="LBZ96" s="15"/>
      <c r="LCA96" s="15"/>
      <c r="LCB96" s="15"/>
      <c r="LCC96" s="15"/>
      <c r="LCD96" s="15"/>
      <c r="LCE96" s="15"/>
      <c r="LCF96" s="15"/>
      <c r="LCG96" s="15"/>
      <c r="LCH96" s="15"/>
      <c r="LCI96" s="15"/>
      <c r="LCJ96" s="15"/>
      <c r="LCK96" s="15"/>
      <c r="LCL96" s="15"/>
      <c r="LCM96" s="15"/>
      <c r="LCN96" s="15"/>
      <c r="LCO96" s="15"/>
      <c r="LCP96" s="15"/>
      <c r="LCQ96" s="15"/>
      <c r="LCR96" s="15"/>
      <c r="LCS96" s="15"/>
      <c r="LCT96" s="15"/>
      <c r="LCU96" s="15"/>
      <c r="LCV96" s="15"/>
      <c r="LCW96" s="15"/>
      <c r="LCX96" s="15"/>
      <c r="LCY96" s="15"/>
      <c r="LCZ96" s="15"/>
      <c r="LDA96" s="15"/>
      <c r="LDB96" s="15"/>
      <c r="LDC96" s="15"/>
      <c r="LDD96" s="15"/>
      <c r="LDE96" s="15"/>
      <c r="LDF96" s="15"/>
      <c r="LDG96" s="15"/>
      <c r="LDH96" s="15"/>
      <c r="LDI96" s="15"/>
      <c r="LDJ96" s="15"/>
      <c r="LDK96" s="15"/>
      <c r="LDL96" s="15"/>
      <c r="LDM96" s="15"/>
      <c r="LDN96" s="15"/>
      <c r="LDO96" s="15"/>
      <c r="LDP96" s="15"/>
      <c r="LDQ96" s="15"/>
      <c r="LDR96" s="15"/>
      <c r="LDS96" s="15"/>
      <c r="LDT96" s="15"/>
      <c r="LDU96" s="15"/>
      <c r="LDV96" s="15"/>
      <c r="LDW96" s="15"/>
      <c r="LDX96" s="15"/>
      <c r="LDY96" s="15"/>
      <c r="LDZ96" s="15"/>
      <c r="LEA96" s="15"/>
      <c r="LEB96" s="15"/>
      <c r="LEC96" s="15"/>
      <c r="LED96" s="15"/>
      <c r="LEE96" s="15"/>
      <c r="LEF96" s="15"/>
      <c r="LEG96" s="15"/>
      <c r="LEH96" s="15"/>
      <c r="LEI96" s="15"/>
      <c r="LEJ96" s="15"/>
      <c r="LEK96" s="15"/>
      <c r="LEL96" s="15"/>
      <c r="LEM96" s="15"/>
      <c r="LEN96" s="15"/>
      <c r="LEO96" s="15"/>
      <c r="LEP96" s="15"/>
      <c r="LEQ96" s="15"/>
      <c r="LER96" s="15"/>
      <c r="LES96" s="15"/>
      <c r="LET96" s="15"/>
      <c r="LEU96" s="15"/>
      <c r="LEV96" s="15"/>
      <c r="LEW96" s="15"/>
      <c r="LEX96" s="15"/>
      <c r="LEY96" s="15"/>
      <c r="LEZ96" s="15"/>
      <c r="LFA96" s="15"/>
      <c r="LFB96" s="15"/>
      <c r="LFC96" s="15"/>
      <c r="LFD96" s="15"/>
      <c r="LFE96" s="15"/>
      <c r="LFF96" s="15"/>
      <c r="LFG96" s="15"/>
      <c r="LFH96" s="15"/>
      <c r="LFI96" s="15"/>
      <c r="LFJ96" s="15"/>
      <c r="LFK96" s="15"/>
      <c r="LFL96" s="15"/>
      <c r="LFM96" s="15"/>
      <c r="LFN96" s="15"/>
      <c r="LFO96" s="15"/>
      <c r="LFP96" s="15"/>
      <c r="LFQ96" s="15"/>
      <c r="LFR96" s="15"/>
      <c r="LFS96" s="15"/>
      <c r="LFT96" s="15"/>
      <c r="LFU96" s="15"/>
      <c r="LFV96" s="15"/>
      <c r="LFW96" s="15"/>
      <c r="LFX96" s="15"/>
      <c r="LFY96" s="15"/>
      <c r="LFZ96" s="15"/>
      <c r="LGA96" s="15"/>
      <c r="LGB96" s="15"/>
      <c r="LGC96" s="15"/>
      <c r="LGD96" s="15"/>
      <c r="LGE96" s="15"/>
      <c r="LGF96" s="15"/>
      <c r="LGG96" s="15"/>
      <c r="LGH96" s="15"/>
      <c r="LGI96" s="15"/>
      <c r="LGJ96" s="15"/>
      <c r="LGK96" s="15"/>
      <c r="LGL96" s="15"/>
      <c r="LGM96" s="15"/>
      <c r="LGN96" s="15"/>
      <c r="LGO96" s="15"/>
      <c r="LGP96" s="15"/>
      <c r="LGQ96" s="15"/>
      <c r="LGR96" s="15"/>
      <c r="LGS96" s="15"/>
      <c r="LGT96" s="15"/>
      <c r="LGU96" s="15"/>
      <c r="LGV96" s="15"/>
      <c r="LGW96" s="15"/>
      <c r="LGX96" s="15"/>
      <c r="LGY96" s="15"/>
      <c r="LGZ96" s="15"/>
      <c r="LHA96" s="15"/>
      <c r="LHB96" s="15"/>
      <c r="LHC96" s="15"/>
      <c r="LHD96" s="15"/>
      <c r="LHE96" s="15"/>
      <c r="LHF96" s="15"/>
      <c r="LHG96" s="15"/>
      <c r="LHH96" s="15"/>
      <c r="LHI96" s="15"/>
      <c r="LHJ96" s="15"/>
      <c r="LHK96" s="15"/>
      <c r="LHL96" s="15"/>
      <c r="LHM96" s="15"/>
      <c r="LHN96" s="15"/>
      <c r="LHO96" s="15"/>
      <c r="LHP96" s="15"/>
      <c r="LHQ96" s="15"/>
      <c r="LHR96" s="15"/>
      <c r="LHS96" s="15"/>
      <c r="LHT96" s="15"/>
      <c r="LHU96" s="15"/>
      <c r="LHV96" s="15"/>
      <c r="LHW96" s="15"/>
      <c r="LHX96" s="15"/>
      <c r="LHY96" s="15"/>
      <c r="LHZ96" s="15"/>
      <c r="LIA96" s="15"/>
      <c r="LIB96" s="15"/>
      <c r="LIC96" s="15"/>
      <c r="LID96" s="15"/>
      <c r="LIE96" s="15"/>
      <c r="LIF96" s="15"/>
      <c r="LIG96" s="15"/>
      <c r="LIH96" s="15"/>
      <c r="LII96" s="15"/>
      <c r="LIJ96" s="15"/>
      <c r="LIK96" s="15"/>
      <c r="LIL96" s="15"/>
      <c r="LIM96" s="15"/>
      <c r="LIN96" s="15"/>
      <c r="LIO96" s="15"/>
      <c r="LIP96" s="15"/>
      <c r="LIQ96" s="15"/>
      <c r="LIR96" s="15"/>
      <c r="LIS96" s="15"/>
      <c r="LIT96" s="15"/>
      <c r="LIU96" s="15"/>
      <c r="LIV96" s="15"/>
      <c r="LIW96" s="15"/>
      <c r="LIX96" s="15"/>
      <c r="LIY96" s="15"/>
      <c r="LIZ96" s="15"/>
      <c r="LJA96" s="15"/>
      <c r="LJB96" s="15"/>
      <c r="LJC96" s="15"/>
      <c r="LJD96" s="15"/>
      <c r="LJE96" s="15"/>
      <c r="LJF96" s="15"/>
      <c r="LJG96" s="15"/>
      <c r="LJH96" s="15"/>
      <c r="LJI96" s="15"/>
      <c r="LJJ96" s="15"/>
      <c r="LJK96" s="15"/>
      <c r="LJL96" s="15"/>
      <c r="LJM96" s="15"/>
      <c r="LJN96" s="15"/>
      <c r="LJO96" s="15"/>
      <c r="LJP96" s="15"/>
      <c r="LJQ96" s="15"/>
      <c r="LJR96" s="15"/>
      <c r="LJS96" s="15"/>
      <c r="LJT96" s="15"/>
      <c r="LJU96" s="15"/>
      <c r="LJV96" s="15"/>
      <c r="LJW96" s="15"/>
      <c r="LJX96" s="15"/>
      <c r="LJY96" s="15"/>
      <c r="LJZ96" s="15"/>
      <c r="LKA96" s="15"/>
      <c r="LKB96" s="15"/>
      <c r="LKC96" s="15"/>
      <c r="LKD96" s="15"/>
      <c r="LKE96" s="15"/>
      <c r="LKF96" s="15"/>
      <c r="LKG96" s="15"/>
      <c r="LKH96" s="15"/>
      <c r="LKI96" s="15"/>
      <c r="LKJ96" s="15"/>
      <c r="LKK96" s="15"/>
      <c r="LKL96" s="15"/>
      <c r="LKM96" s="15"/>
      <c r="LKN96" s="15"/>
      <c r="LKO96" s="15"/>
      <c r="LKP96" s="15"/>
      <c r="LKQ96" s="15"/>
      <c r="LKR96" s="15"/>
      <c r="LKS96" s="15"/>
      <c r="LKT96" s="15"/>
      <c r="LKU96" s="15"/>
      <c r="LKV96" s="15"/>
      <c r="LKW96" s="15"/>
      <c r="LKX96" s="15"/>
      <c r="LKY96" s="15"/>
      <c r="LKZ96" s="15"/>
      <c r="LLA96" s="15"/>
      <c r="LLB96" s="15"/>
      <c r="LLC96" s="15"/>
      <c r="LLD96" s="15"/>
      <c r="LLE96" s="15"/>
      <c r="LLF96" s="15"/>
      <c r="LLG96" s="15"/>
      <c r="LLH96" s="15"/>
      <c r="LLI96" s="15"/>
      <c r="LLJ96" s="15"/>
      <c r="LLK96" s="15"/>
      <c r="LLL96" s="15"/>
      <c r="LLM96" s="15"/>
      <c r="LLN96" s="15"/>
      <c r="LLO96" s="15"/>
      <c r="LLP96" s="15"/>
      <c r="LLQ96" s="15"/>
      <c r="LLR96" s="15"/>
      <c r="LLS96" s="15"/>
      <c r="LLT96" s="15"/>
      <c r="LLU96" s="15"/>
      <c r="LLV96" s="15"/>
      <c r="LLW96" s="15"/>
      <c r="LLX96" s="15"/>
      <c r="LLY96" s="15"/>
      <c r="LLZ96" s="15"/>
      <c r="LMA96" s="15"/>
      <c r="LMB96" s="15"/>
      <c r="LMC96" s="15"/>
      <c r="LMD96" s="15"/>
      <c r="LME96" s="15"/>
      <c r="LMF96" s="15"/>
      <c r="LMG96" s="15"/>
      <c r="LMH96" s="15"/>
      <c r="LMI96" s="15"/>
      <c r="LMJ96" s="15"/>
      <c r="LMK96" s="15"/>
      <c r="LML96" s="15"/>
      <c r="LMM96" s="15"/>
      <c r="LMN96" s="15"/>
      <c r="LMO96" s="15"/>
      <c r="LMP96" s="15"/>
      <c r="LMQ96" s="15"/>
      <c r="LMR96" s="15"/>
      <c r="LMS96" s="15"/>
      <c r="LMT96" s="15"/>
      <c r="LMU96" s="15"/>
      <c r="LMV96" s="15"/>
      <c r="LMW96" s="15"/>
      <c r="LMX96" s="15"/>
      <c r="LMY96" s="15"/>
      <c r="LMZ96" s="15"/>
      <c r="LNA96" s="15"/>
      <c r="LNB96" s="15"/>
      <c r="LNC96" s="15"/>
      <c r="LND96" s="15"/>
      <c r="LNE96" s="15"/>
      <c r="LNF96" s="15"/>
      <c r="LNG96" s="15"/>
      <c r="LNH96" s="15"/>
      <c r="LNI96" s="15"/>
      <c r="LNJ96" s="15"/>
      <c r="LNK96" s="15"/>
      <c r="LNL96" s="15"/>
      <c r="LNM96" s="15"/>
      <c r="LNN96" s="15"/>
      <c r="LNO96" s="15"/>
      <c r="LNP96" s="15"/>
      <c r="LNQ96" s="15"/>
      <c r="LNR96" s="15"/>
      <c r="LNS96" s="15"/>
      <c r="LNT96" s="15"/>
      <c r="LNU96" s="15"/>
      <c r="LNV96" s="15"/>
      <c r="LNW96" s="15"/>
      <c r="LNX96" s="15"/>
      <c r="LNY96" s="15"/>
      <c r="LNZ96" s="15"/>
      <c r="LOA96" s="15"/>
      <c r="LOB96" s="15"/>
      <c r="LOC96" s="15"/>
      <c r="LOD96" s="15"/>
      <c r="LOE96" s="15"/>
      <c r="LOF96" s="15"/>
      <c r="LOG96" s="15"/>
      <c r="LOH96" s="15"/>
      <c r="LOI96" s="15"/>
      <c r="LOJ96" s="15"/>
      <c r="LOK96" s="15"/>
      <c r="LOL96" s="15"/>
      <c r="LOM96" s="15"/>
      <c r="LON96" s="15"/>
      <c r="LOO96" s="15"/>
      <c r="LOP96" s="15"/>
      <c r="LOQ96" s="15"/>
      <c r="LOR96" s="15"/>
      <c r="LOS96" s="15"/>
      <c r="LOT96" s="15"/>
      <c r="LOU96" s="15"/>
      <c r="LOV96" s="15"/>
      <c r="LOW96" s="15"/>
      <c r="LOX96" s="15"/>
      <c r="LOY96" s="15"/>
      <c r="LOZ96" s="15"/>
      <c r="LPA96" s="15"/>
      <c r="LPB96" s="15"/>
      <c r="LPC96" s="15"/>
      <c r="LPD96" s="15"/>
      <c r="LPE96" s="15"/>
      <c r="LPF96" s="15"/>
      <c r="LPG96" s="15"/>
      <c r="LPH96" s="15"/>
      <c r="LPI96" s="15"/>
      <c r="LPJ96" s="15"/>
      <c r="LPK96" s="15"/>
      <c r="LPL96" s="15"/>
      <c r="LPM96" s="15"/>
      <c r="LPN96" s="15"/>
      <c r="LPO96" s="15"/>
      <c r="LPP96" s="15"/>
      <c r="LPQ96" s="15"/>
      <c r="LPR96" s="15"/>
      <c r="LPS96" s="15"/>
      <c r="LPT96" s="15"/>
      <c r="LPU96" s="15"/>
      <c r="LPV96" s="15"/>
      <c r="LPW96" s="15"/>
      <c r="LPX96" s="15"/>
      <c r="LPY96" s="15"/>
      <c r="LPZ96" s="15"/>
      <c r="LQA96" s="15"/>
      <c r="LQB96" s="15"/>
      <c r="LQC96" s="15"/>
      <c r="LQD96" s="15"/>
      <c r="LQE96" s="15"/>
      <c r="LQF96" s="15"/>
      <c r="LQG96" s="15"/>
      <c r="LQH96" s="15"/>
      <c r="LQI96" s="15"/>
      <c r="LQJ96" s="15"/>
      <c r="LQK96" s="15"/>
      <c r="LQL96" s="15"/>
      <c r="LQM96" s="15"/>
      <c r="LQN96" s="15"/>
      <c r="LQO96" s="15"/>
      <c r="LQP96" s="15"/>
      <c r="LQQ96" s="15"/>
      <c r="LQR96" s="15"/>
      <c r="LQS96" s="15"/>
      <c r="LQT96" s="15"/>
      <c r="LQU96" s="15"/>
      <c r="LQV96" s="15"/>
      <c r="LQW96" s="15"/>
      <c r="LQX96" s="15"/>
      <c r="LQY96" s="15"/>
      <c r="LQZ96" s="15"/>
      <c r="LRA96" s="15"/>
      <c r="LRB96" s="15"/>
      <c r="LRC96" s="15"/>
      <c r="LRD96" s="15"/>
      <c r="LRE96" s="15"/>
      <c r="LRF96" s="15"/>
      <c r="LRG96" s="15"/>
      <c r="LRH96" s="15"/>
      <c r="LRI96" s="15"/>
      <c r="LRJ96" s="15"/>
      <c r="LRK96" s="15"/>
      <c r="LRL96" s="15"/>
      <c r="LRM96" s="15"/>
      <c r="LRN96" s="15"/>
      <c r="LRO96" s="15"/>
      <c r="LRP96" s="15"/>
      <c r="LRQ96" s="15"/>
      <c r="LRR96" s="15"/>
      <c r="LRS96" s="15"/>
      <c r="LRT96" s="15"/>
      <c r="LRU96" s="15"/>
      <c r="LRV96" s="15"/>
      <c r="LRW96" s="15"/>
      <c r="LRX96" s="15"/>
      <c r="LRY96" s="15"/>
      <c r="LRZ96" s="15"/>
      <c r="LSA96" s="15"/>
      <c r="LSB96" s="15"/>
      <c r="LSC96" s="15"/>
      <c r="LSD96" s="15"/>
      <c r="LSE96" s="15"/>
      <c r="LSF96" s="15"/>
      <c r="LSG96" s="15"/>
      <c r="LSH96" s="15"/>
      <c r="LSI96" s="15"/>
      <c r="LSJ96" s="15"/>
      <c r="LSK96" s="15"/>
      <c r="LSL96" s="15"/>
      <c r="LSM96" s="15"/>
      <c r="LSN96" s="15"/>
      <c r="LSO96" s="15"/>
      <c r="LSP96" s="15"/>
      <c r="LSQ96" s="15"/>
      <c r="LSR96" s="15"/>
      <c r="LSS96" s="15"/>
      <c r="LST96" s="15"/>
      <c r="LSU96" s="15"/>
      <c r="LSV96" s="15"/>
      <c r="LSW96" s="15"/>
      <c r="LSX96" s="15"/>
      <c r="LSY96" s="15"/>
      <c r="LSZ96" s="15"/>
      <c r="LTA96" s="15"/>
      <c r="LTB96" s="15"/>
      <c r="LTC96" s="15"/>
      <c r="LTD96" s="15"/>
      <c r="LTE96" s="15"/>
      <c r="LTF96" s="15"/>
      <c r="LTG96" s="15"/>
      <c r="LTH96" s="15"/>
      <c r="LTI96" s="15"/>
      <c r="LTJ96" s="15"/>
      <c r="LTK96" s="15"/>
      <c r="LTL96" s="15"/>
      <c r="LTM96" s="15"/>
      <c r="LTN96" s="15"/>
      <c r="LTO96" s="15"/>
      <c r="LTP96" s="15"/>
      <c r="LTQ96" s="15"/>
      <c r="LTR96" s="15"/>
      <c r="LTS96" s="15"/>
      <c r="LTT96" s="15"/>
      <c r="LTU96" s="15"/>
      <c r="LTV96" s="15"/>
      <c r="LTW96" s="15"/>
      <c r="LTX96" s="15"/>
      <c r="LTY96" s="15"/>
      <c r="LTZ96" s="15"/>
      <c r="LUA96" s="15"/>
      <c r="LUB96" s="15"/>
      <c r="LUC96" s="15"/>
      <c r="LUD96" s="15"/>
      <c r="LUE96" s="15"/>
      <c r="LUF96" s="15"/>
      <c r="LUG96" s="15"/>
      <c r="LUH96" s="15"/>
      <c r="LUI96" s="15"/>
      <c r="LUJ96" s="15"/>
      <c r="LUK96" s="15"/>
      <c r="LUL96" s="15"/>
      <c r="LUM96" s="15"/>
      <c r="LUN96" s="15"/>
      <c r="LUO96" s="15"/>
      <c r="LUP96" s="15"/>
      <c r="LUQ96" s="15"/>
      <c r="LUR96" s="15"/>
      <c r="LUS96" s="15"/>
      <c r="LUT96" s="15"/>
      <c r="LUU96" s="15"/>
      <c r="LUV96" s="15"/>
      <c r="LUW96" s="15"/>
      <c r="LUX96" s="15"/>
      <c r="LUY96" s="15"/>
      <c r="LUZ96" s="15"/>
      <c r="LVA96" s="15"/>
      <c r="LVB96" s="15"/>
      <c r="LVC96" s="15"/>
      <c r="LVD96" s="15"/>
      <c r="LVE96" s="15"/>
      <c r="LVF96" s="15"/>
      <c r="LVG96" s="15"/>
      <c r="LVH96" s="15"/>
      <c r="LVI96" s="15"/>
      <c r="LVJ96" s="15"/>
      <c r="LVK96" s="15"/>
      <c r="LVL96" s="15"/>
      <c r="LVM96" s="15"/>
      <c r="LVN96" s="15"/>
      <c r="LVO96" s="15"/>
      <c r="LVP96" s="15"/>
      <c r="LVQ96" s="15"/>
      <c r="LVR96" s="15"/>
      <c r="LVS96" s="15"/>
      <c r="LVT96" s="15"/>
      <c r="LVU96" s="15"/>
      <c r="LVV96" s="15"/>
      <c r="LVW96" s="15"/>
      <c r="LVX96" s="15"/>
      <c r="LVY96" s="15"/>
      <c r="LVZ96" s="15"/>
      <c r="LWA96" s="15"/>
      <c r="LWB96" s="15"/>
      <c r="LWC96" s="15"/>
      <c r="LWD96" s="15"/>
      <c r="LWE96" s="15"/>
      <c r="LWF96" s="15"/>
      <c r="LWG96" s="15"/>
      <c r="LWH96" s="15"/>
      <c r="LWI96" s="15"/>
      <c r="LWJ96" s="15"/>
      <c r="LWK96" s="15"/>
      <c r="LWL96" s="15"/>
      <c r="LWM96" s="15"/>
      <c r="LWN96" s="15"/>
      <c r="LWO96" s="15"/>
      <c r="LWP96" s="15"/>
      <c r="LWQ96" s="15"/>
      <c r="LWR96" s="15"/>
      <c r="LWS96" s="15"/>
      <c r="LWT96" s="15"/>
      <c r="LWU96" s="15"/>
      <c r="LWV96" s="15"/>
      <c r="LWW96" s="15"/>
      <c r="LWX96" s="15"/>
      <c r="LWY96" s="15"/>
      <c r="LWZ96" s="15"/>
      <c r="LXA96" s="15"/>
      <c r="LXB96" s="15"/>
      <c r="LXC96" s="15"/>
      <c r="LXD96" s="15"/>
      <c r="LXE96" s="15"/>
      <c r="LXF96" s="15"/>
      <c r="LXG96" s="15"/>
      <c r="LXH96" s="15"/>
      <c r="LXI96" s="15"/>
      <c r="LXJ96" s="15"/>
      <c r="LXK96" s="15"/>
      <c r="LXL96" s="15"/>
      <c r="LXM96" s="15"/>
      <c r="LXN96" s="15"/>
      <c r="LXO96" s="15"/>
      <c r="LXP96" s="15"/>
      <c r="LXQ96" s="15"/>
      <c r="LXR96" s="15"/>
      <c r="LXS96" s="15"/>
      <c r="LXT96" s="15"/>
      <c r="LXU96" s="15"/>
      <c r="LXV96" s="15"/>
      <c r="LXW96" s="15"/>
      <c r="LXX96" s="15"/>
      <c r="LXY96" s="15"/>
      <c r="LXZ96" s="15"/>
      <c r="LYA96" s="15"/>
      <c r="LYB96" s="15"/>
      <c r="LYC96" s="15"/>
      <c r="LYD96" s="15"/>
      <c r="LYE96" s="15"/>
      <c r="LYF96" s="15"/>
      <c r="LYG96" s="15"/>
      <c r="LYH96" s="15"/>
      <c r="LYI96" s="15"/>
      <c r="LYJ96" s="15"/>
      <c r="LYK96" s="15"/>
      <c r="LYL96" s="15"/>
      <c r="LYM96" s="15"/>
      <c r="LYN96" s="15"/>
      <c r="LYO96" s="15"/>
      <c r="LYP96" s="15"/>
      <c r="LYQ96" s="15"/>
      <c r="LYR96" s="15"/>
      <c r="LYS96" s="15"/>
      <c r="LYT96" s="15"/>
      <c r="LYU96" s="15"/>
      <c r="LYV96" s="15"/>
      <c r="LYW96" s="15"/>
      <c r="LYX96" s="15"/>
      <c r="LYY96" s="15"/>
      <c r="LYZ96" s="15"/>
      <c r="LZA96" s="15"/>
      <c r="LZB96" s="15"/>
      <c r="LZC96" s="15"/>
      <c r="LZD96" s="15"/>
      <c r="LZE96" s="15"/>
      <c r="LZF96" s="15"/>
      <c r="LZG96" s="15"/>
      <c r="LZH96" s="15"/>
      <c r="LZI96" s="15"/>
      <c r="LZJ96" s="15"/>
      <c r="LZK96" s="15"/>
      <c r="LZL96" s="15"/>
      <c r="LZM96" s="15"/>
      <c r="LZN96" s="15"/>
      <c r="LZO96" s="15"/>
      <c r="LZP96" s="15"/>
      <c r="LZQ96" s="15"/>
      <c r="LZR96" s="15"/>
      <c r="LZS96" s="15"/>
      <c r="LZT96" s="15"/>
      <c r="LZU96" s="15"/>
      <c r="LZV96" s="15"/>
      <c r="LZW96" s="15"/>
      <c r="LZX96" s="15"/>
      <c r="LZY96" s="15"/>
      <c r="LZZ96" s="15"/>
      <c r="MAA96" s="15"/>
      <c r="MAB96" s="15"/>
      <c r="MAC96" s="15"/>
      <c r="MAD96" s="15"/>
      <c r="MAE96" s="15"/>
      <c r="MAF96" s="15"/>
      <c r="MAG96" s="15"/>
      <c r="MAH96" s="15"/>
      <c r="MAI96" s="15"/>
      <c r="MAJ96" s="15"/>
      <c r="MAK96" s="15"/>
      <c r="MAL96" s="15"/>
      <c r="MAM96" s="15"/>
      <c r="MAN96" s="15"/>
      <c r="MAO96" s="15"/>
      <c r="MAP96" s="15"/>
      <c r="MAQ96" s="15"/>
      <c r="MAR96" s="15"/>
      <c r="MAS96" s="15"/>
      <c r="MAT96" s="15"/>
      <c r="MAU96" s="15"/>
      <c r="MAV96" s="15"/>
      <c r="MAW96" s="15"/>
      <c r="MAX96" s="15"/>
      <c r="MAY96" s="15"/>
      <c r="MAZ96" s="15"/>
      <c r="MBA96" s="15"/>
      <c r="MBB96" s="15"/>
      <c r="MBC96" s="15"/>
      <c r="MBD96" s="15"/>
      <c r="MBE96" s="15"/>
      <c r="MBF96" s="15"/>
      <c r="MBG96" s="15"/>
      <c r="MBH96" s="15"/>
      <c r="MBI96" s="15"/>
      <c r="MBJ96" s="15"/>
      <c r="MBK96" s="15"/>
      <c r="MBL96" s="15"/>
      <c r="MBM96" s="15"/>
      <c r="MBN96" s="15"/>
      <c r="MBO96" s="15"/>
      <c r="MBP96" s="15"/>
      <c r="MBQ96" s="15"/>
      <c r="MBR96" s="15"/>
      <c r="MBS96" s="15"/>
      <c r="MBT96" s="15"/>
      <c r="MBU96" s="15"/>
      <c r="MBV96" s="15"/>
      <c r="MBW96" s="15"/>
      <c r="MBX96" s="15"/>
      <c r="MBY96" s="15"/>
      <c r="MBZ96" s="15"/>
      <c r="MCA96" s="15"/>
      <c r="MCB96" s="15"/>
      <c r="MCC96" s="15"/>
      <c r="MCD96" s="15"/>
      <c r="MCE96" s="15"/>
      <c r="MCF96" s="15"/>
      <c r="MCG96" s="15"/>
      <c r="MCH96" s="15"/>
      <c r="MCI96" s="15"/>
      <c r="MCJ96" s="15"/>
      <c r="MCK96" s="15"/>
      <c r="MCL96" s="15"/>
      <c r="MCM96" s="15"/>
      <c r="MCN96" s="15"/>
      <c r="MCO96" s="15"/>
      <c r="MCP96" s="15"/>
      <c r="MCQ96" s="15"/>
      <c r="MCR96" s="15"/>
      <c r="MCS96" s="15"/>
      <c r="MCT96" s="15"/>
      <c r="MCU96" s="15"/>
      <c r="MCV96" s="15"/>
      <c r="MCW96" s="15"/>
      <c r="MCX96" s="15"/>
      <c r="MCY96" s="15"/>
      <c r="MCZ96" s="15"/>
      <c r="MDA96" s="15"/>
      <c r="MDB96" s="15"/>
      <c r="MDC96" s="15"/>
      <c r="MDD96" s="15"/>
      <c r="MDE96" s="15"/>
      <c r="MDF96" s="15"/>
      <c r="MDG96" s="15"/>
      <c r="MDH96" s="15"/>
      <c r="MDI96" s="15"/>
      <c r="MDJ96" s="15"/>
      <c r="MDK96" s="15"/>
      <c r="MDL96" s="15"/>
      <c r="MDM96" s="15"/>
      <c r="MDN96" s="15"/>
      <c r="MDO96" s="15"/>
      <c r="MDP96" s="15"/>
      <c r="MDQ96" s="15"/>
      <c r="MDR96" s="15"/>
      <c r="MDS96" s="15"/>
      <c r="MDT96" s="15"/>
      <c r="MDU96" s="15"/>
      <c r="MDV96" s="15"/>
      <c r="MDW96" s="15"/>
      <c r="MDX96" s="15"/>
      <c r="MDY96" s="15"/>
      <c r="MDZ96" s="15"/>
      <c r="MEA96" s="15"/>
      <c r="MEB96" s="15"/>
      <c r="MEC96" s="15"/>
      <c r="MED96" s="15"/>
      <c r="MEE96" s="15"/>
      <c r="MEF96" s="15"/>
      <c r="MEG96" s="15"/>
      <c r="MEH96" s="15"/>
      <c r="MEI96" s="15"/>
      <c r="MEJ96" s="15"/>
      <c r="MEK96" s="15"/>
      <c r="MEL96" s="15"/>
      <c r="MEM96" s="15"/>
      <c r="MEN96" s="15"/>
      <c r="MEO96" s="15"/>
      <c r="MEP96" s="15"/>
      <c r="MEQ96" s="15"/>
      <c r="MER96" s="15"/>
      <c r="MES96" s="15"/>
      <c r="MET96" s="15"/>
      <c r="MEU96" s="15"/>
      <c r="MEV96" s="15"/>
      <c r="MEW96" s="15"/>
      <c r="MEX96" s="15"/>
      <c r="MEY96" s="15"/>
      <c r="MEZ96" s="15"/>
      <c r="MFA96" s="15"/>
      <c r="MFB96" s="15"/>
      <c r="MFC96" s="15"/>
      <c r="MFD96" s="15"/>
      <c r="MFE96" s="15"/>
      <c r="MFF96" s="15"/>
      <c r="MFG96" s="15"/>
      <c r="MFH96" s="15"/>
      <c r="MFI96" s="15"/>
      <c r="MFJ96" s="15"/>
      <c r="MFK96" s="15"/>
      <c r="MFL96" s="15"/>
      <c r="MFM96" s="15"/>
      <c r="MFN96" s="15"/>
      <c r="MFO96" s="15"/>
      <c r="MFP96" s="15"/>
      <c r="MFQ96" s="15"/>
      <c r="MFR96" s="15"/>
      <c r="MFS96" s="15"/>
      <c r="MFT96" s="15"/>
      <c r="MFU96" s="15"/>
      <c r="MFV96" s="15"/>
      <c r="MFW96" s="15"/>
      <c r="MFX96" s="15"/>
      <c r="MFY96" s="15"/>
      <c r="MFZ96" s="15"/>
      <c r="MGA96" s="15"/>
      <c r="MGB96" s="15"/>
      <c r="MGC96" s="15"/>
      <c r="MGD96" s="15"/>
      <c r="MGE96" s="15"/>
      <c r="MGF96" s="15"/>
      <c r="MGG96" s="15"/>
      <c r="MGH96" s="15"/>
      <c r="MGI96" s="15"/>
      <c r="MGJ96" s="15"/>
      <c r="MGK96" s="15"/>
      <c r="MGL96" s="15"/>
      <c r="MGM96" s="15"/>
      <c r="MGN96" s="15"/>
      <c r="MGO96" s="15"/>
      <c r="MGP96" s="15"/>
      <c r="MGQ96" s="15"/>
      <c r="MGR96" s="15"/>
      <c r="MGS96" s="15"/>
      <c r="MGT96" s="15"/>
      <c r="MGU96" s="15"/>
      <c r="MGV96" s="15"/>
      <c r="MGW96" s="15"/>
      <c r="MGX96" s="15"/>
      <c r="MGY96" s="15"/>
      <c r="MGZ96" s="15"/>
      <c r="MHA96" s="15"/>
      <c r="MHB96" s="15"/>
      <c r="MHC96" s="15"/>
      <c r="MHD96" s="15"/>
      <c r="MHE96" s="15"/>
      <c r="MHF96" s="15"/>
      <c r="MHG96" s="15"/>
      <c r="MHH96" s="15"/>
      <c r="MHI96" s="15"/>
      <c r="MHJ96" s="15"/>
      <c r="MHK96" s="15"/>
      <c r="MHL96" s="15"/>
      <c r="MHM96" s="15"/>
      <c r="MHN96" s="15"/>
      <c r="MHO96" s="15"/>
      <c r="MHP96" s="15"/>
      <c r="MHQ96" s="15"/>
      <c r="MHR96" s="15"/>
      <c r="MHS96" s="15"/>
      <c r="MHT96" s="15"/>
      <c r="MHU96" s="15"/>
      <c r="MHV96" s="15"/>
      <c r="MHW96" s="15"/>
      <c r="MHX96" s="15"/>
      <c r="MHY96" s="15"/>
      <c r="MHZ96" s="15"/>
      <c r="MIA96" s="15"/>
      <c r="MIB96" s="15"/>
      <c r="MIC96" s="15"/>
      <c r="MID96" s="15"/>
      <c r="MIE96" s="15"/>
      <c r="MIF96" s="15"/>
      <c r="MIG96" s="15"/>
      <c r="MIH96" s="15"/>
      <c r="MII96" s="15"/>
      <c r="MIJ96" s="15"/>
      <c r="MIK96" s="15"/>
      <c r="MIL96" s="15"/>
      <c r="MIM96" s="15"/>
      <c r="MIN96" s="15"/>
      <c r="MIO96" s="15"/>
      <c r="MIP96" s="15"/>
      <c r="MIQ96" s="15"/>
      <c r="MIR96" s="15"/>
      <c r="MIS96" s="15"/>
      <c r="MIT96" s="15"/>
      <c r="MIU96" s="15"/>
      <c r="MIV96" s="15"/>
      <c r="MIW96" s="15"/>
      <c r="MIX96" s="15"/>
      <c r="MIY96" s="15"/>
      <c r="MIZ96" s="15"/>
      <c r="MJA96" s="15"/>
      <c r="MJB96" s="15"/>
      <c r="MJC96" s="15"/>
      <c r="MJD96" s="15"/>
      <c r="MJE96" s="15"/>
      <c r="MJF96" s="15"/>
      <c r="MJG96" s="15"/>
      <c r="MJH96" s="15"/>
      <c r="MJI96" s="15"/>
      <c r="MJJ96" s="15"/>
      <c r="MJK96" s="15"/>
      <c r="MJL96" s="15"/>
      <c r="MJM96" s="15"/>
      <c r="MJN96" s="15"/>
      <c r="MJO96" s="15"/>
      <c r="MJP96" s="15"/>
      <c r="MJQ96" s="15"/>
      <c r="MJR96" s="15"/>
      <c r="MJS96" s="15"/>
      <c r="MJT96" s="15"/>
      <c r="MJU96" s="15"/>
      <c r="MJV96" s="15"/>
      <c r="MJW96" s="15"/>
      <c r="MJX96" s="15"/>
      <c r="MJY96" s="15"/>
      <c r="MJZ96" s="15"/>
      <c r="MKA96" s="15"/>
      <c r="MKB96" s="15"/>
      <c r="MKC96" s="15"/>
      <c r="MKD96" s="15"/>
      <c r="MKE96" s="15"/>
      <c r="MKF96" s="15"/>
      <c r="MKG96" s="15"/>
      <c r="MKH96" s="15"/>
      <c r="MKI96" s="15"/>
      <c r="MKJ96" s="15"/>
      <c r="MKK96" s="15"/>
      <c r="MKL96" s="15"/>
      <c r="MKM96" s="15"/>
      <c r="MKN96" s="15"/>
      <c r="MKO96" s="15"/>
      <c r="MKP96" s="15"/>
      <c r="MKQ96" s="15"/>
      <c r="MKR96" s="15"/>
      <c r="MKS96" s="15"/>
      <c r="MKT96" s="15"/>
      <c r="MKU96" s="15"/>
      <c r="MKV96" s="15"/>
      <c r="MKW96" s="15"/>
      <c r="MKX96" s="15"/>
      <c r="MKY96" s="15"/>
      <c r="MKZ96" s="15"/>
      <c r="MLA96" s="15"/>
      <c r="MLB96" s="15"/>
      <c r="MLC96" s="15"/>
      <c r="MLD96" s="15"/>
      <c r="MLE96" s="15"/>
      <c r="MLF96" s="15"/>
      <c r="MLG96" s="15"/>
      <c r="MLH96" s="15"/>
      <c r="MLI96" s="15"/>
      <c r="MLJ96" s="15"/>
      <c r="MLK96" s="15"/>
      <c r="MLL96" s="15"/>
      <c r="MLM96" s="15"/>
      <c r="MLN96" s="15"/>
      <c r="MLO96" s="15"/>
      <c r="MLP96" s="15"/>
      <c r="MLQ96" s="15"/>
      <c r="MLR96" s="15"/>
      <c r="MLS96" s="15"/>
      <c r="MLT96" s="15"/>
      <c r="MLU96" s="15"/>
      <c r="MLV96" s="15"/>
      <c r="MLW96" s="15"/>
      <c r="MLX96" s="15"/>
      <c r="MLY96" s="15"/>
      <c r="MLZ96" s="15"/>
      <c r="MMA96" s="15"/>
      <c r="MMB96" s="15"/>
      <c r="MMC96" s="15"/>
      <c r="MMD96" s="15"/>
      <c r="MME96" s="15"/>
      <c r="MMF96" s="15"/>
      <c r="MMG96" s="15"/>
      <c r="MMH96" s="15"/>
      <c r="MMI96" s="15"/>
      <c r="MMJ96" s="15"/>
      <c r="MMK96" s="15"/>
      <c r="MML96" s="15"/>
      <c r="MMM96" s="15"/>
      <c r="MMN96" s="15"/>
      <c r="MMO96" s="15"/>
      <c r="MMP96" s="15"/>
      <c r="MMQ96" s="15"/>
      <c r="MMR96" s="15"/>
      <c r="MMS96" s="15"/>
      <c r="MMT96" s="15"/>
      <c r="MMU96" s="15"/>
      <c r="MMV96" s="15"/>
      <c r="MMW96" s="15"/>
      <c r="MMX96" s="15"/>
      <c r="MMY96" s="15"/>
      <c r="MMZ96" s="15"/>
      <c r="MNA96" s="15"/>
      <c r="MNB96" s="15"/>
      <c r="MNC96" s="15"/>
      <c r="MND96" s="15"/>
      <c r="MNE96" s="15"/>
      <c r="MNF96" s="15"/>
      <c r="MNG96" s="15"/>
      <c r="MNH96" s="15"/>
      <c r="MNI96" s="15"/>
      <c r="MNJ96" s="15"/>
      <c r="MNK96" s="15"/>
      <c r="MNL96" s="15"/>
      <c r="MNM96" s="15"/>
      <c r="MNN96" s="15"/>
      <c r="MNO96" s="15"/>
      <c r="MNP96" s="15"/>
      <c r="MNQ96" s="15"/>
      <c r="MNR96" s="15"/>
      <c r="MNS96" s="15"/>
      <c r="MNT96" s="15"/>
      <c r="MNU96" s="15"/>
      <c r="MNV96" s="15"/>
      <c r="MNW96" s="15"/>
      <c r="MNX96" s="15"/>
      <c r="MNY96" s="15"/>
      <c r="MNZ96" s="15"/>
      <c r="MOA96" s="15"/>
      <c r="MOB96" s="15"/>
      <c r="MOC96" s="15"/>
      <c r="MOD96" s="15"/>
      <c r="MOE96" s="15"/>
      <c r="MOF96" s="15"/>
      <c r="MOG96" s="15"/>
      <c r="MOH96" s="15"/>
      <c r="MOI96" s="15"/>
      <c r="MOJ96" s="15"/>
      <c r="MOK96" s="15"/>
      <c r="MOL96" s="15"/>
      <c r="MOM96" s="15"/>
      <c r="MON96" s="15"/>
      <c r="MOO96" s="15"/>
      <c r="MOP96" s="15"/>
      <c r="MOQ96" s="15"/>
      <c r="MOR96" s="15"/>
      <c r="MOS96" s="15"/>
      <c r="MOT96" s="15"/>
      <c r="MOU96" s="15"/>
      <c r="MOV96" s="15"/>
      <c r="MOW96" s="15"/>
      <c r="MOX96" s="15"/>
      <c r="MOY96" s="15"/>
      <c r="MOZ96" s="15"/>
      <c r="MPA96" s="15"/>
      <c r="MPB96" s="15"/>
      <c r="MPC96" s="15"/>
      <c r="MPD96" s="15"/>
      <c r="MPE96" s="15"/>
      <c r="MPF96" s="15"/>
      <c r="MPG96" s="15"/>
      <c r="MPH96" s="15"/>
      <c r="MPI96" s="15"/>
      <c r="MPJ96" s="15"/>
      <c r="MPK96" s="15"/>
      <c r="MPL96" s="15"/>
      <c r="MPM96" s="15"/>
      <c r="MPN96" s="15"/>
      <c r="MPO96" s="15"/>
      <c r="MPP96" s="15"/>
      <c r="MPQ96" s="15"/>
      <c r="MPR96" s="15"/>
      <c r="MPS96" s="15"/>
      <c r="MPT96" s="15"/>
      <c r="MPU96" s="15"/>
      <c r="MPV96" s="15"/>
      <c r="MPW96" s="15"/>
      <c r="MPX96" s="15"/>
      <c r="MPY96" s="15"/>
      <c r="MPZ96" s="15"/>
      <c r="MQA96" s="15"/>
      <c r="MQB96" s="15"/>
      <c r="MQC96" s="15"/>
      <c r="MQD96" s="15"/>
      <c r="MQE96" s="15"/>
      <c r="MQF96" s="15"/>
      <c r="MQG96" s="15"/>
      <c r="MQH96" s="15"/>
      <c r="MQI96" s="15"/>
      <c r="MQJ96" s="15"/>
      <c r="MQK96" s="15"/>
      <c r="MQL96" s="15"/>
      <c r="MQM96" s="15"/>
      <c r="MQN96" s="15"/>
      <c r="MQO96" s="15"/>
      <c r="MQP96" s="15"/>
      <c r="MQQ96" s="15"/>
      <c r="MQR96" s="15"/>
      <c r="MQS96" s="15"/>
      <c r="MQT96" s="15"/>
      <c r="MQU96" s="15"/>
      <c r="MQV96" s="15"/>
      <c r="MQW96" s="15"/>
      <c r="MQX96" s="15"/>
      <c r="MQY96" s="15"/>
      <c r="MQZ96" s="15"/>
      <c r="MRA96" s="15"/>
      <c r="MRB96" s="15"/>
      <c r="MRC96" s="15"/>
      <c r="MRD96" s="15"/>
      <c r="MRE96" s="15"/>
      <c r="MRF96" s="15"/>
      <c r="MRG96" s="15"/>
      <c r="MRH96" s="15"/>
      <c r="MRI96" s="15"/>
      <c r="MRJ96" s="15"/>
      <c r="MRK96" s="15"/>
      <c r="MRL96" s="15"/>
      <c r="MRM96" s="15"/>
      <c r="MRN96" s="15"/>
      <c r="MRO96" s="15"/>
      <c r="MRP96" s="15"/>
      <c r="MRQ96" s="15"/>
      <c r="MRR96" s="15"/>
      <c r="MRS96" s="15"/>
      <c r="MRT96" s="15"/>
      <c r="MRU96" s="15"/>
      <c r="MRV96" s="15"/>
      <c r="MRW96" s="15"/>
      <c r="MRX96" s="15"/>
      <c r="MRY96" s="15"/>
      <c r="MRZ96" s="15"/>
      <c r="MSA96" s="15"/>
      <c r="MSB96" s="15"/>
      <c r="MSC96" s="15"/>
      <c r="MSD96" s="15"/>
      <c r="MSE96" s="15"/>
      <c r="MSF96" s="15"/>
      <c r="MSG96" s="15"/>
      <c r="MSH96" s="15"/>
      <c r="MSI96" s="15"/>
      <c r="MSJ96" s="15"/>
      <c r="MSK96" s="15"/>
      <c r="MSL96" s="15"/>
      <c r="MSM96" s="15"/>
      <c r="MSN96" s="15"/>
      <c r="MSO96" s="15"/>
      <c r="MSP96" s="15"/>
      <c r="MSQ96" s="15"/>
      <c r="MSR96" s="15"/>
      <c r="MSS96" s="15"/>
      <c r="MST96" s="15"/>
      <c r="MSU96" s="15"/>
      <c r="MSV96" s="15"/>
      <c r="MSW96" s="15"/>
      <c r="MSX96" s="15"/>
      <c r="MSY96" s="15"/>
      <c r="MSZ96" s="15"/>
      <c r="MTA96" s="15"/>
      <c r="MTB96" s="15"/>
      <c r="MTC96" s="15"/>
      <c r="MTD96" s="15"/>
      <c r="MTE96" s="15"/>
      <c r="MTF96" s="15"/>
      <c r="MTG96" s="15"/>
      <c r="MTH96" s="15"/>
      <c r="MTI96" s="15"/>
      <c r="MTJ96" s="15"/>
      <c r="MTK96" s="15"/>
      <c r="MTL96" s="15"/>
      <c r="MTM96" s="15"/>
      <c r="MTN96" s="15"/>
      <c r="MTO96" s="15"/>
      <c r="MTP96" s="15"/>
      <c r="MTQ96" s="15"/>
      <c r="MTR96" s="15"/>
      <c r="MTS96" s="15"/>
      <c r="MTT96" s="15"/>
      <c r="MTU96" s="15"/>
      <c r="MTV96" s="15"/>
      <c r="MTW96" s="15"/>
      <c r="MTX96" s="15"/>
      <c r="MTY96" s="15"/>
      <c r="MTZ96" s="15"/>
      <c r="MUA96" s="15"/>
      <c r="MUB96" s="15"/>
      <c r="MUC96" s="15"/>
      <c r="MUD96" s="15"/>
      <c r="MUE96" s="15"/>
      <c r="MUF96" s="15"/>
      <c r="MUG96" s="15"/>
      <c r="MUH96" s="15"/>
      <c r="MUI96" s="15"/>
      <c r="MUJ96" s="15"/>
      <c r="MUK96" s="15"/>
      <c r="MUL96" s="15"/>
      <c r="MUM96" s="15"/>
      <c r="MUN96" s="15"/>
      <c r="MUO96" s="15"/>
      <c r="MUP96" s="15"/>
      <c r="MUQ96" s="15"/>
      <c r="MUR96" s="15"/>
      <c r="MUS96" s="15"/>
      <c r="MUT96" s="15"/>
      <c r="MUU96" s="15"/>
      <c r="MUV96" s="15"/>
      <c r="MUW96" s="15"/>
      <c r="MUX96" s="15"/>
      <c r="MUY96" s="15"/>
      <c r="MUZ96" s="15"/>
      <c r="MVA96" s="15"/>
      <c r="MVB96" s="15"/>
      <c r="MVC96" s="15"/>
      <c r="MVD96" s="15"/>
      <c r="MVE96" s="15"/>
      <c r="MVF96" s="15"/>
      <c r="MVG96" s="15"/>
      <c r="MVH96" s="15"/>
      <c r="MVI96" s="15"/>
      <c r="MVJ96" s="15"/>
      <c r="MVK96" s="15"/>
      <c r="MVL96" s="15"/>
      <c r="MVM96" s="15"/>
      <c r="MVN96" s="15"/>
      <c r="MVO96" s="15"/>
      <c r="MVP96" s="15"/>
      <c r="MVQ96" s="15"/>
      <c r="MVR96" s="15"/>
      <c r="MVS96" s="15"/>
      <c r="MVT96" s="15"/>
      <c r="MVU96" s="15"/>
      <c r="MVV96" s="15"/>
      <c r="MVW96" s="15"/>
      <c r="MVX96" s="15"/>
      <c r="MVY96" s="15"/>
      <c r="MVZ96" s="15"/>
      <c r="MWA96" s="15"/>
      <c r="MWB96" s="15"/>
      <c r="MWC96" s="15"/>
      <c r="MWD96" s="15"/>
      <c r="MWE96" s="15"/>
      <c r="MWF96" s="15"/>
      <c r="MWG96" s="15"/>
      <c r="MWH96" s="15"/>
      <c r="MWI96" s="15"/>
      <c r="MWJ96" s="15"/>
      <c r="MWK96" s="15"/>
      <c r="MWL96" s="15"/>
      <c r="MWM96" s="15"/>
      <c r="MWN96" s="15"/>
      <c r="MWO96" s="15"/>
      <c r="MWP96" s="15"/>
      <c r="MWQ96" s="15"/>
      <c r="MWR96" s="15"/>
      <c r="MWS96" s="15"/>
      <c r="MWT96" s="15"/>
      <c r="MWU96" s="15"/>
      <c r="MWV96" s="15"/>
      <c r="MWW96" s="15"/>
      <c r="MWX96" s="15"/>
      <c r="MWY96" s="15"/>
      <c r="MWZ96" s="15"/>
      <c r="MXA96" s="15"/>
      <c r="MXB96" s="15"/>
      <c r="MXC96" s="15"/>
      <c r="MXD96" s="15"/>
      <c r="MXE96" s="15"/>
      <c r="MXF96" s="15"/>
      <c r="MXG96" s="15"/>
      <c r="MXH96" s="15"/>
      <c r="MXI96" s="15"/>
      <c r="MXJ96" s="15"/>
      <c r="MXK96" s="15"/>
      <c r="MXL96" s="15"/>
      <c r="MXM96" s="15"/>
      <c r="MXN96" s="15"/>
      <c r="MXO96" s="15"/>
      <c r="MXP96" s="15"/>
      <c r="MXQ96" s="15"/>
      <c r="MXR96" s="15"/>
      <c r="MXS96" s="15"/>
      <c r="MXT96" s="15"/>
      <c r="MXU96" s="15"/>
      <c r="MXV96" s="15"/>
      <c r="MXW96" s="15"/>
      <c r="MXX96" s="15"/>
      <c r="MXY96" s="15"/>
      <c r="MXZ96" s="15"/>
      <c r="MYA96" s="15"/>
      <c r="MYB96" s="15"/>
      <c r="MYC96" s="15"/>
      <c r="MYD96" s="15"/>
      <c r="MYE96" s="15"/>
      <c r="MYF96" s="15"/>
      <c r="MYG96" s="15"/>
      <c r="MYH96" s="15"/>
      <c r="MYI96" s="15"/>
      <c r="MYJ96" s="15"/>
      <c r="MYK96" s="15"/>
      <c r="MYL96" s="15"/>
      <c r="MYM96" s="15"/>
      <c r="MYN96" s="15"/>
      <c r="MYO96" s="15"/>
      <c r="MYP96" s="15"/>
      <c r="MYQ96" s="15"/>
      <c r="MYR96" s="15"/>
      <c r="MYS96" s="15"/>
      <c r="MYT96" s="15"/>
      <c r="MYU96" s="15"/>
      <c r="MYV96" s="15"/>
      <c r="MYW96" s="15"/>
      <c r="MYX96" s="15"/>
      <c r="MYY96" s="15"/>
      <c r="MYZ96" s="15"/>
      <c r="MZA96" s="15"/>
      <c r="MZB96" s="15"/>
      <c r="MZC96" s="15"/>
      <c r="MZD96" s="15"/>
      <c r="MZE96" s="15"/>
      <c r="MZF96" s="15"/>
      <c r="MZG96" s="15"/>
      <c r="MZH96" s="15"/>
      <c r="MZI96" s="15"/>
      <c r="MZJ96" s="15"/>
      <c r="MZK96" s="15"/>
      <c r="MZL96" s="15"/>
      <c r="MZM96" s="15"/>
      <c r="MZN96" s="15"/>
      <c r="MZO96" s="15"/>
      <c r="MZP96" s="15"/>
      <c r="MZQ96" s="15"/>
      <c r="MZR96" s="15"/>
      <c r="MZS96" s="15"/>
      <c r="MZT96" s="15"/>
      <c r="MZU96" s="15"/>
      <c r="MZV96" s="15"/>
      <c r="MZW96" s="15"/>
      <c r="MZX96" s="15"/>
      <c r="MZY96" s="15"/>
      <c r="MZZ96" s="15"/>
      <c r="NAA96" s="15"/>
      <c r="NAB96" s="15"/>
      <c r="NAC96" s="15"/>
      <c r="NAD96" s="15"/>
      <c r="NAE96" s="15"/>
      <c r="NAF96" s="15"/>
      <c r="NAG96" s="15"/>
      <c r="NAH96" s="15"/>
      <c r="NAI96" s="15"/>
      <c r="NAJ96" s="15"/>
      <c r="NAK96" s="15"/>
      <c r="NAL96" s="15"/>
      <c r="NAM96" s="15"/>
      <c r="NAN96" s="15"/>
      <c r="NAO96" s="15"/>
      <c r="NAP96" s="15"/>
      <c r="NAQ96" s="15"/>
      <c r="NAR96" s="15"/>
      <c r="NAS96" s="15"/>
      <c r="NAT96" s="15"/>
      <c r="NAU96" s="15"/>
      <c r="NAV96" s="15"/>
      <c r="NAW96" s="15"/>
      <c r="NAX96" s="15"/>
      <c r="NAY96" s="15"/>
      <c r="NAZ96" s="15"/>
      <c r="NBA96" s="15"/>
      <c r="NBB96" s="15"/>
      <c r="NBC96" s="15"/>
      <c r="NBD96" s="15"/>
      <c r="NBE96" s="15"/>
      <c r="NBF96" s="15"/>
      <c r="NBG96" s="15"/>
      <c r="NBH96" s="15"/>
      <c r="NBI96" s="15"/>
      <c r="NBJ96" s="15"/>
      <c r="NBK96" s="15"/>
      <c r="NBL96" s="15"/>
      <c r="NBM96" s="15"/>
      <c r="NBN96" s="15"/>
      <c r="NBO96" s="15"/>
      <c r="NBP96" s="15"/>
      <c r="NBQ96" s="15"/>
      <c r="NBR96" s="15"/>
      <c r="NBS96" s="15"/>
      <c r="NBT96" s="15"/>
      <c r="NBU96" s="15"/>
      <c r="NBV96" s="15"/>
      <c r="NBW96" s="15"/>
      <c r="NBX96" s="15"/>
      <c r="NBY96" s="15"/>
      <c r="NBZ96" s="15"/>
      <c r="NCA96" s="15"/>
      <c r="NCB96" s="15"/>
      <c r="NCC96" s="15"/>
      <c r="NCD96" s="15"/>
      <c r="NCE96" s="15"/>
      <c r="NCF96" s="15"/>
      <c r="NCG96" s="15"/>
      <c r="NCH96" s="15"/>
      <c r="NCI96" s="15"/>
      <c r="NCJ96" s="15"/>
      <c r="NCK96" s="15"/>
      <c r="NCL96" s="15"/>
      <c r="NCM96" s="15"/>
      <c r="NCN96" s="15"/>
      <c r="NCO96" s="15"/>
      <c r="NCP96" s="15"/>
      <c r="NCQ96" s="15"/>
      <c r="NCR96" s="15"/>
      <c r="NCS96" s="15"/>
      <c r="NCT96" s="15"/>
      <c r="NCU96" s="15"/>
      <c r="NCV96" s="15"/>
      <c r="NCW96" s="15"/>
      <c r="NCX96" s="15"/>
      <c r="NCY96" s="15"/>
      <c r="NCZ96" s="15"/>
      <c r="NDA96" s="15"/>
      <c r="NDB96" s="15"/>
      <c r="NDC96" s="15"/>
      <c r="NDD96" s="15"/>
      <c r="NDE96" s="15"/>
      <c r="NDF96" s="15"/>
      <c r="NDG96" s="15"/>
      <c r="NDH96" s="15"/>
      <c r="NDI96" s="15"/>
      <c r="NDJ96" s="15"/>
      <c r="NDK96" s="15"/>
      <c r="NDL96" s="15"/>
      <c r="NDM96" s="15"/>
      <c r="NDN96" s="15"/>
      <c r="NDO96" s="15"/>
      <c r="NDP96" s="15"/>
      <c r="NDQ96" s="15"/>
      <c r="NDR96" s="15"/>
      <c r="NDS96" s="15"/>
      <c r="NDT96" s="15"/>
      <c r="NDU96" s="15"/>
      <c r="NDV96" s="15"/>
      <c r="NDW96" s="15"/>
      <c r="NDX96" s="15"/>
      <c r="NDY96" s="15"/>
      <c r="NDZ96" s="15"/>
      <c r="NEA96" s="15"/>
      <c r="NEB96" s="15"/>
      <c r="NEC96" s="15"/>
      <c r="NED96" s="15"/>
      <c r="NEE96" s="15"/>
      <c r="NEF96" s="15"/>
      <c r="NEG96" s="15"/>
      <c r="NEH96" s="15"/>
      <c r="NEI96" s="15"/>
      <c r="NEJ96" s="15"/>
      <c r="NEK96" s="15"/>
      <c r="NEL96" s="15"/>
      <c r="NEM96" s="15"/>
      <c r="NEN96" s="15"/>
      <c r="NEO96" s="15"/>
      <c r="NEP96" s="15"/>
      <c r="NEQ96" s="15"/>
      <c r="NER96" s="15"/>
      <c r="NES96" s="15"/>
      <c r="NET96" s="15"/>
      <c r="NEU96" s="15"/>
      <c r="NEV96" s="15"/>
      <c r="NEW96" s="15"/>
      <c r="NEX96" s="15"/>
      <c r="NEY96" s="15"/>
      <c r="NEZ96" s="15"/>
      <c r="NFA96" s="15"/>
      <c r="NFB96" s="15"/>
      <c r="NFC96" s="15"/>
      <c r="NFD96" s="15"/>
      <c r="NFE96" s="15"/>
      <c r="NFF96" s="15"/>
      <c r="NFG96" s="15"/>
      <c r="NFH96" s="15"/>
      <c r="NFI96" s="15"/>
      <c r="NFJ96" s="15"/>
      <c r="NFK96" s="15"/>
      <c r="NFL96" s="15"/>
      <c r="NFM96" s="15"/>
      <c r="NFN96" s="15"/>
      <c r="NFO96" s="15"/>
      <c r="NFP96" s="15"/>
      <c r="NFQ96" s="15"/>
      <c r="NFR96" s="15"/>
      <c r="NFS96" s="15"/>
      <c r="NFT96" s="15"/>
      <c r="NFU96" s="15"/>
      <c r="NFV96" s="15"/>
      <c r="NFW96" s="15"/>
      <c r="NFX96" s="15"/>
      <c r="NFY96" s="15"/>
      <c r="NFZ96" s="15"/>
      <c r="NGA96" s="15"/>
      <c r="NGB96" s="15"/>
      <c r="NGC96" s="15"/>
      <c r="NGD96" s="15"/>
      <c r="NGE96" s="15"/>
      <c r="NGF96" s="15"/>
      <c r="NGG96" s="15"/>
      <c r="NGH96" s="15"/>
      <c r="NGI96" s="15"/>
      <c r="NGJ96" s="15"/>
      <c r="NGK96" s="15"/>
      <c r="NGL96" s="15"/>
      <c r="NGM96" s="15"/>
      <c r="NGN96" s="15"/>
      <c r="NGO96" s="15"/>
      <c r="NGP96" s="15"/>
      <c r="NGQ96" s="15"/>
      <c r="NGR96" s="15"/>
      <c r="NGS96" s="15"/>
      <c r="NGT96" s="15"/>
      <c r="NGU96" s="15"/>
      <c r="NGV96" s="15"/>
      <c r="NGW96" s="15"/>
      <c r="NGX96" s="15"/>
      <c r="NGY96" s="15"/>
      <c r="NGZ96" s="15"/>
      <c r="NHA96" s="15"/>
      <c r="NHB96" s="15"/>
      <c r="NHC96" s="15"/>
      <c r="NHD96" s="15"/>
      <c r="NHE96" s="15"/>
      <c r="NHF96" s="15"/>
      <c r="NHG96" s="15"/>
      <c r="NHH96" s="15"/>
      <c r="NHI96" s="15"/>
      <c r="NHJ96" s="15"/>
      <c r="NHK96" s="15"/>
      <c r="NHL96" s="15"/>
      <c r="NHM96" s="15"/>
      <c r="NHN96" s="15"/>
      <c r="NHO96" s="15"/>
      <c r="NHP96" s="15"/>
      <c r="NHQ96" s="15"/>
      <c r="NHR96" s="15"/>
      <c r="NHS96" s="15"/>
      <c r="NHT96" s="15"/>
      <c r="NHU96" s="15"/>
      <c r="NHV96" s="15"/>
      <c r="NHW96" s="15"/>
      <c r="NHX96" s="15"/>
      <c r="NHY96" s="15"/>
      <c r="NHZ96" s="15"/>
      <c r="NIA96" s="15"/>
      <c r="NIB96" s="15"/>
      <c r="NIC96" s="15"/>
      <c r="NID96" s="15"/>
      <c r="NIE96" s="15"/>
      <c r="NIF96" s="15"/>
      <c r="NIG96" s="15"/>
      <c r="NIH96" s="15"/>
      <c r="NII96" s="15"/>
      <c r="NIJ96" s="15"/>
      <c r="NIK96" s="15"/>
      <c r="NIL96" s="15"/>
      <c r="NIM96" s="15"/>
      <c r="NIN96" s="15"/>
      <c r="NIO96" s="15"/>
      <c r="NIP96" s="15"/>
      <c r="NIQ96" s="15"/>
      <c r="NIR96" s="15"/>
      <c r="NIS96" s="15"/>
      <c r="NIT96" s="15"/>
      <c r="NIU96" s="15"/>
      <c r="NIV96" s="15"/>
      <c r="NIW96" s="15"/>
      <c r="NIX96" s="15"/>
      <c r="NIY96" s="15"/>
      <c r="NIZ96" s="15"/>
      <c r="NJA96" s="15"/>
      <c r="NJB96" s="15"/>
      <c r="NJC96" s="15"/>
      <c r="NJD96" s="15"/>
      <c r="NJE96" s="15"/>
      <c r="NJF96" s="15"/>
      <c r="NJG96" s="15"/>
      <c r="NJH96" s="15"/>
      <c r="NJI96" s="15"/>
      <c r="NJJ96" s="15"/>
      <c r="NJK96" s="15"/>
      <c r="NJL96" s="15"/>
      <c r="NJM96" s="15"/>
      <c r="NJN96" s="15"/>
      <c r="NJO96" s="15"/>
      <c r="NJP96" s="15"/>
      <c r="NJQ96" s="15"/>
      <c r="NJR96" s="15"/>
      <c r="NJS96" s="15"/>
      <c r="NJT96" s="15"/>
      <c r="NJU96" s="15"/>
      <c r="NJV96" s="15"/>
      <c r="NJW96" s="15"/>
      <c r="NJX96" s="15"/>
      <c r="NJY96" s="15"/>
      <c r="NJZ96" s="15"/>
      <c r="NKA96" s="15"/>
      <c r="NKB96" s="15"/>
      <c r="NKC96" s="15"/>
      <c r="NKD96" s="15"/>
      <c r="NKE96" s="15"/>
      <c r="NKF96" s="15"/>
      <c r="NKG96" s="15"/>
      <c r="NKH96" s="15"/>
      <c r="NKI96" s="15"/>
      <c r="NKJ96" s="15"/>
      <c r="NKK96" s="15"/>
      <c r="NKL96" s="15"/>
      <c r="NKM96" s="15"/>
      <c r="NKN96" s="15"/>
      <c r="NKO96" s="15"/>
      <c r="NKP96" s="15"/>
      <c r="NKQ96" s="15"/>
      <c r="NKR96" s="15"/>
      <c r="NKS96" s="15"/>
      <c r="NKT96" s="15"/>
      <c r="NKU96" s="15"/>
      <c r="NKV96" s="15"/>
      <c r="NKW96" s="15"/>
      <c r="NKX96" s="15"/>
      <c r="NKY96" s="15"/>
      <c r="NKZ96" s="15"/>
      <c r="NLA96" s="15"/>
      <c r="NLB96" s="15"/>
      <c r="NLC96" s="15"/>
      <c r="NLD96" s="15"/>
      <c r="NLE96" s="15"/>
      <c r="NLF96" s="15"/>
      <c r="NLG96" s="15"/>
      <c r="NLH96" s="15"/>
      <c r="NLI96" s="15"/>
      <c r="NLJ96" s="15"/>
      <c r="NLK96" s="15"/>
      <c r="NLL96" s="15"/>
      <c r="NLM96" s="15"/>
      <c r="NLN96" s="15"/>
      <c r="NLO96" s="15"/>
      <c r="NLP96" s="15"/>
      <c r="NLQ96" s="15"/>
      <c r="NLR96" s="15"/>
      <c r="NLS96" s="15"/>
      <c r="NLT96" s="15"/>
      <c r="NLU96" s="15"/>
      <c r="NLV96" s="15"/>
      <c r="NLW96" s="15"/>
      <c r="NLX96" s="15"/>
      <c r="NLY96" s="15"/>
      <c r="NLZ96" s="15"/>
      <c r="NMA96" s="15"/>
      <c r="NMB96" s="15"/>
      <c r="NMC96" s="15"/>
      <c r="NMD96" s="15"/>
      <c r="NME96" s="15"/>
      <c r="NMF96" s="15"/>
      <c r="NMG96" s="15"/>
      <c r="NMH96" s="15"/>
      <c r="NMI96" s="15"/>
      <c r="NMJ96" s="15"/>
      <c r="NMK96" s="15"/>
      <c r="NML96" s="15"/>
      <c r="NMM96" s="15"/>
      <c r="NMN96" s="15"/>
      <c r="NMO96" s="15"/>
      <c r="NMP96" s="15"/>
      <c r="NMQ96" s="15"/>
      <c r="NMR96" s="15"/>
      <c r="NMS96" s="15"/>
      <c r="NMT96" s="15"/>
      <c r="NMU96" s="15"/>
      <c r="NMV96" s="15"/>
      <c r="NMW96" s="15"/>
      <c r="NMX96" s="15"/>
      <c r="NMY96" s="15"/>
      <c r="NMZ96" s="15"/>
      <c r="NNA96" s="15"/>
      <c r="NNB96" s="15"/>
      <c r="NNC96" s="15"/>
      <c r="NND96" s="15"/>
      <c r="NNE96" s="15"/>
      <c r="NNF96" s="15"/>
      <c r="NNG96" s="15"/>
      <c r="NNH96" s="15"/>
      <c r="NNI96" s="15"/>
      <c r="NNJ96" s="15"/>
      <c r="NNK96" s="15"/>
      <c r="NNL96" s="15"/>
      <c r="NNM96" s="15"/>
      <c r="NNN96" s="15"/>
      <c r="NNO96" s="15"/>
      <c r="NNP96" s="15"/>
      <c r="NNQ96" s="15"/>
      <c r="NNR96" s="15"/>
      <c r="NNS96" s="15"/>
      <c r="NNT96" s="15"/>
      <c r="NNU96" s="15"/>
      <c r="NNV96" s="15"/>
      <c r="NNW96" s="15"/>
      <c r="NNX96" s="15"/>
      <c r="NNY96" s="15"/>
      <c r="NNZ96" s="15"/>
      <c r="NOA96" s="15"/>
      <c r="NOB96" s="15"/>
      <c r="NOC96" s="15"/>
      <c r="NOD96" s="15"/>
      <c r="NOE96" s="15"/>
      <c r="NOF96" s="15"/>
      <c r="NOG96" s="15"/>
      <c r="NOH96" s="15"/>
      <c r="NOI96" s="15"/>
      <c r="NOJ96" s="15"/>
      <c r="NOK96" s="15"/>
      <c r="NOL96" s="15"/>
      <c r="NOM96" s="15"/>
      <c r="NON96" s="15"/>
      <c r="NOO96" s="15"/>
      <c r="NOP96" s="15"/>
      <c r="NOQ96" s="15"/>
      <c r="NOR96" s="15"/>
      <c r="NOS96" s="15"/>
      <c r="NOT96" s="15"/>
      <c r="NOU96" s="15"/>
      <c r="NOV96" s="15"/>
      <c r="NOW96" s="15"/>
      <c r="NOX96" s="15"/>
      <c r="NOY96" s="15"/>
      <c r="NOZ96" s="15"/>
      <c r="NPA96" s="15"/>
      <c r="NPB96" s="15"/>
      <c r="NPC96" s="15"/>
      <c r="NPD96" s="15"/>
      <c r="NPE96" s="15"/>
      <c r="NPF96" s="15"/>
      <c r="NPG96" s="15"/>
      <c r="NPH96" s="15"/>
      <c r="NPI96" s="15"/>
      <c r="NPJ96" s="15"/>
      <c r="NPK96" s="15"/>
      <c r="NPL96" s="15"/>
      <c r="NPM96" s="15"/>
      <c r="NPN96" s="15"/>
      <c r="NPO96" s="15"/>
      <c r="NPP96" s="15"/>
      <c r="NPQ96" s="15"/>
      <c r="NPR96" s="15"/>
      <c r="NPS96" s="15"/>
      <c r="NPT96" s="15"/>
      <c r="NPU96" s="15"/>
      <c r="NPV96" s="15"/>
      <c r="NPW96" s="15"/>
      <c r="NPX96" s="15"/>
      <c r="NPY96" s="15"/>
      <c r="NPZ96" s="15"/>
      <c r="NQA96" s="15"/>
      <c r="NQB96" s="15"/>
      <c r="NQC96" s="15"/>
      <c r="NQD96" s="15"/>
      <c r="NQE96" s="15"/>
      <c r="NQF96" s="15"/>
      <c r="NQG96" s="15"/>
      <c r="NQH96" s="15"/>
      <c r="NQI96" s="15"/>
      <c r="NQJ96" s="15"/>
      <c r="NQK96" s="15"/>
      <c r="NQL96" s="15"/>
      <c r="NQM96" s="15"/>
      <c r="NQN96" s="15"/>
      <c r="NQO96" s="15"/>
      <c r="NQP96" s="15"/>
      <c r="NQQ96" s="15"/>
      <c r="NQR96" s="15"/>
      <c r="NQS96" s="15"/>
      <c r="NQT96" s="15"/>
      <c r="NQU96" s="15"/>
      <c r="NQV96" s="15"/>
      <c r="NQW96" s="15"/>
      <c r="NQX96" s="15"/>
      <c r="NQY96" s="15"/>
      <c r="NQZ96" s="15"/>
      <c r="NRA96" s="15"/>
      <c r="NRB96" s="15"/>
      <c r="NRC96" s="15"/>
      <c r="NRD96" s="15"/>
      <c r="NRE96" s="15"/>
      <c r="NRF96" s="15"/>
      <c r="NRG96" s="15"/>
      <c r="NRH96" s="15"/>
      <c r="NRI96" s="15"/>
      <c r="NRJ96" s="15"/>
      <c r="NRK96" s="15"/>
      <c r="NRL96" s="15"/>
      <c r="NRM96" s="15"/>
      <c r="NRN96" s="15"/>
      <c r="NRO96" s="15"/>
      <c r="NRP96" s="15"/>
      <c r="NRQ96" s="15"/>
      <c r="NRR96" s="15"/>
      <c r="NRS96" s="15"/>
      <c r="NRT96" s="15"/>
      <c r="NRU96" s="15"/>
      <c r="NRV96" s="15"/>
      <c r="NRW96" s="15"/>
      <c r="NRX96" s="15"/>
      <c r="NRY96" s="15"/>
      <c r="NRZ96" s="15"/>
      <c r="NSA96" s="15"/>
      <c r="NSB96" s="15"/>
      <c r="NSC96" s="15"/>
      <c r="NSD96" s="15"/>
      <c r="NSE96" s="15"/>
      <c r="NSF96" s="15"/>
      <c r="NSG96" s="15"/>
      <c r="NSH96" s="15"/>
      <c r="NSI96" s="15"/>
      <c r="NSJ96" s="15"/>
      <c r="NSK96" s="15"/>
      <c r="NSL96" s="15"/>
      <c r="NSM96" s="15"/>
      <c r="NSN96" s="15"/>
      <c r="NSO96" s="15"/>
      <c r="NSP96" s="15"/>
      <c r="NSQ96" s="15"/>
      <c r="NSR96" s="15"/>
      <c r="NSS96" s="15"/>
      <c r="NST96" s="15"/>
      <c r="NSU96" s="15"/>
      <c r="NSV96" s="15"/>
      <c r="NSW96" s="15"/>
      <c r="NSX96" s="15"/>
      <c r="NSY96" s="15"/>
      <c r="NSZ96" s="15"/>
      <c r="NTA96" s="15"/>
      <c r="NTB96" s="15"/>
      <c r="NTC96" s="15"/>
      <c r="NTD96" s="15"/>
      <c r="NTE96" s="15"/>
      <c r="NTF96" s="15"/>
      <c r="NTG96" s="15"/>
      <c r="NTH96" s="15"/>
      <c r="NTI96" s="15"/>
      <c r="NTJ96" s="15"/>
      <c r="NTK96" s="15"/>
      <c r="NTL96" s="15"/>
      <c r="NTM96" s="15"/>
      <c r="NTN96" s="15"/>
      <c r="NTO96" s="15"/>
      <c r="NTP96" s="15"/>
      <c r="NTQ96" s="15"/>
      <c r="NTR96" s="15"/>
      <c r="NTS96" s="15"/>
      <c r="NTT96" s="15"/>
      <c r="NTU96" s="15"/>
      <c r="NTV96" s="15"/>
      <c r="NTW96" s="15"/>
      <c r="NTX96" s="15"/>
      <c r="NTY96" s="15"/>
      <c r="NTZ96" s="15"/>
      <c r="NUA96" s="15"/>
      <c r="NUB96" s="15"/>
      <c r="NUC96" s="15"/>
      <c r="NUD96" s="15"/>
      <c r="NUE96" s="15"/>
      <c r="NUF96" s="15"/>
      <c r="NUG96" s="15"/>
      <c r="NUH96" s="15"/>
      <c r="NUI96" s="15"/>
      <c r="NUJ96" s="15"/>
      <c r="NUK96" s="15"/>
      <c r="NUL96" s="15"/>
      <c r="NUM96" s="15"/>
      <c r="NUN96" s="15"/>
      <c r="NUO96" s="15"/>
      <c r="NUP96" s="15"/>
      <c r="NUQ96" s="15"/>
      <c r="NUR96" s="15"/>
      <c r="NUS96" s="15"/>
      <c r="NUT96" s="15"/>
      <c r="NUU96" s="15"/>
      <c r="NUV96" s="15"/>
      <c r="NUW96" s="15"/>
      <c r="NUX96" s="15"/>
      <c r="NUY96" s="15"/>
      <c r="NUZ96" s="15"/>
      <c r="NVA96" s="15"/>
      <c r="NVB96" s="15"/>
      <c r="NVC96" s="15"/>
      <c r="NVD96" s="15"/>
      <c r="NVE96" s="15"/>
      <c r="NVF96" s="15"/>
      <c r="NVG96" s="15"/>
      <c r="NVH96" s="15"/>
      <c r="NVI96" s="15"/>
      <c r="NVJ96" s="15"/>
      <c r="NVK96" s="15"/>
      <c r="NVL96" s="15"/>
      <c r="NVM96" s="15"/>
      <c r="NVN96" s="15"/>
      <c r="NVO96" s="15"/>
      <c r="NVP96" s="15"/>
      <c r="NVQ96" s="15"/>
      <c r="NVR96" s="15"/>
      <c r="NVS96" s="15"/>
      <c r="NVT96" s="15"/>
      <c r="NVU96" s="15"/>
      <c r="NVV96" s="15"/>
      <c r="NVW96" s="15"/>
      <c r="NVX96" s="15"/>
      <c r="NVY96" s="15"/>
      <c r="NVZ96" s="15"/>
      <c r="NWA96" s="15"/>
      <c r="NWB96" s="15"/>
      <c r="NWC96" s="15"/>
      <c r="NWD96" s="15"/>
      <c r="NWE96" s="15"/>
      <c r="NWF96" s="15"/>
      <c r="NWG96" s="15"/>
      <c r="NWH96" s="15"/>
      <c r="NWI96" s="15"/>
      <c r="NWJ96" s="15"/>
      <c r="NWK96" s="15"/>
      <c r="NWL96" s="15"/>
      <c r="NWM96" s="15"/>
      <c r="NWN96" s="15"/>
      <c r="NWO96" s="15"/>
      <c r="NWP96" s="15"/>
      <c r="NWQ96" s="15"/>
      <c r="NWR96" s="15"/>
      <c r="NWS96" s="15"/>
      <c r="NWT96" s="15"/>
      <c r="NWU96" s="15"/>
      <c r="NWV96" s="15"/>
      <c r="NWW96" s="15"/>
      <c r="NWX96" s="15"/>
      <c r="NWY96" s="15"/>
      <c r="NWZ96" s="15"/>
      <c r="NXA96" s="15"/>
      <c r="NXB96" s="15"/>
      <c r="NXC96" s="15"/>
      <c r="NXD96" s="15"/>
      <c r="NXE96" s="15"/>
      <c r="NXF96" s="15"/>
      <c r="NXG96" s="15"/>
      <c r="NXH96" s="15"/>
      <c r="NXI96" s="15"/>
      <c r="NXJ96" s="15"/>
      <c r="NXK96" s="15"/>
      <c r="NXL96" s="15"/>
      <c r="NXM96" s="15"/>
      <c r="NXN96" s="15"/>
      <c r="NXO96" s="15"/>
      <c r="NXP96" s="15"/>
      <c r="NXQ96" s="15"/>
      <c r="NXR96" s="15"/>
      <c r="NXS96" s="15"/>
      <c r="NXT96" s="15"/>
      <c r="NXU96" s="15"/>
      <c r="NXV96" s="15"/>
      <c r="NXW96" s="15"/>
      <c r="NXX96" s="15"/>
      <c r="NXY96" s="15"/>
      <c r="NXZ96" s="15"/>
      <c r="NYA96" s="15"/>
      <c r="NYB96" s="15"/>
      <c r="NYC96" s="15"/>
      <c r="NYD96" s="15"/>
      <c r="NYE96" s="15"/>
      <c r="NYF96" s="15"/>
      <c r="NYG96" s="15"/>
      <c r="NYH96" s="15"/>
      <c r="NYI96" s="15"/>
      <c r="NYJ96" s="15"/>
      <c r="NYK96" s="15"/>
      <c r="NYL96" s="15"/>
      <c r="NYM96" s="15"/>
      <c r="NYN96" s="15"/>
      <c r="NYO96" s="15"/>
      <c r="NYP96" s="15"/>
      <c r="NYQ96" s="15"/>
      <c r="NYR96" s="15"/>
      <c r="NYS96" s="15"/>
      <c r="NYT96" s="15"/>
      <c r="NYU96" s="15"/>
      <c r="NYV96" s="15"/>
      <c r="NYW96" s="15"/>
      <c r="NYX96" s="15"/>
      <c r="NYY96" s="15"/>
      <c r="NYZ96" s="15"/>
      <c r="NZA96" s="15"/>
      <c r="NZB96" s="15"/>
      <c r="NZC96" s="15"/>
      <c r="NZD96" s="15"/>
      <c r="NZE96" s="15"/>
      <c r="NZF96" s="15"/>
      <c r="NZG96" s="15"/>
      <c r="NZH96" s="15"/>
      <c r="NZI96" s="15"/>
      <c r="NZJ96" s="15"/>
      <c r="NZK96" s="15"/>
      <c r="NZL96" s="15"/>
      <c r="NZM96" s="15"/>
      <c r="NZN96" s="15"/>
      <c r="NZO96" s="15"/>
      <c r="NZP96" s="15"/>
      <c r="NZQ96" s="15"/>
      <c r="NZR96" s="15"/>
      <c r="NZS96" s="15"/>
      <c r="NZT96" s="15"/>
      <c r="NZU96" s="15"/>
      <c r="NZV96" s="15"/>
      <c r="NZW96" s="15"/>
      <c r="NZX96" s="15"/>
      <c r="NZY96" s="15"/>
      <c r="NZZ96" s="15"/>
      <c r="OAA96" s="15"/>
      <c r="OAB96" s="15"/>
      <c r="OAC96" s="15"/>
      <c r="OAD96" s="15"/>
      <c r="OAE96" s="15"/>
      <c r="OAF96" s="15"/>
      <c r="OAG96" s="15"/>
      <c r="OAH96" s="15"/>
      <c r="OAI96" s="15"/>
      <c r="OAJ96" s="15"/>
      <c r="OAK96" s="15"/>
      <c r="OAL96" s="15"/>
      <c r="OAM96" s="15"/>
      <c r="OAN96" s="15"/>
      <c r="OAO96" s="15"/>
      <c r="OAP96" s="15"/>
      <c r="OAQ96" s="15"/>
      <c r="OAR96" s="15"/>
      <c r="OAS96" s="15"/>
      <c r="OAT96" s="15"/>
      <c r="OAU96" s="15"/>
      <c r="OAV96" s="15"/>
      <c r="OAW96" s="15"/>
      <c r="OAX96" s="15"/>
      <c r="OAY96" s="15"/>
      <c r="OAZ96" s="15"/>
      <c r="OBA96" s="15"/>
      <c r="OBB96" s="15"/>
      <c r="OBC96" s="15"/>
      <c r="OBD96" s="15"/>
      <c r="OBE96" s="15"/>
      <c r="OBF96" s="15"/>
      <c r="OBG96" s="15"/>
      <c r="OBH96" s="15"/>
      <c r="OBI96" s="15"/>
      <c r="OBJ96" s="15"/>
      <c r="OBK96" s="15"/>
      <c r="OBL96" s="15"/>
      <c r="OBM96" s="15"/>
      <c r="OBN96" s="15"/>
      <c r="OBO96" s="15"/>
      <c r="OBP96" s="15"/>
      <c r="OBQ96" s="15"/>
      <c r="OBR96" s="15"/>
      <c r="OBS96" s="15"/>
      <c r="OBT96" s="15"/>
      <c r="OBU96" s="15"/>
      <c r="OBV96" s="15"/>
      <c r="OBW96" s="15"/>
      <c r="OBX96" s="15"/>
      <c r="OBY96" s="15"/>
      <c r="OBZ96" s="15"/>
      <c r="OCA96" s="15"/>
      <c r="OCB96" s="15"/>
      <c r="OCC96" s="15"/>
      <c r="OCD96" s="15"/>
      <c r="OCE96" s="15"/>
      <c r="OCF96" s="15"/>
      <c r="OCG96" s="15"/>
      <c r="OCH96" s="15"/>
      <c r="OCI96" s="15"/>
      <c r="OCJ96" s="15"/>
      <c r="OCK96" s="15"/>
      <c r="OCL96" s="15"/>
      <c r="OCM96" s="15"/>
      <c r="OCN96" s="15"/>
      <c r="OCO96" s="15"/>
      <c r="OCP96" s="15"/>
      <c r="OCQ96" s="15"/>
      <c r="OCR96" s="15"/>
      <c r="OCS96" s="15"/>
      <c r="OCT96" s="15"/>
      <c r="OCU96" s="15"/>
      <c r="OCV96" s="15"/>
      <c r="OCW96" s="15"/>
      <c r="OCX96" s="15"/>
      <c r="OCY96" s="15"/>
      <c r="OCZ96" s="15"/>
      <c r="ODA96" s="15"/>
      <c r="ODB96" s="15"/>
      <c r="ODC96" s="15"/>
      <c r="ODD96" s="15"/>
      <c r="ODE96" s="15"/>
      <c r="ODF96" s="15"/>
      <c r="ODG96" s="15"/>
      <c r="ODH96" s="15"/>
      <c r="ODI96" s="15"/>
      <c r="ODJ96" s="15"/>
      <c r="ODK96" s="15"/>
      <c r="ODL96" s="15"/>
      <c r="ODM96" s="15"/>
      <c r="ODN96" s="15"/>
      <c r="ODO96" s="15"/>
      <c r="ODP96" s="15"/>
      <c r="ODQ96" s="15"/>
      <c r="ODR96" s="15"/>
      <c r="ODS96" s="15"/>
      <c r="ODT96" s="15"/>
      <c r="ODU96" s="15"/>
      <c r="ODV96" s="15"/>
      <c r="ODW96" s="15"/>
      <c r="ODX96" s="15"/>
      <c r="ODY96" s="15"/>
      <c r="ODZ96" s="15"/>
      <c r="OEA96" s="15"/>
      <c r="OEB96" s="15"/>
      <c r="OEC96" s="15"/>
      <c r="OED96" s="15"/>
      <c r="OEE96" s="15"/>
      <c r="OEF96" s="15"/>
      <c r="OEG96" s="15"/>
      <c r="OEH96" s="15"/>
      <c r="OEI96" s="15"/>
      <c r="OEJ96" s="15"/>
      <c r="OEK96" s="15"/>
      <c r="OEL96" s="15"/>
      <c r="OEM96" s="15"/>
      <c r="OEN96" s="15"/>
      <c r="OEO96" s="15"/>
      <c r="OEP96" s="15"/>
      <c r="OEQ96" s="15"/>
      <c r="OER96" s="15"/>
      <c r="OES96" s="15"/>
      <c r="OET96" s="15"/>
      <c r="OEU96" s="15"/>
      <c r="OEV96" s="15"/>
      <c r="OEW96" s="15"/>
      <c r="OEX96" s="15"/>
      <c r="OEY96" s="15"/>
      <c r="OEZ96" s="15"/>
      <c r="OFA96" s="15"/>
      <c r="OFB96" s="15"/>
      <c r="OFC96" s="15"/>
      <c r="OFD96" s="15"/>
      <c r="OFE96" s="15"/>
      <c r="OFF96" s="15"/>
      <c r="OFG96" s="15"/>
      <c r="OFH96" s="15"/>
      <c r="OFI96" s="15"/>
      <c r="OFJ96" s="15"/>
      <c r="OFK96" s="15"/>
      <c r="OFL96" s="15"/>
      <c r="OFM96" s="15"/>
      <c r="OFN96" s="15"/>
      <c r="OFO96" s="15"/>
      <c r="OFP96" s="15"/>
      <c r="OFQ96" s="15"/>
      <c r="OFR96" s="15"/>
      <c r="OFS96" s="15"/>
      <c r="OFT96" s="15"/>
      <c r="OFU96" s="15"/>
      <c r="OFV96" s="15"/>
      <c r="OFW96" s="15"/>
      <c r="OFX96" s="15"/>
      <c r="OFY96" s="15"/>
      <c r="OFZ96" s="15"/>
      <c r="OGA96" s="15"/>
      <c r="OGB96" s="15"/>
      <c r="OGC96" s="15"/>
      <c r="OGD96" s="15"/>
      <c r="OGE96" s="15"/>
      <c r="OGF96" s="15"/>
      <c r="OGG96" s="15"/>
      <c r="OGH96" s="15"/>
      <c r="OGI96" s="15"/>
      <c r="OGJ96" s="15"/>
      <c r="OGK96" s="15"/>
      <c r="OGL96" s="15"/>
      <c r="OGM96" s="15"/>
      <c r="OGN96" s="15"/>
      <c r="OGO96" s="15"/>
      <c r="OGP96" s="15"/>
      <c r="OGQ96" s="15"/>
      <c r="OGR96" s="15"/>
      <c r="OGS96" s="15"/>
      <c r="OGT96" s="15"/>
      <c r="OGU96" s="15"/>
      <c r="OGV96" s="15"/>
      <c r="OGW96" s="15"/>
      <c r="OGX96" s="15"/>
      <c r="OGY96" s="15"/>
      <c r="OGZ96" s="15"/>
      <c r="OHA96" s="15"/>
      <c r="OHB96" s="15"/>
      <c r="OHC96" s="15"/>
      <c r="OHD96" s="15"/>
      <c r="OHE96" s="15"/>
      <c r="OHF96" s="15"/>
      <c r="OHG96" s="15"/>
      <c r="OHH96" s="15"/>
      <c r="OHI96" s="15"/>
      <c r="OHJ96" s="15"/>
      <c r="OHK96" s="15"/>
      <c r="OHL96" s="15"/>
      <c r="OHM96" s="15"/>
      <c r="OHN96" s="15"/>
      <c r="OHO96" s="15"/>
      <c r="OHP96" s="15"/>
      <c r="OHQ96" s="15"/>
      <c r="OHR96" s="15"/>
      <c r="OHS96" s="15"/>
      <c r="OHT96" s="15"/>
      <c r="OHU96" s="15"/>
      <c r="OHV96" s="15"/>
      <c r="OHW96" s="15"/>
      <c r="OHX96" s="15"/>
      <c r="OHY96" s="15"/>
      <c r="OHZ96" s="15"/>
      <c r="OIA96" s="15"/>
      <c r="OIB96" s="15"/>
      <c r="OIC96" s="15"/>
      <c r="OID96" s="15"/>
      <c r="OIE96" s="15"/>
      <c r="OIF96" s="15"/>
      <c r="OIG96" s="15"/>
      <c r="OIH96" s="15"/>
      <c r="OII96" s="15"/>
      <c r="OIJ96" s="15"/>
      <c r="OIK96" s="15"/>
      <c r="OIL96" s="15"/>
      <c r="OIM96" s="15"/>
      <c r="OIN96" s="15"/>
      <c r="OIO96" s="15"/>
      <c r="OIP96" s="15"/>
      <c r="OIQ96" s="15"/>
      <c r="OIR96" s="15"/>
      <c r="OIS96" s="15"/>
      <c r="OIT96" s="15"/>
      <c r="OIU96" s="15"/>
      <c r="OIV96" s="15"/>
      <c r="OIW96" s="15"/>
      <c r="OIX96" s="15"/>
      <c r="OIY96" s="15"/>
      <c r="OIZ96" s="15"/>
      <c r="OJA96" s="15"/>
      <c r="OJB96" s="15"/>
      <c r="OJC96" s="15"/>
      <c r="OJD96" s="15"/>
      <c r="OJE96" s="15"/>
      <c r="OJF96" s="15"/>
      <c r="OJG96" s="15"/>
      <c r="OJH96" s="15"/>
      <c r="OJI96" s="15"/>
      <c r="OJJ96" s="15"/>
      <c r="OJK96" s="15"/>
      <c r="OJL96" s="15"/>
      <c r="OJM96" s="15"/>
      <c r="OJN96" s="15"/>
      <c r="OJO96" s="15"/>
      <c r="OJP96" s="15"/>
      <c r="OJQ96" s="15"/>
      <c r="OJR96" s="15"/>
      <c r="OJS96" s="15"/>
      <c r="OJT96" s="15"/>
      <c r="OJU96" s="15"/>
      <c r="OJV96" s="15"/>
      <c r="OJW96" s="15"/>
      <c r="OJX96" s="15"/>
      <c r="OJY96" s="15"/>
      <c r="OJZ96" s="15"/>
      <c r="OKA96" s="15"/>
      <c r="OKB96" s="15"/>
      <c r="OKC96" s="15"/>
      <c r="OKD96" s="15"/>
      <c r="OKE96" s="15"/>
      <c r="OKF96" s="15"/>
      <c r="OKG96" s="15"/>
      <c r="OKH96" s="15"/>
      <c r="OKI96" s="15"/>
      <c r="OKJ96" s="15"/>
      <c r="OKK96" s="15"/>
      <c r="OKL96" s="15"/>
      <c r="OKM96" s="15"/>
      <c r="OKN96" s="15"/>
      <c r="OKO96" s="15"/>
      <c r="OKP96" s="15"/>
      <c r="OKQ96" s="15"/>
      <c r="OKR96" s="15"/>
      <c r="OKS96" s="15"/>
      <c r="OKT96" s="15"/>
      <c r="OKU96" s="15"/>
      <c r="OKV96" s="15"/>
      <c r="OKW96" s="15"/>
      <c r="OKX96" s="15"/>
      <c r="OKY96" s="15"/>
      <c r="OKZ96" s="15"/>
      <c r="OLA96" s="15"/>
      <c r="OLB96" s="15"/>
      <c r="OLC96" s="15"/>
      <c r="OLD96" s="15"/>
      <c r="OLE96" s="15"/>
      <c r="OLF96" s="15"/>
      <c r="OLG96" s="15"/>
      <c r="OLH96" s="15"/>
      <c r="OLI96" s="15"/>
      <c r="OLJ96" s="15"/>
      <c r="OLK96" s="15"/>
      <c r="OLL96" s="15"/>
      <c r="OLM96" s="15"/>
      <c r="OLN96" s="15"/>
      <c r="OLO96" s="15"/>
      <c r="OLP96" s="15"/>
      <c r="OLQ96" s="15"/>
      <c r="OLR96" s="15"/>
      <c r="OLS96" s="15"/>
      <c r="OLT96" s="15"/>
      <c r="OLU96" s="15"/>
      <c r="OLV96" s="15"/>
      <c r="OLW96" s="15"/>
      <c r="OLX96" s="15"/>
      <c r="OLY96" s="15"/>
      <c r="OLZ96" s="15"/>
      <c r="OMA96" s="15"/>
      <c r="OMB96" s="15"/>
      <c r="OMC96" s="15"/>
      <c r="OMD96" s="15"/>
      <c r="OME96" s="15"/>
      <c r="OMF96" s="15"/>
      <c r="OMG96" s="15"/>
      <c r="OMH96" s="15"/>
      <c r="OMI96" s="15"/>
      <c r="OMJ96" s="15"/>
      <c r="OMK96" s="15"/>
      <c r="OML96" s="15"/>
      <c r="OMM96" s="15"/>
      <c r="OMN96" s="15"/>
      <c r="OMO96" s="15"/>
      <c r="OMP96" s="15"/>
      <c r="OMQ96" s="15"/>
      <c r="OMR96" s="15"/>
      <c r="OMS96" s="15"/>
      <c r="OMT96" s="15"/>
      <c r="OMU96" s="15"/>
      <c r="OMV96" s="15"/>
      <c r="OMW96" s="15"/>
      <c r="OMX96" s="15"/>
      <c r="OMY96" s="15"/>
      <c r="OMZ96" s="15"/>
      <c r="ONA96" s="15"/>
      <c r="ONB96" s="15"/>
      <c r="ONC96" s="15"/>
      <c r="OND96" s="15"/>
      <c r="ONE96" s="15"/>
      <c r="ONF96" s="15"/>
      <c r="ONG96" s="15"/>
      <c r="ONH96" s="15"/>
      <c r="ONI96" s="15"/>
      <c r="ONJ96" s="15"/>
      <c r="ONK96" s="15"/>
      <c r="ONL96" s="15"/>
      <c r="ONM96" s="15"/>
      <c r="ONN96" s="15"/>
      <c r="ONO96" s="15"/>
      <c r="ONP96" s="15"/>
      <c r="ONQ96" s="15"/>
      <c r="ONR96" s="15"/>
      <c r="ONS96" s="15"/>
      <c r="ONT96" s="15"/>
      <c r="ONU96" s="15"/>
      <c r="ONV96" s="15"/>
      <c r="ONW96" s="15"/>
      <c r="ONX96" s="15"/>
      <c r="ONY96" s="15"/>
      <c r="ONZ96" s="15"/>
      <c r="OOA96" s="15"/>
      <c r="OOB96" s="15"/>
      <c r="OOC96" s="15"/>
      <c r="OOD96" s="15"/>
      <c r="OOE96" s="15"/>
      <c r="OOF96" s="15"/>
      <c r="OOG96" s="15"/>
      <c r="OOH96" s="15"/>
      <c r="OOI96" s="15"/>
      <c r="OOJ96" s="15"/>
      <c r="OOK96" s="15"/>
      <c r="OOL96" s="15"/>
      <c r="OOM96" s="15"/>
      <c r="OON96" s="15"/>
      <c r="OOO96" s="15"/>
      <c r="OOP96" s="15"/>
      <c r="OOQ96" s="15"/>
      <c r="OOR96" s="15"/>
      <c r="OOS96" s="15"/>
      <c r="OOT96" s="15"/>
      <c r="OOU96" s="15"/>
      <c r="OOV96" s="15"/>
      <c r="OOW96" s="15"/>
      <c r="OOX96" s="15"/>
      <c r="OOY96" s="15"/>
      <c r="OOZ96" s="15"/>
      <c r="OPA96" s="15"/>
      <c r="OPB96" s="15"/>
      <c r="OPC96" s="15"/>
      <c r="OPD96" s="15"/>
      <c r="OPE96" s="15"/>
      <c r="OPF96" s="15"/>
      <c r="OPG96" s="15"/>
      <c r="OPH96" s="15"/>
      <c r="OPI96" s="15"/>
      <c r="OPJ96" s="15"/>
      <c r="OPK96" s="15"/>
      <c r="OPL96" s="15"/>
      <c r="OPM96" s="15"/>
      <c r="OPN96" s="15"/>
      <c r="OPO96" s="15"/>
      <c r="OPP96" s="15"/>
      <c r="OPQ96" s="15"/>
      <c r="OPR96" s="15"/>
      <c r="OPS96" s="15"/>
      <c r="OPT96" s="15"/>
      <c r="OPU96" s="15"/>
      <c r="OPV96" s="15"/>
      <c r="OPW96" s="15"/>
      <c r="OPX96" s="15"/>
      <c r="OPY96" s="15"/>
      <c r="OPZ96" s="15"/>
      <c r="OQA96" s="15"/>
      <c r="OQB96" s="15"/>
      <c r="OQC96" s="15"/>
      <c r="OQD96" s="15"/>
      <c r="OQE96" s="15"/>
      <c r="OQF96" s="15"/>
      <c r="OQG96" s="15"/>
      <c r="OQH96" s="15"/>
      <c r="OQI96" s="15"/>
      <c r="OQJ96" s="15"/>
      <c r="OQK96" s="15"/>
      <c r="OQL96" s="15"/>
      <c r="OQM96" s="15"/>
      <c r="OQN96" s="15"/>
      <c r="OQO96" s="15"/>
      <c r="OQP96" s="15"/>
      <c r="OQQ96" s="15"/>
      <c r="OQR96" s="15"/>
      <c r="OQS96" s="15"/>
      <c r="OQT96" s="15"/>
      <c r="OQU96" s="15"/>
      <c r="OQV96" s="15"/>
      <c r="OQW96" s="15"/>
      <c r="OQX96" s="15"/>
      <c r="OQY96" s="15"/>
      <c r="OQZ96" s="15"/>
      <c r="ORA96" s="15"/>
      <c r="ORB96" s="15"/>
      <c r="ORC96" s="15"/>
      <c r="ORD96" s="15"/>
      <c r="ORE96" s="15"/>
      <c r="ORF96" s="15"/>
      <c r="ORG96" s="15"/>
      <c r="ORH96" s="15"/>
      <c r="ORI96" s="15"/>
      <c r="ORJ96" s="15"/>
      <c r="ORK96" s="15"/>
      <c r="ORL96" s="15"/>
      <c r="ORM96" s="15"/>
      <c r="ORN96" s="15"/>
      <c r="ORO96" s="15"/>
      <c r="ORP96" s="15"/>
      <c r="ORQ96" s="15"/>
      <c r="ORR96" s="15"/>
      <c r="ORS96" s="15"/>
      <c r="ORT96" s="15"/>
      <c r="ORU96" s="15"/>
      <c r="ORV96" s="15"/>
      <c r="ORW96" s="15"/>
      <c r="ORX96" s="15"/>
      <c r="ORY96" s="15"/>
      <c r="ORZ96" s="15"/>
      <c r="OSA96" s="15"/>
      <c r="OSB96" s="15"/>
      <c r="OSC96" s="15"/>
      <c r="OSD96" s="15"/>
      <c r="OSE96" s="15"/>
      <c r="OSF96" s="15"/>
      <c r="OSG96" s="15"/>
      <c r="OSH96" s="15"/>
      <c r="OSI96" s="15"/>
      <c r="OSJ96" s="15"/>
      <c r="OSK96" s="15"/>
      <c r="OSL96" s="15"/>
      <c r="OSM96" s="15"/>
      <c r="OSN96" s="15"/>
      <c r="OSO96" s="15"/>
      <c r="OSP96" s="15"/>
      <c r="OSQ96" s="15"/>
      <c r="OSR96" s="15"/>
      <c r="OSS96" s="15"/>
      <c r="OST96" s="15"/>
      <c r="OSU96" s="15"/>
      <c r="OSV96" s="15"/>
      <c r="OSW96" s="15"/>
      <c r="OSX96" s="15"/>
      <c r="OSY96" s="15"/>
      <c r="OSZ96" s="15"/>
      <c r="OTA96" s="15"/>
      <c r="OTB96" s="15"/>
      <c r="OTC96" s="15"/>
      <c r="OTD96" s="15"/>
      <c r="OTE96" s="15"/>
      <c r="OTF96" s="15"/>
      <c r="OTG96" s="15"/>
      <c r="OTH96" s="15"/>
      <c r="OTI96" s="15"/>
      <c r="OTJ96" s="15"/>
      <c r="OTK96" s="15"/>
      <c r="OTL96" s="15"/>
      <c r="OTM96" s="15"/>
      <c r="OTN96" s="15"/>
      <c r="OTO96" s="15"/>
      <c r="OTP96" s="15"/>
      <c r="OTQ96" s="15"/>
      <c r="OTR96" s="15"/>
      <c r="OTS96" s="15"/>
      <c r="OTT96" s="15"/>
      <c r="OTU96" s="15"/>
      <c r="OTV96" s="15"/>
      <c r="OTW96" s="15"/>
      <c r="OTX96" s="15"/>
      <c r="OTY96" s="15"/>
      <c r="OTZ96" s="15"/>
      <c r="OUA96" s="15"/>
      <c r="OUB96" s="15"/>
      <c r="OUC96" s="15"/>
      <c r="OUD96" s="15"/>
      <c r="OUE96" s="15"/>
      <c r="OUF96" s="15"/>
      <c r="OUG96" s="15"/>
      <c r="OUH96" s="15"/>
      <c r="OUI96" s="15"/>
      <c r="OUJ96" s="15"/>
      <c r="OUK96" s="15"/>
      <c r="OUL96" s="15"/>
      <c r="OUM96" s="15"/>
      <c r="OUN96" s="15"/>
      <c r="OUO96" s="15"/>
      <c r="OUP96" s="15"/>
      <c r="OUQ96" s="15"/>
      <c r="OUR96" s="15"/>
      <c r="OUS96" s="15"/>
      <c r="OUT96" s="15"/>
      <c r="OUU96" s="15"/>
      <c r="OUV96" s="15"/>
      <c r="OUW96" s="15"/>
      <c r="OUX96" s="15"/>
      <c r="OUY96" s="15"/>
      <c r="OUZ96" s="15"/>
      <c r="OVA96" s="15"/>
      <c r="OVB96" s="15"/>
      <c r="OVC96" s="15"/>
      <c r="OVD96" s="15"/>
      <c r="OVE96" s="15"/>
      <c r="OVF96" s="15"/>
      <c r="OVG96" s="15"/>
      <c r="OVH96" s="15"/>
      <c r="OVI96" s="15"/>
      <c r="OVJ96" s="15"/>
      <c r="OVK96" s="15"/>
      <c r="OVL96" s="15"/>
      <c r="OVM96" s="15"/>
      <c r="OVN96" s="15"/>
      <c r="OVO96" s="15"/>
      <c r="OVP96" s="15"/>
      <c r="OVQ96" s="15"/>
      <c r="OVR96" s="15"/>
      <c r="OVS96" s="15"/>
      <c r="OVT96" s="15"/>
      <c r="OVU96" s="15"/>
      <c r="OVV96" s="15"/>
      <c r="OVW96" s="15"/>
      <c r="OVX96" s="15"/>
      <c r="OVY96" s="15"/>
      <c r="OVZ96" s="15"/>
      <c r="OWA96" s="15"/>
      <c r="OWB96" s="15"/>
      <c r="OWC96" s="15"/>
      <c r="OWD96" s="15"/>
      <c r="OWE96" s="15"/>
      <c r="OWF96" s="15"/>
      <c r="OWG96" s="15"/>
      <c r="OWH96" s="15"/>
      <c r="OWI96" s="15"/>
      <c r="OWJ96" s="15"/>
      <c r="OWK96" s="15"/>
      <c r="OWL96" s="15"/>
      <c r="OWM96" s="15"/>
      <c r="OWN96" s="15"/>
      <c r="OWO96" s="15"/>
      <c r="OWP96" s="15"/>
      <c r="OWQ96" s="15"/>
      <c r="OWR96" s="15"/>
      <c r="OWS96" s="15"/>
      <c r="OWT96" s="15"/>
      <c r="OWU96" s="15"/>
      <c r="OWV96" s="15"/>
      <c r="OWW96" s="15"/>
      <c r="OWX96" s="15"/>
      <c r="OWY96" s="15"/>
      <c r="OWZ96" s="15"/>
      <c r="OXA96" s="15"/>
      <c r="OXB96" s="15"/>
      <c r="OXC96" s="15"/>
      <c r="OXD96" s="15"/>
      <c r="OXE96" s="15"/>
      <c r="OXF96" s="15"/>
      <c r="OXG96" s="15"/>
      <c r="OXH96" s="15"/>
      <c r="OXI96" s="15"/>
      <c r="OXJ96" s="15"/>
      <c r="OXK96" s="15"/>
      <c r="OXL96" s="15"/>
      <c r="OXM96" s="15"/>
      <c r="OXN96" s="15"/>
      <c r="OXO96" s="15"/>
      <c r="OXP96" s="15"/>
      <c r="OXQ96" s="15"/>
      <c r="OXR96" s="15"/>
      <c r="OXS96" s="15"/>
      <c r="OXT96" s="15"/>
      <c r="OXU96" s="15"/>
      <c r="OXV96" s="15"/>
      <c r="OXW96" s="15"/>
      <c r="OXX96" s="15"/>
      <c r="OXY96" s="15"/>
      <c r="OXZ96" s="15"/>
      <c r="OYA96" s="15"/>
      <c r="OYB96" s="15"/>
      <c r="OYC96" s="15"/>
      <c r="OYD96" s="15"/>
      <c r="OYE96" s="15"/>
      <c r="OYF96" s="15"/>
      <c r="OYG96" s="15"/>
      <c r="OYH96" s="15"/>
      <c r="OYI96" s="15"/>
      <c r="OYJ96" s="15"/>
      <c r="OYK96" s="15"/>
      <c r="OYL96" s="15"/>
      <c r="OYM96" s="15"/>
      <c r="OYN96" s="15"/>
      <c r="OYO96" s="15"/>
      <c r="OYP96" s="15"/>
      <c r="OYQ96" s="15"/>
      <c r="OYR96" s="15"/>
      <c r="OYS96" s="15"/>
      <c r="OYT96" s="15"/>
      <c r="OYU96" s="15"/>
      <c r="OYV96" s="15"/>
      <c r="OYW96" s="15"/>
      <c r="OYX96" s="15"/>
      <c r="OYY96" s="15"/>
      <c r="OYZ96" s="15"/>
      <c r="OZA96" s="15"/>
      <c r="OZB96" s="15"/>
      <c r="OZC96" s="15"/>
      <c r="OZD96" s="15"/>
      <c r="OZE96" s="15"/>
      <c r="OZF96" s="15"/>
      <c r="OZG96" s="15"/>
      <c r="OZH96" s="15"/>
      <c r="OZI96" s="15"/>
      <c r="OZJ96" s="15"/>
      <c r="OZK96" s="15"/>
      <c r="OZL96" s="15"/>
      <c r="OZM96" s="15"/>
      <c r="OZN96" s="15"/>
      <c r="OZO96" s="15"/>
      <c r="OZP96" s="15"/>
      <c r="OZQ96" s="15"/>
      <c r="OZR96" s="15"/>
      <c r="OZS96" s="15"/>
      <c r="OZT96" s="15"/>
      <c r="OZU96" s="15"/>
      <c r="OZV96" s="15"/>
      <c r="OZW96" s="15"/>
      <c r="OZX96" s="15"/>
      <c r="OZY96" s="15"/>
      <c r="OZZ96" s="15"/>
      <c r="PAA96" s="15"/>
      <c r="PAB96" s="15"/>
      <c r="PAC96" s="15"/>
      <c r="PAD96" s="15"/>
      <c r="PAE96" s="15"/>
      <c r="PAF96" s="15"/>
      <c r="PAG96" s="15"/>
      <c r="PAH96" s="15"/>
      <c r="PAI96" s="15"/>
      <c r="PAJ96" s="15"/>
      <c r="PAK96" s="15"/>
      <c r="PAL96" s="15"/>
      <c r="PAM96" s="15"/>
      <c r="PAN96" s="15"/>
      <c r="PAO96" s="15"/>
      <c r="PAP96" s="15"/>
      <c r="PAQ96" s="15"/>
      <c r="PAR96" s="15"/>
      <c r="PAS96" s="15"/>
      <c r="PAT96" s="15"/>
      <c r="PAU96" s="15"/>
      <c r="PAV96" s="15"/>
      <c r="PAW96" s="15"/>
      <c r="PAX96" s="15"/>
      <c r="PAY96" s="15"/>
      <c r="PAZ96" s="15"/>
      <c r="PBA96" s="15"/>
      <c r="PBB96" s="15"/>
      <c r="PBC96" s="15"/>
      <c r="PBD96" s="15"/>
      <c r="PBE96" s="15"/>
      <c r="PBF96" s="15"/>
      <c r="PBG96" s="15"/>
      <c r="PBH96" s="15"/>
      <c r="PBI96" s="15"/>
      <c r="PBJ96" s="15"/>
      <c r="PBK96" s="15"/>
      <c r="PBL96" s="15"/>
      <c r="PBM96" s="15"/>
      <c r="PBN96" s="15"/>
      <c r="PBO96" s="15"/>
      <c r="PBP96" s="15"/>
      <c r="PBQ96" s="15"/>
      <c r="PBR96" s="15"/>
      <c r="PBS96" s="15"/>
      <c r="PBT96" s="15"/>
      <c r="PBU96" s="15"/>
      <c r="PBV96" s="15"/>
      <c r="PBW96" s="15"/>
      <c r="PBX96" s="15"/>
      <c r="PBY96" s="15"/>
      <c r="PBZ96" s="15"/>
      <c r="PCA96" s="15"/>
      <c r="PCB96" s="15"/>
      <c r="PCC96" s="15"/>
      <c r="PCD96" s="15"/>
      <c r="PCE96" s="15"/>
      <c r="PCF96" s="15"/>
      <c r="PCG96" s="15"/>
      <c r="PCH96" s="15"/>
      <c r="PCI96" s="15"/>
      <c r="PCJ96" s="15"/>
      <c r="PCK96" s="15"/>
      <c r="PCL96" s="15"/>
      <c r="PCM96" s="15"/>
      <c r="PCN96" s="15"/>
      <c r="PCO96" s="15"/>
      <c r="PCP96" s="15"/>
      <c r="PCQ96" s="15"/>
      <c r="PCR96" s="15"/>
      <c r="PCS96" s="15"/>
      <c r="PCT96" s="15"/>
      <c r="PCU96" s="15"/>
      <c r="PCV96" s="15"/>
      <c r="PCW96" s="15"/>
      <c r="PCX96" s="15"/>
      <c r="PCY96" s="15"/>
      <c r="PCZ96" s="15"/>
      <c r="PDA96" s="15"/>
      <c r="PDB96" s="15"/>
      <c r="PDC96" s="15"/>
      <c r="PDD96" s="15"/>
      <c r="PDE96" s="15"/>
      <c r="PDF96" s="15"/>
      <c r="PDG96" s="15"/>
      <c r="PDH96" s="15"/>
      <c r="PDI96" s="15"/>
      <c r="PDJ96" s="15"/>
      <c r="PDK96" s="15"/>
      <c r="PDL96" s="15"/>
      <c r="PDM96" s="15"/>
      <c r="PDN96" s="15"/>
      <c r="PDO96" s="15"/>
      <c r="PDP96" s="15"/>
      <c r="PDQ96" s="15"/>
      <c r="PDR96" s="15"/>
      <c r="PDS96" s="15"/>
      <c r="PDT96" s="15"/>
      <c r="PDU96" s="15"/>
      <c r="PDV96" s="15"/>
      <c r="PDW96" s="15"/>
      <c r="PDX96" s="15"/>
      <c r="PDY96" s="15"/>
      <c r="PDZ96" s="15"/>
      <c r="PEA96" s="15"/>
      <c r="PEB96" s="15"/>
      <c r="PEC96" s="15"/>
      <c r="PED96" s="15"/>
      <c r="PEE96" s="15"/>
      <c r="PEF96" s="15"/>
      <c r="PEG96" s="15"/>
      <c r="PEH96" s="15"/>
      <c r="PEI96" s="15"/>
      <c r="PEJ96" s="15"/>
      <c r="PEK96" s="15"/>
      <c r="PEL96" s="15"/>
      <c r="PEM96" s="15"/>
      <c r="PEN96" s="15"/>
      <c r="PEO96" s="15"/>
      <c r="PEP96" s="15"/>
      <c r="PEQ96" s="15"/>
      <c r="PER96" s="15"/>
      <c r="PES96" s="15"/>
      <c r="PET96" s="15"/>
      <c r="PEU96" s="15"/>
      <c r="PEV96" s="15"/>
      <c r="PEW96" s="15"/>
      <c r="PEX96" s="15"/>
      <c r="PEY96" s="15"/>
      <c r="PEZ96" s="15"/>
      <c r="PFA96" s="15"/>
      <c r="PFB96" s="15"/>
      <c r="PFC96" s="15"/>
      <c r="PFD96" s="15"/>
      <c r="PFE96" s="15"/>
      <c r="PFF96" s="15"/>
      <c r="PFG96" s="15"/>
      <c r="PFH96" s="15"/>
      <c r="PFI96" s="15"/>
      <c r="PFJ96" s="15"/>
      <c r="PFK96" s="15"/>
      <c r="PFL96" s="15"/>
      <c r="PFM96" s="15"/>
      <c r="PFN96" s="15"/>
      <c r="PFO96" s="15"/>
      <c r="PFP96" s="15"/>
      <c r="PFQ96" s="15"/>
      <c r="PFR96" s="15"/>
      <c r="PFS96" s="15"/>
      <c r="PFT96" s="15"/>
      <c r="PFU96" s="15"/>
      <c r="PFV96" s="15"/>
      <c r="PFW96" s="15"/>
      <c r="PFX96" s="15"/>
      <c r="PFY96" s="15"/>
      <c r="PFZ96" s="15"/>
      <c r="PGA96" s="15"/>
      <c r="PGB96" s="15"/>
      <c r="PGC96" s="15"/>
      <c r="PGD96" s="15"/>
      <c r="PGE96" s="15"/>
      <c r="PGF96" s="15"/>
      <c r="PGG96" s="15"/>
      <c r="PGH96" s="15"/>
      <c r="PGI96" s="15"/>
      <c r="PGJ96" s="15"/>
      <c r="PGK96" s="15"/>
      <c r="PGL96" s="15"/>
      <c r="PGM96" s="15"/>
      <c r="PGN96" s="15"/>
      <c r="PGO96" s="15"/>
      <c r="PGP96" s="15"/>
      <c r="PGQ96" s="15"/>
      <c r="PGR96" s="15"/>
      <c r="PGS96" s="15"/>
      <c r="PGT96" s="15"/>
      <c r="PGU96" s="15"/>
      <c r="PGV96" s="15"/>
      <c r="PGW96" s="15"/>
      <c r="PGX96" s="15"/>
      <c r="PGY96" s="15"/>
      <c r="PGZ96" s="15"/>
      <c r="PHA96" s="15"/>
      <c r="PHB96" s="15"/>
      <c r="PHC96" s="15"/>
      <c r="PHD96" s="15"/>
      <c r="PHE96" s="15"/>
      <c r="PHF96" s="15"/>
      <c r="PHG96" s="15"/>
      <c r="PHH96" s="15"/>
      <c r="PHI96" s="15"/>
      <c r="PHJ96" s="15"/>
      <c r="PHK96" s="15"/>
      <c r="PHL96" s="15"/>
      <c r="PHM96" s="15"/>
      <c r="PHN96" s="15"/>
      <c r="PHO96" s="15"/>
      <c r="PHP96" s="15"/>
      <c r="PHQ96" s="15"/>
      <c r="PHR96" s="15"/>
      <c r="PHS96" s="15"/>
      <c r="PHT96" s="15"/>
      <c r="PHU96" s="15"/>
      <c r="PHV96" s="15"/>
      <c r="PHW96" s="15"/>
      <c r="PHX96" s="15"/>
      <c r="PHY96" s="15"/>
      <c r="PHZ96" s="15"/>
      <c r="PIA96" s="15"/>
      <c r="PIB96" s="15"/>
      <c r="PIC96" s="15"/>
      <c r="PID96" s="15"/>
      <c r="PIE96" s="15"/>
      <c r="PIF96" s="15"/>
      <c r="PIG96" s="15"/>
      <c r="PIH96" s="15"/>
      <c r="PII96" s="15"/>
      <c r="PIJ96" s="15"/>
      <c r="PIK96" s="15"/>
      <c r="PIL96" s="15"/>
      <c r="PIM96" s="15"/>
      <c r="PIN96" s="15"/>
      <c r="PIO96" s="15"/>
      <c r="PIP96" s="15"/>
      <c r="PIQ96" s="15"/>
      <c r="PIR96" s="15"/>
      <c r="PIS96" s="15"/>
      <c r="PIT96" s="15"/>
      <c r="PIU96" s="15"/>
      <c r="PIV96" s="15"/>
      <c r="PIW96" s="15"/>
      <c r="PIX96" s="15"/>
      <c r="PIY96" s="15"/>
      <c r="PIZ96" s="15"/>
      <c r="PJA96" s="15"/>
      <c r="PJB96" s="15"/>
      <c r="PJC96" s="15"/>
      <c r="PJD96" s="15"/>
      <c r="PJE96" s="15"/>
      <c r="PJF96" s="15"/>
      <c r="PJG96" s="15"/>
      <c r="PJH96" s="15"/>
      <c r="PJI96" s="15"/>
      <c r="PJJ96" s="15"/>
      <c r="PJK96" s="15"/>
      <c r="PJL96" s="15"/>
      <c r="PJM96" s="15"/>
      <c r="PJN96" s="15"/>
      <c r="PJO96" s="15"/>
      <c r="PJP96" s="15"/>
      <c r="PJQ96" s="15"/>
      <c r="PJR96" s="15"/>
      <c r="PJS96" s="15"/>
      <c r="PJT96" s="15"/>
      <c r="PJU96" s="15"/>
      <c r="PJV96" s="15"/>
      <c r="PJW96" s="15"/>
      <c r="PJX96" s="15"/>
      <c r="PJY96" s="15"/>
      <c r="PJZ96" s="15"/>
      <c r="PKA96" s="15"/>
      <c r="PKB96" s="15"/>
      <c r="PKC96" s="15"/>
      <c r="PKD96" s="15"/>
      <c r="PKE96" s="15"/>
      <c r="PKF96" s="15"/>
      <c r="PKG96" s="15"/>
      <c r="PKH96" s="15"/>
      <c r="PKI96" s="15"/>
      <c r="PKJ96" s="15"/>
      <c r="PKK96" s="15"/>
      <c r="PKL96" s="15"/>
      <c r="PKM96" s="15"/>
      <c r="PKN96" s="15"/>
      <c r="PKO96" s="15"/>
      <c r="PKP96" s="15"/>
      <c r="PKQ96" s="15"/>
      <c r="PKR96" s="15"/>
      <c r="PKS96" s="15"/>
      <c r="PKT96" s="15"/>
      <c r="PKU96" s="15"/>
      <c r="PKV96" s="15"/>
      <c r="PKW96" s="15"/>
      <c r="PKX96" s="15"/>
      <c r="PKY96" s="15"/>
      <c r="PKZ96" s="15"/>
      <c r="PLA96" s="15"/>
      <c r="PLB96" s="15"/>
      <c r="PLC96" s="15"/>
      <c r="PLD96" s="15"/>
      <c r="PLE96" s="15"/>
      <c r="PLF96" s="15"/>
      <c r="PLG96" s="15"/>
      <c r="PLH96" s="15"/>
      <c r="PLI96" s="15"/>
      <c r="PLJ96" s="15"/>
      <c r="PLK96" s="15"/>
      <c r="PLL96" s="15"/>
      <c r="PLM96" s="15"/>
      <c r="PLN96" s="15"/>
      <c r="PLO96" s="15"/>
      <c r="PLP96" s="15"/>
      <c r="PLQ96" s="15"/>
      <c r="PLR96" s="15"/>
      <c r="PLS96" s="15"/>
      <c r="PLT96" s="15"/>
      <c r="PLU96" s="15"/>
      <c r="PLV96" s="15"/>
      <c r="PLW96" s="15"/>
      <c r="PLX96" s="15"/>
      <c r="PLY96" s="15"/>
      <c r="PLZ96" s="15"/>
      <c r="PMA96" s="15"/>
      <c r="PMB96" s="15"/>
      <c r="PMC96" s="15"/>
      <c r="PMD96" s="15"/>
      <c r="PME96" s="15"/>
      <c r="PMF96" s="15"/>
      <c r="PMG96" s="15"/>
      <c r="PMH96" s="15"/>
      <c r="PMI96" s="15"/>
      <c r="PMJ96" s="15"/>
      <c r="PMK96" s="15"/>
      <c r="PML96" s="15"/>
      <c r="PMM96" s="15"/>
      <c r="PMN96" s="15"/>
      <c r="PMO96" s="15"/>
      <c r="PMP96" s="15"/>
      <c r="PMQ96" s="15"/>
      <c r="PMR96" s="15"/>
      <c r="PMS96" s="15"/>
      <c r="PMT96" s="15"/>
      <c r="PMU96" s="15"/>
      <c r="PMV96" s="15"/>
      <c r="PMW96" s="15"/>
      <c r="PMX96" s="15"/>
      <c r="PMY96" s="15"/>
      <c r="PMZ96" s="15"/>
      <c r="PNA96" s="15"/>
      <c r="PNB96" s="15"/>
      <c r="PNC96" s="15"/>
      <c r="PND96" s="15"/>
      <c r="PNE96" s="15"/>
      <c r="PNF96" s="15"/>
      <c r="PNG96" s="15"/>
      <c r="PNH96" s="15"/>
      <c r="PNI96" s="15"/>
      <c r="PNJ96" s="15"/>
      <c r="PNK96" s="15"/>
      <c r="PNL96" s="15"/>
      <c r="PNM96" s="15"/>
      <c r="PNN96" s="15"/>
      <c r="PNO96" s="15"/>
      <c r="PNP96" s="15"/>
      <c r="PNQ96" s="15"/>
      <c r="PNR96" s="15"/>
      <c r="PNS96" s="15"/>
      <c r="PNT96" s="15"/>
      <c r="PNU96" s="15"/>
      <c r="PNV96" s="15"/>
      <c r="PNW96" s="15"/>
      <c r="PNX96" s="15"/>
      <c r="PNY96" s="15"/>
      <c r="PNZ96" s="15"/>
      <c r="POA96" s="15"/>
      <c r="POB96" s="15"/>
      <c r="POC96" s="15"/>
      <c r="POD96" s="15"/>
      <c r="POE96" s="15"/>
      <c r="POF96" s="15"/>
      <c r="POG96" s="15"/>
      <c r="POH96" s="15"/>
      <c r="POI96" s="15"/>
      <c r="POJ96" s="15"/>
      <c r="POK96" s="15"/>
      <c r="POL96" s="15"/>
      <c r="POM96" s="15"/>
      <c r="PON96" s="15"/>
      <c r="POO96" s="15"/>
      <c r="POP96" s="15"/>
      <c r="POQ96" s="15"/>
      <c r="POR96" s="15"/>
      <c r="POS96" s="15"/>
      <c r="POT96" s="15"/>
      <c r="POU96" s="15"/>
      <c r="POV96" s="15"/>
      <c r="POW96" s="15"/>
      <c r="POX96" s="15"/>
      <c r="POY96" s="15"/>
      <c r="POZ96" s="15"/>
      <c r="PPA96" s="15"/>
      <c r="PPB96" s="15"/>
      <c r="PPC96" s="15"/>
      <c r="PPD96" s="15"/>
      <c r="PPE96" s="15"/>
      <c r="PPF96" s="15"/>
      <c r="PPG96" s="15"/>
      <c r="PPH96" s="15"/>
      <c r="PPI96" s="15"/>
      <c r="PPJ96" s="15"/>
      <c r="PPK96" s="15"/>
      <c r="PPL96" s="15"/>
      <c r="PPM96" s="15"/>
      <c r="PPN96" s="15"/>
      <c r="PPO96" s="15"/>
      <c r="PPP96" s="15"/>
      <c r="PPQ96" s="15"/>
      <c r="PPR96" s="15"/>
      <c r="PPS96" s="15"/>
      <c r="PPT96" s="15"/>
      <c r="PPU96" s="15"/>
      <c r="PPV96" s="15"/>
      <c r="PPW96" s="15"/>
      <c r="PPX96" s="15"/>
      <c r="PPY96" s="15"/>
      <c r="PPZ96" s="15"/>
      <c r="PQA96" s="15"/>
      <c r="PQB96" s="15"/>
      <c r="PQC96" s="15"/>
      <c r="PQD96" s="15"/>
      <c r="PQE96" s="15"/>
      <c r="PQF96" s="15"/>
      <c r="PQG96" s="15"/>
      <c r="PQH96" s="15"/>
      <c r="PQI96" s="15"/>
      <c r="PQJ96" s="15"/>
      <c r="PQK96" s="15"/>
      <c r="PQL96" s="15"/>
      <c r="PQM96" s="15"/>
      <c r="PQN96" s="15"/>
      <c r="PQO96" s="15"/>
      <c r="PQP96" s="15"/>
      <c r="PQQ96" s="15"/>
      <c r="PQR96" s="15"/>
      <c r="PQS96" s="15"/>
      <c r="PQT96" s="15"/>
      <c r="PQU96" s="15"/>
      <c r="PQV96" s="15"/>
      <c r="PQW96" s="15"/>
      <c r="PQX96" s="15"/>
      <c r="PQY96" s="15"/>
      <c r="PQZ96" s="15"/>
      <c r="PRA96" s="15"/>
      <c r="PRB96" s="15"/>
      <c r="PRC96" s="15"/>
      <c r="PRD96" s="15"/>
      <c r="PRE96" s="15"/>
      <c r="PRF96" s="15"/>
      <c r="PRG96" s="15"/>
      <c r="PRH96" s="15"/>
      <c r="PRI96" s="15"/>
      <c r="PRJ96" s="15"/>
      <c r="PRK96" s="15"/>
      <c r="PRL96" s="15"/>
      <c r="PRM96" s="15"/>
      <c r="PRN96" s="15"/>
      <c r="PRO96" s="15"/>
      <c r="PRP96" s="15"/>
      <c r="PRQ96" s="15"/>
      <c r="PRR96" s="15"/>
      <c r="PRS96" s="15"/>
      <c r="PRT96" s="15"/>
      <c r="PRU96" s="15"/>
      <c r="PRV96" s="15"/>
      <c r="PRW96" s="15"/>
      <c r="PRX96" s="15"/>
      <c r="PRY96" s="15"/>
      <c r="PRZ96" s="15"/>
      <c r="PSA96" s="15"/>
      <c r="PSB96" s="15"/>
      <c r="PSC96" s="15"/>
      <c r="PSD96" s="15"/>
      <c r="PSE96" s="15"/>
      <c r="PSF96" s="15"/>
      <c r="PSG96" s="15"/>
      <c r="PSH96" s="15"/>
      <c r="PSI96" s="15"/>
      <c r="PSJ96" s="15"/>
      <c r="PSK96" s="15"/>
      <c r="PSL96" s="15"/>
      <c r="PSM96" s="15"/>
      <c r="PSN96" s="15"/>
      <c r="PSO96" s="15"/>
      <c r="PSP96" s="15"/>
      <c r="PSQ96" s="15"/>
      <c r="PSR96" s="15"/>
      <c r="PSS96" s="15"/>
      <c r="PST96" s="15"/>
      <c r="PSU96" s="15"/>
      <c r="PSV96" s="15"/>
      <c r="PSW96" s="15"/>
      <c r="PSX96" s="15"/>
      <c r="PSY96" s="15"/>
      <c r="PSZ96" s="15"/>
      <c r="PTA96" s="15"/>
      <c r="PTB96" s="15"/>
      <c r="PTC96" s="15"/>
      <c r="PTD96" s="15"/>
      <c r="PTE96" s="15"/>
      <c r="PTF96" s="15"/>
      <c r="PTG96" s="15"/>
      <c r="PTH96" s="15"/>
      <c r="PTI96" s="15"/>
      <c r="PTJ96" s="15"/>
      <c r="PTK96" s="15"/>
      <c r="PTL96" s="15"/>
      <c r="PTM96" s="15"/>
      <c r="PTN96" s="15"/>
      <c r="PTO96" s="15"/>
      <c r="PTP96" s="15"/>
      <c r="PTQ96" s="15"/>
      <c r="PTR96" s="15"/>
      <c r="PTS96" s="15"/>
      <c r="PTT96" s="15"/>
      <c r="PTU96" s="15"/>
      <c r="PTV96" s="15"/>
      <c r="PTW96" s="15"/>
      <c r="PTX96" s="15"/>
      <c r="PTY96" s="15"/>
      <c r="PTZ96" s="15"/>
      <c r="PUA96" s="15"/>
      <c r="PUB96" s="15"/>
      <c r="PUC96" s="15"/>
      <c r="PUD96" s="15"/>
      <c r="PUE96" s="15"/>
      <c r="PUF96" s="15"/>
      <c r="PUG96" s="15"/>
      <c r="PUH96" s="15"/>
      <c r="PUI96" s="15"/>
      <c r="PUJ96" s="15"/>
      <c r="PUK96" s="15"/>
      <c r="PUL96" s="15"/>
      <c r="PUM96" s="15"/>
      <c r="PUN96" s="15"/>
      <c r="PUO96" s="15"/>
      <c r="PUP96" s="15"/>
      <c r="PUQ96" s="15"/>
      <c r="PUR96" s="15"/>
      <c r="PUS96" s="15"/>
      <c r="PUT96" s="15"/>
      <c r="PUU96" s="15"/>
      <c r="PUV96" s="15"/>
      <c r="PUW96" s="15"/>
      <c r="PUX96" s="15"/>
      <c r="PUY96" s="15"/>
      <c r="PUZ96" s="15"/>
      <c r="PVA96" s="15"/>
      <c r="PVB96" s="15"/>
      <c r="PVC96" s="15"/>
      <c r="PVD96" s="15"/>
      <c r="PVE96" s="15"/>
      <c r="PVF96" s="15"/>
      <c r="PVG96" s="15"/>
      <c r="PVH96" s="15"/>
      <c r="PVI96" s="15"/>
      <c r="PVJ96" s="15"/>
      <c r="PVK96" s="15"/>
      <c r="PVL96" s="15"/>
      <c r="PVM96" s="15"/>
      <c r="PVN96" s="15"/>
      <c r="PVO96" s="15"/>
      <c r="PVP96" s="15"/>
      <c r="PVQ96" s="15"/>
      <c r="PVR96" s="15"/>
      <c r="PVS96" s="15"/>
      <c r="PVT96" s="15"/>
      <c r="PVU96" s="15"/>
      <c r="PVV96" s="15"/>
      <c r="PVW96" s="15"/>
      <c r="PVX96" s="15"/>
      <c r="PVY96" s="15"/>
      <c r="PVZ96" s="15"/>
      <c r="PWA96" s="15"/>
      <c r="PWB96" s="15"/>
      <c r="PWC96" s="15"/>
      <c r="PWD96" s="15"/>
      <c r="PWE96" s="15"/>
      <c r="PWF96" s="15"/>
      <c r="PWG96" s="15"/>
      <c r="PWH96" s="15"/>
      <c r="PWI96" s="15"/>
      <c r="PWJ96" s="15"/>
      <c r="PWK96" s="15"/>
      <c r="PWL96" s="15"/>
      <c r="PWM96" s="15"/>
      <c r="PWN96" s="15"/>
      <c r="PWO96" s="15"/>
      <c r="PWP96" s="15"/>
      <c r="PWQ96" s="15"/>
      <c r="PWR96" s="15"/>
      <c r="PWS96" s="15"/>
      <c r="PWT96" s="15"/>
      <c r="PWU96" s="15"/>
      <c r="PWV96" s="15"/>
      <c r="PWW96" s="15"/>
      <c r="PWX96" s="15"/>
      <c r="PWY96" s="15"/>
      <c r="PWZ96" s="15"/>
      <c r="PXA96" s="15"/>
      <c r="PXB96" s="15"/>
      <c r="PXC96" s="15"/>
      <c r="PXD96" s="15"/>
      <c r="PXE96" s="15"/>
      <c r="PXF96" s="15"/>
      <c r="PXG96" s="15"/>
      <c r="PXH96" s="15"/>
      <c r="PXI96" s="15"/>
      <c r="PXJ96" s="15"/>
      <c r="PXK96" s="15"/>
      <c r="PXL96" s="15"/>
      <c r="PXM96" s="15"/>
      <c r="PXN96" s="15"/>
      <c r="PXO96" s="15"/>
      <c r="PXP96" s="15"/>
      <c r="PXQ96" s="15"/>
      <c r="PXR96" s="15"/>
      <c r="PXS96" s="15"/>
      <c r="PXT96" s="15"/>
      <c r="PXU96" s="15"/>
      <c r="PXV96" s="15"/>
      <c r="PXW96" s="15"/>
      <c r="PXX96" s="15"/>
      <c r="PXY96" s="15"/>
      <c r="PXZ96" s="15"/>
      <c r="PYA96" s="15"/>
      <c r="PYB96" s="15"/>
      <c r="PYC96" s="15"/>
      <c r="PYD96" s="15"/>
      <c r="PYE96" s="15"/>
      <c r="PYF96" s="15"/>
      <c r="PYG96" s="15"/>
      <c r="PYH96" s="15"/>
      <c r="PYI96" s="15"/>
      <c r="PYJ96" s="15"/>
      <c r="PYK96" s="15"/>
      <c r="PYL96" s="15"/>
      <c r="PYM96" s="15"/>
      <c r="PYN96" s="15"/>
      <c r="PYO96" s="15"/>
      <c r="PYP96" s="15"/>
      <c r="PYQ96" s="15"/>
      <c r="PYR96" s="15"/>
      <c r="PYS96" s="15"/>
      <c r="PYT96" s="15"/>
      <c r="PYU96" s="15"/>
      <c r="PYV96" s="15"/>
      <c r="PYW96" s="15"/>
      <c r="PYX96" s="15"/>
      <c r="PYY96" s="15"/>
      <c r="PYZ96" s="15"/>
      <c r="PZA96" s="15"/>
      <c r="PZB96" s="15"/>
      <c r="PZC96" s="15"/>
      <c r="PZD96" s="15"/>
      <c r="PZE96" s="15"/>
      <c r="PZF96" s="15"/>
      <c r="PZG96" s="15"/>
      <c r="PZH96" s="15"/>
      <c r="PZI96" s="15"/>
      <c r="PZJ96" s="15"/>
      <c r="PZK96" s="15"/>
      <c r="PZL96" s="15"/>
      <c r="PZM96" s="15"/>
      <c r="PZN96" s="15"/>
      <c r="PZO96" s="15"/>
      <c r="PZP96" s="15"/>
      <c r="PZQ96" s="15"/>
      <c r="PZR96" s="15"/>
      <c r="PZS96" s="15"/>
      <c r="PZT96" s="15"/>
      <c r="PZU96" s="15"/>
      <c r="PZV96" s="15"/>
      <c r="PZW96" s="15"/>
      <c r="PZX96" s="15"/>
      <c r="PZY96" s="15"/>
      <c r="PZZ96" s="15"/>
      <c r="QAA96" s="15"/>
      <c r="QAB96" s="15"/>
      <c r="QAC96" s="15"/>
      <c r="QAD96" s="15"/>
      <c r="QAE96" s="15"/>
      <c r="QAF96" s="15"/>
      <c r="QAG96" s="15"/>
      <c r="QAH96" s="15"/>
      <c r="QAI96" s="15"/>
      <c r="QAJ96" s="15"/>
      <c r="QAK96" s="15"/>
      <c r="QAL96" s="15"/>
      <c r="QAM96" s="15"/>
      <c r="QAN96" s="15"/>
      <c r="QAO96" s="15"/>
      <c r="QAP96" s="15"/>
      <c r="QAQ96" s="15"/>
      <c r="QAR96" s="15"/>
      <c r="QAS96" s="15"/>
      <c r="QAT96" s="15"/>
      <c r="QAU96" s="15"/>
      <c r="QAV96" s="15"/>
      <c r="QAW96" s="15"/>
      <c r="QAX96" s="15"/>
      <c r="QAY96" s="15"/>
      <c r="QAZ96" s="15"/>
      <c r="QBA96" s="15"/>
      <c r="QBB96" s="15"/>
      <c r="QBC96" s="15"/>
      <c r="QBD96" s="15"/>
      <c r="QBE96" s="15"/>
      <c r="QBF96" s="15"/>
      <c r="QBG96" s="15"/>
      <c r="QBH96" s="15"/>
      <c r="QBI96" s="15"/>
      <c r="QBJ96" s="15"/>
      <c r="QBK96" s="15"/>
      <c r="QBL96" s="15"/>
      <c r="QBM96" s="15"/>
      <c r="QBN96" s="15"/>
      <c r="QBO96" s="15"/>
      <c r="QBP96" s="15"/>
      <c r="QBQ96" s="15"/>
      <c r="QBR96" s="15"/>
      <c r="QBS96" s="15"/>
      <c r="QBT96" s="15"/>
      <c r="QBU96" s="15"/>
      <c r="QBV96" s="15"/>
      <c r="QBW96" s="15"/>
      <c r="QBX96" s="15"/>
      <c r="QBY96" s="15"/>
      <c r="QBZ96" s="15"/>
      <c r="QCA96" s="15"/>
      <c r="QCB96" s="15"/>
      <c r="QCC96" s="15"/>
      <c r="QCD96" s="15"/>
      <c r="QCE96" s="15"/>
      <c r="QCF96" s="15"/>
      <c r="QCG96" s="15"/>
      <c r="QCH96" s="15"/>
      <c r="QCI96" s="15"/>
      <c r="QCJ96" s="15"/>
      <c r="QCK96" s="15"/>
      <c r="QCL96" s="15"/>
      <c r="QCM96" s="15"/>
      <c r="QCN96" s="15"/>
      <c r="QCO96" s="15"/>
      <c r="QCP96" s="15"/>
      <c r="QCQ96" s="15"/>
      <c r="QCR96" s="15"/>
      <c r="QCS96" s="15"/>
      <c r="QCT96" s="15"/>
      <c r="QCU96" s="15"/>
      <c r="QCV96" s="15"/>
      <c r="QCW96" s="15"/>
      <c r="QCX96" s="15"/>
      <c r="QCY96" s="15"/>
      <c r="QCZ96" s="15"/>
      <c r="QDA96" s="15"/>
      <c r="QDB96" s="15"/>
      <c r="QDC96" s="15"/>
      <c r="QDD96" s="15"/>
      <c r="QDE96" s="15"/>
      <c r="QDF96" s="15"/>
      <c r="QDG96" s="15"/>
      <c r="QDH96" s="15"/>
      <c r="QDI96" s="15"/>
      <c r="QDJ96" s="15"/>
      <c r="QDK96" s="15"/>
      <c r="QDL96" s="15"/>
      <c r="QDM96" s="15"/>
      <c r="QDN96" s="15"/>
      <c r="QDO96" s="15"/>
      <c r="QDP96" s="15"/>
      <c r="QDQ96" s="15"/>
      <c r="QDR96" s="15"/>
      <c r="QDS96" s="15"/>
      <c r="QDT96" s="15"/>
      <c r="QDU96" s="15"/>
      <c r="QDV96" s="15"/>
      <c r="QDW96" s="15"/>
      <c r="QDX96" s="15"/>
      <c r="QDY96" s="15"/>
      <c r="QDZ96" s="15"/>
      <c r="QEA96" s="15"/>
      <c r="QEB96" s="15"/>
      <c r="QEC96" s="15"/>
      <c r="QED96" s="15"/>
      <c r="QEE96" s="15"/>
      <c r="QEF96" s="15"/>
      <c r="QEG96" s="15"/>
      <c r="QEH96" s="15"/>
      <c r="QEI96" s="15"/>
      <c r="QEJ96" s="15"/>
      <c r="QEK96" s="15"/>
      <c r="QEL96" s="15"/>
      <c r="QEM96" s="15"/>
      <c r="QEN96" s="15"/>
      <c r="QEO96" s="15"/>
      <c r="QEP96" s="15"/>
      <c r="QEQ96" s="15"/>
      <c r="QER96" s="15"/>
      <c r="QES96" s="15"/>
      <c r="QET96" s="15"/>
      <c r="QEU96" s="15"/>
      <c r="QEV96" s="15"/>
      <c r="QEW96" s="15"/>
      <c r="QEX96" s="15"/>
      <c r="QEY96" s="15"/>
      <c r="QEZ96" s="15"/>
      <c r="QFA96" s="15"/>
      <c r="QFB96" s="15"/>
      <c r="QFC96" s="15"/>
      <c r="QFD96" s="15"/>
      <c r="QFE96" s="15"/>
      <c r="QFF96" s="15"/>
      <c r="QFG96" s="15"/>
      <c r="QFH96" s="15"/>
      <c r="QFI96" s="15"/>
      <c r="QFJ96" s="15"/>
      <c r="QFK96" s="15"/>
      <c r="QFL96" s="15"/>
      <c r="QFM96" s="15"/>
      <c r="QFN96" s="15"/>
      <c r="QFO96" s="15"/>
      <c r="QFP96" s="15"/>
      <c r="QFQ96" s="15"/>
      <c r="QFR96" s="15"/>
      <c r="QFS96" s="15"/>
      <c r="QFT96" s="15"/>
      <c r="QFU96" s="15"/>
      <c r="QFV96" s="15"/>
      <c r="QFW96" s="15"/>
      <c r="QFX96" s="15"/>
      <c r="QFY96" s="15"/>
      <c r="QFZ96" s="15"/>
      <c r="QGA96" s="15"/>
      <c r="QGB96" s="15"/>
      <c r="QGC96" s="15"/>
      <c r="QGD96" s="15"/>
      <c r="QGE96" s="15"/>
      <c r="QGF96" s="15"/>
      <c r="QGG96" s="15"/>
      <c r="QGH96" s="15"/>
      <c r="QGI96" s="15"/>
      <c r="QGJ96" s="15"/>
      <c r="QGK96" s="15"/>
      <c r="QGL96" s="15"/>
      <c r="QGM96" s="15"/>
      <c r="QGN96" s="15"/>
      <c r="QGO96" s="15"/>
      <c r="QGP96" s="15"/>
      <c r="QGQ96" s="15"/>
      <c r="QGR96" s="15"/>
      <c r="QGS96" s="15"/>
      <c r="QGT96" s="15"/>
      <c r="QGU96" s="15"/>
      <c r="QGV96" s="15"/>
      <c r="QGW96" s="15"/>
      <c r="QGX96" s="15"/>
      <c r="QGY96" s="15"/>
      <c r="QGZ96" s="15"/>
      <c r="QHA96" s="15"/>
      <c r="QHB96" s="15"/>
      <c r="QHC96" s="15"/>
      <c r="QHD96" s="15"/>
      <c r="QHE96" s="15"/>
      <c r="QHF96" s="15"/>
      <c r="QHG96" s="15"/>
      <c r="QHH96" s="15"/>
      <c r="QHI96" s="15"/>
      <c r="QHJ96" s="15"/>
      <c r="QHK96" s="15"/>
      <c r="QHL96" s="15"/>
      <c r="QHM96" s="15"/>
      <c r="QHN96" s="15"/>
      <c r="QHO96" s="15"/>
      <c r="QHP96" s="15"/>
      <c r="QHQ96" s="15"/>
      <c r="QHR96" s="15"/>
      <c r="QHS96" s="15"/>
      <c r="QHT96" s="15"/>
      <c r="QHU96" s="15"/>
      <c r="QHV96" s="15"/>
      <c r="QHW96" s="15"/>
      <c r="QHX96" s="15"/>
      <c r="QHY96" s="15"/>
      <c r="QHZ96" s="15"/>
      <c r="QIA96" s="15"/>
      <c r="QIB96" s="15"/>
      <c r="QIC96" s="15"/>
      <c r="QID96" s="15"/>
      <c r="QIE96" s="15"/>
      <c r="QIF96" s="15"/>
      <c r="QIG96" s="15"/>
      <c r="QIH96" s="15"/>
      <c r="QII96" s="15"/>
      <c r="QIJ96" s="15"/>
      <c r="QIK96" s="15"/>
      <c r="QIL96" s="15"/>
      <c r="QIM96" s="15"/>
      <c r="QIN96" s="15"/>
      <c r="QIO96" s="15"/>
      <c r="QIP96" s="15"/>
      <c r="QIQ96" s="15"/>
      <c r="QIR96" s="15"/>
      <c r="QIS96" s="15"/>
      <c r="QIT96" s="15"/>
      <c r="QIU96" s="15"/>
      <c r="QIV96" s="15"/>
      <c r="QIW96" s="15"/>
      <c r="QIX96" s="15"/>
      <c r="QIY96" s="15"/>
      <c r="QIZ96" s="15"/>
      <c r="QJA96" s="15"/>
      <c r="QJB96" s="15"/>
      <c r="QJC96" s="15"/>
      <c r="QJD96" s="15"/>
      <c r="QJE96" s="15"/>
      <c r="QJF96" s="15"/>
      <c r="QJG96" s="15"/>
      <c r="QJH96" s="15"/>
      <c r="QJI96" s="15"/>
      <c r="QJJ96" s="15"/>
      <c r="QJK96" s="15"/>
      <c r="QJL96" s="15"/>
      <c r="QJM96" s="15"/>
      <c r="QJN96" s="15"/>
      <c r="QJO96" s="15"/>
      <c r="QJP96" s="15"/>
      <c r="QJQ96" s="15"/>
      <c r="QJR96" s="15"/>
      <c r="QJS96" s="15"/>
      <c r="QJT96" s="15"/>
      <c r="QJU96" s="15"/>
      <c r="QJV96" s="15"/>
      <c r="QJW96" s="15"/>
      <c r="QJX96" s="15"/>
      <c r="QJY96" s="15"/>
      <c r="QJZ96" s="15"/>
      <c r="QKA96" s="15"/>
      <c r="QKB96" s="15"/>
      <c r="QKC96" s="15"/>
      <c r="QKD96" s="15"/>
      <c r="QKE96" s="15"/>
      <c r="QKF96" s="15"/>
      <c r="QKG96" s="15"/>
      <c r="QKH96" s="15"/>
      <c r="QKI96" s="15"/>
      <c r="QKJ96" s="15"/>
      <c r="QKK96" s="15"/>
      <c r="QKL96" s="15"/>
      <c r="QKM96" s="15"/>
      <c r="QKN96" s="15"/>
      <c r="QKO96" s="15"/>
      <c r="QKP96" s="15"/>
      <c r="QKQ96" s="15"/>
      <c r="QKR96" s="15"/>
      <c r="QKS96" s="15"/>
      <c r="QKT96" s="15"/>
      <c r="QKU96" s="15"/>
      <c r="QKV96" s="15"/>
      <c r="QKW96" s="15"/>
      <c r="QKX96" s="15"/>
      <c r="QKY96" s="15"/>
      <c r="QKZ96" s="15"/>
      <c r="QLA96" s="15"/>
      <c r="QLB96" s="15"/>
      <c r="QLC96" s="15"/>
      <c r="QLD96" s="15"/>
      <c r="QLE96" s="15"/>
      <c r="QLF96" s="15"/>
      <c r="QLG96" s="15"/>
      <c r="QLH96" s="15"/>
      <c r="QLI96" s="15"/>
      <c r="QLJ96" s="15"/>
      <c r="QLK96" s="15"/>
      <c r="QLL96" s="15"/>
      <c r="QLM96" s="15"/>
      <c r="QLN96" s="15"/>
      <c r="QLO96" s="15"/>
      <c r="QLP96" s="15"/>
      <c r="QLQ96" s="15"/>
      <c r="QLR96" s="15"/>
      <c r="QLS96" s="15"/>
      <c r="QLT96" s="15"/>
      <c r="QLU96" s="15"/>
      <c r="QLV96" s="15"/>
      <c r="QLW96" s="15"/>
      <c r="QLX96" s="15"/>
      <c r="QLY96" s="15"/>
      <c r="QLZ96" s="15"/>
      <c r="QMA96" s="15"/>
      <c r="QMB96" s="15"/>
      <c r="QMC96" s="15"/>
      <c r="QMD96" s="15"/>
      <c r="QME96" s="15"/>
      <c r="QMF96" s="15"/>
      <c r="QMG96" s="15"/>
      <c r="QMH96" s="15"/>
      <c r="QMI96" s="15"/>
      <c r="QMJ96" s="15"/>
      <c r="QMK96" s="15"/>
      <c r="QML96" s="15"/>
      <c r="QMM96" s="15"/>
      <c r="QMN96" s="15"/>
      <c r="QMO96" s="15"/>
      <c r="QMP96" s="15"/>
      <c r="QMQ96" s="15"/>
      <c r="QMR96" s="15"/>
      <c r="QMS96" s="15"/>
      <c r="QMT96" s="15"/>
      <c r="QMU96" s="15"/>
      <c r="QMV96" s="15"/>
      <c r="QMW96" s="15"/>
      <c r="QMX96" s="15"/>
      <c r="QMY96" s="15"/>
      <c r="QMZ96" s="15"/>
      <c r="QNA96" s="15"/>
      <c r="QNB96" s="15"/>
      <c r="QNC96" s="15"/>
      <c r="QND96" s="15"/>
      <c r="QNE96" s="15"/>
      <c r="QNF96" s="15"/>
      <c r="QNG96" s="15"/>
      <c r="QNH96" s="15"/>
      <c r="QNI96" s="15"/>
      <c r="QNJ96" s="15"/>
      <c r="QNK96" s="15"/>
      <c r="QNL96" s="15"/>
      <c r="QNM96" s="15"/>
      <c r="QNN96" s="15"/>
      <c r="QNO96" s="15"/>
      <c r="QNP96" s="15"/>
      <c r="QNQ96" s="15"/>
      <c r="QNR96" s="15"/>
      <c r="QNS96" s="15"/>
      <c r="QNT96" s="15"/>
      <c r="QNU96" s="15"/>
      <c r="QNV96" s="15"/>
      <c r="QNW96" s="15"/>
      <c r="QNX96" s="15"/>
      <c r="QNY96" s="15"/>
      <c r="QNZ96" s="15"/>
      <c r="QOA96" s="15"/>
      <c r="QOB96" s="15"/>
      <c r="QOC96" s="15"/>
      <c r="QOD96" s="15"/>
      <c r="QOE96" s="15"/>
      <c r="QOF96" s="15"/>
      <c r="QOG96" s="15"/>
      <c r="QOH96" s="15"/>
      <c r="QOI96" s="15"/>
      <c r="QOJ96" s="15"/>
      <c r="QOK96" s="15"/>
      <c r="QOL96" s="15"/>
      <c r="QOM96" s="15"/>
      <c r="QON96" s="15"/>
      <c r="QOO96" s="15"/>
      <c r="QOP96" s="15"/>
      <c r="QOQ96" s="15"/>
      <c r="QOR96" s="15"/>
      <c r="QOS96" s="15"/>
      <c r="QOT96" s="15"/>
      <c r="QOU96" s="15"/>
      <c r="QOV96" s="15"/>
      <c r="QOW96" s="15"/>
      <c r="QOX96" s="15"/>
      <c r="QOY96" s="15"/>
      <c r="QOZ96" s="15"/>
      <c r="QPA96" s="15"/>
      <c r="QPB96" s="15"/>
      <c r="QPC96" s="15"/>
      <c r="QPD96" s="15"/>
      <c r="QPE96" s="15"/>
      <c r="QPF96" s="15"/>
      <c r="QPG96" s="15"/>
      <c r="QPH96" s="15"/>
      <c r="QPI96" s="15"/>
      <c r="QPJ96" s="15"/>
      <c r="QPK96" s="15"/>
      <c r="QPL96" s="15"/>
      <c r="QPM96" s="15"/>
      <c r="QPN96" s="15"/>
      <c r="QPO96" s="15"/>
      <c r="QPP96" s="15"/>
      <c r="QPQ96" s="15"/>
      <c r="QPR96" s="15"/>
      <c r="QPS96" s="15"/>
      <c r="QPT96" s="15"/>
      <c r="QPU96" s="15"/>
      <c r="QPV96" s="15"/>
      <c r="QPW96" s="15"/>
      <c r="QPX96" s="15"/>
      <c r="QPY96" s="15"/>
      <c r="QPZ96" s="15"/>
      <c r="QQA96" s="15"/>
      <c r="QQB96" s="15"/>
      <c r="QQC96" s="15"/>
      <c r="QQD96" s="15"/>
      <c r="QQE96" s="15"/>
      <c r="QQF96" s="15"/>
      <c r="QQG96" s="15"/>
      <c r="QQH96" s="15"/>
      <c r="QQI96" s="15"/>
      <c r="QQJ96" s="15"/>
      <c r="QQK96" s="15"/>
      <c r="QQL96" s="15"/>
      <c r="QQM96" s="15"/>
      <c r="QQN96" s="15"/>
      <c r="QQO96" s="15"/>
      <c r="QQP96" s="15"/>
      <c r="QQQ96" s="15"/>
      <c r="QQR96" s="15"/>
      <c r="QQS96" s="15"/>
      <c r="QQT96" s="15"/>
      <c r="QQU96" s="15"/>
      <c r="QQV96" s="15"/>
      <c r="QQW96" s="15"/>
      <c r="QQX96" s="15"/>
      <c r="QQY96" s="15"/>
      <c r="QQZ96" s="15"/>
      <c r="QRA96" s="15"/>
      <c r="QRB96" s="15"/>
      <c r="QRC96" s="15"/>
      <c r="QRD96" s="15"/>
      <c r="QRE96" s="15"/>
      <c r="QRF96" s="15"/>
      <c r="QRG96" s="15"/>
      <c r="QRH96" s="15"/>
      <c r="QRI96" s="15"/>
      <c r="QRJ96" s="15"/>
      <c r="QRK96" s="15"/>
      <c r="QRL96" s="15"/>
      <c r="QRM96" s="15"/>
      <c r="QRN96" s="15"/>
      <c r="QRO96" s="15"/>
      <c r="QRP96" s="15"/>
      <c r="QRQ96" s="15"/>
      <c r="QRR96" s="15"/>
      <c r="QRS96" s="15"/>
      <c r="QRT96" s="15"/>
      <c r="QRU96" s="15"/>
      <c r="QRV96" s="15"/>
      <c r="QRW96" s="15"/>
      <c r="QRX96" s="15"/>
      <c r="QRY96" s="15"/>
      <c r="QRZ96" s="15"/>
      <c r="QSA96" s="15"/>
      <c r="QSB96" s="15"/>
      <c r="QSC96" s="15"/>
      <c r="QSD96" s="15"/>
      <c r="QSE96" s="15"/>
      <c r="QSF96" s="15"/>
      <c r="QSG96" s="15"/>
      <c r="QSH96" s="15"/>
      <c r="QSI96" s="15"/>
      <c r="QSJ96" s="15"/>
      <c r="QSK96" s="15"/>
      <c r="QSL96" s="15"/>
      <c r="QSM96" s="15"/>
      <c r="QSN96" s="15"/>
      <c r="QSO96" s="15"/>
      <c r="QSP96" s="15"/>
      <c r="QSQ96" s="15"/>
      <c r="QSR96" s="15"/>
      <c r="QSS96" s="15"/>
      <c r="QST96" s="15"/>
      <c r="QSU96" s="15"/>
      <c r="QSV96" s="15"/>
      <c r="QSW96" s="15"/>
      <c r="QSX96" s="15"/>
      <c r="QSY96" s="15"/>
      <c r="QSZ96" s="15"/>
      <c r="QTA96" s="15"/>
      <c r="QTB96" s="15"/>
      <c r="QTC96" s="15"/>
      <c r="QTD96" s="15"/>
      <c r="QTE96" s="15"/>
      <c r="QTF96" s="15"/>
      <c r="QTG96" s="15"/>
      <c r="QTH96" s="15"/>
      <c r="QTI96" s="15"/>
      <c r="QTJ96" s="15"/>
      <c r="QTK96" s="15"/>
      <c r="QTL96" s="15"/>
      <c r="QTM96" s="15"/>
      <c r="QTN96" s="15"/>
      <c r="QTO96" s="15"/>
      <c r="QTP96" s="15"/>
      <c r="QTQ96" s="15"/>
      <c r="QTR96" s="15"/>
      <c r="QTS96" s="15"/>
      <c r="QTT96" s="15"/>
      <c r="QTU96" s="15"/>
      <c r="QTV96" s="15"/>
      <c r="QTW96" s="15"/>
      <c r="QTX96" s="15"/>
      <c r="QTY96" s="15"/>
      <c r="QTZ96" s="15"/>
      <c r="QUA96" s="15"/>
      <c r="QUB96" s="15"/>
      <c r="QUC96" s="15"/>
      <c r="QUD96" s="15"/>
      <c r="QUE96" s="15"/>
      <c r="QUF96" s="15"/>
      <c r="QUG96" s="15"/>
      <c r="QUH96" s="15"/>
      <c r="QUI96" s="15"/>
      <c r="QUJ96" s="15"/>
      <c r="QUK96" s="15"/>
      <c r="QUL96" s="15"/>
      <c r="QUM96" s="15"/>
      <c r="QUN96" s="15"/>
      <c r="QUO96" s="15"/>
      <c r="QUP96" s="15"/>
      <c r="QUQ96" s="15"/>
      <c r="QUR96" s="15"/>
      <c r="QUS96" s="15"/>
      <c r="QUT96" s="15"/>
      <c r="QUU96" s="15"/>
      <c r="QUV96" s="15"/>
      <c r="QUW96" s="15"/>
      <c r="QUX96" s="15"/>
      <c r="QUY96" s="15"/>
      <c r="QUZ96" s="15"/>
      <c r="QVA96" s="15"/>
      <c r="QVB96" s="15"/>
      <c r="QVC96" s="15"/>
      <c r="QVD96" s="15"/>
      <c r="QVE96" s="15"/>
      <c r="QVF96" s="15"/>
      <c r="QVG96" s="15"/>
      <c r="QVH96" s="15"/>
      <c r="QVI96" s="15"/>
      <c r="QVJ96" s="15"/>
      <c r="QVK96" s="15"/>
      <c r="QVL96" s="15"/>
      <c r="QVM96" s="15"/>
      <c r="QVN96" s="15"/>
      <c r="QVO96" s="15"/>
      <c r="QVP96" s="15"/>
      <c r="QVQ96" s="15"/>
      <c r="QVR96" s="15"/>
      <c r="QVS96" s="15"/>
      <c r="QVT96" s="15"/>
      <c r="QVU96" s="15"/>
      <c r="QVV96" s="15"/>
      <c r="QVW96" s="15"/>
      <c r="QVX96" s="15"/>
      <c r="QVY96" s="15"/>
      <c r="QVZ96" s="15"/>
      <c r="QWA96" s="15"/>
      <c r="QWB96" s="15"/>
      <c r="QWC96" s="15"/>
      <c r="QWD96" s="15"/>
      <c r="QWE96" s="15"/>
      <c r="QWF96" s="15"/>
      <c r="QWG96" s="15"/>
      <c r="QWH96" s="15"/>
      <c r="QWI96" s="15"/>
      <c r="QWJ96" s="15"/>
      <c r="QWK96" s="15"/>
      <c r="QWL96" s="15"/>
      <c r="QWM96" s="15"/>
      <c r="QWN96" s="15"/>
      <c r="QWO96" s="15"/>
      <c r="QWP96" s="15"/>
      <c r="QWQ96" s="15"/>
      <c r="QWR96" s="15"/>
      <c r="QWS96" s="15"/>
      <c r="QWT96" s="15"/>
      <c r="QWU96" s="15"/>
      <c r="QWV96" s="15"/>
      <c r="QWW96" s="15"/>
      <c r="QWX96" s="15"/>
      <c r="QWY96" s="15"/>
      <c r="QWZ96" s="15"/>
      <c r="QXA96" s="15"/>
      <c r="QXB96" s="15"/>
      <c r="QXC96" s="15"/>
      <c r="QXD96" s="15"/>
      <c r="QXE96" s="15"/>
      <c r="QXF96" s="15"/>
      <c r="QXG96" s="15"/>
      <c r="QXH96" s="15"/>
      <c r="QXI96" s="15"/>
      <c r="QXJ96" s="15"/>
      <c r="QXK96" s="15"/>
      <c r="QXL96" s="15"/>
      <c r="QXM96" s="15"/>
      <c r="QXN96" s="15"/>
      <c r="QXO96" s="15"/>
      <c r="QXP96" s="15"/>
      <c r="QXQ96" s="15"/>
      <c r="QXR96" s="15"/>
      <c r="QXS96" s="15"/>
      <c r="QXT96" s="15"/>
      <c r="QXU96" s="15"/>
      <c r="QXV96" s="15"/>
      <c r="QXW96" s="15"/>
      <c r="QXX96" s="15"/>
      <c r="QXY96" s="15"/>
      <c r="QXZ96" s="15"/>
      <c r="QYA96" s="15"/>
      <c r="QYB96" s="15"/>
      <c r="QYC96" s="15"/>
      <c r="QYD96" s="15"/>
      <c r="QYE96" s="15"/>
      <c r="QYF96" s="15"/>
      <c r="QYG96" s="15"/>
      <c r="QYH96" s="15"/>
      <c r="QYI96" s="15"/>
      <c r="QYJ96" s="15"/>
      <c r="QYK96" s="15"/>
      <c r="QYL96" s="15"/>
      <c r="QYM96" s="15"/>
      <c r="QYN96" s="15"/>
      <c r="QYO96" s="15"/>
      <c r="QYP96" s="15"/>
      <c r="QYQ96" s="15"/>
      <c r="QYR96" s="15"/>
      <c r="QYS96" s="15"/>
      <c r="QYT96" s="15"/>
      <c r="QYU96" s="15"/>
      <c r="QYV96" s="15"/>
      <c r="QYW96" s="15"/>
      <c r="QYX96" s="15"/>
      <c r="QYY96" s="15"/>
      <c r="QYZ96" s="15"/>
      <c r="QZA96" s="15"/>
      <c r="QZB96" s="15"/>
      <c r="QZC96" s="15"/>
      <c r="QZD96" s="15"/>
      <c r="QZE96" s="15"/>
      <c r="QZF96" s="15"/>
      <c r="QZG96" s="15"/>
      <c r="QZH96" s="15"/>
      <c r="QZI96" s="15"/>
      <c r="QZJ96" s="15"/>
      <c r="QZK96" s="15"/>
      <c r="QZL96" s="15"/>
      <c r="QZM96" s="15"/>
      <c r="QZN96" s="15"/>
      <c r="QZO96" s="15"/>
      <c r="QZP96" s="15"/>
      <c r="QZQ96" s="15"/>
      <c r="QZR96" s="15"/>
      <c r="QZS96" s="15"/>
      <c r="QZT96" s="15"/>
      <c r="QZU96" s="15"/>
      <c r="QZV96" s="15"/>
      <c r="QZW96" s="15"/>
      <c r="QZX96" s="15"/>
      <c r="QZY96" s="15"/>
      <c r="QZZ96" s="15"/>
      <c r="RAA96" s="15"/>
      <c r="RAB96" s="15"/>
      <c r="RAC96" s="15"/>
      <c r="RAD96" s="15"/>
      <c r="RAE96" s="15"/>
      <c r="RAF96" s="15"/>
      <c r="RAG96" s="15"/>
      <c r="RAH96" s="15"/>
      <c r="RAI96" s="15"/>
      <c r="RAJ96" s="15"/>
      <c r="RAK96" s="15"/>
      <c r="RAL96" s="15"/>
      <c r="RAM96" s="15"/>
      <c r="RAN96" s="15"/>
      <c r="RAO96" s="15"/>
      <c r="RAP96" s="15"/>
      <c r="RAQ96" s="15"/>
      <c r="RAR96" s="15"/>
      <c r="RAS96" s="15"/>
      <c r="RAT96" s="15"/>
      <c r="RAU96" s="15"/>
      <c r="RAV96" s="15"/>
      <c r="RAW96" s="15"/>
      <c r="RAX96" s="15"/>
      <c r="RAY96" s="15"/>
      <c r="RAZ96" s="15"/>
      <c r="RBA96" s="15"/>
      <c r="RBB96" s="15"/>
      <c r="RBC96" s="15"/>
      <c r="RBD96" s="15"/>
      <c r="RBE96" s="15"/>
      <c r="RBF96" s="15"/>
      <c r="RBG96" s="15"/>
      <c r="RBH96" s="15"/>
      <c r="RBI96" s="15"/>
      <c r="RBJ96" s="15"/>
      <c r="RBK96" s="15"/>
      <c r="RBL96" s="15"/>
      <c r="RBM96" s="15"/>
      <c r="RBN96" s="15"/>
      <c r="RBO96" s="15"/>
      <c r="RBP96" s="15"/>
      <c r="RBQ96" s="15"/>
      <c r="RBR96" s="15"/>
      <c r="RBS96" s="15"/>
      <c r="RBT96" s="15"/>
      <c r="RBU96" s="15"/>
      <c r="RBV96" s="15"/>
      <c r="RBW96" s="15"/>
      <c r="RBX96" s="15"/>
      <c r="RBY96" s="15"/>
      <c r="RBZ96" s="15"/>
      <c r="RCA96" s="15"/>
      <c r="RCB96" s="15"/>
      <c r="RCC96" s="15"/>
      <c r="RCD96" s="15"/>
      <c r="RCE96" s="15"/>
      <c r="RCF96" s="15"/>
      <c r="RCG96" s="15"/>
      <c r="RCH96" s="15"/>
      <c r="RCI96" s="15"/>
      <c r="RCJ96" s="15"/>
      <c r="RCK96" s="15"/>
      <c r="RCL96" s="15"/>
      <c r="RCM96" s="15"/>
      <c r="RCN96" s="15"/>
      <c r="RCO96" s="15"/>
      <c r="RCP96" s="15"/>
      <c r="RCQ96" s="15"/>
      <c r="RCR96" s="15"/>
      <c r="RCS96" s="15"/>
      <c r="RCT96" s="15"/>
      <c r="RCU96" s="15"/>
      <c r="RCV96" s="15"/>
      <c r="RCW96" s="15"/>
      <c r="RCX96" s="15"/>
      <c r="RCY96" s="15"/>
      <c r="RCZ96" s="15"/>
      <c r="RDA96" s="15"/>
      <c r="RDB96" s="15"/>
      <c r="RDC96" s="15"/>
      <c r="RDD96" s="15"/>
      <c r="RDE96" s="15"/>
      <c r="RDF96" s="15"/>
      <c r="RDG96" s="15"/>
      <c r="RDH96" s="15"/>
      <c r="RDI96" s="15"/>
      <c r="RDJ96" s="15"/>
      <c r="RDK96" s="15"/>
      <c r="RDL96" s="15"/>
      <c r="RDM96" s="15"/>
      <c r="RDN96" s="15"/>
      <c r="RDO96" s="15"/>
      <c r="RDP96" s="15"/>
      <c r="RDQ96" s="15"/>
      <c r="RDR96" s="15"/>
      <c r="RDS96" s="15"/>
      <c r="RDT96" s="15"/>
      <c r="RDU96" s="15"/>
      <c r="RDV96" s="15"/>
      <c r="RDW96" s="15"/>
      <c r="RDX96" s="15"/>
      <c r="RDY96" s="15"/>
      <c r="RDZ96" s="15"/>
      <c r="REA96" s="15"/>
      <c r="REB96" s="15"/>
      <c r="REC96" s="15"/>
      <c r="RED96" s="15"/>
      <c r="REE96" s="15"/>
      <c r="REF96" s="15"/>
      <c r="REG96" s="15"/>
      <c r="REH96" s="15"/>
      <c r="REI96" s="15"/>
      <c r="REJ96" s="15"/>
      <c r="REK96" s="15"/>
      <c r="REL96" s="15"/>
      <c r="REM96" s="15"/>
      <c r="REN96" s="15"/>
      <c r="REO96" s="15"/>
      <c r="REP96" s="15"/>
      <c r="REQ96" s="15"/>
      <c r="RER96" s="15"/>
      <c r="RES96" s="15"/>
      <c r="RET96" s="15"/>
      <c r="REU96" s="15"/>
      <c r="REV96" s="15"/>
      <c r="REW96" s="15"/>
      <c r="REX96" s="15"/>
      <c r="REY96" s="15"/>
      <c r="REZ96" s="15"/>
      <c r="RFA96" s="15"/>
      <c r="RFB96" s="15"/>
      <c r="RFC96" s="15"/>
      <c r="RFD96" s="15"/>
      <c r="RFE96" s="15"/>
      <c r="RFF96" s="15"/>
      <c r="RFG96" s="15"/>
      <c r="RFH96" s="15"/>
      <c r="RFI96" s="15"/>
      <c r="RFJ96" s="15"/>
      <c r="RFK96" s="15"/>
      <c r="RFL96" s="15"/>
      <c r="RFM96" s="15"/>
      <c r="RFN96" s="15"/>
      <c r="RFO96" s="15"/>
      <c r="RFP96" s="15"/>
      <c r="RFQ96" s="15"/>
      <c r="RFR96" s="15"/>
      <c r="RFS96" s="15"/>
      <c r="RFT96" s="15"/>
      <c r="RFU96" s="15"/>
      <c r="RFV96" s="15"/>
      <c r="RFW96" s="15"/>
      <c r="RFX96" s="15"/>
      <c r="RFY96" s="15"/>
      <c r="RFZ96" s="15"/>
      <c r="RGA96" s="15"/>
      <c r="RGB96" s="15"/>
      <c r="RGC96" s="15"/>
      <c r="RGD96" s="15"/>
      <c r="RGE96" s="15"/>
      <c r="RGF96" s="15"/>
      <c r="RGG96" s="15"/>
      <c r="RGH96" s="15"/>
      <c r="RGI96" s="15"/>
      <c r="RGJ96" s="15"/>
      <c r="RGK96" s="15"/>
      <c r="RGL96" s="15"/>
      <c r="RGM96" s="15"/>
      <c r="RGN96" s="15"/>
      <c r="RGO96" s="15"/>
      <c r="RGP96" s="15"/>
      <c r="RGQ96" s="15"/>
      <c r="RGR96" s="15"/>
      <c r="RGS96" s="15"/>
      <c r="RGT96" s="15"/>
      <c r="RGU96" s="15"/>
      <c r="RGV96" s="15"/>
      <c r="RGW96" s="15"/>
      <c r="RGX96" s="15"/>
      <c r="RGY96" s="15"/>
      <c r="RGZ96" s="15"/>
      <c r="RHA96" s="15"/>
      <c r="RHB96" s="15"/>
      <c r="RHC96" s="15"/>
      <c r="RHD96" s="15"/>
      <c r="RHE96" s="15"/>
      <c r="RHF96" s="15"/>
      <c r="RHG96" s="15"/>
      <c r="RHH96" s="15"/>
      <c r="RHI96" s="15"/>
      <c r="RHJ96" s="15"/>
      <c r="RHK96" s="15"/>
      <c r="RHL96" s="15"/>
      <c r="RHM96" s="15"/>
      <c r="RHN96" s="15"/>
      <c r="RHO96" s="15"/>
      <c r="RHP96" s="15"/>
      <c r="RHQ96" s="15"/>
      <c r="RHR96" s="15"/>
      <c r="RHS96" s="15"/>
      <c r="RHT96" s="15"/>
      <c r="RHU96" s="15"/>
      <c r="RHV96" s="15"/>
      <c r="RHW96" s="15"/>
      <c r="RHX96" s="15"/>
      <c r="RHY96" s="15"/>
      <c r="RHZ96" s="15"/>
      <c r="RIA96" s="15"/>
      <c r="RIB96" s="15"/>
      <c r="RIC96" s="15"/>
      <c r="RID96" s="15"/>
      <c r="RIE96" s="15"/>
      <c r="RIF96" s="15"/>
      <c r="RIG96" s="15"/>
      <c r="RIH96" s="15"/>
      <c r="RII96" s="15"/>
      <c r="RIJ96" s="15"/>
      <c r="RIK96" s="15"/>
      <c r="RIL96" s="15"/>
      <c r="RIM96" s="15"/>
      <c r="RIN96" s="15"/>
      <c r="RIO96" s="15"/>
      <c r="RIP96" s="15"/>
      <c r="RIQ96" s="15"/>
      <c r="RIR96" s="15"/>
      <c r="RIS96" s="15"/>
      <c r="RIT96" s="15"/>
      <c r="RIU96" s="15"/>
      <c r="RIV96" s="15"/>
      <c r="RIW96" s="15"/>
      <c r="RIX96" s="15"/>
      <c r="RIY96" s="15"/>
      <c r="RIZ96" s="15"/>
      <c r="RJA96" s="15"/>
      <c r="RJB96" s="15"/>
      <c r="RJC96" s="15"/>
      <c r="RJD96" s="15"/>
      <c r="RJE96" s="15"/>
      <c r="RJF96" s="15"/>
      <c r="RJG96" s="15"/>
      <c r="RJH96" s="15"/>
      <c r="RJI96" s="15"/>
      <c r="RJJ96" s="15"/>
      <c r="RJK96" s="15"/>
      <c r="RJL96" s="15"/>
      <c r="RJM96" s="15"/>
      <c r="RJN96" s="15"/>
      <c r="RJO96" s="15"/>
      <c r="RJP96" s="15"/>
      <c r="RJQ96" s="15"/>
      <c r="RJR96" s="15"/>
      <c r="RJS96" s="15"/>
      <c r="RJT96" s="15"/>
      <c r="RJU96" s="15"/>
      <c r="RJV96" s="15"/>
      <c r="RJW96" s="15"/>
      <c r="RJX96" s="15"/>
      <c r="RJY96" s="15"/>
      <c r="RJZ96" s="15"/>
      <c r="RKA96" s="15"/>
      <c r="RKB96" s="15"/>
      <c r="RKC96" s="15"/>
      <c r="RKD96" s="15"/>
      <c r="RKE96" s="15"/>
      <c r="RKF96" s="15"/>
      <c r="RKG96" s="15"/>
      <c r="RKH96" s="15"/>
      <c r="RKI96" s="15"/>
      <c r="RKJ96" s="15"/>
      <c r="RKK96" s="15"/>
      <c r="RKL96" s="15"/>
      <c r="RKM96" s="15"/>
      <c r="RKN96" s="15"/>
      <c r="RKO96" s="15"/>
      <c r="RKP96" s="15"/>
      <c r="RKQ96" s="15"/>
      <c r="RKR96" s="15"/>
      <c r="RKS96" s="15"/>
      <c r="RKT96" s="15"/>
      <c r="RKU96" s="15"/>
      <c r="RKV96" s="15"/>
      <c r="RKW96" s="15"/>
      <c r="RKX96" s="15"/>
      <c r="RKY96" s="15"/>
      <c r="RKZ96" s="15"/>
      <c r="RLA96" s="15"/>
      <c r="RLB96" s="15"/>
      <c r="RLC96" s="15"/>
      <c r="RLD96" s="15"/>
      <c r="RLE96" s="15"/>
      <c r="RLF96" s="15"/>
      <c r="RLG96" s="15"/>
      <c r="RLH96" s="15"/>
      <c r="RLI96" s="15"/>
      <c r="RLJ96" s="15"/>
      <c r="RLK96" s="15"/>
      <c r="RLL96" s="15"/>
      <c r="RLM96" s="15"/>
      <c r="RLN96" s="15"/>
      <c r="RLO96" s="15"/>
      <c r="RLP96" s="15"/>
      <c r="RLQ96" s="15"/>
      <c r="RLR96" s="15"/>
      <c r="RLS96" s="15"/>
      <c r="RLT96" s="15"/>
      <c r="RLU96" s="15"/>
      <c r="RLV96" s="15"/>
      <c r="RLW96" s="15"/>
      <c r="RLX96" s="15"/>
      <c r="RLY96" s="15"/>
      <c r="RLZ96" s="15"/>
      <c r="RMA96" s="15"/>
      <c r="RMB96" s="15"/>
      <c r="RMC96" s="15"/>
      <c r="RMD96" s="15"/>
      <c r="RME96" s="15"/>
      <c r="RMF96" s="15"/>
      <c r="RMG96" s="15"/>
      <c r="RMH96" s="15"/>
      <c r="RMI96" s="15"/>
      <c r="RMJ96" s="15"/>
      <c r="RMK96" s="15"/>
      <c r="RML96" s="15"/>
      <c r="RMM96" s="15"/>
      <c r="RMN96" s="15"/>
      <c r="RMO96" s="15"/>
      <c r="RMP96" s="15"/>
      <c r="RMQ96" s="15"/>
      <c r="RMR96" s="15"/>
      <c r="RMS96" s="15"/>
      <c r="RMT96" s="15"/>
      <c r="RMU96" s="15"/>
      <c r="RMV96" s="15"/>
      <c r="RMW96" s="15"/>
      <c r="RMX96" s="15"/>
      <c r="RMY96" s="15"/>
      <c r="RMZ96" s="15"/>
      <c r="RNA96" s="15"/>
      <c r="RNB96" s="15"/>
      <c r="RNC96" s="15"/>
      <c r="RND96" s="15"/>
      <c r="RNE96" s="15"/>
      <c r="RNF96" s="15"/>
      <c r="RNG96" s="15"/>
      <c r="RNH96" s="15"/>
      <c r="RNI96" s="15"/>
      <c r="RNJ96" s="15"/>
      <c r="RNK96" s="15"/>
      <c r="RNL96" s="15"/>
      <c r="RNM96" s="15"/>
      <c r="RNN96" s="15"/>
      <c r="RNO96" s="15"/>
      <c r="RNP96" s="15"/>
      <c r="RNQ96" s="15"/>
      <c r="RNR96" s="15"/>
      <c r="RNS96" s="15"/>
      <c r="RNT96" s="15"/>
      <c r="RNU96" s="15"/>
      <c r="RNV96" s="15"/>
      <c r="RNW96" s="15"/>
      <c r="RNX96" s="15"/>
      <c r="RNY96" s="15"/>
      <c r="RNZ96" s="15"/>
      <c r="ROA96" s="15"/>
      <c r="ROB96" s="15"/>
      <c r="ROC96" s="15"/>
      <c r="ROD96" s="15"/>
      <c r="ROE96" s="15"/>
      <c r="ROF96" s="15"/>
      <c r="ROG96" s="15"/>
      <c r="ROH96" s="15"/>
      <c r="ROI96" s="15"/>
      <c r="ROJ96" s="15"/>
      <c r="ROK96" s="15"/>
      <c r="ROL96" s="15"/>
      <c r="ROM96" s="15"/>
      <c r="RON96" s="15"/>
      <c r="ROO96" s="15"/>
      <c r="ROP96" s="15"/>
      <c r="ROQ96" s="15"/>
      <c r="ROR96" s="15"/>
      <c r="ROS96" s="15"/>
      <c r="ROT96" s="15"/>
      <c r="ROU96" s="15"/>
      <c r="ROV96" s="15"/>
      <c r="ROW96" s="15"/>
      <c r="ROX96" s="15"/>
      <c r="ROY96" s="15"/>
      <c r="ROZ96" s="15"/>
      <c r="RPA96" s="15"/>
      <c r="RPB96" s="15"/>
      <c r="RPC96" s="15"/>
      <c r="RPD96" s="15"/>
      <c r="RPE96" s="15"/>
      <c r="RPF96" s="15"/>
      <c r="RPG96" s="15"/>
      <c r="RPH96" s="15"/>
      <c r="RPI96" s="15"/>
      <c r="RPJ96" s="15"/>
      <c r="RPK96" s="15"/>
      <c r="RPL96" s="15"/>
      <c r="RPM96" s="15"/>
      <c r="RPN96" s="15"/>
      <c r="RPO96" s="15"/>
      <c r="RPP96" s="15"/>
      <c r="RPQ96" s="15"/>
      <c r="RPR96" s="15"/>
      <c r="RPS96" s="15"/>
      <c r="RPT96" s="15"/>
      <c r="RPU96" s="15"/>
      <c r="RPV96" s="15"/>
      <c r="RPW96" s="15"/>
      <c r="RPX96" s="15"/>
      <c r="RPY96" s="15"/>
      <c r="RPZ96" s="15"/>
      <c r="RQA96" s="15"/>
      <c r="RQB96" s="15"/>
      <c r="RQC96" s="15"/>
      <c r="RQD96" s="15"/>
      <c r="RQE96" s="15"/>
      <c r="RQF96" s="15"/>
      <c r="RQG96" s="15"/>
      <c r="RQH96" s="15"/>
      <c r="RQI96" s="15"/>
      <c r="RQJ96" s="15"/>
      <c r="RQK96" s="15"/>
      <c r="RQL96" s="15"/>
      <c r="RQM96" s="15"/>
      <c r="RQN96" s="15"/>
      <c r="RQO96" s="15"/>
      <c r="RQP96" s="15"/>
      <c r="RQQ96" s="15"/>
      <c r="RQR96" s="15"/>
      <c r="RQS96" s="15"/>
      <c r="RQT96" s="15"/>
      <c r="RQU96" s="15"/>
      <c r="RQV96" s="15"/>
      <c r="RQW96" s="15"/>
      <c r="RQX96" s="15"/>
      <c r="RQY96" s="15"/>
      <c r="RQZ96" s="15"/>
      <c r="RRA96" s="15"/>
      <c r="RRB96" s="15"/>
      <c r="RRC96" s="15"/>
      <c r="RRD96" s="15"/>
      <c r="RRE96" s="15"/>
      <c r="RRF96" s="15"/>
      <c r="RRG96" s="15"/>
      <c r="RRH96" s="15"/>
      <c r="RRI96" s="15"/>
      <c r="RRJ96" s="15"/>
      <c r="RRK96" s="15"/>
      <c r="RRL96" s="15"/>
      <c r="RRM96" s="15"/>
      <c r="RRN96" s="15"/>
      <c r="RRO96" s="15"/>
      <c r="RRP96" s="15"/>
      <c r="RRQ96" s="15"/>
      <c r="RRR96" s="15"/>
      <c r="RRS96" s="15"/>
      <c r="RRT96" s="15"/>
      <c r="RRU96" s="15"/>
      <c r="RRV96" s="15"/>
      <c r="RRW96" s="15"/>
      <c r="RRX96" s="15"/>
      <c r="RRY96" s="15"/>
      <c r="RRZ96" s="15"/>
      <c r="RSA96" s="15"/>
      <c r="RSB96" s="15"/>
      <c r="RSC96" s="15"/>
      <c r="RSD96" s="15"/>
      <c r="RSE96" s="15"/>
      <c r="RSF96" s="15"/>
      <c r="RSG96" s="15"/>
      <c r="RSH96" s="15"/>
      <c r="RSI96" s="15"/>
      <c r="RSJ96" s="15"/>
      <c r="RSK96" s="15"/>
      <c r="RSL96" s="15"/>
      <c r="RSM96" s="15"/>
      <c r="RSN96" s="15"/>
      <c r="RSO96" s="15"/>
      <c r="RSP96" s="15"/>
      <c r="RSQ96" s="15"/>
      <c r="RSR96" s="15"/>
      <c r="RSS96" s="15"/>
      <c r="RST96" s="15"/>
      <c r="RSU96" s="15"/>
      <c r="RSV96" s="15"/>
      <c r="RSW96" s="15"/>
      <c r="RSX96" s="15"/>
      <c r="RSY96" s="15"/>
      <c r="RSZ96" s="15"/>
      <c r="RTA96" s="15"/>
      <c r="RTB96" s="15"/>
      <c r="RTC96" s="15"/>
      <c r="RTD96" s="15"/>
      <c r="RTE96" s="15"/>
      <c r="RTF96" s="15"/>
      <c r="RTG96" s="15"/>
      <c r="RTH96" s="15"/>
      <c r="RTI96" s="15"/>
      <c r="RTJ96" s="15"/>
      <c r="RTK96" s="15"/>
      <c r="RTL96" s="15"/>
      <c r="RTM96" s="15"/>
      <c r="RTN96" s="15"/>
      <c r="RTO96" s="15"/>
      <c r="RTP96" s="15"/>
      <c r="RTQ96" s="15"/>
      <c r="RTR96" s="15"/>
      <c r="RTS96" s="15"/>
      <c r="RTT96" s="15"/>
      <c r="RTU96" s="15"/>
      <c r="RTV96" s="15"/>
      <c r="RTW96" s="15"/>
      <c r="RTX96" s="15"/>
      <c r="RTY96" s="15"/>
      <c r="RTZ96" s="15"/>
      <c r="RUA96" s="15"/>
      <c r="RUB96" s="15"/>
      <c r="RUC96" s="15"/>
      <c r="RUD96" s="15"/>
      <c r="RUE96" s="15"/>
      <c r="RUF96" s="15"/>
      <c r="RUG96" s="15"/>
      <c r="RUH96" s="15"/>
      <c r="RUI96" s="15"/>
      <c r="RUJ96" s="15"/>
      <c r="RUK96" s="15"/>
      <c r="RUL96" s="15"/>
      <c r="RUM96" s="15"/>
      <c r="RUN96" s="15"/>
      <c r="RUO96" s="15"/>
      <c r="RUP96" s="15"/>
      <c r="RUQ96" s="15"/>
      <c r="RUR96" s="15"/>
      <c r="RUS96" s="15"/>
      <c r="RUT96" s="15"/>
      <c r="RUU96" s="15"/>
      <c r="RUV96" s="15"/>
      <c r="RUW96" s="15"/>
      <c r="RUX96" s="15"/>
      <c r="RUY96" s="15"/>
      <c r="RUZ96" s="15"/>
      <c r="RVA96" s="15"/>
      <c r="RVB96" s="15"/>
      <c r="RVC96" s="15"/>
      <c r="RVD96" s="15"/>
      <c r="RVE96" s="15"/>
      <c r="RVF96" s="15"/>
      <c r="RVG96" s="15"/>
      <c r="RVH96" s="15"/>
      <c r="RVI96" s="15"/>
      <c r="RVJ96" s="15"/>
      <c r="RVK96" s="15"/>
      <c r="RVL96" s="15"/>
      <c r="RVM96" s="15"/>
      <c r="RVN96" s="15"/>
      <c r="RVO96" s="15"/>
      <c r="RVP96" s="15"/>
      <c r="RVQ96" s="15"/>
      <c r="RVR96" s="15"/>
      <c r="RVS96" s="15"/>
      <c r="RVT96" s="15"/>
      <c r="RVU96" s="15"/>
      <c r="RVV96" s="15"/>
      <c r="RVW96" s="15"/>
      <c r="RVX96" s="15"/>
      <c r="RVY96" s="15"/>
      <c r="RVZ96" s="15"/>
      <c r="RWA96" s="15"/>
      <c r="RWB96" s="15"/>
      <c r="RWC96" s="15"/>
      <c r="RWD96" s="15"/>
      <c r="RWE96" s="15"/>
      <c r="RWF96" s="15"/>
      <c r="RWG96" s="15"/>
      <c r="RWH96" s="15"/>
      <c r="RWI96" s="15"/>
      <c r="RWJ96" s="15"/>
      <c r="RWK96" s="15"/>
      <c r="RWL96" s="15"/>
      <c r="RWM96" s="15"/>
      <c r="RWN96" s="15"/>
      <c r="RWO96" s="15"/>
      <c r="RWP96" s="15"/>
      <c r="RWQ96" s="15"/>
      <c r="RWR96" s="15"/>
      <c r="RWS96" s="15"/>
      <c r="RWT96" s="15"/>
      <c r="RWU96" s="15"/>
      <c r="RWV96" s="15"/>
      <c r="RWW96" s="15"/>
      <c r="RWX96" s="15"/>
      <c r="RWY96" s="15"/>
      <c r="RWZ96" s="15"/>
      <c r="RXA96" s="15"/>
      <c r="RXB96" s="15"/>
      <c r="RXC96" s="15"/>
      <c r="RXD96" s="15"/>
      <c r="RXE96" s="15"/>
      <c r="RXF96" s="15"/>
      <c r="RXG96" s="15"/>
      <c r="RXH96" s="15"/>
      <c r="RXI96" s="15"/>
      <c r="RXJ96" s="15"/>
      <c r="RXK96" s="15"/>
      <c r="RXL96" s="15"/>
      <c r="RXM96" s="15"/>
      <c r="RXN96" s="15"/>
      <c r="RXO96" s="15"/>
      <c r="RXP96" s="15"/>
      <c r="RXQ96" s="15"/>
      <c r="RXR96" s="15"/>
      <c r="RXS96" s="15"/>
      <c r="RXT96" s="15"/>
      <c r="RXU96" s="15"/>
      <c r="RXV96" s="15"/>
      <c r="RXW96" s="15"/>
      <c r="RXX96" s="15"/>
      <c r="RXY96" s="15"/>
      <c r="RXZ96" s="15"/>
      <c r="RYA96" s="15"/>
      <c r="RYB96" s="15"/>
      <c r="RYC96" s="15"/>
      <c r="RYD96" s="15"/>
      <c r="RYE96" s="15"/>
      <c r="RYF96" s="15"/>
      <c r="RYG96" s="15"/>
      <c r="RYH96" s="15"/>
      <c r="RYI96" s="15"/>
      <c r="RYJ96" s="15"/>
      <c r="RYK96" s="15"/>
      <c r="RYL96" s="15"/>
      <c r="RYM96" s="15"/>
      <c r="RYN96" s="15"/>
      <c r="RYO96" s="15"/>
      <c r="RYP96" s="15"/>
      <c r="RYQ96" s="15"/>
      <c r="RYR96" s="15"/>
      <c r="RYS96" s="15"/>
      <c r="RYT96" s="15"/>
      <c r="RYU96" s="15"/>
      <c r="RYV96" s="15"/>
      <c r="RYW96" s="15"/>
      <c r="RYX96" s="15"/>
      <c r="RYY96" s="15"/>
      <c r="RYZ96" s="15"/>
      <c r="RZA96" s="15"/>
      <c r="RZB96" s="15"/>
      <c r="RZC96" s="15"/>
      <c r="RZD96" s="15"/>
      <c r="RZE96" s="15"/>
      <c r="RZF96" s="15"/>
      <c r="RZG96" s="15"/>
      <c r="RZH96" s="15"/>
      <c r="RZI96" s="15"/>
      <c r="RZJ96" s="15"/>
      <c r="RZK96" s="15"/>
      <c r="RZL96" s="15"/>
      <c r="RZM96" s="15"/>
      <c r="RZN96" s="15"/>
      <c r="RZO96" s="15"/>
      <c r="RZP96" s="15"/>
      <c r="RZQ96" s="15"/>
      <c r="RZR96" s="15"/>
      <c r="RZS96" s="15"/>
      <c r="RZT96" s="15"/>
      <c r="RZU96" s="15"/>
      <c r="RZV96" s="15"/>
      <c r="RZW96" s="15"/>
      <c r="RZX96" s="15"/>
      <c r="RZY96" s="15"/>
      <c r="RZZ96" s="15"/>
      <c r="SAA96" s="15"/>
      <c r="SAB96" s="15"/>
      <c r="SAC96" s="15"/>
      <c r="SAD96" s="15"/>
      <c r="SAE96" s="15"/>
      <c r="SAF96" s="15"/>
      <c r="SAG96" s="15"/>
      <c r="SAH96" s="15"/>
      <c r="SAI96" s="15"/>
      <c r="SAJ96" s="15"/>
      <c r="SAK96" s="15"/>
      <c r="SAL96" s="15"/>
      <c r="SAM96" s="15"/>
      <c r="SAN96" s="15"/>
      <c r="SAO96" s="15"/>
      <c r="SAP96" s="15"/>
      <c r="SAQ96" s="15"/>
      <c r="SAR96" s="15"/>
      <c r="SAS96" s="15"/>
      <c r="SAT96" s="15"/>
      <c r="SAU96" s="15"/>
      <c r="SAV96" s="15"/>
      <c r="SAW96" s="15"/>
      <c r="SAX96" s="15"/>
      <c r="SAY96" s="15"/>
      <c r="SAZ96" s="15"/>
      <c r="SBA96" s="15"/>
      <c r="SBB96" s="15"/>
      <c r="SBC96" s="15"/>
      <c r="SBD96" s="15"/>
      <c r="SBE96" s="15"/>
      <c r="SBF96" s="15"/>
      <c r="SBG96" s="15"/>
      <c r="SBH96" s="15"/>
      <c r="SBI96" s="15"/>
      <c r="SBJ96" s="15"/>
      <c r="SBK96" s="15"/>
      <c r="SBL96" s="15"/>
      <c r="SBM96" s="15"/>
      <c r="SBN96" s="15"/>
      <c r="SBO96" s="15"/>
      <c r="SBP96" s="15"/>
      <c r="SBQ96" s="15"/>
      <c r="SBR96" s="15"/>
      <c r="SBS96" s="15"/>
      <c r="SBT96" s="15"/>
      <c r="SBU96" s="15"/>
      <c r="SBV96" s="15"/>
      <c r="SBW96" s="15"/>
      <c r="SBX96" s="15"/>
      <c r="SBY96" s="15"/>
      <c r="SBZ96" s="15"/>
      <c r="SCA96" s="15"/>
      <c r="SCB96" s="15"/>
      <c r="SCC96" s="15"/>
      <c r="SCD96" s="15"/>
      <c r="SCE96" s="15"/>
      <c r="SCF96" s="15"/>
      <c r="SCG96" s="15"/>
      <c r="SCH96" s="15"/>
      <c r="SCI96" s="15"/>
      <c r="SCJ96" s="15"/>
      <c r="SCK96" s="15"/>
      <c r="SCL96" s="15"/>
      <c r="SCM96" s="15"/>
      <c r="SCN96" s="15"/>
      <c r="SCO96" s="15"/>
      <c r="SCP96" s="15"/>
      <c r="SCQ96" s="15"/>
      <c r="SCR96" s="15"/>
      <c r="SCS96" s="15"/>
      <c r="SCT96" s="15"/>
      <c r="SCU96" s="15"/>
      <c r="SCV96" s="15"/>
      <c r="SCW96" s="15"/>
      <c r="SCX96" s="15"/>
      <c r="SCY96" s="15"/>
      <c r="SCZ96" s="15"/>
      <c r="SDA96" s="15"/>
      <c r="SDB96" s="15"/>
      <c r="SDC96" s="15"/>
      <c r="SDD96" s="15"/>
      <c r="SDE96" s="15"/>
      <c r="SDF96" s="15"/>
      <c r="SDG96" s="15"/>
      <c r="SDH96" s="15"/>
      <c r="SDI96" s="15"/>
      <c r="SDJ96" s="15"/>
      <c r="SDK96" s="15"/>
      <c r="SDL96" s="15"/>
      <c r="SDM96" s="15"/>
      <c r="SDN96" s="15"/>
      <c r="SDO96" s="15"/>
      <c r="SDP96" s="15"/>
      <c r="SDQ96" s="15"/>
      <c r="SDR96" s="15"/>
      <c r="SDS96" s="15"/>
      <c r="SDT96" s="15"/>
      <c r="SDU96" s="15"/>
      <c r="SDV96" s="15"/>
      <c r="SDW96" s="15"/>
      <c r="SDX96" s="15"/>
      <c r="SDY96" s="15"/>
      <c r="SDZ96" s="15"/>
      <c r="SEA96" s="15"/>
      <c r="SEB96" s="15"/>
      <c r="SEC96" s="15"/>
      <c r="SED96" s="15"/>
      <c r="SEE96" s="15"/>
      <c r="SEF96" s="15"/>
      <c r="SEG96" s="15"/>
      <c r="SEH96" s="15"/>
      <c r="SEI96" s="15"/>
      <c r="SEJ96" s="15"/>
      <c r="SEK96" s="15"/>
      <c r="SEL96" s="15"/>
      <c r="SEM96" s="15"/>
      <c r="SEN96" s="15"/>
      <c r="SEO96" s="15"/>
      <c r="SEP96" s="15"/>
      <c r="SEQ96" s="15"/>
      <c r="SER96" s="15"/>
      <c r="SES96" s="15"/>
      <c r="SET96" s="15"/>
      <c r="SEU96" s="15"/>
      <c r="SEV96" s="15"/>
      <c r="SEW96" s="15"/>
      <c r="SEX96" s="15"/>
      <c r="SEY96" s="15"/>
      <c r="SEZ96" s="15"/>
      <c r="SFA96" s="15"/>
      <c r="SFB96" s="15"/>
      <c r="SFC96" s="15"/>
      <c r="SFD96" s="15"/>
      <c r="SFE96" s="15"/>
      <c r="SFF96" s="15"/>
      <c r="SFG96" s="15"/>
      <c r="SFH96" s="15"/>
      <c r="SFI96" s="15"/>
      <c r="SFJ96" s="15"/>
      <c r="SFK96" s="15"/>
      <c r="SFL96" s="15"/>
      <c r="SFM96" s="15"/>
      <c r="SFN96" s="15"/>
      <c r="SFO96" s="15"/>
      <c r="SFP96" s="15"/>
      <c r="SFQ96" s="15"/>
      <c r="SFR96" s="15"/>
      <c r="SFS96" s="15"/>
      <c r="SFT96" s="15"/>
      <c r="SFU96" s="15"/>
      <c r="SFV96" s="15"/>
      <c r="SFW96" s="15"/>
      <c r="SFX96" s="15"/>
      <c r="SFY96" s="15"/>
      <c r="SFZ96" s="15"/>
      <c r="SGA96" s="15"/>
      <c r="SGB96" s="15"/>
      <c r="SGC96" s="15"/>
      <c r="SGD96" s="15"/>
      <c r="SGE96" s="15"/>
      <c r="SGF96" s="15"/>
      <c r="SGG96" s="15"/>
      <c r="SGH96" s="15"/>
      <c r="SGI96" s="15"/>
      <c r="SGJ96" s="15"/>
      <c r="SGK96" s="15"/>
      <c r="SGL96" s="15"/>
      <c r="SGM96" s="15"/>
      <c r="SGN96" s="15"/>
      <c r="SGO96" s="15"/>
      <c r="SGP96" s="15"/>
      <c r="SGQ96" s="15"/>
      <c r="SGR96" s="15"/>
      <c r="SGS96" s="15"/>
      <c r="SGT96" s="15"/>
      <c r="SGU96" s="15"/>
      <c r="SGV96" s="15"/>
      <c r="SGW96" s="15"/>
      <c r="SGX96" s="15"/>
      <c r="SGY96" s="15"/>
      <c r="SGZ96" s="15"/>
      <c r="SHA96" s="15"/>
      <c r="SHB96" s="15"/>
      <c r="SHC96" s="15"/>
      <c r="SHD96" s="15"/>
      <c r="SHE96" s="15"/>
      <c r="SHF96" s="15"/>
      <c r="SHG96" s="15"/>
      <c r="SHH96" s="15"/>
      <c r="SHI96" s="15"/>
      <c r="SHJ96" s="15"/>
      <c r="SHK96" s="15"/>
      <c r="SHL96" s="15"/>
      <c r="SHM96" s="15"/>
      <c r="SHN96" s="15"/>
      <c r="SHO96" s="15"/>
      <c r="SHP96" s="15"/>
      <c r="SHQ96" s="15"/>
      <c r="SHR96" s="15"/>
      <c r="SHS96" s="15"/>
      <c r="SHT96" s="15"/>
      <c r="SHU96" s="15"/>
      <c r="SHV96" s="15"/>
      <c r="SHW96" s="15"/>
      <c r="SHX96" s="15"/>
      <c r="SHY96" s="15"/>
      <c r="SHZ96" s="15"/>
      <c r="SIA96" s="15"/>
      <c r="SIB96" s="15"/>
      <c r="SIC96" s="15"/>
      <c r="SID96" s="15"/>
      <c r="SIE96" s="15"/>
      <c r="SIF96" s="15"/>
      <c r="SIG96" s="15"/>
      <c r="SIH96" s="15"/>
      <c r="SII96" s="15"/>
      <c r="SIJ96" s="15"/>
      <c r="SIK96" s="15"/>
      <c r="SIL96" s="15"/>
      <c r="SIM96" s="15"/>
      <c r="SIN96" s="15"/>
      <c r="SIO96" s="15"/>
      <c r="SIP96" s="15"/>
      <c r="SIQ96" s="15"/>
      <c r="SIR96" s="15"/>
      <c r="SIS96" s="15"/>
      <c r="SIT96" s="15"/>
      <c r="SIU96" s="15"/>
      <c r="SIV96" s="15"/>
      <c r="SIW96" s="15"/>
      <c r="SIX96" s="15"/>
      <c r="SIY96" s="15"/>
      <c r="SIZ96" s="15"/>
      <c r="SJA96" s="15"/>
      <c r="SJB96" s="15"/>
      <c r="SJC96" s="15"/>
      <c r="SJD96" s="15"/>
      <c r="SJE96" s="15"/>
      <c r="SJF96" s="15"/>
      <c r="SJG96" s="15"/>
      <c r="SJH96" s="15"/>
      <c r="SJI96" s="15"/>
      <c r="SJJ96" s="15"/>
      <c r="SJK96" s="15"/>
      <c r="SJL96" s="15"/>
      <c r="SJM96" s="15"/>
      <c r="SJN96" s="15"/>
      <c r="SJO96" s="15"/>
      <c r="SJP96" s="15"/>
      <c r="SJQ96" s="15"/>
      <c r="SJR96" s="15"/>
      <c r="SJS96" s="15"/>
      <c r="SJT96" s="15"/>
      <c r="SJU96" s="15"/>
      <c r="SJV96" s="15"/>
      <c r="SJW96" s="15"/>
      <c r="SJX96" s="15"/>
      <c r="SJY96" s="15"/>
      <c r="SJZ96" s="15"/>
      <c r="SKA96" s="15"/>
      <c r="SKB96" s="15"/>
      <c r="SKC96" s="15"/>
      <c r="SKD96" s="15"/>
      <c r="SKE96" s="15"/>
      <c r="SKF96" s="15"/>
      <c r="SKG96" s="15"/>
      <c r="SKH96" s="15"/>
      <c r="SKI96" s="15"/>
      <c r="SKJ96" s="15"/>
      <c r="SKK96" s="15"/>
      <c r="SKL96" s="15"/>
      <c r="SKM96" s="15"/>
      <c r="SKN96" s="15"/>
      <c r="SKO96" s="15"/>
      <c r="SKP96" s="15"/>
      <c r="SKQ96" s="15"/>
      <c r="SKR96" s="15"/>
      <c r="SKS96" s="15"/>
      <c r="SKT96" s="15"/>
      <c r="SKU96" s="15"/>
      <c r="SKV96" s="15"/>
      <c r="SKW96" s="15"/>
      <c r="SKX96" s="15"/>
      <c r="SKY96" s="15"/>
      <c r="SKZ96" s="15"/>
      <c r="SLA96" s="15"/>
      <c r="SLB96" s="15"/>
      <c r="SLC96" s="15"/>
      <c r="SLD96" s="15"/>
      <c r="SLE96" s="15"/>
      <c r="SLF96" s="15"/>
      <c r="SLG96" s="15"/>
      <c r="SLH96" s="15"/>
      <c r="SLI96" s="15"/>
      <c r="SLJ96" s="15"/>
      <c r="SLK96" s="15"/>
      <c r="SLL96" s="15"/>
      <c r="SLM96" s="15"/>
      <c r="SLN96" s="15"/>
      <c r="SLO96" s="15"/>
      <c r="SLP96" s="15"/>
      <c r="SLQ96" s="15"/>
      <c r="SLR96" s="15"/>
      <c r="SLS96" s="15"/>
      <c r="SLT96" s="15"/>
      <c r="SLU96" s="15"/>
      <c r="SLV96" s="15"/>
      <c r="SLW96" s="15"/>
      <c r="SLX96" s="15"/>
      <c r="SLY96" s="15"/>
      <c r="SLZ96" s="15"/>
      <c r="SMA96" s="15"/>
      <c r="SMB96" s="15"/>
      <c r="SMC96" s="15"/>
      <c r="SMD96" s="15"/>
      <c r="SME96" s="15"/>
      <c r="SMF96" s="15"/>
      <c r="SMG96" s="15"/>
      <c r="SMH96" s="15"/>
      <c r="SMI96" s="15"/>
      <c r="SMJ96" s="15"/>
      <c r="SMK96" s="15"/>
      <c r="SML96" s="15"/>
      <c r="SMM96" s="15"/>
      <c r="SMN96" s="15"/>
      <c r="SMO96" s="15"/>
      <c r="SMP96" s="15"/>
      <c r="SMQ96" s="15"/>
      <c r="SMR96" s="15"/>
      <c r="SMS96" s="15"/>
      <c r="SMT96" s="15"/>
      <c r="SMU96" s="15"/>
      <c r="SMV96" s="15"/>
      <c r="SMW96" s="15"/>
      <c r="SMX96" s="15"/>
      <c r="SMY96" s="15"/>
      <c r="SMZ96" s="15"/>
      <c r="SNA96" s="15"/>
      <c r="SNB96" s="15"/>
      <c r="SNC96" s="15"/>
      <c r="SND96" s="15"/>
      <c r="SNE96" s="15"/>
      <c r="SNF96" s="15"/>
      <c r="SNG96" s="15"/>
      <c r="SNH96" s="15"/>
      <c r="SNI96" s="15"/>
      <c r="SNJ96" s="15"/>
      <c r="SNK96" s="15"/>
      <c r="SNL96" s="15"/>
      <c r="SNM96" s="15"/>
      <c r="SNN96" s="15"/>
      <c r="SNO96" s="15"/>
      <c r="SNP96" s="15"/>
      <c r="SNQ96" s="15"/>
      <c r="SNR96" s="15"/>
      <c r="SNS96" s="15"/>
      <c r="SNT96" s="15"/>
      <c r="SNU96" s="15"/>
      <c r="SNV96" s="15"/>
      <c r="SNW96" s="15"/>
      <c r="SNX96" s="15"/>
      <c r="SNY96" s="15"/>
      <c r="SNZ96" s="15"/>
      <c r="SOA96" s="15"/>
      <c r="SOB96" s="15"/>
      <c r="SOC96" s="15"/>
      <c r="SOD96" s="15"/>
      <c r="SOE96" s="15"/>
      <c r="SOF96" s="15"/>
      <c r="SOG96" s="15"/>
      <c r="SOH96" s="15"/>
      <c r="SOI96" s="15"/>
      <c r="SOJ96" s="15"/>
      <c r="SOK96" s="15"/>
      <c r="SOL96" s="15"/>
      <c r="SOM96" s="15"/>
      <c r="SON96" s="15"/>
      <c r="SOO96" s="15"/>
      <c r="SOP96" s="15"/>
      <c r="SOQ96" s="15"/>
      <c r="SOR96" s="15"/>
      <c r="SOS96" s="15"/>
      <c r="SOT96" s="15"/>
      <c r="SOU96" s="15"/>
      <c r="SOV96" s="15"/>
      <c r="SOW96" s="15"/>
      <c r="SOX96" s="15"/>
      <c r="SOY96" s="15"/>
      <c r="SOZ96" s="15"/>
      <c r="SPA96" s="15"/>
      <c r="SPB96" s="15"/>
      <c r="SPC96" s="15"/>
      <c r="SPD96" s="15"/>
      <c r="SPE96" s="15"/>
      <c r="SPF96" s="15"/>
      <c r="SPG96" s="15"/>
      <c r="SPH96" s="15"/>
      <c r="SPI96" s="15"/>
      <c r="SPJ96" s="15"/>
      <c r="SPK96" s="15"/>
      <c r="SPL96" s="15"/>
      <c r="SPM96" s="15"/>
      <c r="SPN96" s="15"/>
      <c r="SPO96" s="15"/>
      <c r="SPP96" s="15"/>
      <c r="SPQ96" s="15"/>
      <c r="SPR96" s="15"/>
      <c r="SPS96" s="15"/>
      <c r="SPT96" s="15"/>
      <c r="SPU96" s="15"/>
      <c r="SPV96" s="15"/>
      <c r="SPW96" s="15"/>
      <c r="SPX96" s="15"/>
      <c r="SPY96" s="15"/>
      <c r="SPZ96" s="15"/>
      <c r="SQA96" s="15"/>
      <c r="SQB96" s="15"/>
      <c r="SQC96" s="15"/>
      <c r="SQD96" s="15"/>
      <c r="SQE96" s="15"/>
      <c r="SQF96" s="15"/>
      <c r="SQG96" s="15"/>
      <c r="SQH96" s="15"/>
      <c r="SQI96" s="15"/>
      <c r="SQJ96" s="15"/>
      <c r="SQK96" s="15"/>
      <c r="SQL96" s="15"/>
      <c r="SQM96" s="15"/>
      <c r="SQN96" s="15"/>
      <c r="SQO96" s="15"/>
      <c r="SQP96" s="15"/>
      <c r="SQQ96" s="15"/>
      <c r="SQR96" s="15"/>
      <c r="SQS96" s="15"/>
      <c r="SQT96" s="15"/>
      <c r="SQU96" s="15"/>
      <c r="SQV96" s="15"/>
      <c r="SQW96" s="15"/>
      <c r="SQX96" s="15"/>
      <c r="SQY96" s="15"/>
      <c r="SQZ96" s="15"/>
      <c r="SRA96" s="15"/>
      <c r="SRB96" s="15"/>
      <c r="SRC96" s="15"/>
      <c r="SRD96" s="15"/>
      <c r="SRE96" s="15"/>
      <c r="SRF96" s="15"/>
      <c r="SRG96" s="15"/>
      <c r="SRH96" s="15"/>
      <c r="SRI96" s="15"/>
      <c r="SRJ96" s="15"/>
      <c r="SRK96" s="15"/>
      <c r="SRL96" s="15"/>
      <c r="SRM96" s="15"/>
      <c r="SRN96" s="15"/>
      <c r="SRO96" s="15"/>
      <c r="SRP96" s="15"/>
      <c r="SRQ96" s="15"/>
      <c r="SRR96" s="15"/>
      <c r="SRS96" s="15"/>
      <c r="SRT96" s="15"/>
      <c r="SRU96" s="15"/>
      <c r="SRV96" s="15"/>
      <c r="SRW96" s="15"/>
      <c r="SRX96" s="15"/>
      <c r="SRY96" s="15"/>
      <c r="SRZ96" s="15"/>
      <c r="SSA96" s="15"/>
      <c r="SSB96" s="15"/>
      <c r="SSC96" s="15"/>
      <c r="SSD96" s="15"/>
      <c r="SSE96" s="15"/>
      <c r="SSF96" s="15"/>
      <c r="SSG96" s="15"/>
      <c r="SSH96" s="15"/>
      <c r="SSI96" s="15"/>
      <c r="SSJ96" s="15"/>
      <c r="SSK96" s="15"/>
      <c r="SSL96" s="15"/>
      <c r="SSM96" s="15"/>
      <c r="SSN96" s="15"/>
      <c r="SSO96" s="15"/>
      <c r="SSP96" s="15"/>
      <c r="SSQ96" s="15"/>
      <c r="SSR96" s="15"/>
      <c r="SSS96" s="15"/>
      <c r="SST96" s="15"/>
      <c r="SSU96" s="15"/>
      <c r="SSV96" s="15"/>
      <c r="SSW96" s="15"/>
      <c r="SSX96" s="15"/>
      <c r="SSY96" s="15"/>
      <c r="SSZ96" s="15"/>
      <c r="STA96" s="15"/>
      <c r="STB96" s="15"/>
      <c r="STC96" s="15"/>
      <c r="STD96" s="15"/>
      <c r="STE96" s="15"/>
      <c r="STF96" s="15"/>
      <c r="STG96" s="15"/>
      <c r="STH96" s="15"/>
      <c r="STI96" s="15"/>
      <c r="STJ96" s="15"/>
      <c r="STK96" s="15"/>
      <c r="STL96" s="15"/>
      <c r="STM96" s="15"/>
      <c r="STN96" s="15"/>
      <c r="STO96" s="15"/>
      <c r="STP96" s="15"/>
      <c r="STQ96" s="15"/>
      <c r="STR96" s="15"/>
      <c r="STS96" s="15"/>
      <c r="STT96" s="15"/>
      <c r="STU96" s="15"/>
      <c r="STV96" s="15"/>
      <c r="STW96" s="15"/>
      <c r="STX96" s="15"/>
      <c r="STY96" s="15"/>
      <c r="STZ96" s="15"/>
      <c r="SUA96" s="15"/>
      <c r="SUB96" s="15"/>
      <c r="SUC96" s="15"/>
      <c r="SUD96" s="15"/>
      <c r="SUE96" s="15"/>
      <c r="SUF96" s="15"/>
      <c r="SUG96" s="15"/>
      <c r="SUH96" s="15"/>
      <c r="SUI96" s="15"/>
      <c r="SUJ96" s="15"/>
      <c r="SUK96" s="15"/>
      <c r="SUL96" s="15"/>
      <c r="SUM96" s="15"/>
      <c r="SUN96" s="15"/>
      <c r="SUO96" s="15"/>
      <c r="SUP96" s="15"/>
      <c r="SUQ96" s="15"/>
      <c r="SUR96" s="15"/>
      <c r="SUS96" s="15"/>
      <c r="SUT96" s="15"/>
      <c r="SUU96" s="15"/>
      <c r="SUV96" s="15"/>
      <c r="SUW96" s="15"/>
      <c r="SUX96" s="15"/>
      <c r="SUY96" s="15"/>
      <c r="SUZ96" s="15"/>
      <c r="SVA96" s="15"/>
      <c r="SVB96" s="15"/>
      <c r="SVC96" s="15"/>
      <c r="SVD96" s="15"/>
      <c r="SVE96" s="15"/>
      <c r="SVF96" s="15"/>
      <c r="SVG96" s="15"/>
      <c r="SVH96" s="15"/>
      <c r="SVI96" s="15"/>
      <c r="SVJ96" s="15"/>
      <c r="SVK96" s="15"/>
      <c r="SVL96" s="15"/>
      <c r="SVM96" s="15"/>
      <c r="SVN96" s="15"/>
      <c r="SVO96" s="15"/>
      <c r="SVP96" s="15"/>
      <c r="SVQ96" s="15"/>
      <c r="SVR96" s="15"/>
      <c r="SVS96" s="15"/>
      <c r="SVT96" s="15"/>
      <c r="SVU96" s="15"/>
      <c r="SVV96" s="15"/>
      <c r="SVW96" s="15"/>
      <c r="SVX96" s="15"/>
      <c r="SVY96" s="15"/>
      <c r="SVZ96" s="15"/>
      <c r="SWA96" s="15"/>
      <c r="SWB96" s="15"/>
      <c r="SWC96" s="15"/>
      <c r="SWD96" s="15"/>
      <c r="SWE96" s="15"/>
      <c r="SWF96" s="15"/>
      <c r="SWG96" s="15"/>
      <c r="SWH96" s="15"/>
      <c r="SWI96" s="15"/>
      <c r="SWJ96" s="15"/>
      <c r="SWK96" s="15"/>
      <c r="SWL96" s="15"/>
      <c r="SWM96" s="15"/>
      <c r="SWN96" s="15"/>
      <c r="SWO96" s="15"/>
      <c r="SWP96" s="15"/>
      <c r="SWQ96" s="15"/>
      <c r="SWR96" s="15"/>
      <c r="SWS96" s="15"/>
      <c r="SWT96" s="15"/>
      <c r="SWU96" s="15"/>
      <c r="SWV96" s="15"/>
      <c r="SWW96" s="15"/>
      <c r="SWX96" s="15"/>
      <c r="SWY96" s="15"/>
      <c r="SWZ96" s="15"/>
      <c r="SXA96" s="15"/>
      <c r="SXB96" s="15"/>
      <c r="SXC96" s="15"/>
      <c r="SXD96" s="15"/>
      <c r="SXE96" s="15"/>
      <c r="SXF96" s="15"/>
      <c r="SXG96" s="15"/>
      <c r="SXH96" s="15"/>
      <c r="SXI96" s="15"/>
      <c r="SXJ96" s="15"/>
      <c r="SXK96" s="15"/>
      <c r="SXL96" s="15"/>
      <c r="SXM96" s="15"/>
      <c r="SXN96" s="15"/>
      <c r="SXO96" s="15"/>
      <c r="SXP96" s="15"/>
      <c r="SXQ96" s="15"/>
      <c r="SXR96" s="15"/>
      <c r="SXS96" s="15"/>
      <c r="SXT96" s="15"/>
      <c r="SXU96" s="15"/>
      <c r="SXV96" s="15"/>
      <c r="SXW96" s="15"/>
      <c r="SXX96" s="15"/>
      <c r="SXY96" s="15"/>
      <c r="SXZ96" s="15"/>
      <c r="SYA96" s="15"/>
      <c r="SYB96" s="15"/>
      <c r="SYC96" s="15"/>
      <c r="SYD96" s="15"/>
      <c r="SYE96" s="15"/>
      <c r="SYF96" s="15"/>
      <c r="SYG96" s="15"/>
      <c r="SYH96" s="15"/>
      <c r="SYI96" s="15"/>
      <c r="SYJ96" s="15"/>
      <c r="SYK96" s="15"/>
      <c r="SYL96" s="15"/>
      <c r="SYM96" s="15"/>
      <c r="SYN96" s="15"/>
      <c r="SYO96" s="15"/>
      <c r="SYP96" s="15"/>
      <c r="SYQ96" s="15"/>
      <c r="SYR96" s="15"/>
      <c r="SYS96" s="15"/>
      <c r="SYT96" s="15"/>
      <c r="SYU96" s="15"/>
      <c r="SYV96" s="15"/>
      <c r="SYW96" s="15"/>
      <c r="SYX96" s="15"/>
      <c r="SYY96" s="15"/>
      <c r="SYZ96" s="15"/>
      <c r="SZA96" s="15"/>
      <c r="SZB96" s="15"/>
      <c r="SZC96" s="15"/>
      <c r="SZD96" s="15"/>
      <c r="SZE96" s="15"/>
      <c r="SZF96" s="15"/>
      <c r="SZG96" s="15"/>
      <c r="SZH96" s="15"/>
      <c r="SZI96" s="15"/>
      <c r="SZJ96" s="15"/>
      <c r="SZK96" s="15"/>
      <c r="SZL96" s="15"/>
      <c r="SZM96" s="15"/>
      <c r="SZN96" s="15"/>
      <c r="SZO96" s="15"/>
      <c r="SZP96" s="15"/>
      <c r="SZQ96" s="15"/>
      <c r="SZR96" s="15"/>
      <c r="SZS96" s="15"/>
      <c r="SZT96" s="15"/>
      <c r="SZU96" s="15"/>
      <c r="SZV96" s="15"/>
      <c r="SZW96" s="15"/>
      <c r="SZX96" s="15"/>
      <c r="SZY96" s="15"/>
      <c r="SZZ96" s="15"/>
      <c r="TAA96" s="15"/>
      <c r="TAB96" s="15"/>
      <c r="TAC96" s="15"/>
      <c r="TAD96" s="15"/>
      <c r="TAE96" s="15"/>
      <c r="TAF96" s="15"/>
      <c r="TAG96" s="15"/>
      <c r="TAH96" s="15"/>
      <c r="TAI96" s="15"/>
      <c r="TAJ96" s="15"/>
      <c r="TAK96" s="15"/>
      <c r="TAL96" s="15"/>
      <c r="TAM96" s="15"/>
      <c r="TAN96" s="15"/>
      <c r="TAO96" s="15"/>
      <c r="TAP96" s="15"/>
      <c r="TAQ96" s="15"/>
      <c r="TAR96" s="15"/>
      <c r="TAS96" s="15"/>
      <c r="TAT96" s="15"/>
      <c r="TAU96" s="15"/>
      <c r="TAV96" s="15"/>
      <c r="TAW96" s="15"/>
      <c r="TAX96" s="15"/>
      <c r="TAY96" s="15"/>
      <c r="TAZ96" s="15"/>
      <c r="TBA96" s="15"/>
      <c r="TBB96" s="15"/>
      <c r="TBC96" s="15"/>
      <c r="TBD96" s="15"/>
      <c r="TBE96" s="15"/>
      <c r="TBF96" s="15"/>
      <c r="TBG96" s="15"/>
      <c r="TBH96" s="15"/>
      <c r="TBI96" s="15"/>
      <c r="TBJ96" s="15"/>
      <c r="TBK96" s="15"/>
      <c r="TBL96" s="15"/>
      <c r="TBM96" s="15"/>
      <c r="TBN96" s="15"/>
      <c r="TBO96" s="15"/>
      <c r="TBP96" s="15"/>
      <c r="TBQ96" s="15"/>
      <c r="TBR96" s="15"/>
      <c r="TBS96" s="15"/>
      <c r="TBT96" s="15"/>
      <c r="TBU96" s="15"/>
      <c r="TBV96" s="15"/>
      <c r="TBW96" s="15"/>
      <c r="TBX96" s="15"/>
      <c r="TBY96" s="15"/>
      <c r="TBZ96" s="15"/>
      <c r="TCA96" s="15"/>
      <c r="TCB96" s="15"/>
      <c r="TCC96" s="15"/>
      <c r="TCD96" s="15"/>
      <c r="TCE96" s="15"/>
      <c r="TCF96" s="15"/>
      <c r="TCG96" s="15"/>
      <c r="TCH96" s="15"/>
      <c r="TCI96" s="15"/>
      <c r="TCJ96" s="15"/>
      <c r="TCK96" s="15"/>
      <c r="TCL96" s="15"/>
      <c r="TCM96" s="15"/>
      <c r="TCN96" s="15"/>
      <c r="TCO96" s="15"/>
      <c r="TCP96" s="15"/>
      <c r="TCQ96" s="15"/>
      <c r="TCR96" s="15"/>
      <c r="TCS96" s="15"/>
      <c r="TCT96" s="15"/>
      <c r="TCU96" s="15"/>
      <c r="TCV96" s="15"/>
      <c r="TCW96" s="15"/>
      <c r="TCX96" s="15"/>
      <c r="TCY96" s="15"/>
      <c r="TCZ96" s="15"/>
      <c r="TDA96" s="15"/>
      <c r="TDB96" s="15"/>
      <c r="TDC96" s="15"/>
      <c r="TDD96" s="15"/>
      <c r="TDE96" s="15"/>
      <c r="TDF96" s="15"/>
      <c r="TDG96" s="15"/>
      <c r="TDH96" s="15"/>
      <c r="TDI96" s="15"/>
      <c r="TDJ96" s="15"/>
      <c r="TDK96" s="15"/>
      <c r="TDL96" s="15"/>
      <c r="TDM96" s="15"/>
      <c r="TDN96" s="15"/>
      <c r="TDO96" s="15"/>
      <c r="TDP96" s="15"/>
      <c r="TDQ96" s="15"/>
      <c r="TDR96" s="15"/>
      <c r="TDS96" s="15"/>
      <c r="TDT96" s="15"/>
      <c r="TDU96" s="15"/>
      <c r="TDV96" s="15"/>
      <c r="TDW96" s="15"/>
      <c r="TDX96" s="15"/>
      <c r="TDY96" s="15"/>
      <c r="TDZ96" s="15"/>
      <c r="TEA96" s="15"/>
      <c r="TEB96" s="15"/>
      <c r="TEC96" s="15"/>
      <c r="TED96" s="15"/>
      <c r="TEE96" s="15"/>
      <c r="TEF96" s="15"/>
      <c r="TEG96" s="15"/>
      <c r="TEH96" s="15"/>
      <c r="TEI96" s="15"/>
      <c r="TEJ96" s="15"/>
      <c r="TEK96" s="15"/>
      <c r="TEL96" s="15"/>
      <c r="TEM96" s="15"/>
      <c r="TEN96" s="15"/>
      <c r="TEO96" s="15"/>
      <c r="TEP96" s="15"/>
      <c r="TEQ96" s="15"/>
      <c r="TER96" s="15"/>
      <c r="TES96" s="15"/>
      <c r="TET96" s="15"/>
      <c r="TEU96" s="15"/>
      <c r="TEV96" s="15"/>
      <c r="TEW96" s="15"/>
      <c r="TEX96" s="15"/>
      <c r="TEY96" s="15"/>
      <c r="TEZ96" s="15"/>
      <c r="TFA96" s="15"/>
      <c r="TFB96" s="15"/>
      <c r="TFC96" s="15"/>
      <c r="TFD96" s="15"/>
      <c r="TFE96" s="15"/>
      <c r="TFF96" s="15"/>
      <c r="TFG96" s="15"/>
      <c r="TFH96" s="15"/>
      <c r="TFI96" s="15"/>
      <c r="TFJ96" s="15"/>
      <c r="TFK96" s="15"/>
      <c r="TFL96" s="15"/>
      <c r="TFM96" s="15"/>
      <c r="TFN96" s="15"/>
      <c r="TFO96" s="15"/>
      <c r="TFP96" s="15"/>
      <c r="TFQ96" s="15"/>
      <c r="TFR96" s="15"/>
      <c r="TFS96" s="15"/>
      <c r="TFT96" s="15"/>
      <c r="TFU96" s="15"/>
      <c r="TFV96" s="15"/>
      <c r="TFW96" s="15"/>
      <c r="TFX96" s="15"/>
      <c r="TFY96" s="15"/>
      <c r="TFZ96" s="15"/>
      <c r="TGA96" s="15"/>
      <c r="TGB96" s="15"/>
      <c r="TGC96" s="15"/>
      <c r="TGD96" s="15"/>
      <c r="TGE96" s="15"/>
      <c r="TGF96" s="15"/>
      <c r="TGG96" s="15"/>
      <c r="TGH96" s="15"/>
      <c r="TGI96" s="15"/>
      <c r="TGJ96" s="15"/>
      <c r="TGK96" s="15"/>
      <c r="TGL96" s="15"/>
      <c r="TGM96" s="15"/>
      <c r="TGN96" s="15"/>
      <c r="TGO96" s="15"/>
      <c r="TGP96" s="15"/>
      <c r="TGQ96" s="15"/>
      <c r="TGR96" s="15"/>
      <c r="TGS96" s="15"/>
      <c r="TGT96" s="15"/>
      <c r="TGU96" s="15"/>
      <c r="TGV96" s="15"/>
      <c r="TGW96" s="15"/>
      <c r="TGX96" s="15"/>
      <c r="TGY96" s="15"/>
      <c r="TGZ96" s="15"/>
      <c r="THA96" s="15"/>
      <c r="THB96" s="15"/>
      <c r="THC96" s="15"/>
      <c r="THD96" s="15"/>
      <c r="THE96" s="15"/>
      <c r="THF96" s="15"/>
      <c r="THG96" s="15"/>
      <c r="THH96" s="15"/>
      <c r="THI96" s="15"/>
      <c r="THJ96" s="15"/>
      <c r="THK96" s="15"/>
      <c r="THL96" s="15"/>
      <c r="THM96" s="15"/>
      <c r="THN96" s="15"/>
      <c r="THO96" s="15"/>
      <c r="THP96" s="15"/>
      <c r="THQ96" s="15"/>
      <c r="THR96" s="15"/>
      <c r="THS96" s="15"/>
      <c r="THT96" s="15"/>
      <c r="THU96" s="15"/>
      <c r="THV96" s="15"/>
      <c r="THW96" s="15"/>
      <c r="THX96" s="15"/>
      <c r="THY96" s="15"/>
      <c r="THZ96" s="15"/>
      <c r="TIA96" s="15"/>
      <c r="TIB96" s="15"/>
      <c r="TIC96" s="15"/>
      <c r="TID96" s="15"/>
      <c r="TIE96" s="15"/>
      <c r="TIF96" s="15"/>
      <c r="TIG96" s="15"/>
      <c r="TIH96" s="15"/>
      <c r="TII96" s="15"/>
      <c r="TIJ96" s="15"/>
      <c r="TIK96" s="15"/>
      <c r="TIL96" s="15"/>
      <c r="TIM96" s="15"/>
      <c r="TIN96" s="15"/>
      <c r="TIO96" s="15"/>
      <c r="TIP96" s="15"/>
      <c r="TIQ96" s="15"/>
      <c r="TIR96" s="15"/>
      <c r="TIS96" s="15"/>
      <c r="TIT96" s="15"/>
      <c r="TIU96" s="15"/>
      <c r="TIV96" s="15"/>
      <c r="TIW96" s="15"/>
      <c r="TIX96" s="15"/>
      <c r="TIY96" s="15"/>
      <c r="TIZ96" s="15"/>
      <c r="TJA96" s="15"/>
      <c r="TJB96" s="15"/>
      <c r="TJC96" s="15"/>
      <c r="TJD96" s="15"/>
      <c r="TJE96" s="15"/>
      <c r="TJF96" s="15"/>
      <c r="TJG96" s="15"/>
      <c r="TJH96" s="15"/>
      <c r="TJI96" s="15"/>
      <c r="TJJ96" s="15"/>
      <c r="TJK96" s="15"/>
      <c r="TJL96" s="15"/>
      <c r="TJM96" s="15"/>
      <c r="TJN96" s="15"/>
      <c r="TJO96" s="15"/>
      <c r="TJP96" s="15"/>
      <c r="TJQ96" s="15"/>
      <c r="TJR96" s="15"/>
      <c r="TJS96" s="15"/>
      <c r="TJT96" s="15"/>
      <c r="TJU96" s="15"/>
      <c r="TJV96" s="15"/>
      <c r="TJW96" s="15"/>
      <c r="TJX96" s="15"/>
      <c r="TJY96" s="15"/>
      <c r="TJZ96" s="15"/>
      <c r="TKA96" s="15"/>
      <c r="TKB96" s="15"/>
      <c r="TKC96" s="15"/>
      <c r="TKD96" s="15"/>
      <c r="TKE96" s="15"/>
      <c r="TKF96" s="15"/>
      <c r="TKG96" s="15"/>
      <c r="TKH96" s="15"/>
      <c r="TKI96" s="15"/>
      <c r="TKJ96" s="15"/>
      <c r="TKK96" s="15"/>
      <c r="TKL96" s="15"/>
      <c r="TKM96" s="15"/>
      <c r="TKN96" s="15"/>
      <c r="TKO96" s="15"/>
      <c r="TKP96" s="15"/>
      <c r="TKQ96" s="15"/>
      <c r="TKR96" s="15"/>
      <c r="TKS96" s="15"/>
      <c r="TKT96" s="15"/>
      <c r="TKU96" s="15"/>
      <c r="TKV96" s="15"/>
      <c r="TKW96" s="15"/>
      <c r="TKX96" s="15"/>
      <c r="TKY96" s="15"/>
      <c r="TKZ96" s="15"/>
      <c r="TLA96" s="15"/>
      <c r="TLB96" s="15"/>
      <c r="TLC96" s="15"/>
      <c r="TLD96" s="15"/>
      <c r="TLE96" s="15"/>
      <c r="TLF96" s="15"/>
      <c r="TLG96" s="15"/>
      <c r="TLH96" s="15"/>
      <c r="TLI96" s="15"/>
      <c r="TLJ96" s="15"/>
      <c r="TLK96" s="15"/>
      <c r="TLL96" s="15"/>
      <c r="TLM96" s="15"/>
      <c r="TLN96" s="15"/>
      <c r="TLO96" s="15"/>
      <c r="TLP96" s="15"/>
      <c r="TLQ96" s="15"/>
      <c r="TLR96" s="15"/>
      <c r="TLS96" s="15"/>
      <c r="TLT96" s="15"/>
      <c r="TLU96" s="15"/>
      <c r="TLV96" s="15"/>
      <c r="TLW96" s="15"/>
      <c r="TLX96" s="15"/>
      <c r="TLY96" s="15"/>
      <c r="TLZ96" s="15"/>
      <c r="TMA96" s="15"/>
      <c r="TMB96" s="15"/>
      <c r="TMC96" s="15"/>
      <c r="TMD96" s="15"/>
      <c r="TME96" s="15"/>
      <c r="TMF96" s="15"/>
      <c r="TMG96" s="15"/>
      <c r="TMH96" s="15"/>
      <c r="TMI96" s="15"/>
      <c r="TMJ96" s="15"/>
      <c r="TMK96" s="15"/>
      <c r="TML96" s="15"/>
      <c r="TMM96" s="15"/>
      <c r="TMN96" s="15"/>
      <c r="TMO96" s="15"/>
      <c r="TMP96" s="15"/>
      <c r="TMQ96" s="15"/>
      <c r="TMR96" s="15"/>
      <c r="TMS96" s="15"/>
      <c r="TMT96" s="15"/>
      <c r="TMU96" s="15"/>
      <c r="TMV96" s="15"/>
      <c r="TMW96" s="15"/>
      <c r="TMX96" s="15"/>
      <c r="TMY96" s="15"/>
      <c r="TMZ96" s="15"/>
      <c r="TNA96" s="15"/>
      <c r="TNB96" s="15"/>
      <c r="TNC96" s="15"/>
      <c r="TND96" s="15"/>
      <c r="TNE96" s="15"/>
      <c r="TNF96" s="15"/>
      <c r="TNG96" s="15"/>
      <c r="TNH96" s="15"/>
      <c r="TNI96" s="15"/>
      <c r="TNJ96" s="15"/>
      <c r="TNK96" s="15"/>
      <c r="TNL96" s="15"/>
      <c r="TNM96" s="15"/>
      <c r="TNN96" s="15"/>
      <c r="TNO96" s="15"/>
      <c r="TNP96" s="15"/>
      <c r="TNQ96" s="15"/>
      <c r="TNR96" s="15"/>
      <c r="TNS96" s="15"/>
      <c r="TNT96" s="15"/>
      <c r="TNU96" s="15"/>
      <c r="TNV96" s="15"/>
      <c r="TNW96" s="15"/>
      <c r="TNX96" s="15"/>
      <c r="TNY96" s="15"/>
      <c r="TNZ96" s="15"/>
      <c r="TOA96" s="15"/>
      <c r="TOB96" s="15"/>
      <c r="TOC96" s="15"/>
      <c r="TOD96" s="15"/>
      <c r="TOE96" s="15"/>
      <c r="TOF96" s="15"/>
      <c r="TOG96" s="15"/>
      <c r="TOH96" s="15"/>
      <c r="TOI96" s="15"/>
      <c r="TOJ96" s="15"/>
      <c r="TOK96" s="15"/>
      <c r="TOL96" s="15"/>
      <c r="TOM96" s="15"/>
      <c r="TON96" s="15"/>
      <c r="TOO96" s="15"/>
      <c r="TOP96" s="15"/>
      <c r="TOQ96" s="15"/>
      <c r="TOR96" s="15"/>
      <c r="TOS96" s="15"/>
      <c r="TOT96" s="15"/>
      <c r="TOU96" s="15"/>
      <c r="TOV96" s="15"/>
      <c r="TOW96" s="15"/>
      <c r="TOX96" s="15"/>
      <c r="TOY96" s="15"/>
      <c r="TOZ96" s="15"/>
      <c r="TPA96" s="15"/>
      <c r="TPB96" s="15"/>
      <c r="TPC96" s="15"/>
      <c r="TPD96" s="15"/>
      <c r="TPE96" s="15"/>
      <c r="TPF96" s="15"/>
      <c r="TPG96" s="15"/>
      <c r="TPH96" s="15"/>
      <c r="TPI96" s="15"/>
      <c r="TPJ96" s="15"/>
      <c r="TPK96" s="15"/>
      <c r="TPL96" s="15"/>
      <c r="TPM96" s="15"/>
      <c r="TPN96" s="15"/>
      <c r="TPO96" s="15"/>
      <c r="TPP96" s="15"/>
      <c r="TPQ96" s="15"/>
      <c r="TPR96" s="15"/>
      <c r="TPS96" s="15"/>
      <c r="TPT96" s="15"/>
      <c r="TPU96" s="15"/>
      <c r="TPV96" s="15"/>
      <c r="TPW96" s="15"/>
      <c r="TPX96" s="15"/>
      <c r="TPY96" s="15"/>
      <c r="TPZ96" s="15"/>
      <c r="TQA96" s="15"/>
      <c r="TQB96" s="15"/>
      <c r="TQC96" s="15"/>
      <c r="TQD96" s="15"/>
      <c r="TQE96" s="15"/>
      <c r="TQF96" s="15"/>
      <c r="TQG96" s="15"/>
      <c r="TQH96" s="15"/>
      <c r="TQI96" s="15"/>
      <c r="TQJ96" s="15"/>
      <c r="TQK96" s="15"/>
      <c r="TQL96" s="15"/>
      <c r="TQM96" s="15"/>
      <c r="TQN96" s="15"/>
      <c r="TQO96" s="15"/>
      <c r="TQP96" s="15"/>
      <c r="TQQ96" s="15"/>
      <c r="TQR96" s="15"/>
      <c r="TQS96" s="15"/>
      <c r="TQT96" s="15"/>
      <c r="TQU96" s="15"/>
      <c r="TQV96" s="15"/>
      <c r="TQW96" s="15"/>
      <c r="TQX96" s="15"/>
      <c r="TQY96" s="15"/>
      <c r="TQZ96" s="15"/>
      <c r="TRA96" s="15"/>
      <c r="TRB96" s="15"/>
      <c r="TRC96" s="15"/>
      <c r="TRD96" s="15"/>
      <c r="TRE96" s="15"/>
      <c r="TRF96" s="15"/>
      <c r="TRG96" s="15"/>
      <c r="TRH96" s="15"/>
      <c r="TRI96" s="15"/>
      <c r="TRJ96" s="15"/>
      <c r="TRK96" s="15"/>
      <c r="TRL96" s="15"/>
      <c r="TRM96" s="15"/>
      <c r="TRN96" s="15"/>
      <c r="TRO96" s="15"/>
      <c r="TRP96" s="15"/>
      <c r="TRQ96" s="15"/>
      <c r="TRR96" s="15"/>
      <c r="TRS96" s="15"/>
      <c r="TRT96" s="15"/>
      <c r="TRU96" s="15"/>
      <c r="TRV96" s="15"/>
      <c r="TRW96" s="15"/>
      <c r="TRX96" s="15"/>
      <c r="TRY96" s="15"/>
      <c r="TRZ96" s="15"/>
      <c r="TSA96" s="15"/>
      <c r="TSB96" s="15"/>
      <c r="TSC96" s="15"/>
      <c r="TSD96" s="15"/>
      <c r="TSE96" s="15"/>
      <c r="TSF96" s="15"/>
      <c r="TSG96" s="15"/>
      <c r="TSH96" s="15"/>
      <c r="TSI96" s="15"/>
      <c r="TSJ96" s="15"/>
      <c r="TSK96" s="15"/>
      <c r="TSL96" s="15"/>
      <c r="TSM96" s="15"/>
      <c r="TSN96" s="15"/>
      <c r="TSO96" s="15"/>
      <c r="TSP96" s="15"/>
      <c r="TSQ96" s="15"/>
      <c r="TSR96" s="15"/>
      <c r="TSS96" s="15"/>
      <c r="TST96" s="15"/>
      <c r="TSU96" s="15"/>
      <c r="TSV96" s="15"/>
      <c r="TSW96" s="15"/>
      <c r="TSX96" s="15"/>
      <c r="TSY96" s="15"/>
      <c r="TSZ96" s="15"/>
      <c r="TTA96" s="15"/>
      <c r="TTB96" s="15"/>
      <c r="TTC96" s="15"/>
      <c r="TTD96" s="15"/>
      <c r="TTE96" s="15"/>
      <c r="TTF96" s="15"/>
      <c r="TTG96" s="15"/>
      <c r="TTH96" s="15"/>
      <c r="TTI96" s="15"/>
      <c r="TTJ96" s="15"/>
      <c r="TTK96" s="15"/>
      <c r="TTL96" s="15"/>
      <c r="TTM96" s="15"/>
      <c r="TTN96" s="15"/>
      <c r="TTO96" s="15"/>
      <c r="TTP96" s="15"/>
      <c r="TTQ96" s="15"/>
      <c r="TTR96" s="15"/>
      <c r="TTS96" s="15"/>
      <c r="TTT96" s="15"/>
      <c r="TTU96" s="15"/>
      <c r="TTV96" s="15"/>
      <c r="TTW96" s="15"/>
      <c r="TTX96" s="15"/>
      <c r="TTY96" s="15"/>
      <c r="TTZ96" s="15"/>
      <c r="TUA96" s="15"/>
      <c r="TUB96" s="15"/>
      <c r="TUC96" s="15"/>
      <c r="TUD96" s="15"/>
      <c r="TUE96" s="15"/>
      <c r="TUF96" s="15"/>
      <c r="TUG96" s="15"/>
      <c r="TUH96" s="15"/>
      <c r="TUI96" s="15"/>
      <c r="TUJ96" s="15"/>
      <c r="TUK96" s="15"/>
      <c r="TUL96" s="15"/>
      <c r="TUM96" s="15"/>
      <c r="TUN96" s="15"/>
      <c r="TUO96" s="15"/>
      <c r="TUP96" s="15"/>
      <c r="TUQ96" s="15"/>
      <c r="TUR96" s="15"/>
      <c r="TUS96" s="15"/>
      <c r="TUT96" s="15"/>
      <c r="TUU96" s="15"/>
      <c r="TUV96" s="15"/>
      <c r="TUW96" s="15"/>
      <c r="TUX96" s="15"/>
      <c r="TUY96" s="15"/>
      <c r="TUZ96" s="15"/>
      <c r="TVA96" s="15"/>
      <c r="TVB96" s="15"/>
      <c r="TVC96" s="15"/>
      <c r="TVD96" s="15"/>
      <c r="TVE96" s="15"/>
      <c r="TVF96" s="15"/>
      <c r="TVG96" s="15"/>
      <c r="TVH96" s="15"/>
      <c r="TVI96" s="15"/>
      <c r="TVJ96" s="15"/>
      <c r="TVK96" s="15"/>
      <c r="TVL96" s="15"/>
      <c r="TVM96" s="15"/>
      <c r="TVN96" s="15"/>
      <c r="TVO96" s="15"/>
      <c r="TVP96" s="15"/>
      <c r="TVQ96" s="15"/>
      <c r="TVR96" s="15"/>
      <c r="TVS96" s="15"/>
      <c r="TVT96" s="15"/>
      <c r="TVU96" s="15"/>
      <c r="TVV96" s="15"/>
      <c r="TVW96" s="15"/>
      <c r="TVX96" s="15"/>
      <c r="TVY96" s="15"/>
      <c r="TVZ96" s="15"/>
      <c r="TWA96" s="15"/>
      <c r="TWB96" s="15"/>
      <c r="TWC96" s="15"/>
      <c r="TWD96" s="15"/>
      <c r="TWE96" s="15"/>
      <c r="TWF96" s="15"/>
      <c r="TWG96" s="15"/>
      <c r="TWH96" s="15"/>
      <c r="TWI96" s="15"/>
      <c r="TWJ96" s="15"/>
      <c r="TWK96" s="15"/>
      <c r="TWL96" s="15"/>
      <c r="TWM96" s="15"/>
      <c r="TWN96" s="15"/>
      <c r="TWO96" s="15"/>
      <c r="TWP96" s="15"/>
      <c r="TWQ96" s="15"/>
      <c r="TWR96" s="15"/>
      <c r="TWS96" s="15"/>
      <c r="TWT96" s="15"/>
      <c r="TWU96" s="15"/>
      <c r="TWV96" s="15"/>
      <c r="TWW96" s="15"/>
      <c r="TWX96" s="15"/>
      <c r="TWY96" s="15"/>
      <c r="TWZ96" s="15"/>
      <c r="TXA96" s="15"/>
      <c r="TXB96" s="15"/>
      <c r="TXC96" s="15"/>
      <c r="TXD96" s="15"/>
      <c r="TXE96" s="15"/>
      <c r="TXF96" s="15"/>
      <c r="TXG96" s="15"/>
      <c r="TXH96" s="15"/>
      <c r="TXI96" s="15"/>
      <c r="TXJ96" s="15"/>
      <c r="TXK96" s="15"/>
      <c r="TXL96" s="15"/>
      <c r="TXM96" s="15"/>
      <c r="TXN96" s="15"/>
      <c r="TXO96" s="15"/>
      <c r="TXP96" s="15"/>
      <c r="TXQ96" s="15"/>
      <c r="TXR96" s="15"/>
      <c r="TXS96" s="15"/>
      <c r="TXT96" s="15"/>
      <c r="TXU96" s="15"/>
      <c r="TXV96" s="15"/>
      <c r="TXW96" s="15"/>
      <c r="TXX96" s="15"/>
      <c r="TXY96" s="15"/>
      <c r="TXZ96" s="15"/>
      <c r="TYA96" s="15"/>
      <c r="TYB96" s="15"/>
      <c r="TYC96" s="15"/>
      <c r="TYD96" s="15"/>
      <c r="TYE96" s="15"/>
      <c r="TYF96" s="15"/>
      <c r="TYG96" s="15"/>
      <c r="TYH96" s="15"/>
      <c r="TYI96" s="15"/>
      <c r="TYJ96" s="15"/>
      <c r="TYK96" s="15"/>
      <c r="TYL96" s="15"/>
      <c r="TYM96" s="15"/>
      <c r="TYN96" s="15"/>
      <c r="TYO96" s="15"/>
      <c r="TYP96" s="15"/>
      <c r="TYQ96" s="15"/>
      <c r="TYR96" s="15"/>
      <c r="TYS96" s="15"/>
      <c r="TYT96" s="15"/>
      <c r="TYU96" s="15"/>
      <c r="TYV96" s="15"/>
      <c r="TYW96" s="15"/>
      <c r="TYX96" s="15"/>
      <c r="TYY96" s="15"/>
      <c r="TYZ96" s="15"/>
      <c r="TZA96" s="15"/>
      <c r="TZB96" s="15"/>
      <c r="TZC96" s="15"/>
      <c r="TZD96" s="15"/>
      <c r="TZE96" s="15"/>
      <c r="TZF96" s="15"/>
      <c r="TZG96" s="15"/>
      <c r="TZH96" s="15"/>
      <c r="TZI96" s="15"/>
      <c r="TZJ96" s="15"/>
      <c r="TZK96" s="15"/>
      <c r="TZL96" s="15"/>
      <c r="TZM96" s="15"/>
      <c r="TZN96" s="15"/>
      <c r="TZO96" s="15"/>
      <c r="TZP96" s="15"/>
      <c r="TZQ96" s="15"/>
      <c r="TZR96" s="15"/>
      <c r="TZS96" s="15"/>
      <c r="TZT96" s="15"/>
      <c r="TZU96" s="15"/>
      <c r="TZV96" s="15"/>
      <c r="TZW96" s="15"/>
      <c r="TZX96" s="15"/>
      <c r="TZY96" s="15"/>
      <c r="TZZ96" s="15"/>
      <c r="UAA96" s="15"/>
      <c r="UAB96" s="15"/>
      <c r="UAC96" s="15"/>
      <c r="UAD96" s="15"/>
      <c r="UAE96" s="15"/>
      <c r="UAF96" s="15"/>
      <c r="UAG96" s="15"/>
      <c r="UAH96" s="15"/>
      <c r="UAI96" s="15"/>
      <c r="UAJ96" s="15"/>
      <c r="UAK96" s="15"/>
      <c r="UAL96" s="15"/>
      <c r="UAM96" s="15"/>
      <c r="UAN96" s="15"/>
      <c r="UAO96" s="15"/>
      <c r="UAP96" s="15"/>
      <c r="UAQ96" s="15"/>
      <c r="UAR96" s="15"/>
      <c r="UAS96" s="15"/>
      <c r="UAT96" s="15"/>
      <c r="UAU96" s="15"/>
      <c r="UAV96" s="15"/>
      <c r="UAW96" s="15"/>
      <c r="UAX96" s="15"/>
      <c r="UAY96" s="15"/>
      <c r="UAZ96" s="15"/>
      <c r="UBA96" s="15"/>
      <c r="UBB96" s="15"/>
      <c r="UBC96" s="15"/>
      <c r="UBD96" s="15"/>
      <c r="UBE96" s="15"/>
      <c r="UBF96" s="15"/>
      <c r="UBG96" s="15"/>
      <c r="UBH96" s="15"/>
      <c r="UBI96" s="15"/>
      <c r="UBJ96" s="15"/>
      <c r="UBK96" s="15"/>
      <c r="UBL96" s="15"/>
      <c r="UBM96" s="15"/>
      <c r="UBN96" s="15"/>
      <c r="UBO96" s="15"/>
      <c r="UBP96" s="15"/>
      <c r="UBQ96" s="15"/>
      <c r="UBR96" s="15"/>
      <c r="UBS96" s="15"/>
      <c r="UBT96" s="15"/>
      <c r="UBU96" s="15"/>
      <c r="UBV96" s="15"/>
      <c r="UBW96" s="15"/>
      <c r="UBX96" s="15"/>
      <c r="UBY96" s="15"/>
      <c r="UBZ96" s="15"/>
      <c r="UCA96" s="15"/>
      <c r="UCB96" s="15"/>
      <c r="UCC96" s="15"/>
      <c r="UCD96" s="15"/>
      <c r="UCE96" s="15"/>
      <c r="UCF96" s="15"/>
      <c r="UCG96" s="15"/>
      <c r="UCH96" s="15"/>
      <c r="UCI96" s="15"/>
      <c r="UCJ96" s="15"/>
      <c r="UCK96" s="15"/>
      <c r="UCL96" s="15"/>
      <c r="UCM96" s="15"/>
      <c r="UCN96" s="15"/>
      <c r="UCO96" s="15"/>
      <c r="UCP96" s="15"/>
      <c r="UCQ96" s="15"/>
      <c r="UCR96" s="15"/>
      <c r="UCS96" s="15"/>
      <c r="UCT96" s="15"/>
      <c r="UCU96" s="15"/>
      <c r="UCV96" s="15"/>
      <c r="UCW96" s="15"/>
      <c r="UCX96" s="15"/>
      <c r="UCY96" s="15"/>
      <c r="UCZ96" s="15"/>
      <c r="UDA96" s="15"/>
      <c r="UDB96" s="15"/>
      <c r="UDC96" s="15"/>
      <c r="UDD96" s="15"/>
      <c r="UDE96" s="15"/>
      <c r="UDF96" s="15"/>
      <c r="UDG96" s="15"/>
      <c r="UDH96" s="15"/>
      <c r="UDI96" s="15"/>
      <c r="UDJ96" s="15"/>
      <c r="UDK96" s="15"/>
      <c r="UDL96" s="15"/>
      <c r="UDM96" s="15"/>
      <c r="UDN96" s="15"/>
      <c r="UDO96" s="15"/>
      <c r="UDP96" s="15"/>
      <c r="UDQ96" s="15"/>
      <c r="UDR96" s="15"/>
      <c r="UDS96" s="15"/>
      <c r="UDT96" s="15"/>
      <c r="UDU96" s="15"/>
      <c r="UDV96" s="15"/>
      <c r="UDW96" s="15"/>
      <c r="UDX96" s="15"/>
      <c r="UDY96" s="15"/>
      <c r="UDZ96" s="15"/>
      <c r="UEA96" s="15"/>
      <c r="UEB96" s="15"/>
      <c r="UEC96" s="15"/>
      <c r="UED96" s="15"/>
      <c r="UEE96" s="15"/>
      <c r="UEF96" s="15"/>
      <c r="UEG96" s="15"/>
      <c r="UEH96" s="15"/>
      <c r="UEI96" s="15"/>
      <c r="UEJ96" s="15"/>
      <c r="UEK96" s="15"/>
      <c r="UEL96" s="15"/>
      <c r="UEM96" s="15"/>
      <c r="UEN96" s="15"/>
      <c r="UEO96" s="15"/>
      <c r="UEP96" s="15"/>
      <c r="UEQ96" s="15"/>
      <c r="UER96" s="15"/>
      <c r="UES96" s="15"/>
      <c r="UET96" s="15"/>
      <c r="UEU96" s="15"/>
      <c r="UEV96" s="15"/>
      <c r="UEW96" s="15"/>
      <c r="UEX96" s="15"/>
      <c r="UEY96" s="15"/>
      <c r="UEZ96" s="15"/>
      <c r="UFA96" s="15"/>
      <c r="UFB96" s="15"/>
      <c r="UFC96" s="15"/>
      <c r="UFD96" s="15"/>
      <c r="UFE96" s="15"/>
      <c r="UFF96" s="15"/>
      <c r="UFG96" s="15"/>
      <c r="UFH96" s="15"/>
      <c r="UFI96" s="15"/>
      <c r="UFJ96" s="15"/>
      <c r="UFK96" s="15"/>
      <c r="UFL96" s="15"/>
      <c r="UFM96" s="15"/>
      <c r="UFN96" s="15"/>
      <c r="UFO96" s="15"/>
      <c r="UFP96" s="15"/>
      <c r="UFQ96" s="15"/>
      <c r="UFR96" s="15"/>
      <c r="UFS96" s="15"/>
      <c r="UFT96" s="15"/>
      <c r="UFU96" s="15"/>
      <c r="UFV96" s="15"/>
      <c r="UFW96" s="15"/>
      <c r="UFX96" s="15"/>
      <c r="UFY96" s="15"/>
      <c r="UFZ96" s="15"/>
      <c r="UGA96" s="15"/>
      <c r="UGB96" s="15"/>
      <c r="UGC96" s="15"/>
      <c r="UGD96" s="15"/>
      <c r="UGE96" s="15"/>
      <c r="UGF96" s="15"/>
      <c r="UGG96" s="15"/>
      <c r="UGH96" s="15"/>
      <c r="UGI96" s="15"/>
      <c r="UGJ96" s="15"/>
      <c r="UGK96" s="15"/>
      <c r="UGL96" s="15"/>
      <c r="UGM96" s="15"/>
      <c r="UGN96" s="15"/>
      <c r="UGO96" s="15"/>
      <c r="UGP96" s="15"/>
      <c r="UGQ96" s="15"/>
      <c r="UGR96" s="15"/>
      <c r="UGS96" s="15"/>
      <c r="UGT96" s="15"/>
      <c r="UGU96" s="15"/>
      <c r="UGV96" s="15"/>
      <c r="UGW96" s="15"/>
      <c r="UGX96" s="15"/>
      <c r="UGY96" s="15"/>
      <c r="UGZ96" s="15"/>
      <c r="UHA96" s="15"/>
      <c r="UHB96" s="15"/>
      <c r="UHC96" s="15"/>
      <c r="UHD96" s="15"/>
      <c r="UHE96" s="15"/>
      <c r="UHF96" s="15"/>
      <c r="UHG96" s="15"/>
      <c r="UHH96" s="15"/>
      <c r="UHI96" s="15"/>
      <c r="UHJ96" s="15"/>
      <c r="UHK96" s="15"/>
      <c r="UHL96" s="15"/>
      <c r="UHM96" s="15"/>
      <c r="UHN96" s="15"/>
      <c r="UHO96" s="15"/>
      <c r="UHP96" s="15"/>
      <c r="UHQ96" s="15"/>
      <c r="UHR96" s="15"/>
      <c r="UHS96" s="15"/>
      <c r="UHT96" s="15"/>
      <c r="UHU96" s="15"/>
      <c r="UHV96" s="15"/>
      <c r="UHW96" s="15"/>
      <c r="UHX96" s="15"/>
      <c r="UHY96" s="15"/>
      <c r="UHZ96" s="15"/>
      <c r="UIA96" s="15"/>
      <c r="UIB96" s="15"/>
      <c r="UIC96" s="15"/>
      <c r="UID96" s="15"/>
      <c r="UIE96" s="15"/>
      <c r="UIF96" s="15"/>
      <c r="UIG96" s="15"/>
      <c r="UIH96" s="15"/>
      <c r="UII96" s="15"/>
      <c r="UIJ96" s="15"/>
      <c r="UIK96" s="15"/>
      <c r="UIL96" s="15"/>
      <c r="UIM96" s="15"/>
      <c r="UIN96" s="15"/>
      <c r="UIO96" s="15"/>
      <c r="UIP96" s="15"/>
      <c r="UIQ96" s="15"/>
      <c r="UIR96" s="15"/>
      <c r="UIS96" s="15"/>
      <c r="UIT96" s="15"/>
      <c r="UIU96" s="15"/>
      <c r="UIV96" s="15"/>
      <c r="UIW96" s="15"/>
      <c r="UIX96" s="15"/>
      <c r="UIY96" s="15"/>
      <c r="UIZ96" s="15"/>
      <c r="UJA96" s="15"/>
      <c r="UJB96" s="15"/>
      <c r="UJC96" s="15"/>
      <c r="UJD96" s="15"/>
      <c r="UJE96" s="15"/>
      <c r="UJF96" s="15"/>
      <c r="UJG96" s="15"/>
      <c r="UJH96" s="15"/>
      <c r="UJI96" s="15"/>
      <c r="UJJ96" s="15"/>
      <c r="UJK96" s="15"/>
      <c r="UJL96" s="15"/>
      <c r="UJM96" s="15"/>
      <c r="UJN96" s="15"/>
      <c r="UJO96" s="15"/>
      <c r="UJP96" s="15"/>
      <c r="UJQ96" s="15"/>
      <c r="UJR96" s="15"/>
      <c r="UJS96" s="15"/>
      <c r="UJT96" s="15"/>
      <c r="UJU96" s="15"/>
      <c r="UJV96" s="15"/>
      <c r="UJW96" s="15"/>
      <c r="UJX96" s="15"/>
      <c r="UJY96" s="15"/>
      <c r="UJZ96" s="15"/>
      <c r="UKA96" s="15"/>
      <c r="UKB96" s="15"/>
      <c r="UKC96" s="15"/>
      <c r="UKD96" s="15"/>
      <c r="UKE96" s="15"/>
      <c r="UKF96" s="15"/>
      <c r="UKG96" s="15"/>
      <c r="UKH96" s="15"/>
      <c r="UKI96" s="15"/>
      <c r="UKJ96" s="15"/>
      <c r="UKK96" s="15"/>
      <c r="UKL96" s="15"/>
      <c r="UKM96" s="15"/>
      <c r="UKN96" s="15"/>
      <c r="UKO96" s="15"/>
      <c r="UKP96" s="15"/>
      <c r="UKQ96" s="15"/>
      <c r="UKR96" s="15"/>
      <c r="UKS96" s="15"/>
      <c r="UKT96" s="15"/>
      <c r="UKU96" s="15"/>
      <c r="UKV96" s="15"/>
      <c r="UKW96" s="15"/>
      <c r="UKX96" s="15"/>
      <c r="UKY96" s="15"/>
      <c r="UKZ96" s="15"/>
      <c r="ULA96" s="15"/>
      <c r="ULB96" s="15"/>
      <c r="ULC96" s="15"/>
      <c r="ULD96" s="15"/>
      <c r="ULE96" s="15"/>
      <c r="ULF96" s="15"/>
      <c r="ULG96" s="15"/>
      <c r="ULH96" s="15"/>
      <c r="ULI96" s="15"/>
      <c r="ULJ96" s="15"/>
      <c r="ULK96" s="15"/>
      <c r="ULL96" s="15"/>
      <c r="ULM96" s="15"/>
      <c r="ULN96" s="15"/>
      <c r="ULO96" s="15"/>
      <c r="ULP96" s="15"/>
      <c r="ULQ96" s="15"/>
      <c r="ULR96" s="15"/>
      <c r="ULS96" s="15"/>
      <c r="ULT96" s="15"/>
      <c r="ULU96" s="15"/>
      <c r="ULV96" s="15"/>
      <c r="ULW96" s="15"/>
      <c r="ULX96" s="15"/>
      <c r="ULY96" s="15"/>
      <c r="ULZ96" s="15"/>
      <c r="UMA96" s="15"/>
      <c r="UMB96" s="15"/>
      <c r="UMC96" s="15"/>
      <c r="UMD96" s="15"/>
      <c r="UME96" s="15"/>
      <c r="UMF96" s="15"/>
      <c r="UMG96" s="15"/>
      <c r="UMH96" s="15"/>
      <c r="UMI96" s="15"/>
      <c r="UMJ96" s="15"/>
      <c r="UMK96" s="15"/>
      <c r="UML96" s="15"/>
      <c r="UMM96" s="15"/>
      <c r="UMN96" s="15"/>
      <c r="UMO96" s="15"/>
      <c r="UMP96" s="15"/>
      <c r="UMQ96" s="15"/>
      <c r="UMR96" s="15"/>
      <c r="UMS96" s="15"/>
      <c r="UMT96" s="15"/>
      <c r="UMU96" s="15"/>
      <c r="UMV96" s="15"/>
      <c r="UMW96" s="15"/>
      <c r="UMX96" s="15"/>
      <c r="UMY96" s="15"/>
      <c r="UMZ96" s="15"/>
      <c r="UNA96" s="15"/>
      <c r="UNB96" s="15"/>
      <c r="UNC96" s="15"/>
      <c r="UND96" s="15"/>
      <c r="UNE96" s="15"/>
      <c r="UNF96" s="15"/>
      <c r="UNG96" s="15"/>
      <c r="UNH96" s="15"/>
      <c r="UNI96" s="15"/>
      <c r="UNJ96" s="15"/>
      <c r="UNK96" s="15"/>
      <c r="UNL96" s="15"/>
      <c r="UNM96" s="15"/>
      <c r="UNN96" s="15"/>
      <c r="UNO96" s="15"/>
      <c r="UNP96" s="15"/>
      <c r="UNQ96" s="15"/>
      <c r="UNR96" s="15"/>
      <c r="UNS96" s="15"/>
      <c r="UNT96" s="15"/>
      <c r="UNU96" s="15"/>
      <c r="UNV96" s="15"/>
      <c r="UNW96" s="15"/>
      <c r="UNX96" s="15"/>
      <c r="UNY96" s="15"/>
      <c r="UNZ96" s="15"/>
      <c r="UOA96" s="15"/>
      <c r="UOB96" s="15"/>
      <c r="UOC96" s="15"/>
      <c r="UOD96" s="15"/>
      <c r="UOE96" s="15"/>
      <c r="UOF96" s="15"/>
      <c r="UOG96" s="15"/>
      <c r="UOH96" s="15"/>
      <c r="UOI96" s="15"/>
      <c r="UOJ96" s="15"/>
      <c r="UOK96" s="15"/>
      <c r="UOL96" s="15"/>
      <c r="UOM96" s="15"/>
      <c r="UON96" s="15"/>
      <c r="UOO96" s="15"/>
      <c r="UOP96" s="15"/>
      <c r="UOQ96" s="15"/>
      <c r="UOR96" s="15"/>
      <c r="UOS96" s="15"/>
      <c r="UOT96" s="15"/>
      <c r="UOU96" s="15"/>
      <c r="UOV96" s="15"/>
      <c r="UOW96" s="15"/>
      <c r="UOX96" s="15"/>
      <c r="UOY96" s="15"/>
      <c r="UOZ96" s="15"/>
      <c r="UPA96" s="15"/>
      <c r="UPB96" s="15"/>
      <c r="UPC96" s="15"/>
      <c r="UPD96" s="15"/>
      <c r="UPE96" s="15"/>
      <c r="UPF96" s="15"/>
      <c r="UPG96" s="15"/>
      <c r="UPH96" s="15"/>
      <c r="UPI96" s="15"/>
      <c r="UPJ96" s="15"/>
      <c r="UPK96" s="15"/>
      <c r="UPL96" s="15"/>
      <c r="UPM96" s="15"/>
      <c r="UPN96" s="15"/>
      <c r="UPO96" s="15"/>
      <c r="UPP96" s="15"/>
      <c r="UPQ96" s="15"/>
      <c r="UPR96" s="15"/>
      <c r="UPS96" s="15"/>
      <c r="UPT96" s="15"/>
      <c r="UPU96" s="15"/>
      <c r="UPV96" s="15"/>
      <c r="UPW96" s="15"/>
      <c r="UPX96" s="15"/>
      <c r="UPY96" s="15"/>
      <c r="UPZ96" s="15"/>
      <c r="UQA96" s="15"/>
      <c r="UQB96" s="15"/>
      <c r="UQC96" s="15"/>
      <c r="UQD96" s="15"/>
      <c r="UQE96" s="15"/>
      <c r="UQF96" s="15"/>
      <c r="UQG96" s="15"/>
      <c r="UQH96" s="15"/>
      <c r="UQI96" s="15"/>
      <c r="UQJ96" s="15"/>
      <c r="UQK96" s="15"/>
      <c r="UQL96" s="15"/>
      <c r="UQM96" s="15"/>
      <c r="UQN96" s="15"/>
      <c r="UQO96" s="15"/>
      <c r="UQP96" s="15"/>
      <c r="UQQ96" s="15"/>
      <c r="UQR96" s="15"/>
      <c r="UQS96" s="15"/>
      <c r="UQT96" s="15"/>
      <c r="UQU96" s="15"/>
      <c r="UQV96" s="15"/>
      <c r="UQW96" s="15"/>
      <c r="UQX96" s="15"/>
      <c r="UQY96" s="15"/>
      <c r="UQZ96" s="15"/>
      <c r="URA96" s="15"/>
      <c r="URB96" s="15"/>
      <c r="URC96" s="15"/>
      <c r="URD96" s="15"/>
      <c r="URE96" s="15"/>
      <c r="URF96" s="15"/>
      <c r="URG96" s="15"/>
      <c r="URH96" s="15"/>
      <c r="URI96" s="15"/>
      <c r="URJ96" s="15"/>
      <c r="URK96" s="15"/>
      <c r="URL96" s="15"/>
      <c r="URM96" s="15"/>
      <c r="URN96" s="15"/>
      <c r="URO96" s="15"/>
      <c r="URP96" s="15"/>
      <c r="URQ96" s="15"/>
      <c r="URR96" s="15"/>
      <c r="URS96" s="15"/>
      <c r="URT96" s="15"/>
      <c r="URU96" s="15"/>
      <c r="URV96" s="15"/>
      <c r="URW96" s="15"/>
      <c r="URX96" s="15"/>
      <c r="URY96" s="15"/>
      <c r="URZ96" s="15"/>
      <c r="USA96" s="15"/>
      <c r="USB96" s="15"/>
      <c r="USC96" s="15"/>
      <c r="USD96" s="15"/>
      <c r="USE96" s="15"/>
      <c r="USF96" s="15"/>
      <c r="USG96" s="15"/>
      <c r="USH96" s="15"/>
      <c r="USI96" s="15"/>
      <c r="USJ96" s="15"/>
      <c r="USK96" s="15"/>
      <c r="USL96" s="15"/>
      <c r="USM96" s="15"/>
      <c r="USN96" s="15"/>
      <c r="USO96" s="15"/>
      <c r="USP96" s="15"/>
      <c r="USQ96" s="15"/>
      <c r="USR96" s="15"/>
      <c r="USS96" s="15"/>
      <c r="UST96" s="15"/>
      <c r="USU96" s="15"/>
      <c r="USV96" s="15"/>
      <c r="USW96" s="15"/>
      <c r="USX96" s="15"/>
      <c r="USY96" s="15"/>
      <c r="USZ96" s="15"/>
      <c r="UTA96" s="15"/>
      <c r="UTB96" s="15"/>
      <c r="UTC96" s="15"/>
      <c r="UTD96" s="15"/>
      <c r="UTE96" s="15"/>
      <c r="UTF96" s="15"/>
      <c r="UTG96" s="15"/>
      <c r="UTH96" s="15"/>
      <c r="UTI96" s="15"/>
      <c r="UTJ96" s="15"/>
      <c r="UTK96" s="15"/>
      <c r="UTL96" s="15"/>
      <c r="UTM96" s="15"/>
      <c r="UTN96" s="15"/>
      <c r="UTO96" s="15"/>
      <c r="UTP96" s="15"/>
      <c r="UTQ96" s="15"/>
      <c r="UTR96" s="15"/>
      <c r="UTS96" s="15"/>
      <c r="UTT96" s="15"/>
      <c r="UTU96" s="15"/>
      <c r="UTV96" s="15"/>
      <c r="UTW96" s="15"/>
      <c r="UTX96" s="15"/>
      <c r="UTY96" s="15"/>
      <c r="UTZ96" s="15"/>
      <c r="UUA96" s="15"/>
      <c r="UUB96" s="15"/>
      <c r="UUC96" s="15"/>
      <c r="UUD96" s="15"/>
      <c r="UUE96" s="15"/>
      <c r="UUF96" s="15"/>
      <c r="UUG96" s="15"/>
      <c r="UUH96" s="15"/>
      <c r="UUI96" s="15"/>
      <c r="UUJ96" s="15"/>
      <c r="UUK96" s="15"/>
      <c r="UUL96" s="15"/>
      <c r="UUM96" s="15"/>
      <c r="UUN96" s="15"/>
      <c r="UUO96" s="15"/>
      <c r="UUP96" s="15"/>
      <c r="UUQ96" s="15"/>
      <c r="UUR96" s="15"/>
      <c r="UUS96" s="15"/>
      <c r="UUT96" s="15"/>
      <c r="UUU96" s="15"/>
      <c r="UUV96" s="15"/>
      <c r="UUW96" s="15"/>
      <c r="UUX96" s="15"/>
      <c r="UUY96" s="15"/>
      <c r="UUZ96" s="15"/>
      <c r="UVA96" s="15"/>
      <c r="UVB96" s="15"/>
      <c r="UVC96" s="15"/>
      <c r="UVD96" s="15"/>
      <c r="UVE96" s="15"/>
      <c r="UVF96" s="15"/>
      <c r="UVG96" s="15"/>
      <c r="UVH96" s="15"/>
      <c r="UVI96" s="15"/>
      <c r="UVJ96" s="15"/>
      <c r="UVK96" s="15"/>
      <c r="UVL96" s="15"/>
      <c r="UVM96" s="15"/>
      <c r="UVN96" s="15"/>
      <c r="UVO96" s="15"/>
      <c r="UVP96" s="15"/>
      <c r="UVQ96" s="15"/>
      <c r="UVR96" s="15"/>
      <c r="UVS96" s="15"/>
      <c r="UVT96" s="15"/>
      <c r="UVU96" s="15"/>
      <c r="UVV96" s="15"/>
      <c r="UVW96" s="15"/>
      <c r="UVX96" s="15"/>
      <c r="UVY96" s="15"/>
      <c r="UVZ96" s="15"/>
      <c r="UWA96" s="15"/>
      <c r="UWB96" s="15"/>
      <c r="UWC96" s="15"/>
      <c r="UWD96" s="15"/>
      <c r="UWE96" s="15"/>
      <c r="UWF96" s="15"/>
      <c r="UWG96" s="15"/>
      <c r="UWH96" s="15"/>
      <c r="UWI96" s="15"/>
      <c r="UWJ96" s="15"/>
      <c r="UWK96" s="15"/>
      <c r="UWL96" s="15"/>
      <c r="UWM96" s="15"/>
      <c r="UWN96" s="15"/>
      <c r="UWO96" s="15"/>
      <c r="UWP96" s="15"/>
      <c r="UWQ96" s="15"/>
      <c r="UWR96" s="15"/>
      <c r="UWS96" s="15"/>
      <c r="UWT96" s="15"/>
      <c r="UWU96" s="15"/>
      <c r="UWV96" s="15"/>
      <c r="UWW96" s="15"/>
      <c r="UWX96" s="15"/>
      <c r="UWY96" s="15"/>
      <c r="UWZ96" s="15"/>
      <c r="UXA96" s="15"/>
      <c r="UXB96" s="15"/>
      <c r="UXC96" s="15"/>
      <c r="UXD96" s="15"/>
      <c r="UXE96" s="15"/>
      <c r="UXF96" s="15"/>
      <c r="UXG96" s="15"/>
      <c r="UXH96" s="15"/>
      <c r="UXI96" s="15"/>
      <c r="UXJ96" s="15"/>
      <c r="UXK96" s="15"/>
      <c r="UXL96" s="15"/>
      <c r="UXM96" s="15"/>
      <c r="UXN96" s="15"/>
      <c r="UXO96" s="15"/>
      <c r="UXP96" s="15"/>
      <c r="UXQ96" s="15"/>
      <c r="UXR96" s="15"/>
      <c r="UXS96" s="15"/>
      <c r="UXT96" s="15"/>
      <c r="UXU96" s="15"/>
      <c r="UXV96" s="15"/>
      <c r="UXW96" s="15"/>
      <c r="UXX96" s="15"/>
      <c r="UXY96" s="15"/>
      <c r="UXZ96" s="15"/>
      <c r="UYA96" s="15"/>
      <c r="UYB96" s="15"/>
      <c r="UYC96" s="15"/>
      <c r="UYD96" s="15"/>
      <c r="UYE96" s="15"/>
      <c r="UYF96" s="15"/>
      <c r="UYG96" s="15"/>
      <c r="UYH96" s="15"/>
      <c r="UYI96" s="15"/>
      <c r="UYJ96" s="15"/>
      <c r="UYK96" s="15"/>
      <c r="UYL96" s="15"/>
      <c r="UYM96" s="15"/>
      <c r="UYN96" s="15"/>
      <c r="UYO96" s="15"/>
      <c r="UYP96" s="15"/>
      <c r="UYQ96" s="15"/>
      <c r="UYR96" s="15"/>
      <c r="UYS96" s="15"/>
      <c r="UYT96" s="15"/>
      <c r="UYU96" s="15"/>
      <c r="UYV96" s="15"/>
      <c r="UYW96" s="15"/>
      <c r="UYX96" s="15"/>
      <c r="UYY96" s="15"/>
      <c r="UYZ96" s="15"/>
      <c r="UZA96" s="15"/>
      <c r="UZB96" s="15"/>
      <c r="UZC96" s="15"/>
      <c r="UZD96" s="15"/>
      <c r="UZE96" s="15"/>
      <c r="UZF96" s="15"/>
      <c r="UZG96" s="15"/>
      <c r="UZH96" s="15"/>
      <c r="UZI96" s="15"/>
      <c r="UZJ96" s="15"/>
      <c r="UZK96" s="15"/>
      <c r="UZL96" s="15"/>
      <c r="UZM96" s="15"/>
      <c r="UZN96" s="15"/>
      <c r="UZO96" s="15"/>
      <c r="UZP96" s="15"/>
      <c r="UZQ96" s="15"/>
      <c r="UZR96" s="15"/>
      <c r="UZS96" s="15"/>
      <c r="UZT96" s="15"/>
      <c r="UZU96" s="15"/>
      <c r="UZV96" s="15"/>
      <c r="UZW96" s="15"/>
      <c r="UZX96" s="15"/>
      <c r="UZY96" s="15"/>
      <c r="UZZ96" s="15"/>
      <c r="VAA96" s="15"/>
      <c r="VAB96" s="15"/>
      <c r="VAC96" s="15"/>
      <c r="VAD96" s="15"/>
      <c r="VAE96" s="15"/>
      <c r="VAF96" s="15"/>
      <c r="VAG96" s="15"/>
      <c r="VAH96" s="15"/>
      <c r="VAI96" s="15"/>
      <c r="VAJ96" s="15"/>
      <c r="VAK96" s="15"/>
      <c r="VAL96" s="15"/>
      <c r="VAM96" s="15"/>
      <c r="VAN96" s="15"/>
      <c r="VAO96" s="15"/>
      <c r="VAP96" s="15"/>
      <c r="VAQ96" s="15"/>
      <c r="VAR96" s="15"/>
      <c r="VAS96" s="15"/>
      <c r="VAT96" s="15"/>
      <c r="VAU96" s="15"/>
      <c r="VAV96" s="15"/>
      <c r="VAW96" s="15"/>
      <c r="VAX96" s="15"/>
      <c r="VAY96" s="15"/>
      <c r="VAZ96" s="15"/>
      <c r="VBA96" s="15"/>
      <c r="VBB96" s="15"/>
      <c r="VBC96" s="15"/>
      <c r="VBD96" s="15"/>
      <c r="VBE96" s="15"/>
      <c r="VBF96" s="15"/>
      <c r="VBG96" s="15"/>
      <c r="VBH96" s="15"/>
      <c r="VBI96" s="15"/>
      <c r="VBJ96" s="15"/>
      <c r="VBK96" s="15"/>
      <c r="VBL96" s="15"/>
      <c r="VBM96" s="15"/>
      <c r="VBN96" s="15"/>
      <c r="VBO96" s="15"/>
      <c r="VBP96" s="15"/>
      <c r="VBQ96" s="15"/>
      <c r="VBR96" s="15"/>
      <c r="VBS96" s="15"/>
      <c r="VBT96" s="15"/>
      <c r="VBU96" s="15"/>
      <c r="VBV96" s="15"/>
      <c r="VBW96" s="15"/>
      <c r="VBX96" s="15"/>
      <c r="VBY96" s="15"/>
      <c r="VBZ96" s="15"/>
      <c r="VCA96" s="15"/>
      <c r="VCB96" s="15"/>
      <c r="VCC96" s="15"/>
      <c r="VCD96" s="15"/>
      <c r="VCE96" s="15"/>
      <c r="VCF96" s="15"/>
      <c r="VCG96" s="15"/>
      <c r="VCH96" s="15"/>
      <c r="VCI96" s="15"/>
      <c r="VCJ96" s="15"/>
      <c r="VCK96" s="15"/>
      <c r="VCL96" s="15"/>
      <c r="VCM96" s="15"/>
      <c r="VCN96" s="15"/>
      <c r="VCO96" s="15"/>
      <c r="VCP96" s="15"/>
      <c r="VCQ96" s="15"/>
      <c r="VCR96" s="15"/>
      <c r="VCS96" s="15"/>
      <c r="VCT96" s="15"/>
      <c r="VCU96" s="15"/>
      <c r="VCV96" s="15"/>
      <c r="VCW96" s="15"/>
      <c r="VCX96" s="15"/>
      <c r="VCY96" s="15"/>
      <c r="VCZ96" s="15"/>
      <c r="VDA96" s="15"/>
      <c r="VDB96" s="15"/>
      <c r="VDC96" s="15"/>
      <c r="VDD96" s="15"/>
      <c r="VDE96" s="15"/>
      <c r="VDF96" s="15"/>
      <c r="VDG96" s="15"/>
      <c r="VDH96" s="15"/>
      <c r="VDI96" s="15"/>
      <c r="VDJ96" s="15"/>
      <c r="VDK96" s="15"/>
      <c r="VDL96" s="15"/>
      <c r="VDM96" s="15"/>
      <c r="VDN96" s="15"/>
      <c r="VDO96" s="15"/>
      <c r="VDP96" s="15"/>
      <c r="VDQ96" s="15"/>
      <c r="VDR96" s="15"/>
      <c r="VDS96" s="15"/>
      <c r="VDT96" s="15"/>
      <c r="VDU96" s="15"/>
      <c r="VDV96" s="15"/>
      <c r="VDW96" s="15"/>
      <c r="VDX96" s="15"/>
      <c r="VDY96" s="15"/>
      <c r="VDZ96" s="15"/>
      <c r="VEA96" s="15"/>
      <c r="VEB96" s="15"/>
      <c r="VEC96" s="15"/>
      <c r="VED96" s="15"/>
      <c r="VEE96" s="15"/>
      <c r="VEF96" s="15"/>
      <c r="VEG96" s="15"/>
      <c r="VEH96" s="15"/>
      <c r="VEI96" s="15"/>
      <c r="VEJ96" s="15"/>
      <c r="VEK96" s="15"/>
      <c r="VEL96" s="15"/>
      <c r="VEM96" s="15"/>
      <c r="VEN96" s="15"/>
      <c r="VEO96" s="15"/>
      <c r="VEP96" s="15"/>
      <c r="VEQ96" s="15"/>
      <c r="VER96" s="15"/>
      <c r="VES96" s="15"/>
      <c r="VET96" s="15"/>
      <c r="VEU96" s="15"/>
      <c r="VEV96" s="15"/>
      <c r="VEW96" s="15"/>
      <c r="VEX96" s="15"/>
      <c r="VEY96" s="15"/>
      <c r="VEZ96" s="15"/>
      <c r="VFA96" s="15"/>
      <c r="VFB96" s="15"/>
      <c r="VFC96" s="15"/>
      <c r="VFD96" s="15"/>
      <c r="VFE96" s="15"/>
      <c r="VFF96" s="15"/>
      <c r="VFG96" s="15"/>
      <c r="VFH96" s="15"/>
      <c r="VFI96" s="15"/>
      <c r="VFJ96" s="15"/>
      <c r="VFK96" s="15"/>
      <c r="VFL96" s="15"/>
      <c r="VFM96" s="15"/>
      <c r="VFN96" s="15"/>
      <c r="VFO96" s="15"/>
      <c r="VFP96" s="15"/>
      <c r="VFQ96" s="15"/>
      <c r="VFR96" s="15"/>
      <c r="VFS96" s="15"/>
      <c r="VFT96" s="15"/>
      <c r="VFU96" s="15"/>
      <c r="VFV96" s="15"/>
      <c r="VFW96" s="15"/>
      <c r="VFX96" s="15"/>
      <c r="VFY96" s="15"/>
      <c r="VFZ96" s="15"/>
      <c r="VGA96" s="15"/>
      <c r="VGB96" s="15"/>
      <c r="VGC96" s="15"/>
      <c r="VGD96" s="15"/>
      <c r="VGE96" s="15"/>
      <c r="VGF96" s="15"/>
      <c r="VGG96" s="15"/>
      <c r="VGH96" s="15"/>
      <c r="VGI96" s="15"/>
      <c r="VGJ96" s="15"/>
      <c r="VGK96" s="15"/>
      <c r="VGL96" s="15"/>
      <c r="VGM96" s="15"/>
      <c r="VGN96" s="15"/>
      <c r="VGO96" s="15"/>
      <c r="VGP96" s="15"/>
      <c r="VGQ96" s="15"/>
      <c r="VGR96" s="15"/>
      <c r="VGS96" s="15"/>
      <c r="VGT96" s="15"/>
      <c r="VGU96" s="15"/>
      <c r="VGV96" s="15"/>
      <c r="VGW96" s="15"/>
      <c r="VGX96" s="15"/>
      <c r="VGY96" s="15"/>
      <c r="VGZ96" s="15"/>
      <c r="VHA96" s="15"/>
      <c r="VHB96" s="15"/>
      <c r="VHC96" s="15"/>
      <c r="VHD96" s="15"/>
      <c r="VHE96" s="15"/>
      <c r="VHF96" s="15"/>
      <c r="VHG96" s="15"/>
      <c r="VHH96" s="15"/>
      <c r="VHI96" s="15"/>
      <c r="VHJ96" s="15"/>
      <c r="VHK96" s="15"/>
      <c r="VHL96" s="15"/>
      <c r="VHM96" s="15"/>
      <c r="VHN96" s="15"/>
      <c r="VHO96" s="15"/>
      <c r="VHP96" s="15"/>
      <c r="VHQ96" s="15"/>
      <c r="VHR96" s="15"/>
      <c r="VHS96" s="15"/>
      <c r="VHT96" s="15"/>
      <c r="VHU96" s="15"/>
      <c r="VHV96" s="15"/>
      <c r="VHW96" s="15"/>
      <c r="VHX96" s="15"/>
      <c r="VHY96" s="15"/>
      <c r="VHZ96" s="15"/>
      <c r="VIA96" s="15"/>
      <c r="VIB96" s="15"/>
      <c r="VIC96" s="15"/>
      <c r="VID96" s="15"/>
      <c r="VIE96" s="15"/>
      <c r="VIF96" s="15"/>
      <c r="VIG96" s="15"/>
      <c r="VIH96" s="15"/>
      <c r="VII96" s="15"/>
      <c r="VIJ96" s="15"/>
      <c r="VIK96" s="15"/>
      <c r="VIL96" s="15"/>
      <c r="VIM96" s="15"/>
      <c r="VIN96" s="15"/>
      <c r="VIO96" s="15"/>
      <c r="VIP96" s="15"/>
      <c r="VIQ96" s="15"/>
      <c r="VIR96" s="15"/>
      <c r="VIS96" s="15"/>
      <c r="VIT96" s="15"/>
      <c r="VIU96" s="15"/>
      <c r="VIV96" s="15"/>
      <c r="VIW96" s="15"/>
      <c r="VIX96" s="15"/>
      <c r="VIY96" s="15"/>
      <c r="VIZ96" s="15"/>
      <c r="VJA96" s="15"/>
      <c r="VJB96" s="15"/>
      <c r="VJC96" s="15"/>
      <c r="VJD96" s="15"/>
      <c r="VJE96" s="15"/>
      <c r="VJF96" s="15"/>
      <c r="VJG96" s="15"/>
      <c r="VJH96" s="15"/>
      <c r="VJI96" s="15"/>
      <c r="VJJ96" s="15"/>
      <c r="VJK96" s="15"/>
      <c r="VJL96" s="15"/>
      <c r="VJM96" s="15"/>
      <c r="VJN96" s="15"/>
      <c r="VJO96" s="15"/>
      <c r="VJP96" s="15"/>
      <c r="VJQ96" s="15"/>
      <c r="VJR96" s="15"/>
      <c r="VJS96" s="15"/>
      <c r="VJT96" s="15"/>
      <c r="VJU96" s="15"/>
      <c r="VJV96" s="15"/>
      <c r="VJW96" s="15"/>
      <c r="VJX96" s="15"/>
      <c r="VJY96" s="15"/>
      <c r="VJZ96" s="15"/>
      <c r="VKA96" s="15"/>
      <c r="VKB96" s="15"/>
      <c r="VKC96" s="15"/>
      <c r="VKD96" s="15"/>
      <c r="VKE96" s="15"/>
      <c r="VKF96" s="15"/>
      <c r="VKG96" s="15"/>
      <c r="VKH96" s="15"/>
      <c r="VKI96" s="15"/>
      <c r="VKJ96" s="15"/>
      <c r="VKK96" s="15"/>
      <c r="VKL96" s="15"/>
      <c r="VKM96" s="15"/>
      <c r="VKN96" s="15"/>
      <c r="VKO96" s="15"/>
      <c r="VKP96" s="15"/>
      <c r="VKQ96" s="15"/>
      <c r="VKR96" s="15"/>
      <c r="VKS96" s="15"/>
      <c r="VKT96" s="15"/>
      <c r="VKU96" s="15"/>
      <c r="VKV96" s="15"/>
      <c r="VKW96" s="15"/>
      <c r="VKX96" s="15"/>
      <c r="VKY96" s="15"/>
      <c r="VKZ96" s="15"/>
      <c r="VLA96" s="15"/>
      <c r="VLB96" s="15"/>
      <c r="VLC96" s="15"/>
      <c r="VLD96" s="15"/>
      <c r="VLE96" s="15"/>
      <c r="VLF96" s="15"/>
      <c r="VLG96" s="15"/>
      <c r="VLH96" s="15"/>
      <c r="VLI96" s="15"/>
      <c r="VLJ96" s="15"/>
      <c r="VLK96" s="15"/>
      <c r="VLL96" s="15"/>
      <c r="VLM96" s="15"/>
      <c r="VLN96" s="15"/>
      <c r="VLO96" s="15"/>
      <c r="VLP96" s="15"/>
      <c r="VLQ96" s="15"/>
      <c r="VLR96" s="15"/>
      <c r="VLS96" s="15"/>
      <c r="VLT96" s="15"/>
      <c r="VLU96" s="15"/>
      <c r="VLV96" s="15"/>
      <c r="VLW96" s="15"/>
      <c r="VLX96" s="15"/>
      <c r="VLY96" s="15"/>
      <c r="VLZ96" s="15"/>
      <c r="VMA96" s="15"/>
      <c r="VMB96" s="15"/>
      <c r="VMC96" s="15"/>
      <c r="VMD96" s="15"/>
      <c r="VME96" s="15"/>
      <c r="VMF96" s="15"/>
      <c r="VMG96" s="15"/>
      <c r="VMH96" s="15"/>
      <c r="VMI96" s="15"/>
      <c r="VMJ96" s="15"/>
      <c r="VMK96" s="15"/>
      <c r="VML96" s="15"/>
      <c r="VMM96" s="15"/>
      <c r="VMN96" s="15"/>
      <c r="VMO96" s="15"/>
      <c r="VMP96" s="15"/>
      <c r="VMQ96" s="15"/>
      <c r="VMR96" s="15"/>
      <c r="VMS96" s="15"/>
      <c r="VMT96" s="15"/>
      <c r="VMU96" s="15"/>
      <c r="VMV96" s="15"/>
      <c r="VMW96" s="15"/>
      <c r="VMX96" s="15"/>
      <c r="VMY96" s="15"/>
      <c r="VMZ96" s="15"/>
      <c r="VNA96" s="15"/>
      <c r="VNB96" s="15"/>
      <c r="VNC96" s="15"/>
      <c r="VND96" s="15"/>
      <c r="VNE96" s="15"/>
      <c r="VNF96" s="15"/>
      <c r="VNG96" s="15"/>
      <c r="VNH96" s="15"/>
      <c r="VNI96" s="15"/>
      <c r="VNJ96" s="15"/>
      <c r="VNK96" s="15"/>
      <c r="VNL96" s="15"/>
      <c r="VNM96" s="15"/>
      <c r="VNN96" s="15"/>
      <c r="VNO96" s="15"/>
      <c r="VNP96" s="15"/>
      <c r="VNQ96" s="15"/>
      <c r="VNR96" s="15"/>
      <c r="VNS96" s="15"/>
      <c r="VNT96" s="15"/>
      <c r="VNU96" s="15"/>
      <c r="VNV96" s="15"/>
      <c r="VNW96" s="15"/>
      <c r="VNX96" s="15"/>
      <c r="VNY96" s="15"/>
      <c r="VNZ96" s="15"/>
      <c r="VOA96" s="15"/>
      <c r="VOB96" s="15"/>
      <c r="VOC96" s="15"/>
      <c r="VOD96" s="15"/>
      <c r="VOE96" s="15"/>
      <c r="VOF96" s="15"/>
      <c r="VOG96" s="15"/>
      <c r="VOH96" s="15"/>
      <c r="VOI96" s="15"/>
      <c r="VOJ96" s="15"/>
      <c r="VOK96" s="15"/>
      <c r="VOL96" s="15"/>
      <c r="VOM96" s="15"/>
      <c r="VON96" s="15"/>
      <c r="VOO96" s="15"/>
      <c r="VOP96" s="15"/>
      <c r="VOQ96" s="15"/>
      <c r="VOR96" s="15"/>
      <c r="VOS96" s="15"/>
      <c r="VOT96" s="15"/>
      <c r="VOU96" s="15"/>
      <c r="VOV96" s="15"/>
      <c r="VOW96" s="15"/>
      <c r="VOX96" s="15"/>
      <c r="VOY96" s="15"/>
      <c r="VOZ96" s="15"/>
      <c r="VPA96" s="15"/>
      <c r="VPB96" s="15"/>
      <c r="VPC96" s="15"/>
      <c r="VPD96" s="15"/>
      <c r="VPE96" s="15"/>
      <c r="VPF96" s="15"/>
      <c r="VPG96" s="15"/>
      <c r="VPH96" s="15"/>
      <c r="VPI96" s="15"/>
      <c r="VPJ96" s="15"/>
      <c r="VPK96" s="15"/>
      <c r="VPL96" s="15"/>
      <c r="VPM96" s="15"/>
      <c r="VPN96" s="15"/>
      <c r="VPO96" s="15"/>
      <c r="VPP96" s="15"/>
      <c r="VPQ96" s="15"/>
      <c r="VPR96" s="15"/>
      <c r="VPS96" s="15"/>
      <c r="VPT96" s="15"/>
      <c r="VPU96" s="15"/>
      <c r="VPV96" s="15"/>
      <c r="VPW96" s="15"/>
      <c r="VPX96" s="15"/>
      <c r="VPY96" s="15"/>
      <c r="VPZ96" s="15"/>
      <c r="VQA96" s="15"/>
      <c r="VQB96" s="15"/>
      <c r="VQC96" s="15"/>
      <c r="VQD96" s="15"/>
      <c r="VQE96" s="15"/>
      <c r="VQF96" s="15"/>
      <c r="VQG96" s="15"/>
      <c r="VQH96" s="15"/>
      <c r="VQI96" s="15"/>
      <c r="VQJ96" s="15"/>
      <c r="VQK96" s="15"/>
      <c r="VQL96" s="15"/>
      <c r="VQM96" s="15"/>
      <c r="VQN96" s="15"/>
      <c r="VQO96" s="15"/>
      <c r="VQP96" s="15"/>
      <c r="VQQ96" s="15"/>
      <c r="VQR96" s="15"/>
      <c r="VQS96" s="15"/>
      <c r="VQT96" s="15"/>
      <c r="VQU96" s="15"/>
      <c r="VQV96" s="15"/>
      <c r="VQW96" s="15"/>
      <c r="VQX96" s="15"/>
      <c r="VQY96" s="15"/>
      <c r="VQZ96" s="15"/>
      <c r="VRA96" s="15"/>
      <c r="VRB96" s="15"/>
      <c r="VRC96" s="15"/>
      <c r="VRD96" s="15"/>
      <c r="VRE96" s="15"/>
      <c r="VRF96" s="15"/>
      <c r="VRG96" s="15"/>
      <c r="VRH96" s="15"/>
      <c r="VRI96" s="15"/>
      <c r="VRJ96" s="15"/>
      <c r="VRK96" s="15"/>
      <c r="VRL96" s="15"/>
      <c r="VRM96" s="15"/>
      <c r="VRN96" s="15"/>
      <c r="VRO96" s="15"/>
      <c r="VRP96" s="15"/>
      <c r="VRQ96" s="15"/>
      <c r="VRR96" s="15"/>
      <c r="VRS96" s="15"/>
      <c r="VRT96" s="15"/>
      <c r="VRU96" s="15"/>
      <c r="VRV96" s="15"/>
      <c r="VRW96" s="15"/>
      <c r="VRX96" s="15"/>
      <c r="VRY96" s="15"/>
      <c r="VRZ96" s="15"/>
      <c r="VSA96" s="15"/>
      <c r="VSB96" s="15"/>
      <c r="VSC96" s="15"/>
      <c r="VSD96" s="15"/>
      <c r="VSE96" s="15"/>
      <c r="VSF96" s="15"/>
      <c r="VSG96" s="15"/>
      <c r="VSH96" s="15"/>
      <c r="VSI96" s="15"/>
      <c r="VSJ96" s="15"/>
      <c r="VSK96" s="15"/>
      <c r="VSL96" s="15"/>
      <c r="VSM96" s="15"/>
      <c r="VSN96" s="15"/>
      <c r="VSO96" s="15"/>
      <c r="VSP96" s="15"/>
      <c r="VSQ96" s="15"/>
      <c r="VSR96" s="15"/>
      <c r="VSS96" s="15"/>
      <c r="VST96" s="15"/>
      <c r="VSU96" s="15"/>
      <c r="VSV96" s="15"/>
      <c r="VSW96" s="15"/>
      <c r="VSX96" s="15"/>
      <c r="VSY96" s="15"/>
      <c r="VSZ96" s="15"/>
      <c r="VTA96" s="15"/>
      <c r="VTB96" s="15"/>
      <c r="VTC96" s="15"/>
      <c r="VTD96" s="15"/>
      <c r="VTE96" s="15"/>
      <c r="VTF96" s="15"/>
      <c r="VTG96" s="15"/>
      <c r="VTH96" s="15"/>
      <c r="VTI96" s="15"/>
      <c r="VTJ96" s="15"/>
      <c r="VTK96" s="15"/>
      <c r="VTL96" s="15"/>
      <c r="VTM96" s="15"/>
      <c r="VTN96" s="15"/>
      <c r="VTO96" s="15"/>
      <c r="VTP96" s="15"/>
      <c r="VTQ96" s="15"/>
      <c r="VTR96" s="15"/>
      <c r="VTS96" s="15"/>
      <c r="VTT96" s="15"/>
      <c r="VTU96" s="15"/>
      <c r="VTV96" s="15"/>
      <c r="VTW96" s="15"/>
      <c r="VTX96" s="15"/>
      <c r="VTY96" s="15"/>
      <c r="VTZ96" s="15"/>
      <c r="VUA96" s="15"/>
      <c r="VUB96" s="15"/>
      <c r="VUC96" s="15"/>
      <c r="VUD96" s="15"/>
      <c r="VUE96" s="15"/>
      <c r="VUF96" s="15"/>
      <c r="VUG96" s="15"/>
      <c r="VUH96" s="15"/>
      <c r="VUI96" s="15"/>
      <c r="VUJ96" s="15"/>
      <c r="VUK96" s="15"/>
      <c r="VUL96" s="15"/>
      <c r="VUM96" s="15"/>
      <c r="VUN96" s="15"/>
      <c r="VUO96" s="15"/>
      <c r="VUP96" s="15"/>
      <c r="VUQ96" s="15"/>
      <c r="VUR96" s="15"/>
      <c r="VUS96" s="15"/>
      <c r="VUT96" s="15"/>
      <c r="VUU96" s="15"/>
      <c r="VUV96" s="15"/>
      <c r="VUW96" s="15"/>
      <c r="VUX96" s="15"/>
      <c r="VUY96" s="15"/>
      <c r="VUZ96" s="15"/>
      <c r="VVA96" s="15"/>
      <c r="VVB96" s="15"/>
      <c r="VVC96" s="15"/>
      <c r="VVD96" s="15"/>
      <c r="VVE96" s="15"/>
      <c r="VVF96" s="15"/>
      <c r="VVG96" s="15"/>
      <c r="VVH96" s="15"/>
      <c r="VVI96" s="15"/>
      <c r="VVJ96" s="15"/>
      <c r="VVK96" s="15"/>
      <c r="VVL96" s="15"/>
      <c r="VVM96" s="15"/>
      <c r="VVN96" s="15"/>
      <c r="VVO96" s="15"/>
      <c r="VVP96" s="15"/>
      <c r="VVQ96" s="15"/>
      <c r="VVR96" s="15"/>
      <c r="VVS96" s="15"/>
      <c r="VVT96" s="15"/>
      <c r="VVU96" s="15"/>
      <c r="VVV96" s="15"/>
      <c r="VVW96" s="15"/>
      <c r="VVX96" s="15"/>
      <c r="VVY96" s="15"/>
      <c r="VVZ96" s="15"/>
      <c r="VWA96" s="15"/>
      <c r="VWB96" s="15"/>
      <c r="VWC96" s="15"/>
      <c r="VWD96" s="15"/>
      <c r="VWE96" s="15"/>
      <c r="VWF96" s="15"/>
      <c r="VWG96" s="15"/>
      <c r="VWH96" s="15"/>
      <c r="VWI96" s="15"/>
      <c r="VWJ96" s="15"/>
      <c r="VWK96" s="15"/>
      <c r="VWL96" s="15"/>
      <c r="VWM96" s="15"/>
      <c r="VWN96" s="15"/>
      <c r="VWO96" s="15"/>
      <c r="VWP96" s="15"/>
      <c r="VWQ96" s="15"/>
      <c r="VWR96" s="15"/>
      <c r="VWS96" s="15"/>
      <c r="VWT96" s="15"/>
      <c r="VWU96" s="15"/>
      <c r="VWV96" s="15"/>
      <c r="VWW96" s="15"/>
      <c r="VWX96" s="15"/>
      <c r="VWY96" s="15"/>
      <c r="VWZ96" s="15"/>
      <c r="VXA96" s="15"/>
      <c r="VXB96" s="15"/>
      <c r="VXC96" s="15"/>
      <c r="VXD96" s="15"/>
      <c r="VXE96" s="15"/>
      <c r="VXF96" s="15"/>
      <c r="VXG96" s="15"/>
      <c r="VXH96" s="15"/>
      <c r="VXI96" s="15"/>
      <c r="VXJ96" s="15"/>
      <c r="VXK96" s="15"/>
      <c r="VXL96" s="15"/>
      <c r="VXM96" s="15"/>
      <c r="VXN96" s="15"/>
      <c r="VXO96" s="15"/>
      <c r="VXP96" s="15"/>
      <c r="VXQ96" s="15"/>
      <c r="VXR96" s="15"/>
      <c r="VXS96" s="15"/>
      <c r="VXT96" s="15"/>
      <c r="VXU96" s="15"/>
      <c r="VXV96" s="15"/>
      <c r="VXW96" s="15"/>
      <c r="VXX96" s="15"/>
      <c r="VXY96" s="15"/>
      <c r="VXZ96" s="15"/>
      <c r="VYA96" s="15"/>
      <c r="VYB96" s="15"/>
      <c r="VYC96" s="15"/>
      <c r="VYD96" s="15"/>
      <c r="VYE96" s="15"/>
      <c r="VYF96" s="15"/>
      <c r="VYG96" s="15"/>
      <c r="VYH96" s="15"/>
      <c r="VYI96" s="15"/>
      <c r="VYJ96" s="15"/>
      <c r="VYK96" s="15"/>
      <c r="VYL96" s="15"/>
      <c r="VYM96" s="15"/>
      <c r="VYN96" s="15"/>
      <c r="VYO96" s="15"/>
      <c r="VYP96" s="15"/>
      <c r="VYQ96" s="15"/>
      <c r="VYR96" s="15"/>
      <c r="VYS96" s="15"/>
      <c r="VYT96" s="15"/>
      <c r="VYU96" s="15"/>
      <c r="VYV96" s="15"/>
      <c r="VYW96" s="15"/>
      <c r="VYX96" s="15"/>
      <c r="VYY96" s="15"/>
      <c r="VYZ96" s="15"/>
      <c r="VZA96" s="15"/>
      <c r="VZB96" s="15"/>
      <c r="VZC96" s="15"/>
      <c r="VZD96" s="15"/>
      <c r="VZE96" s="15"/>
      <c r="VZF96" s="15"/>
      <c r="VZG96" s="15"/>
      <c r="VZH96" s="15"/>
      <c r="VZI96" s="15"/>
      <c r="VZJ96" s="15"/>
      <c r="VZK96" s="15"/>
      <c r="VZL96" s="15"/>
      <c r="VZM96" s="15"/>
      <c r="VZN96" s="15"/>
      <c r="VZO96" s="15"/>
      <c r="VZP96" s="15"/>
      <c r="VZQ96" s="15"/>
      <c r="VZR96" s="15"/>
      <c r="VZS96" s="15"/>
      <c r="VZT96" s="15"/>
      <c r="VZU96" s="15"/>
      <c r="VZV96" s="15"/>
      <c r="VZW96" s="15"/>
      <c r="VZX96" s="15"/>
      <c r="VZY96" s="15"/>
      <c r="VZZ96" s="15"/>
      <c r="WAA96" s="15"/>
      <c r="WAB96" s="15"/>
      <c r="WAC96" s="15"/>
      <c r="WAD96" s="15"/>
      <c r="WAE96" s="15"/>
      <c r="WAF96" s="15"/>
      <c r="WAG96" s="15"/>
      <c r="WAH96" s="15"/>
      <c r="WAI96" s="15"/>
      <c r="WAJ96" s="15"/>
      <c r="WAK96" s="15"/>
      <c r="WAL96" s="15"/>
      <c r="WAM96" s="15"/>
      <c r="WAN96" s="15"/>
      <c r="WAO96" s="15"/>
      <c r="WAP96" s="15"/>
      <c r="WAQ96" s="15"/>
      <c r="WAR96" s="15"/>
      <c r="WAS96" s="15"/>
      <c r="WAT96" s="15"/>
      <c r="WAU96" s="15"/>
      <c r="WAV96" s="15"/>
      <c r="WAW96" s="15"/>
      <c r="WAX96" s="15"/>
      <c r="WAY96" s="15"/>
      <c r="WAZ96" s="15"/>
      <c r="WBA96" s="15"/>
      <c r="WBB96" s="15"/>
      <c r="WBC96" s="15"/>
      <c r="WBD96" s="15"/>
      <c r="WBE96" s="15"/>
      <c r="WBF96" s="15"/>
      <c r="WBG96" s="15"/>
      <c r="WBH96" s="15"/>
      <c r="WBI96" s="15"/>
      <c r="WBJ96" s="15"/>
      <c r="WBK96" s="15"/>
      <c r="WBL96" s="15"/>
      <c r="WBM96" s="15"/>
      <c r="WBN96" s="15"/>
      <c r="WBO96" s="15"/>
      <c r="WBP96" s="15"/>
      <c r="WBQ96" s="15"/>
      <c r="WBR96" s="15"/>
      <c r="WBS96" s="15"/>
      <c r="WBT96" s="15"/>
      <c r="WBU96" s="15"/>
      <c r="WBV96" s="15"/>
      <c r="WBW96" s="15"/>
      <c r="WBX96" s="15"/>
      <c r="WBY96" s="15"/>
      <c r="WBZ96" s="15"/>
      <c r="WCA96" s="15"/>
      <c r="WCB96" s="15"/>
      <c r="WCC96" s="15"/>
      <c r="WCD96" s="15"/>
      <c r="WCE96" s="15"/>
      <c r="WCF96" s="15"/>
      <c r="WCG96" s="15"/>
      <c r="WCH96" s="15"/>
      <c r="WCI96" s="15"/>
      <c r="WCJ96" s="15"/>
      <c r="WCK96" s="15"/>
      <c r="WCL96" s="15"/>
      <c r="WCM96" s="15"/>
      <c r="WCN96" s="15"/>
      <c r="WCO96" s="15"/>
      <c r="WCP96" s="15"/>
      <c r="WCQ96" s="15"/>
      <c r="WCR96" s="15"/>
      <c r="WCS96" s="15"/>
      <c r="WCT96" s="15"/>
      <c r="WCU96" s="15"/>
      <c r="WCV96" s="15"/>
      <c r="WCW96" s="15"/>
      <c r="WCX96" s="15"/>
      <c r="WCY96" s="15"/>
      <c r="WCZ96" s="15"/>
      <c r="WDA96" s="15"/>
      <c r="WDB96" s="15"/>
      <c r="WDC96" s="15"/>
      <c r="WDD96" s="15"/>
      <c r="WDE96" s="15"/>
      <c r="WDF96" s="15"/>
      <c r="WDG96" s="15"/>
      <c r="WDH96" s="15"/>
      <c r="WDI96" s="15"/>
      <c r="WDJ96" s="15"/>
      <c r="WDK96" s="15"/>
      <c r="WDL96" s="15"/>
      <c r="WDM96" s="15"/>
      <c r="WDN96" s="15"/>
      <c r="WDO96" s="15"/>
      <c r="WDP96" s="15"/>
      <c r="WDQ96" s="15"/>
      <c r="WDR96" s="15"/>
      <c r="WDS96" s="15"/>
      <c r="WDT96" s="15"/>
      <c r="WDU96" s="15"/>
      <c r="WDV96" s="15"/>
      <c r="WDW96" s="15"/>
      <c r="WDX96" s="15"/>
      <c r="WDY96" s="15"/>
      <c r="WDZ96" s="15"/>
      <c r="WEA96" s="15"/>
      <c r="WEB96" s="15"/>
      <c r="WEC96" s="15"/>
      <c r="WED96" s="15"/>
      <c r="WEE96" s="15"/>
      <c r="WEF96" s="15"/>
      <c r="WEG96" s="15"/>
      <c r="WEH96" s="15"/>
      <c r="WEI96" s="15"/>
      <c r="WEJ96" s="15"/>
      <c r="WEK96" s="15"/>
      <c r="WEL96" s="15"/>
      <c r="WEM96" s="15"/>
      <c r="WEN96" s="15"/>
      <c r="WEO96" s="15"/>
      <c r="WEP96" s="15"/>
      <c r="WEQ96" s="15"/>
      <c r="WER96" s="15"/>
      <c r="WES96" s="15"/>
      <c r="WET96" s="15"/>
      <c r="WEU96" s="15"/>
      <c r="WEV96" s="15"/>
      <c r="WEW96" s="15"/>
      <c r="WEX96" s="15"/>
      <c r="WEY96" s="15"/>
      <c r="WEZ96" s="15"/>
      <c r="WFA96" s="15"/>
      <c r="WFB96" s="15"/>
      <c r="WFC96" s="15"/>
      <c r="WFD96" s="15"/>
      <c r="WFE96" s="15"/>
      <c r="WFF96" s="15"/>
      <c r="WFG96" s="15"/>
      <c r="WFH96" s="15"/>
      <c r="WFI96" s="15"/>
      <c r="WFJ96" s="15"/>
      <c r="WFK96" s="15"/>
      <c r="WFL96" s="15"/>
      <c r="WFM96" s="15"/>
      <c r="WFN96" s="15"/>
      <c r="WFO96" s="15"/>
      <c r="WFP96" s="15"/>
      <c r="WFQ96" s="15"/>
      <c r="WFR96" s="15"/>
      <c r="WFS96" s="15"/>
      <c r="WFT96" s="15"/>
      <c r="WFU96" s="15"/>
      <c r="WFV96" s="15"/>
      <c r="WFW96" s="15"/>
      <c r="WFX96" s="15"/>
      <c r="WFY96" s="15"/>
      <c r="WFZ96" s="15"/>
      <c r="WGA96" s="15"/>
      <c r="WGB96" s="15"/>
      <c r="WGC96" s="15"/>
      <c r="WGD96" s="15"/>
      <c r="WGE96" s="15"/>
      <c r="WGF96" s="15"/>
      <c r="WGG96" s="15"/>
      <c r="WGH96" s="15"/>
      <c r="WGI96" s="15"/>
      <c r="WGJ96" s="15"/>
      <c r="WGK96" s="15"/>
      <c r="WGL96" s="15"/>
      <c r="WGM96" s="15"/>
      <c r="WGN96" s="15"/>
      <c r="WGO96" s="15"/>
      <c r="WGP96" s="15"/>
      <c r="WGQ96" s="15"/>
      <c r="WGR96" s="15"/>
      <c r="WGS96" s="15"/>
      <c r="WGT96" s="15"/>
      <c r="WGU96" s="15"/>
      <c r="WGV96" s="15"/>
      <c r="WGW96" s="15"/>
      <c r="WGX96" s="15"/>
      <c r="WGY96" s="15"/>
      <c r="WGZ96" s="15"/>
      <c r="WHA96" s="15"/>
      <c r="WHB96" s="15"/>
      <c r="WHC96" s="15"/>
      <c r="WHD96" s="15"/>
      <c r="WHE96" s="15"/>
      <c r="WHF96" s="15"/>
      <c r="WHG96" s="15"/>
      <c r="WHH96" s="15"/>
      <c r="WHI96" s="15"/>
      <c r="WHJ96" s="15"/>
      <c r="WHK96" s="15"/>
      <c r="WHL96" s="15"/>
      <c r="WHM96" s="15"/>
      <c r="WHN96" s="15"/>
      <c r="WHO96" s="15"/>
      <c r="WHP96" s="15"/>
      <c r="WHQ96" s="15"/>
      <c r="WHR96" s="15"/>
      <c r="WHS96" s="15"/>
      <c r="WHT96" s="15"/>
      <c r="WHU96" s="15"/>
      <c r="WHV96" s="15"/>
      <c r="WHW96" s="15"/>
      <c r="WHX96" s="15"/>
      <c r="WHY96" s="15"/>
      <c r="WHZ96" s="15"/>
      <c r="WIA96" s="15"/>
      <c r="WIB96" s="15"/>
      <c r="WIC96" s="15"/>
      <c r="WID96" s="15"/>
      <c r="WIE96" s="15"/>
      <c r="WIF96" s="15"/>
      <c r="WIG96" s="15"/>
      <c r="WIH96" s="15"/>
      <c r="WII96" s="15"/>
      <c r="WIJ96" s="15"/>
      <c r="WIK96" s="15"/>
      <c r="WIL96" s="15"/>
      <c r="WIM96" s="15"/>
      <c r="WIN96" s="15"/>
      <c r="WIO96" s="15"/>
      <c r="WIP96" s="15"/>
      <c r="WIQ96" s="15"/>
      <c r="WIR96" s="15"/>
      <c r="WIS96" s="15"/>
      <c r="WIT96" s="15"/>
      <c r="WIU96" s="15"/>
      <c r="WIV96" s="15"/>
      <c r="WIW96" s="15"/>
      <c r="WIX96" s="15"/>
      <c r="WIY96" s="15"/>
      <c r="WIZ96" s="15"/>
      <c r="WJA96" s="15"/>
      <c r="WJB96" s="15"/>
      <c r="WJC96" s="15"/>
      <c r="WJD96" s="15"/>
      <c r="WJE96" s="15"/>
      <c r="WJF96" s="15"/>
      <c r="WJG96" s="15"/>
      <c r="WJH96" s="15"/>
      <c r="WJI96" s="15"/>
      <c r="WJJ96" s="15"/>
      <c r="WJK96" s="15"/>
      <c r="WJL96" s="15"/>
      <c r="WJM96" s="15"/>
      <c r="WJN96" s="15"/>
      <c r="WJO96" s="15"/>
      <c r="WJP96" s="15"/>
      <c r="WJQ96" s="15"/>
      <c r="WJR96" s="15"/>
      <c r="WJS96" s="15"/>
      <c r="WJT96" s="15"/>
      <c r="WJU96" s="15"/>
      <c r="WJV96" s="15"/>
      <c r="WJW96" s="15"/>
      <c r="WJX96" s="15"/>
      <c r="WJY96" s="15"/>
      <c r="WJZ96" s="15"/>
      <c r="WKA96" s="15"/>
      <c r="WKB96" s="15"/>
      <c r="WKC96" s="15"/>
      <c r="WKD96" s="15"/>
      <c r="WKE96" s="15"/>
      <c r="WKF96" s="15"/>
      <c r="WKG96" s="15"/>
      <c r="WKH96" s="15"/>
      <c r="WKI96" s="15"/>
      <c r="WKJ96" s="15"/>
      <c r="WKK96" s="15"/>
      <c r="WKL96" s="15"/>
      <c r="WKM96" s="15"/>
      <c r="WKN96" s="15"/>
      <c r="WKO96" s="15"/>
      <c r="WKP96" s="15"/>
      <c r="WKQ96" s="15"/>
      <c r="WKR96" s="15"/>
      <c r="WKS96" s="15"/>
      <c r="WKT96" s="15"/>
      <c r="WKU96" s="15"/>
      <c r="WKV96" s="15"/>
      <c r="WKW96" s="15"/>
      <c r="WKX96" s="15"/>
      <c r="WKY96" s="15"/>
      <c r="WKZ96" s="15"/>
      <c r="WLA96" s="15"/>
      <c r="WLB96" s="15"/>
      <c r="WLC96" s="15"/>
      <c r="WLD96" s="15"/>
      <c r="WLE96" s="15"/>
      <c r="WLF96" s="15"/>
      <c r="WLG96" s="15"/>
      <c r="WLH96" s="15"/>
      <c r="WLI96" s="15"/>
      <c r="WLJ96" s="15"/>
      <c r="WLK96" s="15"/>
      <c r="WLL96" s="15"/>
      <c r="WLM96" s="15"/>
      <c r="WLN96" s="15"/>
      <c r="WLO96" s="15"/>
      <c r="WLP96" s="15"/>
      <c r="WLQ96" s="15"/>
      <c r="WLR96" s="15"/>
      <c r="WLS96" s="15"/>
      <c r="WLT96" s="15"/>
      <c r="WLU96" s="15"/>
      <c r="WLV96" s="15"/>
      <c r="WLW96" s="15"/>
      <c r="WLX96" s="15"/>
      <c r="WLY96" s="15"/>
      <c r="WLZ96" s="15"/>
      <c r="WMA96" s="15"/>
      <c r="WMB96" s="15"/>
      <c r="WMC96" s="15"/>
      <c r="WMD96" s="15"/>
      <c r="WME96" s="15"/>
      <c r="WMF96" s="15"/>
      <c r="WMG96" s="15"/>
      <c r="WMH96" s="15"/>
      <c r="WMI96" s="15"/>
      <c r="WMJ96" s="15"/>
      <c r="WMK96" s="15"/>
      <c r="WML96" s="15"/>
      <c r="WMM96" s="15"/>
      <c r="WMN96" s="15"/>
      <c r="WMO96" s="15"/>
      <c r="WMP96" s="15"/>
      <c r="WMQ96" s="15"/>
      <c r="WMR96" s="15"/>
      <c r="WMS96" s="15"/>
      <c r="WMT96" s="15"/>
      <c r="WMU96" s="15"/>
      <c r="WMV96" s="15"/>
      <c r="WMW96" s="15"/>
      <c r="WMX96" s="15"/>
      <c r="WMY96" s="15"/>
      <c r="WMZ96" s="15"/>
      <c r="WNA96" s="15"/>
      <c r="WNB96" s="15"/>
      <c r="WNC96" s="15"/>
      <c r="WND96" s="15"/>
      <c r="WNE96" s="15"/>
      <c r="WNF96" s="15"/>
      <c r="WNG96" s="15"/>
      <c r="WNH96" s="15"/>
      <c r="WNI96" s="15"/>
      <c r="WNJ96" s="15"/>
      <c r="WNK96" s="15"/>
      <c r="WNL96" s="15"/>
      <c r="WNM96" s="15"/>
      <c r="WNN96" s="15"/>
      <c r="WNO96" s="15"/>
      <c r="WNP96" s="15"/>
      <c r="WNQ96" s="15"/>
      <c r="WNR96" s="15"/>
      <c r="WNS96" s="15"/>
      <c r="WNT96" s="15"/>
      <c r="WNU96" s="15"/>
      <c r="WNV96" s="15"/>
      <c r="WNW96" s="15"/>
      <c r="WNX96" s="15"/>
      <c r="WNY96" s="15"/>
      <c r="WNZ96" s="15"/>
      <c r="WOA96" s="15"/>
      <c r="WOB96" s="15"/>
      <c r="WOC96" s="15"/>
      <c r="WOD96" s="15"/>
      <c r="WOE96" s="15"/>
      <c r="WOF96" s="15"/>
      <c r="WOG96" s="15"/>
      <c r="WOH96" s="15"/>
      <c r="WOI96" s="15"/>
      <c r="WOJ96" s="15"/>
      <c r="WOK96" s="15"/>
      <c r="WOL96" s="15"/>
      <c r="WOM96" s="15"/>
      <c r="WON96" s="15"/>
      <c r="WOO96" s="15"/>
      <c r="WOP96" s="15"/>
      <c r="WOQ96" s="15"/>
      <c r="WOR96" s="15"/>
      <c r="WOS96" s="15"/>
      <c r="WOT96" s="15"/>
      <c r="WOU96" s="15"/>
      <c r="WOV96" s="15"/>
      <c r="WOW96" s="15"/>
      <c r="WOX96" s="15"/>
      <c r="WOY96" s="15"/>
      <c r="WOZ96" s="15"/>
      <c r="WPA96" s="15"/>
      <c r="WPB96" s="15"/>
      <c r="WPC96" s="15"/>
      <c r="WPD96" s="15"/>
      <c r="WPE96" s="15"/>
      <c r="WPF96" s="15"/>
      <c r="WPG96" s="15"/>
      <c r="WPH96" s="15"/>
      <c r="WPI96" s="15"/>
      <c r="WPJ96" s="15"/>
      <c r="WPK96" s="15"/>
      <c r="WPL96" s="15"/>
      <c r="WPM96" s="15"/>
      <c r="WPN96" s="15"/>
      <c r="WPO96" s="15"/>
      <c r="WPP96" s="15"/>
      <c r="WPQ96" s="15"/>
      <c r="WPR96" s="15"/>
      <c r="WPS96" s="15"/>
      <c r="WPT96" s="15"/>
      <c r="WPU96" s="15"/>
      <c r="WPV96" s="15"/>
      <c r="WPW96" s="15"/>
      <c r="WPX96" s="15"/>
      <c r="WPY96" s="15"/>
      <c r="WPZ96" s="15"/>
      <c r="WQA96" s="15"/>
      <c r="WQB96" s="15"/>
      <c r="WQC96" s="15"/>
      <c r="WQD96" s="15"/>
      <c r="WQE96" s="15"/>
      <c r="WQF96" s="15"/>
      <c r="WQG96" s="15"/>
      <c r="WQH96" s="15"/>
      <c r="WQI96" s="15"/>
      <c r="WQJ96" s="15"/>
      <c r="WQK96" s="15"/>
      <c r="WQL96" s="15"/>
      <c r="WQM96" s="15"/>
      <c r="WQN96" s="15"/>
      <c r="WQO96" s="15"/>
      <c r="WQP96" s="15"/>
      <c r="WQQ96" s="15"/>
      <c r="WQR96" s="15"/>
      <c r="WQS96" s="15"/>
      <c r="WQT96" s="15"/>
      <c r="WQU96" s="15"/>
      <c r="WQV96" s="15"/>
      <c r="WQW96" s="15"/>
      <c r="WQX96" s="15"/>
      <c r="WQY96" s="15"/>
      <c r="WQZ96" s="15"/>
      <c r="WRA96" s="15"/>
      <c r="WRB96" s="15"/>
      <c r="WRC96" s="15"/>
      <c r="WRD96" s="15"/>
      <c r="WRE96" s="15"/>
      <c r="WRF96" s="15"/>
      <c r="WRG96" s="15"/>
      <c r="WRH96" s="15"/>
      <c r="WRI96" s="15"/>
      <c r="WRJ96" s="15"/>
      <c r="WRK96" s="15"/>
      <c r="WRL96" s="15"/>
      <c r="WRM96" s="15"/>
      <c r="WRN96" s="15"/>
      <c r="WRO96" s="15"/>
      <c r="WRP96" s="15"/>
      <c r="WRQ96" s="15"/>
      <c r="WRR96" s="15"/>
      <c r="WRS96" s="15"/>
      <c r="WRT96" s="15"/>
      <c r="WRU96" s="15"/>
      <c r="WRV96" s="15"/>
      <c r="WRW96" s="15"/>
      <c r="WRX96" s="15"/>
      <c r="WRY96" s="15"/>
      <c r="WRZ96" s="15"/>
      <c r="WSA96" s="15"/>
      <c r="WSB96" s="15"/>
      <c r="WSC96" s="15"/>
      <c r="WSD96" s="15"/>
      <c r="WSE96" s="15"/>
      <c r="WSF96" s="15"/>
      <c r="WSG96" s="15"/>
      <c r="WSH96" s="15"/>
      <c r="WSI96" s="15"/>
      <c r="WSJ96" s="15"/>
      <c r="WSK96" s="15"/>
      <c r="WSL96" s="15"/>
      <c r="WSM96" s="15"/>
      <c r="WSN96" s="15"/>
      <c r="WSO96" s="15"/>
      <c r="WSP96" s="15"/>
      <c r="WSQ96" s="15"/>
      <c r="WSR96" s="15"/>
      <c r="WSS96" s="15"/>
      <c r="WST96" s="15"/>
      <c r="WSU96" s="15"/>
      <c r="WSV96" s="15"/>
      <c r="WSW96" s="15"/>
      <c r="WSX96" s="15"/>
      <c r="WSY96" s="15"/>
      <c r="WSZ96" s="15"/>
      <c r="WTA96" s="15"/>
      <c r="WTB96" s="15"/>
      <c r="WTC96" s="15"/>
      <c r="WTD96" s="15"/>
      <c r="WTE96" s="15"/>
      <c r="WTF96" s="15"/>
      <c r="WTG96" s="15"/>
      <c r="WTH96" s="15"/>
      <c r="WTI96" s="15"/>
      <c r="WTJ96" s="15"/>
      <c r="WTK96" s="15"/>
      <c r="WTL96" s="15"/>
      <c r="WTM96" s="15"/>
      <c r="WTN96" s="15"/>
      <c r="WTO96" s="15"/>
      <c r="WTP96" s="15"/>
      <c r="WTQ96" s="15"/>
      <c r="WTR96" s="15"/>
      <c r="WTS96" s="15"/>
      <c r="WTT96" s="15"/>
      <c r="WTU96" s="15"/>
      <c r="WTV96" s="15"/>
      <c r="WTW96" s="15"/>
      <c r="WTX96" s="15"/>
      <c r="WTY96" s="15"/>
      <c r="WTZ96" s="15"/>
      <c r="WUA96" s="15"/>
      <c r="WUB96" s="15"/>
      <c r="WUC96" s="15"/>
      <c r="WUD96" s="15"/>
      <c r="WUE96" s="15"/>
      <c r="WUF96" s="15"/>
      <c r="WUG96" s="15"/>
      <c r="WUH96" s="15"/>
      <c r="WUI96" s="15"/>
      <c r="WUJ96" s="15"/>
      <c r="WUK96" s="15"/>
      <c r="WUL96" s="15"/>
      <c r="WUM96" s="15"/>
      <c r="WUN96" s="15"/>
      <c r="WUO96" s="15"/>
      <c r="WUP96" s="15"/>
      <c r="WUQ96" s="15"/>
      <c r="WUR96" s="15"/>
      <c r="WUS96" s="15"/>
      <c r="WUT96" s="15"/>
      <c r="WUU96" s="15"/>
      <c r="WUV96" s="15"/>
      <c r="WUW96" s="15"/>
      <c r="WUX96" s="15"/>
      <c r="WUY96" s="15"/>
      <c r="WUZ96" s="15"/>
      <c r="WVA96" s="15"/>
      <c r="WVB96" s="15"/>
      <c r="WVC96" s="15"/>
      <c r="WVD96" s="15"/>
      <c r="WVE96" s="15"/>
      <c r="WVF96" s="15"/>
      <c r="WVG96" s="15"/>
      <c r="WVH96" s="15"/>
      <c r="WVI96" s="15"/>
      <c r="WVJ96" s="15"/>
      <c r="WVK96" s="15"/>
      <c r="WVL96" s="15"/>
      <c r="WVM96" s="15"/>
      <c r="WVN96" s="15"/>
      <c r="WVO96" s="15"/>
      <c r="WVP96" s="15"/>
      <c r="WVQ96" s="15"/>
      <c r="WVR96" s="15"/>
      <c r="WVS96" s="15"/>
      <c r="WVT96" s="15"/>
      <c r="WVU96" s="15"/>
      <c r="WVV96" s="15"/>
      <c r="WVW96" s="15"/>
      <c r="WVX96" s="15"/>
      <c r="WVY96" s="15"/>
      <c r="WVZ96" s="15"/>
      <c r="WWA96" s="15"/>
      <c r="WWB96" s="15"/>
      <c r="WWC96" s="15"/>
      <c r="WWD96" s="15"/>
      <c r="WWE96" s="15"/>
      <c r="WWF96" s="15"/>
      <c r="WWG96" s="15"/>
      <c r="WWH96" s="15"/>
      <c r="WWI96" s="15"/>
      <c r="WWJ96" s="15"/>
      <c r="WWK96" s="15"/>
      <c r="WWL96" s="15"/>
      <c r="WWM96" s="15"/>
      <c r="WWN96" s="15"/>
      <c r="WWO96" s="15"/>
      <c r="WWP96" s="15"/>
      <c r="WWQ96" s="15"/>
      <c r="WWR96" s="15"/>
      <c r="WWS96" s="15"/>
      <c r="WWT96" s="15"/>
      <c r="WWU96" s="15"/>
      <c r="WWV96" s="15"/>
      <c r="WWW96" s="15"/>
      <c r="WWX96" s="15"/>
      <c r="WWY96" s="15"/>
      <c r="WWZ96" s="15"/>
      <c r="WXA96" s="15"/>
      <c r="WXB96" s="15"/>
      <c r="WXC96" s="15"/>
      <c r="WXD96" s="15"/>
      <c r="WXE96" s="15"/>
      <c r="WXF96" s="15"/>
      <c r="WXG96" s="15"/>
      <c r="WXH96" s="15"/>
      <c r="WXI96" s="15"/>
      <c r="WXJ96" s="15"/>
      <c r="WXK96" s="15"/>
      <c r="WXL96" s="15"/>
      <c r="WXM96" s="15"/>
      <c r="WXN96" s="15"/>
      <c r="WXO96" s="15"/>
      <c r="WXP96" s="15"/>
      <c r="WXQ96" s="15"/>
      <c r="WXR96" s="15"/>
      <c r="WXS96" s="15"/>
      <c r="WXT96" s="15"/>
      <c r="WXU96" s="15"/>
      <c r="WXV96" s="15"/>
      <c r="WXW96" s="15"/>
      <c r="WXX96" s="15"/>
      <c r="WXY96" s="15"/>
      <c r="WXZ96" s="15"/>
      <c r="WYA96" s="15"/>
      <c r="WYB96" s="15"/>
      <c r="WYC96" s="15"/>
      <c r="WYD96" s="15"/>
      <c r="WYE96" s="15"/>
      <c r="WYF96" s="15"/>
      <c r="WYG96" s="15"/>
      <c r="WYH96" s="15"/>
      <c r="WYI96" s="15"/>
      <c r="WYJ96" s="15"/>
      <c r="WYK96" s="15"/>
      <c r="WYL96" s="15"/>
      <c r="WYM96" s="15"/>
      <c r="WYN96" s="15"/>
      <c r="WYO96" s="15"/>
      <c r="WYP96" s="15"/>
      <c r="WYQ96" s="15"/>
      <c r="WYR96" s="15"/>
      <c r="WYS96" s="15"/>
      <c r="WYT96" s="15"/>
      <c r="WYU96" s="15"/>
      <c r="WYV96" s="15"/>
      <c r="WYW96" s="15"/>
      <c r="WYX96" s="15"/>
      <c r="WYY96" s="15"/>
      <c r="WYZ96" s="15"/>
      <c r="WZA96" s="15"/>
      <c r="WZB96" s="15"/>
      <c r="WZC96" s="15"/>
      <c r="WZD96" s="15"/>
      <c r="WZE96" s="15"/>
      <c r="WZF96" s="15"/>
      <c r="WZG96" s="15"/>
      <c r="WZH96" s="15"/>
      <c r="WZI96" s="15"/>
      <c r="WZJ96" s="15"/>
      <c r="WZK96" s="15"/>
      <c r="WZL96" s="15"/>
      <c r="WZM96" s="15"/>
      <c r="WZN96" s="15"/>
      <c r="WZO96" s="15"/>
      <c r="WZP96" s="15"/>
      <c r="WZQ96" s="15"/>
      <c r="WZR96" s="15"/>
      <c r="WZS96" s="15"/>
      <c r="WZT96" s="15"/>
      <c r="WZU96" s="15"/>
      <c r="WZV96" s="15"/>
      <c r="WZW96" s="15"/>
      <c r="WZX96" s="15"/>
      <c r="WZY96" s="15"/>
      <c r="WZZ96" s="15"/>
      <c r="XAA96" s="15"/>
      <c r="XAB96" s="15"/>
      <c r="XAC96" s="15"/>
      <c r="XAD96" s="15"/>
      <c r="XAE96" s="15"/>
      <c r="XAF96" s="15"/>
      <c r="XAG96" s="15"/>
      <c r="XAH96" s="15"/>
      <c r="XAI96" s="15"/>
      <c r="XAJ96" s="15"/>
      <c r="XAK96" s="15"/>
      <c r="XAL96" s="15"/>
      <c r="XAM96" s="15"/>
      <c r="XAN96" s="15"/>
      <c r="XAO96" s="15"/>
      <c r="XAP96" s="15"/>
      <c r="XAQ96" s="15"/>
      <c r="XAR96" s="15"/>
      <c r="XAS96" s="15"/>
      <c r="XAT96" s="15"/>
      <c r="XAU96" s="15"/>
      <c r="XAV96" s="15"/>
      <c r="XAW96" s="15"/>
      <c r="XAX96" s="15"/>
      <c r="XAY96" s="15"/>
      <c r="XAZ96" s="15"/>
      <c r="XBA96" s="15"/>
      <c r="XBB96" s="15"/>
      <c r="XBC96" s="15"/>
      <c r="XBD96" s="15"/>
      <c r="XBE96" s="15"/>
      <c r="XBF96" s="15"/>
      <c r="XBG96" s="15"/>
      <c r="XBH96" s="15"/>
      <c r="XBI96" s="15"/>
      <c r="XBJ96" s="15"/>
      <c r="XBK96" s="15"/>
      <c r="XBL96" s="15"/>
      <c r="XBM96" s="15"/>
      <c r="XBN96" s="15"/>
      <c r="XBO96" s="15"/>
      <c r="XBP96" s="15"/>
      <c r="XBQ96" s="15"/>
      <c r="XBR96" s="15"/>
      <c r="XBS96" s="15"/>
      <c r="XBT96" s="15"/>
      <c r="XBU96" s="15"/>
      <c r="XBV96" s="15"/>
      <c r="XBW96" s="15"/>
      <c r="XBX96" s="15"/>
      <c r="XBY96" s="15"/>
      <c r="XBZ96" s="15"/>
      <c r="XCA96" s="15"/>
      <c r="XCB96" s="15"/>
      <c r="XCC96" s="15"/>
      <c r="XCD96" s="15"/>
      <c r="XCE96" s="15"/>
      <c r="XCF96" s="15"/>
      <c r="XCG96" s="15"/>
      <c r="XCH96" s="15"/>
      <c r="XCI96" s="15"/>
      <c r="XCJ96" s="15"/>
      <c r="XCK96" s="15"/>
      <c r="XCL96" s="15"/>
      <c r="XCM96" s="15"/>
      <c r="XCN96" s="15"/>
      <c r="XCO96" s="15"/>
      <c r="XCP96" s="15"/>
      <c r="XCQ96" s="15"/>
      <c r="XCR96" s="15"/>
      <c r="XCS96" s="15"/>
      <c r="XCT96" s="15"/>
      <c r="XCU96" s="15"/>
      <c r="XCV96" s="15"/>
      <c r="XCW96" s="15"/>
      <c r="XCX96" s="15"/>
      <c r="XCY96" s="15"/>
      <c r="XCZ96" s="15"/>
      <c r="XDA96" s="15"/>
      <c r="XDB96" s="15"/>
      <c r="XDC96" s="15"/>
      <c r="XDD96" s="15"/>
      <c r="XDE96" s="15"/>
      <c r="XDF96" s="15"/>
      <c r="XDG96" s="15"/>
      <c r="XDH96" s="15"/>
      <c r="XDI96" s="15"/>
      <c r="XDJ96" s="15"/>
      <c r="XDK96" s="15"/>
      <c r="XDL96" s="15"/>
      <c r="XDM96" s="15"/>
      <c r="XDN96" s="15"/>
      <c r="XDO96" s="15"/>
      <c r="XDP96" s="15"/>
      <c r="XDQ96" s="15"/>
      <c r="XDR96" s="15"/>
      <c r="XDS96" s="15"/>
      <c r="XDT96" s="15"/>
      <c r="XDU96" s="15"/>
      <c r="XDV96" s="15"/>
      <c r="XDW96" s="15"/>
      <c r="XDX96" s="15"/>
      <c r="XDY96" s="15"/>
      <c r="XDZ96" s="15"/>
      <c r="XEA96" s="15"/>
      <c r="XEB96" s="15"/>
      <c r="XEC96" s="15"/>
      <c r="XED96" s="15"/>
      <c r="XEE96" s="15"/>
      <c r="XEF96" s="15"/>
      <c r="XEG96" s="15"/>
      <c r="XEH96" s="15"/>
      <c r="XEI96" s="15"/>
      <c r="XEJ96" s="15"/>
      <c r="XEK96" s="15"/>
      <c r="XEL96" s="15"/>
      <c r="XEM96" s="15"/>
      <c r="XEN96" s="15"/>
      <c r="XEO96" s="15"/>
      <c r="XEP96" s="15"/>
      <c r="XEQ96" s="15"/>
      <c r="XER96" s="15"/>
      <c r="XES96" s="15"/>
      <c r="XET96" s="15"/>
      <c r="XEU96" s="15"/>
      <c r="XEV96" s="15"/>
      <c r="XEW96" s="15"/>
      <c r="XEX96" s="15"/>
      <c r="XEY96" s="15"/>
      <c r="XEZ96" s="15"/>
      <c r="XFA96" s="15"/>
      <c r="XFB96" s="15"/>
      <c r="XFC96" s="15"/>
      <c r="XFD96" s="15"/>
    </row>
    <row r="97" spans="2:125 1104:16384" ht="15" x14ac:dyDescent="0.25">
      <c r="B97" s="514" t="s">
        <v>633</v>
      </c>
      <c r="C97" s="129"/>
      <c r="D97" s="129"/>
      <c r="E97" s="534"/>
      <c r="F97" s="534"/>
      <c r="G97" s="534"/>
      <c r="H97" s="534"/>
      <c r="I97" s="534"/>
      <c r="J97" s="534"/>
      <c r="K97" s="534"/>
      <c r="L97" s="534"/>
      <c r="M97" s="534"/>
      <c r="N97" s="534"/>
      <c r="O97" s="534"/>
      <c r="P97" s="535"/>
      <c r="Q97" s="474"/>
      <c r="R97" s="310"/>
      <c r="S97" s="310"/>
      <c r="T97" s="310"/>
      <c r="U97" s="310">
        <f>[3]Batch3!D93</f>
        <v>0</v>
      </c>
      <c r="V97" s="310">
        <f>[3]Batch3!E93</f>
        <v>0</v>
      </c>
      <c r="W97" s="310">
        <f>[3]Batch3!F93</f>
        <v>0</v>
      </c>
      <c r="X97" s="310">
        <f>[3]Batch3!G93</f>
        <v>0</v>
      </c>
      <c r="Y97" s="310">
        <f>[3]Batch3!H93</f>
        <v>0</v>
      </c>
      <c r="Z97" s="310">
        <f>[3]Batch3!I93</f>
        <v>0</v>
      </c>
      <c r="AA97" s="310">
        <f>[3]Batch3!J93</f>
        <v>0</v>
      </c>
      <c r="AB97" s="311">
        <f>[3]Batch3!K93</f>
        <v>0</v>
      </c>
      <c r="AC97" s="280">
        <f>[3]Batch3!L93</f>
        <v>0</v>
      </c>
      <c r="AD97" s="310">
        <f>[3]Batch3!M93</f>
        <v>0</v>
      </c>
      <c r="AE97" s="310">
        <f>[3]Batch3!N93</f>
        <v>0</v>
      </c>
      <c r="AF97" s="310">
        <f>[3]Batch3!O93</f>
        <v>0</v>
      </c>
      <c r="AG97" s="310">
        <f>[3]Batch3!P93</f>
        <v>0</v>
      </c>
      <c r="AH97" s="108">
        <f t="shared" ref="AH97:AH104" si="83">V96</f>
        <v>0</v>
      </c>
      <c r="AI97" s="108">
        <f t="shared" si="81"/>
        <v>0</v>
      </c>
      <c r="AJ97" s="108">
        <f t="shared" si="81"/>
        <v>0</v>
      </c>
      <c r="AK97" s="108">
        <f t="shared" si="81"/>
        <v>0</v>
      </c>
      <c r="AL97" s="108">
        <f t="shared" si="81"/>
        <v>0</v>
      </c>
      <c r="AM97" s="108">
        <f t="shared" si="81"/>
        <v>0</v>
      </c>
      <c r="AN97" s="110">
        <f t="shared" si="81"/>
        <v>0</v>
      </c>
      <c r="AO97" s="109">
        <f t="shared" si="81"/>
        <v>0</v>
      </c>
      <c r="AP97" s="108">
        <f t="shared" si="81"/>
        <v>0</v>
      </c>
      <c r="AQ97" s="108">
        <f t="shared" si="81"/>
        <v>0</v>
      </c>
      <c r="AR97" s="108">
        <f t="shared" si="81"/>
        <v>0</v>
      </c>
      <c r="AS97" s="108">
        <f t="shared" si="81"/>
        <v>0</v>
      </c>
      <c r="AT97" s="108">
        <f t="shared" si="81"/>
        <v>24.999999999999996</v>
      </c>
      <c r="AU97" s="108">
        <f t="shared" si="81"/>
        <v>36.937499999999993</v>
      </c>
      <c r="AV97" s="108">
        <f t="shared" si="81"/>
        <v>60.639062499999994</v>
      </c>
      <c r="AW97" s="108">
        <f t="shared" si="81"/>
        <v>119.45895312499998</v>
      </c>
      <c r="AX97" s="108">
        <f t="shared" si="81"/>
        <v>188.26731012499999</v>
      </c>
      <c r="AY97" s="108">
        <f t="shared" si="81"/>
        <v>278.1649507096875</v>
      </c>
      <c r="AZ97" s="110">
        <f t="shared" si="81"/>
        <v>399.57236148818646</v>
      </c>
      <c r="BA97" s="109">
        <f t="shared" si="81"/>
        <v>539.76517860461308</v>
      </c>
      <c r="BB97" s="108">
        <f t="shared" si="81"/>
        <v>3647.8380313502589</v>
      </c>
      <c r="BC97" s="108">
        <f t="shared" si="81"/>
        <v>656.25108102043055</v>
      </c>
      <c r="BD97" s="108">
        <f t="shared" si="81"/>
        <v>722.86409397562284</v>
      </c>
      <c r="BE97" s="108">
        <f t="shared" si="81"/>
        <v>524.88737336595295</v>
      </c>
      <c r="BF97" s="108">
        <f t="shared" si="81"/>
        <v>299.09883871796393</v>
      </c>
      <c r="BG97" s="108">
        <f t="shared" si="81"/>
        <v>328.24358602559818</v>
      </c>
      <c r="BH97" s="108">
        <f t="shared" si="81"/>
        <v>399.95218481888264</v>
      </c>
      <c r="BI97" s="108">
        <f t="shared" si="81"/>
        <v>0</v>
      </c>
      <c r="BJ97" s="108">
        <f t="shared" si="81"/>
        <v>0</v>
      </c>
      <c r="BK97" s="108">
        <f t="shared" si="81"/>
        <v>0</v>
      </c>
      <c r="BL97" s="110">
        <f t="shared" si="81"/>
        <v>0</v>
      </c>
      <c r="BM97" s="109">
        <f t="shared" si="81"/>
        <v>0</v>
      </c>
      <c r="BN97" s="108">
        <f t="shared" si="81"/>
        <v>0</v>
      </c>
      <c r="BO97" s="108">
        <f t="shared" si="81"/>
        <v>0</v>
      </c>
      <c r="BP97" s="108">
        <f t="shared" si="81"/>
        <v>0</v>
      </c>
      <c r="BQ97" s="108">
        <f t="shared" si="81"/>
        <v>0</v>
      </c>
      <c r="BR97" s="108">
        <f t="shared" si="81"/>
        <v>0</v>
      </c>
      <c r="BS97" s="108">
        <f t="shared" si="81"/>
        <v>0</v>
      </c>
      <c r="BT97" s="108">
        <f t="shared" si="81"/>
        <v>0</v>
      </c>
      <c r="BU97" s="108">
        <f t="shared" si="81"/>
        <v>0</v>
      </c>
      <c r="BV97" s="108">
        <f t="shared" si="81"/>
        <v>0</v>
      </c>
      <c r="BW97" s="108">
        <f t="shared" si="81"/>
        <v>0</v>
      </c>
      <c r="BX97" s="110">
        <f t="shared" si="81"/>
        <v>0</v>
      </c>
      <c r="BY97" s="109">
        <f t="shared" si="81"/>
        <v>0</v>
      </c>
      <c r="BZ97" s="108">
        <f t="shared" si="81"/>
        <v>0</v>
      </c>
      <c r="CA97" s="108">
        <f t="shared" si="81"/>
        <v>0</v>
      </c>
      <c r="CB97" s="108">
        <f t="shared" si="81"/>
        <v>0</v>
      </c>
      <c r="CC97" s="108">
        <f t="shared" si="81"/>
        <v>0</v>
      </c>
      <c r="CD97" s="108">
        <f t="shared" si="81"/>
        <v>0</v>
      </c>
      <c r="CE97" s="108">
        <f t="shared" si="81"/>
        <v>0</v>
      </c>
      <c r="CF97" s="108">
        <f t="shared" si="81"/>
        <v>0</v>
      </c>
      <c r="CG97" s="108">
        <f t="shared" si="81"/>
        <v>0</v>
      </c>
      <c r="CH97" s="108">
        <f t="shared" si="81"/>
        <v>0</v>
      </c>
      <c r="CI97" s="108">
        <f t="shared" si="81"/>
        <v>0</v>
      </c>
      <c r="CJ97" s="110">
        <f t="shared" si="81"/>
        <v>0</v>
      </c>
      <c r="CK97" s="109">
        <f t="shared" si="81"/>
        <v>0</v>
      </c>
      <c r="CL97" s="108">
        <f t="shared" si="81"/>
        <v>0</v>
      </c>
      <c r="CM97" s="108">
        <f t="shared" si="81"/>
        <v>0</v>
      </c>
      <c r="CN97" s="108">
        <f t="shared" si="81"/>
        <v>0</v>
      </c>
      <c r="CO97" s="108">
        <f t="shared" si="81"/>
        <v>0</v>
      </c>
      <c r="CP97" s="108">
        <f t="shared" si="81"/>
        <v>0</v>
      </c>
      <c r="CQ97" s="108">
        <f t="shared" si="81"/>
        <v>0</v>
      </c>
      <c r="CR97" s="108">
        <f t="shared" si="81"/>
        <v>0</v>
      </c>
      <c r="CS97" s="108">
        <f t="shared" si="81"/>
        <v>0</v>
      </c>
      <c r="CT97" s="108">
        <f t="shared" si="81"/>
        <v>0</v>
      </c>
      <c r="CU97" s="108">
        <f t="shared" si="82"/>
        <v>0</v>
      </c>
      <c r="CV97" s="110">
        <f t="shared" si="82"/>
        <v>0</v>
      </c>
      <c r="CW97" s="109">
        <f t="shared" si="82"/>
        <v>0</v>
      </c>
      <c r="CX97" s="108">
        <f t="shared" si="82"/>
        <v>0</v>
      </c>
      <c r="CY97" s="108">
        <f t="shared" si="82"/>
        <v>0</v>
      </c>
      <c r="CZ97" s="108">
        <f t="shared" si="82"/>
        <v>0</v>
      </c>
      <c r="DA97" s="108">
        <f t="shared" si="82"/>
        <v>0</v>
      </c>
      <c r="DB97" s="108">
        <f t="shared" si="82"/>
        <v>0</v>
      </c>
      <c r="DC97" s="108">
        <f t="shared" si="82"/>
        <v>0</v>
      </c>
      <c r="DD97" s="108">
        <f t="shared" si="82"/>
        <v>0</v>
      </c>
      <c r="DE97" s="108">
        <f t="shared" si="82"/>
        <v>0</v>
      </c>
      <c r="DF97" s="108">
        <f t="shared" si="82"/>
        <v>0</v>
      </c>
      <c r="DG97" s="108">
        <f t="shared" si="82"/>
        <v>0</v>
      </c>
      <c r="DH97" s="110">
        <f t="shared" si="82"/>
        <v>0</v>
      </c>
      <c r="DI97" s="109">
        <f t="shared" si="82"/>
        <v>0</v>
      </c>
      <c r="DJ97" s="108">
        <f t="shared" si="82"/>
        <v>0</v>
      </c>
      <c r="DK97" s="108">
        <f t="shared" si="82"/>
        <v>0</v>
      </c>
      <c r="DL97" s="108">
        <f t="shared" si="82"/>
        <v>0</v>
      </c>
      <c r="DM97" s="108">
        <f t="shared" si="82"/>
        <v>0</v>
      </c>
      <c r="DN97" s="108">
        <f t="shared" si="82"/>
        <v>0</v>
      </c>
      <c r="DO97" s="108">
        <f t="shared" si="82"/>
        <v>0</v>
      </c>
      <c r="DP97" s="108">
        <f t="shared" si="82"/>
        <v>0</v>
      </c>
      <c r="DQ97" s="108">
        <f t="shared" si="82"/>
        <v>0</v>
      </c>
      <c r="DR97" s="108">
        <f t="shared" si="82"/>
        <v>0</v>
      </c>
      <c r="DS97" s="108">
        <f t="shared" si="82"/>
        <v>0</v>
      </c>
      <c r="DT97" s="110">
        <f t="shared" si="82"/>
        <v>0</v>
      </c>
      <c r="DU97" s="3"/>
      <c r="APL97" s="15"/>
      <c r="APM97" s="15"/>
      <c r="APN97" s="15"/>
      <c r="APO97" s="15"/>
      <c r="APP97" s="15"/>
      <c r="APQ97" s="15"/>
      <c r="APR97" s="15"/>
      <c r="APS97" s="15"/>
      <c r="APT97" s="15"/>
      <c r="APU97" s="15"/>
      <c r="APV97" s="15"/>
      <c r="APW97" s="15"/>
      <c r="APX97" s="15"/>
      <c r="APY97" s="15"/>
      <c r="APZ97" s="15"/>
      <c r="AQA97" s="15"/>
      <c r="AQB97" s="15"/>
      <c r="AQC97" s="15"/>
      <c r="AQD97" s="15"/>
      <c r="AQE97" s="15"/>
      <c r="AQF97" s="15"/>
      <c r="AQG97" s="15"/>
      <c r="AQH97" s="15"/>
      <c r="AQI97" s="15"/>
      <c r="AQJ97" s="15"/>
      <c r="AQK97" s="15"/>
      <c r="AQL97" s="15"/>
      <c r="AQM97" s="15"/>
      <c r="AQN97" s="15"/>
      <c r="AQO97" s="15"/>
      <c r="AQP97" s="15"/>
      <c r="AQQ97" s="15"/>
      <c r="AQR97" s="15"/>
      <c r="AQS97" s="15"/>
      <c r="AQT97" s="15"/>
      <c r="AQU97" s="15"/>
      <c r="AQV97" s="15"/>
      <c r="AQW97" s="15"/>
      <c r="AQX97" s="15"/>
      <c r="AQY97" s="15"/>
      <c r="AQZ97" s="15"/>
      <c r="ARA97" s="15"/>
      <c r="ARB97" s="15"/>
      <c r="ARC97" s="15"/>
      <c r="ARD97" s="15"/>
      <c r="ARE97" s="15"/>
      <c r="ARF97" s="15"/>
      <c r="ARG97" s="15"/>
      <c r="ARH97" s="15"/>
      <c r="ARI97" s="15"/>
      <c r="ARJ97" s="15"/>
      <c r="ARK97" s="15"/>
      <c r="ARL97" s="15"/>
      <c r="ARM97" s="15"/>
      <c r="ARN97" s="15"/>
      <c r="ARO97" s="15"/>
      <c r="ARP97" s="15"/>
      <c r="ARQ97" s="15"/>
      <c r="ARR97" s="15"/>
      <c r="ARS97" s="15"/>
      <c r="ART97" s="15"/>
      <c r="ARU97" s="15"/>
      <c r="ARV97" s="15"/>
      <c r="ARW97" s="15"/>
      <c r="ARX97" s="15"/>
      <c r="ARY97" s="15"/>
      <c r="ARZ97" s="15"/>
      <c r="ASA97" s="15"/>
      <c r="ASB97" s="15"/>
      <c r="ASC97" s="15"/>
      <c r="ASD97" s="15"/>
      <c r="ASE97" s="15"/>
      <c r="ASF97" s="15"/>
      <c r="ASG97" s="15"/>
      <c r="ASH97" s="15"/>
      <c r="ASI97" s="15"/>
      <c r="ASJ97" s="15"/>
      <c r="ASK97" s="15"/>
      <c r="ASL97" s="15"/>
      <c r="ASM97" s="15"/>
      <c r="ASN97" s="15"/>
      <c r="ASO97" s="15"/>
      <c r="ASP97" s="15"/>
      <c r="ASQ97" s="15"/>
      <c r="ASR97" s="15"/>
      <c r="ASS97" s="15"/>
      <c r="AST97" s="15"/>
      <c r="ASU97" s="15"/>
      <c r="ASV97" s="15"/>
      <c r="ASW97" s="15"/>
      <c r="ASX97" s="15"/>
      <c r="ASY97" s="15"/>
      <c r="ASZ97" s="15"/>
      <c r="ATA97" s="15"/>
      <c r="ATB97" s="15"/>
      <c r="ATC97" s="15"/>
      <c r="ATD97" s="15"/>
      <c r="ATE97" s="15"/>
      <c r="ATF97" s="15"/>
      <c r="ATG97" s="15"/>
      <c r="ATH97" s="15"/>
      <c r="ATI97" s="15"/>
      <c r="ATJ97" s="15"/>
      <c r="ATK97" s="15"/>
      <c r="ATL97" s="15"/>
      <c r="ATM97" s="15"/>
      <c r="ATN97" s="15"/>
      <c r="ATO97" s="15"/>
      <c r="ATP97" s="15"/>
      <c r="ATQ97" s="15"/>
      <c r="ATR97" s="15"/>
      <c r="ATS97" s="15"/>
      <c r="ATT97" s="15"/>
      <c r="ATU97" s="15"/>
      <c r="ATV97" s="15"/>
      <c r="ATW97" s="15"/>
      <c r="ATX97" s="15"/>
      <c r="ATY97" s="15"/>
      <c r="ATZ97" s="15"/>
      <c r="AUA97" s="15"/>
      <c r="AUB97" s="15"/>
      <c r="AUC97" s="15"/>
      <c r="AUD97" s="15"/>
      <c r="AUE97" s="15"/>
      <c r="AUF97" s="15"/>
      <c r="AUG97" s="15"/>
      <c r="AUH97" s="15"/>
      <c r="AUI97" s="15"/>
      <c r="AUJ97" s="15"/>
      <c r="AUK97" s="15"/>
      <c r="AUL97" s="15"/>
      <c r="AUM97" s="15"/>
      <c r="AUN97" s="15"/>
      <c r="AUO97" s="15"/>
      <c r="AUP97" s="15"/>
      <c r="AUQ97" s="15"/>
      <c r="AUR97" s="15"/>
      <c r="AUS97" s="15"/>
      <c r="AUT97" s="15"/>
      <c r="AUU97" s="15"/>
      <c r="AUV97" s="15"/>
      <c r="AUW97" s="15"/>
      <c r="AUX97" s="15"/>
      <c r="AUY97" s="15"/>
      <c r="AUZ97" s="15"/>
      <c r="AVA97" s="15"/>
      <c r="AVB97" s="15"/>
      <c r="AVC97" s="15"/>
      <c r="AVD97" s="15"/>
      <c r="AVE97" s="15"/>
      <c r="AVF97" s="15"/>
      <c r="AVG97" s="15"/>
      <c r="AVH97" s="15"/>
      <c r="AVI97" s="15"/>
      <c r="AVJ97" s="15"/>
      <c r="AVK97" s="15"/>
      <c r="AVL97" s="15"/>
      <c r="AVM97" s="15"/>
      <c r="AVN97" s="15"/>
      <c r="AVO97" s="15"/>
      <c r="AVP97" s="15"/>
      <c r="AVQ97" s="15"/>
      <c r="AVR97" s="15"/>
      <c r="AVS97" s="15"/>
      <c r="AVT97" s="15"/>
      <c r="AVU97" s="15"/>
      <c r="AVV97" s="15"/>
      <c r="AVW97" s="15"/>
      <c r="AVX97" s="15"/>
      <c r="AVY97" s="15"/>
      <c r="AVZ97" s="15"/>
      <c r="AWA97" s="15"/>
      <c r="AWB97" s="15"/>
      <c r="AWC97" s="15"/>
      <c r="AWD97" s="15"/>
      <c r="AWE97" s="15"/>
      <c r="AWF97" s="15"/>
      <c r="AWG97" s="15"/>
      <c r="AWH97" s="15"/>
      <c r="AWI97" s="15"/>
      <c r="AWJ97" s="15"/>
      <c r="AWK97" s="15"/>
      <c r="AWL97" s="15"/>
      <c r="AWM97" s="15"/>
      <c r="AWN97" s="15"/>
      <c r="AWO97" s="15"/>
      <c r="AWP97" s="15"/>
      <c r="AWQ97" s="15"/>
      <c r="AWR97" s="15"/>
      <c r="AWS97" s="15"/>
      <c r="AWT97" s="15"/>
      <c r="AWU97" s="15"/>
      <c r="AWV97" s="15"/>
      <c r="AWW97" s="15"/>
      <c r="AWX97" s="15"/>
      <c r="AWY97" s="15"/>
      <c r="AWZ97" s="15"/>
      <c r="AXA97" s="15"/>
      <c r="AXB97" s="15"/>
      <c r="AXC97" s="15"/>
      <c r="AXD97" s="15"/>
      <c r="AXE97" s="15"/>
      <c r="AXF97" s="15"/>
      <c r="AXG97" s="15"/>
      <c r="AXH97" s="15"/>
      <c r="AXI97" s="15"/>
      <c r="AXJ97" s="15"/>
      <c r="AXK97" s="15"/>
      <c r="AXL97" s="15"/>
      <c r="AXM97" s="15"/>
      <c r="AXN97" s="15"/>
      <c r="AXO97" s="15"/>
      <c r="AXP97" s="15"/>
      <c r="AXQ97" s="15"/>
      <c r="AXR97" s="15"/>
      <c r="AXS97" s="15"/>
      <c r="AXT97" s="15"/>
      <c r="AXU97" s="15"/>
      <c r="AXV97" s="15"/>
      <c r="AXW97" s="15"/>
      <c r="AXX97" s="15"/>
      <c r="AXY97" s="15"/>
      <c r="AXZ97" s="15"/>
      <c r="AYA97" s="15"/>
      <c r="AYB97" s="15"/>
      <c r="AYC97" s="15"/>
      <c r="AYD97" s="15"/>
      <c r="AYE97" s="15"/>
      <c r="AYF97" s="15"/>
      <c r="AYG97" s="15"/>
      <c r="AYH97" s="15"/>
      <c r="AYI97" s="15"/>
      <c r="AYJ97" s="15"/>
      <c r="AYK97" s="15"/>
      <c r="AYL97" s="15"/>
      <c r="AYM97" s="15"/>
      <c r="AYN97" s="15"/>
      <c r="AYO97" s="15"/>
      <c r="AYP97" s="15"/>
      <c r="AYQ97" s="15"/>
      <c r="AYR97" s="15"/>
      <c r="AYS97" s="15"/>
      <c r="AYT97" s="15"/>
      <c r="AYU97" s="15"/>
      <c r="AYV97" s="15"/>
      <c r="AYW97" s="15"/>
      <c r="AYX97" s="15"/>
      <c r="AYY97" s="15"/>
      <c r="AYZ97" s="15"/>
      <c r="AZA97" s="15"/>
      <c r="AZB97" s="15"/>
      <c r="AZC97" s="15"/>
      <c r="AZD97" s="15"/>
      <c r="AZE97" s="15"/>
      <c r="AZF97" s="15"/>
      <c r="AZG97" s="15"/>
      <c r="AZH97" s="15"/>
      <c r="AZI97" s="15"/>
      <c r="AZJ97" s="15"/>
      <c r="AZK97" s="15"/>
      <c r="AZL97" s="15"/>
      <c r="AZM97" s="15"/>
      <c r="AZN97" s="15"/>
      <c r="AZO97" s="15"/>
      <c r="AZP97" s="15"/>
      <c r="AZQ97" s="15"/>
      <c r="AZR97" s="15"/>
      <c r="AZS97" s="15"/>
      <c r="AZT97" s="15"/>
      <c r="AZU97" s="15"/>
      <c r="AZV97" s="15"/>
      <c r="AZW97" s="15"/>
      <c r="AZX97" s="15"/>
      <c r="AZY97" s="15"/>
      <c r="AZZ97" s="15"/>
      <c r="BAA97" s="15"/>
      <c r="BAB97" s="15"/>
      <c r="BAC97" s="15"/>
      <c r="BAD97" s="15"/>
      <c r="BAE97" s="15"/>
      <c r="BAF97" s="15"/>
      <c r="BAG97" s="15"/>
      <c r="BAH97" s="15"/>
      <c r="BAI97" s="15"/>
      <c r="BAJ97" s="15"/>
      <c r="BAK97" s="15"/>
      <c r="BAL97" s="15"/>
      <c r="BAM97" s="15"/>
      <c r="BAN97" s="15"/>
      <c r="BAO97" s="15"/>
      <c r="BAP97" s="15"/>
      <c r="BAQ97" s="15"/>
      <c r="BAR97" s="15"/>
      <c r="BAS97" s="15"/>
      <c r="BAT97" s="15"/>
      <c r="BAU97" s="15"/>
      <c r="BAV97" s="15"/>
      <c r="BAW97" s="15"/>
      <c r="BAX97" s="15"/>
      <c r="BAY97" s="15"/>
      <c r="BAZ97" s="15"/>
      <c r="BBA97" s="15"/>
      <c r="BBB97" s="15"/>
      <c r="BBC97" s="15"/>
      <c r="BBD97" s="15"/>
      <c r="BBE97" s="15"/>
      <c r="BBF97" s="15"/>
      <c r="BBG97" s="15"/>
      <c r="BBH97" s="15"/>
      <c r="BBI97" s="15"/>
      <c r="BBJ97" s="15"/>
      <c r="BBK97" s="15"/>
      <c r="BBL97" s="15"/>
      <c r="BBM97" s="15"/>
      <c r="BBN97" s="15"/>
      <c r="BBO97" s="15"/>
      <c r="BBP97" s="15"/>
      <c r="BBQ97" s="15"/>
      <c r="BBR97" s="15"/>
      <c r="BBS97" s="15"/>
      <c r="BBT97" s="15"/>
      <c r="BBU97" s="15"/>
      <c r="BBV97" s="15"/>
      <c r="BBW97" s="15"/>
      <c r="BBX97" s="15"/>
      <c r="BBY97" s="15"/>
      <c r="BBZ97" s="15"/>
      <c r="BCA97" s="15"/>
      <c r="BCB97" s="15"/>
      <c r="BCC97" s="15"/>
      <c r="BCD97" s="15"/>
      <c r="BCE97" s="15"/>
      <c r="BCF97" s="15"/>
      <c r="BCG97" s="15"/>
      <c r="BCH97" s="15"/>
      <c r="BCI97" s="15"/>
      <c r="BCJ97" s="15"/>
      <c r="BCK97" s="15"/>
      <c r="BCL97" s="15"/>
      <c r="BCM97" s="15"/>
      <c r="BCN97" s="15"/>
      <c r="BCO97" s="15"/>
      <c r="BCP97" s="15"/>
      <c r="BCQ97" s="15"/>
      <c r="BCR97" s="15"/>
      <c r="BCS97" s="15"/>
      <c r="BCT97" s="15"/>
      <c r="BCU97" s="15"/>
      <c r="BCV97" s="15"/>
      <c r="BCW97" s="15"/>
      <c r="BCX97" s="15"/>
      <c r="BCY97" s="15"/>
      <c r="BCZ97" s="15"/>
      <c r="BDA97" s="15"/>
      <c r="BDB97" s="15"/>
      <c r="BDC97" s="15"/>
      <c r="BDD97" s="15"/>
      <c r="BDE97" s="15"/>
      <c r="BDF97" s="15"/>
      <c r="BDG97" s="15"/>
      <c r="BDH97" s="15"/>
      <c r="BDI97" s="15"/>
      <c r="BDJ97" s="15"/>
      <c r="BDK97" s="15"/>
      <c r="BDL97" s="15"/>
      <c r="BDM97" s="15"/>
      <c r="BDN97" s="15"/>
      <c r="BDO97" s="15"/>
      <c r="BDP97" s="15"/>
      <c r="BDQ97" s="15"/>
      <c r="BDR97" s="15"/>
      <c r="BDS97" s="15"/>
      <c r="BDT97" s="15"/>
      <c r="BDU97" s="15"/>
      <c r="BDV97" s="15"/>
      <c r="BDW97" s="15"/>
      <c r="BDX97" s="15"/>
      <c r="BDY97" s="15"/>
      <c r="BDZ97" s="15"/>
      <c r="BEA97" s="15"/>
      <c r="BEB97" s="15"/>
      <c r="BEC97" s="15"/>
      <c r="BED97" s="15"/>
      <c r="BEE97" s="15"/>
      <c r="BEF97" s="15"/>
      <c r="BEG97" s="15"/>
      <c r="BEH97" s="15"/>
      <c r="BEI97" s="15"/>
      <c r="BEJ97" s="15"/>
      <c r="BEK97" s="15"/>
      <c r="BEL97" s="15"/>
      <c r="BEM97" s="15"/>
      <c r="BEN97" s="15"/>
      <c r="BEO97" s="15"/>
      <c r="BEP97" s="15"/>
      <c r="BEQ97" s="15"/>
      <c r="BER97" s="15"/>
      <c r="BES97" s="15"/>
      <c r="BET97" s="15"/>
      <c r="BEU97" s="15"/>
      <c r="BEV97" s="15"/>
      <c r="BEW97" s="15"/>
      <c r="BEX97" s="15"/>
      <c r="BEY97" s="15"/>
      <c r="BEZ97" s="15"/>
      <c r="BFA97" s="15"/>
      <c r="BFB97" s="15"/>
      <c r="BFC97" s="15"/>
      <c r="BFD97" s="15"/>
      <c r="BFE97" s="15"/>
      <c r="BFF97" s="15"/>
      <c r="BFG97" s="15"/>
      <c r="BFH97" s="15"/>
      <c r="BFI97" s="15"/>
      <c r="BFJ97" s="15"/>
      <c r="BFK97" s="15"/>
      <c r="BFL97" s="15"/>
      <c r="BFM97" s="15"/>
      <c r="BFN97" s="15"/>
      <c r="BFO97" s="15"/>
      <c r="BFP97" s="15"/>
      <c r="BFQ97" s="15"/>
      <c r="BFR97" s="15"/>
      <c r="BFS97" s="15"/>
      <c r="BFT97" s="15"/>
      <c r="BFU97" s="15"/>
      <c r="BFV97" s="15"/>
      <c r="BFW97" s="15"/>
      <c r="BFX97" s="15"/>
      <c r="BFY97" s="15"/>
      <c r="BFZ97" s="15"/>
      <c r="BGA97" s="15"/>
      <c r="BGB97" s="15"/>
      <c r="BGC97" s="15"/>
      <c r="BGD97" s="15"/>
      <c r="BGE97" s="15"/>
      <c r="BGF97" s="15"/>
      <c r="BGG97" s="15"/>
      <c r="BGH97" s="15"/>
      <c r="BGI97" s="15"/>
      <c r="BGJ97" s="15"/>
      <c r="BGK97" s="15"/>
      <c r="BGL97" s="15"/>
      <c r="BGM97" s="15"/>
      <c r="BGN97" s="15"/>
      <c r="BGO97" s="15"/>
      <c r="BGP97" s="15"/>
      <c r="BGQ97" s="15"/>
      <c r="BGR97" s="15"/>
      <c r="BGS97" s="15"/>
      <c r="BGT97" s="15"/>
      <c r="BGU97" s="15"/>
      <c r="BGV97" s="15"/>
      <c r="BGW97" s="15"/>
      <c r="BGX97" s="15"/>
      <c r="BGY97" s="15"/>
      <c r="BGZ97" s="15"/>
      <c r="BHA97" s="15"/>
      <c r="BHB97" s="15"/>
      <c r="BHC97" s="15"/>
      <c r="BHD97" s="15"/>
      <c r="BHE97" s="15"/>
      <c r="BHF97" s="15"/>
      <c r="BHG97" s="15"/>
      <c r="BHH97" s="15"/>
      <c r="BHI97" s="15"/>
      <c r="BHJ97" s="15"/>
      <c r="BHK97" s="15"/>
      <c r="BHL97" s="15"/>
      <c r="BHM97" s="15"/>
      <c r="BHN97" s="15"/>
      <c r="BHO97" s="15"/>
      <c r="BHP97" s="15"/>
      <c r="BHQ97" s="15"/>
      <c r="BHR97" s="15"/>
      <c r="BHS97" s="15"/>
      <c r="BHT97" s="15"/>
      <c r="BHU97" s="15"/>
      <c r="BHV97" s="15"/>
      <c r="BHW97" s="15"/>
      <c r="BHX97" s="15"/>
      <c r="BHY97" s="15"/>
      <c r="BHZ97" s="15"/>
      <c r="BIA97" s="15"/>
      <c r="BIB97" s="15"/>
      <c r="BIC97" s="15"/>
      <c r="BID97" s="15"/>
      <c r="BIE97" s="15"/>
      <c r="BIF97" s="15"/>
      <c r="BIG97" s="15"/>
      <c r="BIH97" s="15"/>
      <c r="BII97" s="15"/>
      <c r="BIJ97" s="15"/>
      <c r="BIK97" s="15"/>
      <c r="BIL97" s="15"/>
      <c r="BIM97" s="15"/>
      <c r="BIN97" s="15"/>
      <c r="BIO97" s="15"/>
      <c r="BIP97" s="15"/>
      <c r="BIQ97" s="15"/>
      <c r="BIR97" s="15"/>
      <c r="BIS97" s="15"/>
      <c r="BIT97" s="15"/>
      <c r="BIU97" s="15"/>
      <c r="BIV97" s="15"/>
      <c r="BIW97" s="15"/>
      <c r="BIX97" s="15"/>
      <c r="BIY97" s="15"/>
      <c r="BIZ97" s="15"/>
      <c r="BJA97" s="15"/>
      <c r="BJB97" s="15"/>
      <c r="BJC97" s="15"/>
      <c r="BJD97" s="15"/>
      <c r="BJE97" s="15"/>
      <c r="BJF97" s="15"/>
      <c r="BJG97" s="15"/>
      <c r="BJH97" s="15"/>
      <c r="BJI97" s="15"/>
      <c r="BJJ97" s="15"/>
      <c r="BJK97" s="15"/>
      <c r="BJL97" s="15"/>
      <c r="BJM97" s="15"/>
      <c r="BJN97" s="15"/>
      <c r="BJO97" s="15"/>
      <c r="BJP97" s="15"/>
      <c r="BJQ97" s="15"/>
      <c r="BJR97" s="15"/>
      <c r="BJS97" s="15"/>
      <c r="BJT97" s="15"/>
      <c r="BJU97" s="15"/>
      <c r="BJV97" s="15"/>
      <c r="BJW97" s="15"/>
      <c r="BJX97" s="15"/>
      <c r="BJY97" s="15"/>
      <c r="BJZ97" s="15"/>
      <c r="BKA97" s="15"/>
      <c r="BKB97" s="15"/>
      <c r="BKC97" s="15"/>
      <c r="BKD97" s="15"/>
      <c r="BKE97" s="15"/>
      <c r="BKF97" s="15"/>
      <c r="BKG97" s="15"/>
      <c r="BKH97" s="15"/>
      <c r="BKI97" s="15"/>
      <c r="BKJ97" s="15"/>
      <c r="BKK97" s="15"/>
      <c r="BKL97" s="15"/>
      <c r="BKM97" s="15"/>
      <c r="BKN97" s="15"/>
      <c r="BKO97" s="15"/>
      <c r="BKP97" s="15"/>
      <c r="BKQ97" s="15"/>
      <c r="BKR97" s="15"/>
      <c r="BKS97" s="15"/>
      <c r="BKT97" s="15"/>
      <c r="BKU97" s="15"/>
      <c r="BKV97" s="15"/>
      <c r="BKW97" s="15"/>
      <c r="BKX97" s="15"/>
      <c r="BKY97" s="15"/>
      <c r="BKZ97" s="15"/>
      <c r="BLA97" s="15"/>
      <c r="BLB97" s="15"/>
      <c r="BLC97" s="15"/>
      <c r="BLD97" s="15"/>
      <c r="BLE97" s="15"/>
      <c r="BLF97" s="15"/>
      <c r="BLG97" s="15"/>
      <c r="BLH97" s="15"/>
      <c r="BLI97" s="15"/>
      <c r="BLJ97" s="15"/>
      <c r="BLK97" s="15"/>
      <c r="BLL97" s="15"/>
      <c r="BLM97" s="15"/>
      <c r="BLN97" s="15"/>
      <c r="BLO97" s="15"/>
      <c r="BLP97" s="15"/>
      <c r="BLQ97" s="15"/>
      <c r="BLR97" s="15"/>
      <c r="BLS97" s="15"/>
      <c r="BLT97" s="15"/>
      <c r="BLU97" s="15"/>
      <c r="BLV97" s="15"/>
      <c r="BLW97" s="15"/>
      <c r="BLX97" s="15"/>
      <c r="BLY97" s="15"/>
      <c r="BLZ97" s="15"/>
      <c r="BMA97" s="15"/>
      <c r="BMB97" s="15"/>
      <c r="BMC97" s="15"/>
      <c r="BMD97" s="15"/>
      <c r="BME97" s="15"/>
      <c r="BMF97" s="15"/>
      <c r="BMG97" s="15"/>
      <c r="BMH97" s="15"/>
      <c r="BMI97" s="15"/>
      <c r="BMJ97" s="15"/>
      <c r="BMK97" s="15"/>
      <c r="BML97" s="15"/>
      <c r="BMM97" s="15"/>
      <c r="BMN97" s="15"/>
      <c r="BMO97" s="15"/>
      <c r="BMP97" s="15"/>
      <c r="BMQ97" s="15"/>
      <c r="BMR97" s="15"/>
      <c r="BMS97" s="15"/>
      <c r="BMT97" s="15"/>
      <c r="BMU97" s="15"/>
      <c r="BMV97" s="15"/>
      <c r="BMW97" s="15"/>
      <c r="BMX97" s="15"/>
      <c r="BMY97" s="15"/>
      <c r="BMZ97" s="15"/>
      <c r="BNA97" s="15"/>
      <c r="BNB97" s="15"/>
      <c r="BNC97" s="15"/>
      <c r="BND97" s="15"/>
      <c r="BNE97" s="15"/>
      <c r="BNF97" s="15"/>
      <c r="BNG97" s="15"/>
      <c r="BNH97" s="15"/>
      <c r="BNI97" s="15"/>
      <c r="BNJ97" s="15"/>
      <c r="BNK97" s="15"/>
      <c r="BNL97" s="15"/>
      <c r="BNM97" s="15"/>
      <c r="BNN97" s="15"/>
      <c r="BNO97" s="15"/>
      <c r="BNP97" s="15"/>
      <c r="BNQ97" s="15"/>
      <c r="BNR97" s="15"/>
      <c r="BNS97" s="15"/>
      <c r="BNT97" s="15"/>
      <c r="BNU97" s="15"/>
      <c r="BNV97" s="15"/>
      <c r="BNW97" s="15"/>
      <c r="BNX97" s="15"/>
      <c r="BNY97" s="15"/>
      <c r="BNZ97" s="15"/>
      <c r="BOA97" s="15"/>
      <c r="BOB97" s="15"/>
      <c r="BOC97" s="15"/>
      <c r="BOD97" s="15"/>
      <c r="BOE97" s="15"/>
      <c r="BOF97" s="15"/>
      <c r="BOG97" s="15"/>
      <c r="BOH97" s="15"/>
      <c r="BOI97" s="15"/>
      <c r="BOJ97" s="15"/>
      <c r="BOK97" s="15"/>
      <c r="BOL97" s="15"/>
      <c r="BOM97" s="15"/>
      <c r="BON97" s="15"/>
      <c r="BOO97" s="15"/>
      <c r="BOP97" s="15"/>
      <c r="BOQ97" s="15"/>
      <c r="BOR97" s="15"/>
      <c r="BOS97" s="15"/>
      <c r="BOT97" s="15"/>
      <c r="BOU97" s="15"/>
      <c r="BOV97" s="15"/>
      <c r="BOW97" s="15"/>
      <c r="BOX97" s="15"/>
      <c r="BOY97" s="15"/>
      <c r="BOZ97" s="15"/>
      <c r="BPA97" s="15"/>
      <c r="BPB97" s="15"/>
      <c r="BPC97" s="15"/>
      <c r="BPD97" s="15"/>
      <c r="BPE97" s="15"/>
      <c r="BPF97" s="15"/>
      <c r="BPG97" s="15"/>
      <c r="BPH97" s="15"/>
      <c r="BPI97" s="15"/>
      <c r="BPJ97" s="15"/>
      <c r="BPK97" s="15"/>
      <c r="BPL97" s="15"/>
      <c r="BPM97" s="15"/>
      <c r="BPN97" s="15"/>
      <c r="BPO97" s="15"/>
      <c r="BPP97" s="15"/>
      <c r="BPQ97" s="15"/>
      <c r="BPR97" s="15"/>
      <c r="BPS97" s="15"/>
      <c r="BPT97" s="15"/>
      <c r="BPU97" s="15"/>
      <c r="BPV97" s="15"/>
      <c r="BPW97" s="15"/>
      <c r="BPX97" s="15"/>
      <c r="BPY97" s="15"/>
      <c r="BPZ97" s="15"/>
      <c r="BQA97" s="15"/>
      <c r="BQB97" s="15"/>
      <c r="BQC97" s="15"/>
      <c r="BQD97" s="15"/>
      <c r="BQE97" s="15"/>
      <c r="BQF97" s="15"/>
      <c r="BQG97" s="15"/>
      <c r="BQH97" s="15"/>
      <c r="BQI97" s="15"/>
      <c r="BQJ97" s="15"/>
      <c r="BQK97" s="15"/>
      <c r="BQL97" s="15"/>
      <c r="BQM97" s="15"/>
      <c r="BQN97" s="15"/>
      <c r="BQO97" s="15"/>
      <c r="BQP97" s="15"/>
      <c r="BQQ97" s="15"/>
      <c r="BQR97" s="15"/>
      <c r="BQS97" s="15"/>
      <c r="BQT97" s="15"/>
      <c r="BQU97" s="15"/>
      <c r="BQV97" s="15"/>
      <c r="BQW97" s="15"/>
      <c r="BQX97" s="15"/>
      <c r="BQY97" s="15"/>
      <c r="BQZ97" s="15"/>
      <c r="BRA97" s="15"/>
      <c r="BRB97" s="15"/>
      <c r="BRC97" s="15"/>
      <c r="BRD97" s="15"/>
      <c r="BRE97" s="15"/>
      <c r="BRF97" s="15"/>
      <c r="BRG97" s="15"/>
      <c r="BRH97" s="15"/>
      <c r="BRI97" s="15"/>
      <c r="BRJ97" s="15"/>
      <c r="BRK97" s="15"/>
      <c r="BRL97" s="15"/>
      <c r="BRM97" s="15"/>
      <c r="BRN97" s="15"/>
      <c r="BRO97" s="15"/>
      <c r="BRP97" s="15"/>
      <c r="BRQ97" s="15"/>
      <c r="BRR97" s="15"/>
      <c r="BRS97" s="15"/>
      <c r="BRT97" s="15"/>
      <c r="BRU97" s="15"/>
      <c r="BRV97" s="15"/>
      <c r="BRW97" s="15"/>
      <c r="BRX97" s="15"/>
      <c r="BRY97" s="15"/>
      <c r="BRZ97" s="15"/>
      <c r="BSA97" s="15"/>
      <c r="BSB97" s="15"/>
      <c r="BSC97" s="15"/>
      <c r="BSD97" s="15"/>
      <c r="BSE97" s="15"/>
      <c r="BSF97" s="15"/>
      <c r="BSG97" s="15"/>
      <c r="BSH97" s="15"/>
      <c r="BSI97" s="15"/>
      <c r="BSJ97" s="15"/>
      <c r="BSK97" s="15"/>
      <c r="BSL97" s="15"/>
      <c r="BSM97" s="15"/>
      <c r="BSN97" s="15"/>
      <c r="BSO97" s="15"/>
      <c r="BSP97" s="15"/>
      <c r="BSQ97" s="15"/>
      <c r="BSR97" s="15"/>
      <c r="BSS97" s="15"/>
      <c r="BST97" s="15"/>
      <c r="BSU97" s="15"/>
      <c r="BSV97" s="15"/>
      <c r="BSW97" s="15"/>
      <c r="BSX97" s="15"/>
      <c r="BSY97" s="15"/>
      <c r="BSZ97" s="15"/>
      <c r="BTA97" s="15"/>
      <c r="BTB97" s="15"/>
      <c r="BTC97" s="15"/>
      <c r="BTD97" s="15"/>
      <c r="BTE97" s="15"/>
      <c r="BTF97" s="15"/>
      <c r="BTG97" s="15"/>
      <c r="BTH97" s="15"/>
      <c r="BTI97" s="15"/>
      <c r="BTJ97" s="15"/>
      <c r="BTK97" s="15"/>
      <c r="BTL97" s="15"/>
      <c r="BTM97" s="15"/>
      <c r="BTN97" s="15"/>
      <c r="BTO97" s="15"/>
      <c r="BTP97" s="15"/>
      <c r="BTQ97" s="15"/>
      <c r="BTR97" s="15"/>
      <c r="BTS97" s="15"/>
      <c r="BTT97" s="15"/>
      <c r="BTU97" s="15"/>
      <c r="BTV97" s="15"/>
      <c r="BTW97" s="15"/>
      <c r="BTX97" s="15"/>
      <c r="BTY97" s="15"/>
      <c r="BTZ97" s="15"/>
      <c r="BUA97" s="15"/>
      <c r="BUB97" s="15"/>
      <c r="BUC97" s="15"/>
      <c r="BUD97" s="15"/>
      <c r="BUE97" s="15"/>
      <c r="BUF97" s="15"/>
      <c r="BUG97" s="15"/>
      <c r="BUH97" s="15"/>
      <c r="BUI97" s="15"/>
      <c r="BUJ97" s="15"/>
      <c r="BUK97" s="15"/>
      <c r="BUL97" s="15"/>
      <c r="BUM97" s="15"/>
      <c r="BUN97" s="15"/>
      <c r="BUO97" s="15"/>
      <c r="BUP97" s="15"/>
      <c r="BUQ97" s="15"/>
      <c r="BUR97" s="15"/>
      <c r="BUS97" s="15"/>
      <c r="BUT97" s="15"/>
      <c r="BUU97" s="15"/>
      <c r="BUV97" s="15"/>
      <c r="BUW97" s="15"/>
      <c r="BUX97" s="15"/>
      <c r="BUY97" s="15"/>
      <c r="BUZ97" s="15"/>
      <c r="BVA97" s="15"/>
      <c r="BVB97" s="15"/>
      <c r="BVC97" s="15"/>
      <c r="BVD97" s="15"/>
      <c r="BVE97" s="15"/>
      <c r="BVF97" s="15"/>
      <c r="BVG97" s="15"/>
      <c r="BVH97" s="15"/>
      <c r="BVI97" s="15"/>
      <c r="BVJ97" s="15"/>
      <c r="BVK97" s="15"/>
      <c r="BVL97" s="15"/>
      <c r="BVM97" s="15"/>
      <c r="BVN97" s="15"/>
      <c r="BVO97" s="15"/>
      <c r="BVP97" s="15"/>
      <c r="BVQ97" s="15"/>
      <c r="BVR97" s="15"/>
      <c r="BVS97" s="15"/>
      <c r="BVT97" s="15"/>
      <c r="BVU97" s="15"/>
      <c r="BVV97" s="15"/>
      <c r="BVW97" s="15"/>
      <c r="BVX97" s="15"/>
      <c r="BVY97" s="15"/>
      <c r="BVZ97" s="15"/>
      <c r="BWA97" s="15"/>
      <c r="BWB97" s="15"/>
      <c r="BWC97" s="15"/>
      <c r="BWD97" s="15"/>
      <c r="BWE97" s="15"/>
      <c r="BWF97" s="15"/>
      <c r="BWG97" s="15"/>
      <c r="BWH97" s="15"/>
      <c r="BWI97" s="15"/>
      <c r="BWJ97" s="15"/>
      <c r="BWK97" s="15"/>
      <c r="BWL97" s="15"/>
      <c r="BWM97" s="15"/>
      <c r="BWN97" s="15"/>
      <c r="BWO97" s="15"/>
      <c r="BWP97" s="15"/>
      <c r="BWQ97" s="15"/>
      <c r="BWR97" s="15"/>
      <c r="BWS97" s="15"/>
      <c r="BWT97" s="15"/>
      <c r="BWU97" s="15"/>
      <c r="BWV97" s="15"/>
      <c r="BWW97" s="15"/>
      <c r="BWX97" s="15"/>
      <c r="BWY97" s="15"/>
      <c r="BWZ97" s="15"/>
      <c r="BXA97" s="15"/>
      <c r="BXB97" s="15"/>
      <c r="BXC97" s="15"/>
      <c r="BXD97" s="15"/>
      <c r="BXE97" s="15"/>
      <c r="BXF97" s="15"/>
      <c r="BXG97" s="15"/>
      <c r="BXH97" s="15"/>
      <c r="BXI97" s="15"/>
      <c r="BXJ97" s="15"/>
      <c r="BXK97" s="15"/>
      <c r="BXL97" s="15"/>
      <c r="BXM97" s="15"/>
      <c r="BXN97" s="15"/>
      <c r="BXO97" s="15"/>
      <c r="BXP97" s="15"/>
      <c r="BXQ97" s="15"/>
      <c r="BXR97" s="15"/>
      <c r="BXS97" s="15"/>
      <c r="BXT97" s="15"/>
      <c r="BXU97" s="15"/>
      <c r="BXV97" s="15"/>
      <c r="BXW97" s="15"/>
      <c r="BXX97" s="15"/>
      <c r="BXY97" s="15"/>
      <c r="BXZ97" s="15"/>
      <c r="BYA97" s="15"/>
      <c r="BYB97" s="15"/>
      <c r="BYC97" s="15"/>
      <c r="BYD97" s="15"/>
      <c r="BYE97" s="15"/>
      <c r="BYF97" s="15"/>
      <c r="BYG97" s="15"/>
      <c r="BYH97" s="15"/>
      <c r="BYI97" s="15"/>
      <c r="BYJ97" s="15"/>
      <c r="BYK97" s="15"/>
      <c r="BYL97" s="15"/>
      <c r="BYM97" s="15"/>
      <c r="BYN97" s="15"/>
      <c r="BYO97" s="15"/>
      <c r="BYP97" s="15"/>
      <c r="BYQ97" s="15"/>
      <c r="BYR97" s="15"/>
      <c r="BYS97" s="15"/>
      <c r="BYT97" s="15"/>
      <c r="BYU97" s="15"/>
      <c r="BYV97" s="15"/>
      <c r="BYW97" s="15"/>
      <c r="BYX97" s="15"/>
      <c r="BYY97" s="15"/>
      <c r="BYZ97" s="15"/>
      <c r="BZA97" s="15"/>
      <c r="BZB97" s="15"/>
      <c r="BZC97" s="15"/>
      <c r="BZD97" s="15"/>
      <c r="BZE97" s="15"/>
      <c r="BZF97" s="15"/>
      <c r="BZG97" s="15"/>
      <c r="BZH97" s="15"/>
      <c r="BZI97" s="15"/>
      <c r="BZJ97" s="15"/>
      <c r="BZK97" s="15"/>
      <c r="BZL97" s="15"/>
      <c r="BZM97" s="15"/>
      <c r="BZN97" s="15"/>
      <c r="BZO97" s="15"/>
      <c r="BZP97" s="15"/>
      <c r="BZQ97" s="15"/>
      <c r="BZR97" s="15"/>
      <c r="BZS97" s="15"/>
      <c r="BZT97" s="15"/>
      <c r="BZU97" s="15"/>
      <c r="BZV97" s="15"/>
      <c r="BZW97" s="15"/>
      <c r="BZX97" s="15"/>
      <c r="BZY97" s="15"/>
      <c r="BZZ97" s="15"/>
      <c r="CAA97" s="15"/>
      <c r="CAB97" s="15"/>
      <c r="CAC97" s="15"/>
      <c r="CAD97" s="15"/>
      <c r="CAE97" s="15"/>
      <c r="CAF97" s="15"/>
      <c r="CAG97" s="15"/>
      <c r="CAH97" s="15"/>
      <c r="CAI97" s="15"/>
      <c r="CAJ97" s="15"/>
      <c r="CAK97" s="15"/>
      <c r="CAL97" s="15"/>
      <c r="CAM97" s="15"/>
      <c r="CAN97" s="15"/>
      <c r="CAO97" s="15"/>
      <c r="CAP97" s="15"/>
      <c r="CAQ97" s="15"/>
      <c r="CAR97" s="15"/>
      <c r="CAS97" s="15"/>
      <c r="CAT97" s="15"/>
      <c r="CAU97" s="15"/>
      <c r="CAV97" s="15"/>
      <c r="CAW97" s="15"/>
      <c r="CAX97" s="15"/>
      <c r="CAY97" s="15"/>
      <c r="CAZ97" s="15"/>
      <c r="CBA97" s="15"/>
      <c r="CBB97" s="15"/>
      <c r="CBC97" s="15"/>
      <c r="CBD97" s="15"/>
      <c r="CBE97" s="15"/>
      <c r="CBF97" s="15"/>
      <c r="CBG97" s="15"/>
      <c r="CBH97" s="15"/>
      <c r="CBI97" s="15"/>
      <c r="CBJ97" s="15"/>
      <c r="CBK97" s="15"/>
      <c r="CBL97" s="15"/>
      <c r="CBM97" s="15"/>
      <c r="CBN97" s="15"/>
      <c r="CBO97" s="15"/>
      <c r="CBP97" s="15"/>
      <c r="CBQ97" s="15"/>
      <c r="CBR97" s="15"/>
      <c r="CBS97" s="15"/>
      <c r="CBT97" s="15"/>
      <c r="CBU97" s="15"/>
      <c r="CBV97" s="15"/>
      <c r="CBW97" s="15"/>
      <c r="CBX97" s="15"/>
      <c r="CBY97" s="15"/>
      <c r="CBZ97" s="15"/>
      <c r="CCA97" s="15"/>
      <c r="CCB97" s="15"/>
      <c r="CCC97" s="15"/>
      <c r="CCD97" s="15"/>
      <c r="CCE97" s="15"/>
      <c r="CCF97" s="15"/>
      <c r="CCG97" s="15"/>
      <c r="CCH97" s="15"/>
      <c r="CCI97" s="15"/>
      <c r="CCJ97" s="15"/>
      <c r="CCK97" s="15"/>
      <c r="CCL97" s="15"/>
      <c r="CCM97" s="15"/>
      <c r="CCN97" s="15"/>
      <c r="CCO97" s="15"/>
      <c r="CCP97" s="15"/>
      <c r="CCQ97" s="15"/>
      <c r="CCR97" s="15"/>
      <c r="CCS97" s="15"/>
      <c r="CCT97" s="15"/>
      <c r="CCU97" s="15"/>
      <c r="CCV97" s="15"/>
      <c r="CCW97" s="15"/>
      <c r="CCX97" s="15"/>
      <c r="CCY97" s="15"/>
      <c r="CCZ97" s="15"/>
      <c r="CDA97" s="15"/>
      <c r="CDB97" s="15"/>
      <c r="CDC97" s="15"/>
      <c r="CDD97" s="15"/>
      <c r="CDE97" s="15"/>
      <c r="CDF97" s="15"/>
      <c r="CDG97" s="15"/>
      <c r="CDH97" s="15"/>
      <c r="CDI97" s="15"/>
      <c r="CDJ97" s="15"/>
      <c r="CDK97" s="15"/>
      <c r="CDL97" s="15"/>
      <c r="CDM97" s="15"/>
      <c r="CDN97" s="15"/>
      <c r="CDO97" s="15"/>
      <c r="CDP97" s="15"/>
      <c r="CDQ97" s="15"/>
      <c r="CDR97" s="15"/>
      <c r="CDS97" s="15"/>
      <c r="CDT97" s="15"/>
      <c r="CDU97" s="15"/>
      <c r="CDV97" s="15"/>
      <c r="CDW97" s="15"/>
      <c r="CDX97" s="15"/>
      <c r="CDY97" s="15"/>
      <c r="CDZ97" s="15"/>
      <c r="CEA97" s="15"/>
      <c r="CEB97" s="15"/>
      <c r="CEC97" s="15"/>
      <c r="CED97" s="15"/>
      <c r="CEE97" s="15"/>
      <c r="CEF97" s="15"/>
      <c r="CEG97" s="15"/>
      <c r="CEH97" s="15"/>
      <c r="CEI97" s="15"/>
      <c r="CEJ97" s="15"/>
      <c r="CEK97" s="15"/>
      <c r="CEL97" s="15"/>
      <c r="CEM97" s="15"/>
      <c r="CEN97" s="15"/>
      <c r="CEO97" s="15"/>
      <c r="CEP97" s="15"/>
      <c r="CEQ97" s="15"/>
      <c r="CER97" s="15"/>
      <c r="CES97" s="15"/>
      <c r="CET97" s="15"/>
      <c r="CEU97" s="15"/>
      <c r="CEV97" s="15"/>
      <c r="CEW97" s="15"/>
      <c r="CEX97" s="15"/>
      <c r="CEY97" s="15"/>
      <c r="CEZ97" s="15"/>
      <c r="CFA97" s="15"/>
      <c r="CFB97" s="15"/>
      <c r="CFC97" s="15"/>
      <c r="CFD97" s="15"/>
      <c r="CFE97" s="15"/>
      <c r="CFF97" s="15"/>
      <c r="CFG97" s="15"/>
      <c r="CFH97" s="15"/>
      <c r="CFI97" s="15"/>
      <c r="CFJ97" s="15"/>
      <c r="CFK97" s="15"/>
      <c r="CFL97" s="15"/>
      <c r="CFM97" s="15"/>
      <c r="CFN97" s="15"/>
      <c r="CFO97" s="15"/>
      <c r="CFP97" s="15"/>
      <c r="CFQ97" s="15"/>
      <c r="CFR97" s="15"/>
      <c r="CFS97" s="15"/>
      <c r="CFT97" s="15"/>
      <c r="CFU97" s="15"/>
      <c r="CFV97" s="15"/>
      <c r="CFW97" s="15"/>
      <c r="CFX97" s="15"/>
      <c r="CFY97" s="15"/>
      <c r="CFZ97" s="15"/>
      <c r="CGA97" s="15"/>
      <c r="CGB97" s="15"/>
      <c r="CGC97" s="15"/>
      <c r="CGD97" s="15"/>
      <c r="CGE97" s="15"/>
      <c r="CGF97" s="15"/>
      <c r="CGG97" s="15"/>
      <c r="CGH97" s="15"/>
      <c r="CGI97" s="15"/>
      <c r="CGJ97" s="15"/>
      <c r="CGK97" s="15"/>
      <c r="CGL97" s="15"/>
      <c r="CGM97" s="15"/>
      <c r="CGN97" s="15"/>
      <c r="CGO97" s="15"/>
      <c r="CGP97" s="15"/>
      <c r="CGQ97" s="15"/>
      <c r="CGR97" s="15"/>
      <c r="CGS97" s="15"/>
      <c r="CGT97" s="15"/>
      <c r="CGU97" s="15"/>
      <c r="CGV97" s="15"/>
      <c r="CGW97" s="15"/>
      <c r="CGX97" s="15"/>
      <c r="CGY97" s="15"/>
      <c r="CGZ97" s="15"/>
      <c r="CHA97" s="15"/>
      <c r="CHB97" s="15"/>
      <c r="CHC97" s="15"/>
      <c r="CHD97" s="15"/>
      <c r="CHE97" s="15"/>
      <c r="CHF97" s="15"/>
      <c r="CHG97" s="15"/>
      <c r="CHH97" s="15"/>
      <c r="CHI97" s="15"/>
      <c r="CHJ97" s="15"/>
      <c r="CHK97" s="15"/>
      <c r="CHL97" s="15"/>
      <c r="CHM97" s="15"/>
      <c r="CHN97" s="15"/>
      <c r="CHO97" s="15"/>
      <c r="CHP97" s="15"/>
      <c r="CHQ97" s="15"/>
      <c r="CHR97" s="15"/>
      <c r="CHS97" s="15"/>
      <c r="CHT97" s="15"/>
      <c r="CHU97" s="15"/>
      <c r="CHV97" s="15"/>
      <c r="CHW97" s="15"/>
      <c r="CHX97" s="15"/>
      <c r="CHY97" s="15"/>
      <c r="CHZ97" s="15"/>
      <c r="CIA97" s="15"/>
      <c r="CIB97" s="15"/>
      <c r="CIC97" s="15"/>
      <c r="CID97" s="15"/>
      <c r="CIE97" s="15"/>
      <c r="CIF97" s="15"/>
      <c r="CIG97" s="15"/>
      <c r="CIH97" s="15"/>
      <c r="CII97" s="15"/>
      <c r="CIJ97" s="15"/>
      <c r="CIK97" s="15"/>
      <c r="CIL97" s="15"/>
      <c r="CIM97" s="15"/>
      <c r="CIN97" s="15"/>
      <c r="CIO97" s="15"/>
      <c r="CIP97" s="15"/>
      <c r="CIQ97" s="15"/>
      <c r="CIR97" s="15"/>
      <c r="CIS97" s="15"/>
      <c r="CIT97" s="15"/>
      <c r="CIU97" s="15"/>
      <c r="CIV97" s="15"/>
      <c r="CIW97" s="15"/>
      <c r="CIX97" s="15"/>
      <c r="CIY97" s="15"/>
      <c r="CIZ97" s="15"/>
      <c r="CJA97" s="15"/>
      <c r="CJB97" s="15"/>
      <c r="CJC97" s="15"/>
      <c r="CJD97" s="15"/>
      <c r="CJE97" s="15"/>
      <c r="CJF97" s="15"/>
      <c r="CJG97" s="15"/>
      <c r="CJH97" s="15"/>
      <c r="CJI97" s="15"/>
      <c r="CJJ97" s="15"/>
      <c r="CJK97" s="15"/>
      <c r="CJL97" s="15"/>
      <c r="CJM97" s="15"/>
      <c r="CJN97" s="15"/>
      <c r="CJO97" s="15"/>
      <c r="CJP97" s="15"/>
      <c r="CJQ97" s="15"/>
      <c r="CJR97" s="15"/>
      <c r="CJS97" s="15"/>
      <c r="CJT97" s="15"/>
      <c r="CJU97" s="15"/>
      <c r="CJV97" s="15"/>
      <c r="CJW97" s="15"/>
      <c r="CJX97" s="15"/>
      <c r="CJY97" s="15"/>
      <c r="CJZ97" s="15"/>
      <c r="CKA97" s="15"/>
      <c r="CKB97" s="15"/>
      <c r="CKC97" s="15"/>
      <c r="CKD97" s="15"/>
      <c r="CKE97" s="15"/>
      <c r="CKF97" s="15"/>
      <c r="CKG97" s="15"/>
      <c r="CKH97" s="15"/>
      <c r="CKI97" s="15"/>
      <c r="CKJ97" s="15"/>
      <c r="CKK97" s="15"/>
      <c r="CKL97" s="15"/>
      <c r="CKM97" s="15"/>
      <c r="CKN97" s="15"/>
      <c r="CKO97" s="15"/>
      <c r="CKP97" s="15"/>
      <c r="CKQ97" s="15"/>
      <c r="CKR97" s="15"/>
      <c r="CKS97" s="15"/>
      <c r="CKT97" s="15"/>
      <c r="CKU97" s="15"/>
      <c r="CKV97" s="15"/>
      <c r="CKW97" s="15"/>
      <c r="CKX97" s="15"/>
      <c r="CKY97" s="15"/>
      <c r="CKZ97" s="15"/>
      <c r="CLA97" s="15"/>
      <c r="CLB97" s="15"/>
      <c r="CLC97" s="15"/>
      <c r="CLD97" s="15"/>
      <c r="CLE97" s="15"/>
      <c r="CLF97" s="15"/>
      <c r="CLG97" s="15"/>
      <c r="CLH97" s="15"/>
      <c r="CLI97" s="15"/>
      <c r="CLJ97" s="15"/>
      <c r="CLK97" s="15"/>
      <c r="CLL97" s="15"/>
      <c r="CLM97" s="15"/>
      <c r="CLN97" s="15"/>
      <c r="CLO97" s="15"/>
      <c r="CLP97" s="15"/>
      <c r="CLQ97" s="15"/>
      <c r="CLR97" s="15"/>
      <c r="CLS97" s="15"/>
      <c r="CLT97" s="15"/>
      <c r="CLU97" s="15"/>
      <c r="CLV97" s="15"/>
      <c r="CLW97" s="15"/>
      <c r="CLX97" s="15"/>
      <c r="CLY97" s="15"/>
      <c r="CLZ97" s="15"/>
      <c r="CMA97" s="15"/>
      <c r="CMB97" s="15"/>
      <c r="CMC97" s="15"/>
      <c r="CMD97" s="15"/>
      <c r="CME97" s="15"/>
      <c r="CMF97" s="15"/>
      <c r="CMG97" s="15"/>
      <c r="CMH97" s="15"/>
      <c r="CMI97" s="15"/>
      <c r="CMJ97" s="15"/>
      <c r="CMK97" s="15"/>
      <c r="CML97" s="15"/>
      <c r="CMM97" s="15"/>
      <c r="CMN97" s="15"/>
      <c r="CMO97" s="15"/>
      <c r="CMP97" s="15"/>
      <c r="CMQ97" s="15"/>
      <c r="CMR97" s="15"/>
      <c r="CMS97" s="15"/>
      <c r="CMT97" s="15"/>
      <c r="CMU97" s="15"/>
      <c r="CMV97" s="15"/>
      <c r="CMW97" s="15"/>
      <c r="CMX97" s="15"/>
      <c r="CMY97" s="15"/>
      <c r="CMZ97" s="15"/>
      <c r="CNA97" s="15"/>
      <c r="CNB97" s="15"/>
      <c r="CNC97" s="15"/>
      <c r="CND97" s="15"/>
      <c r="CNE97" s="15"/>
      <c r="CNF97" s="15"/>
      <c r="CNG97" s="15"/>
      <c r="CNH97" s="15"/>
      <c r="CNI97" s="15"/>
      <c r="CNJ97" s="15"/>
      <c r="CNK97" s="15"/>
      <c r="CNL97" s="15"/>
      <c r="CNM97" s="15"/>
      <c r="CNN97" s="15"/>
      <c r="CNO97" s="15"/>
      <c r="CNP97" s="15"/>
      <c r="CNQ97" s="15"/>
      <c r="CNR97" s="15"/>
      <c r="CNS97" s="15"/>
      <c r="CNT97" s="15"/>
      <c r="CNU97" s="15"/>
      <c r="CNV97" s="15"/>
      <c r="CNW97" s="15"/>
      <c r="CNX97" s="15"/>
      <c r="CNY97" s="15"/>
      <c r="CNZ97" s="15"/>
      <c r="COA97" s="15"/>
      <c r="COB97" s="15"/>
      <c r="COC97" s="15"/>
      <c r="COD97" s="15"/>
      <c r="COE97" s="15"/>
      <c r="COF97" s="15"/>
      <c r="COG97" s="15"/>
      <c r="COH97" s="15"/>
      <c r="COI97" s="15"/>
      <c r="COJ97" s="15"/>
      <c r="COK97" s="15"/>
      <c r="COL97" s="15"/>
      <c r="COM97" s="15"/>
      <c r="CON97" s="15"/>
      <c r="COO97" s="15"/>
      <c r="COP97" s="15"/>
      <c r="COQ97" s="15"/>
      <c r="COR97" s="15"/>
      <c r="COS97" s="15"/>
      <c r="COT97" s="15"/>
      <c r="COU97" s="15"/>
      <c r="COV97" s="15"/>
      <c r="COW97" s="15"/>
      <c r="COX97" s="15"/>
      <c r="COY97" s="15"/>
      <c r="COZ97" s="15"/>
      <c r="CPA97" s="15"/>
      <c r="CPB97" s="15"/>
      <c r="CPC97" s="15"/>
      <c r="CPD97" s="15"/>
      <c r="CPE97" s="15"/>
      <c r="CPF97" s="15"/>
      <c r="CPG97" s="15"/>
      <c r="CPH97" s="15"/>
      <c r="CPI97" s="15"/>
      <c r="CPJ97" s="15"/>
      <c r="CPK97" s="15"/>
      <c r="CPL97" s="15"/>
      <c r="CPM97" s="15"/>
      <c r="CPN97" s="15"/>
      <c r="CPO97" s="15"/>
      <c r="CPP97" s="15"/>
      <c r="CPQ97" s="15"/>
      <c r="CPR97" s="15"/>
      <c r="CPS97" s="15"/>
      <c r="CPT97" s="15"/>
      <c r="CPU97" s="15"/>
      <c r="CPV97" s="15"/>
      <c r="CPW97" s="15"/>
      <c r="CPX97" s="15"/>
      <c r="CPY97" s="15"/>
      <c r="CPZ97" s="15"/>
      <c r="CQA97" s="15"/>
      <c r="CQB97" s="15"/>
      <c r="CQC97" s="15"/>
      <c r="CQD97" s="15"/>
      <c r="CQE97" s="15"/>
      <c r="CQF97" s="15"/>
      <c r="CQG97" s="15"/>
      <c r="CQH97" s="15"/>
      <c r="CQI97" s="15"/>
      <c r="CQJ97" s="15"/>
      <c r="CQK97" s="15"/>
      <c r="CQL97" s="15"/>
      <c r="CQM97" s="15"/>
      <c r="CQN97" s="15"/>
      <c r="CQO97" s="15"/>
      <c r="CQP97" s="15"/>
      <c r="CQQ97" s="15"/>
      <c r="CQR97" s="15"/>
      <c r="CQS97" s="15"/>
      <c r="CQT97" s="15"/>
      <c r="CQU97" s="15"/>
      <c r="CQV97" s="15"/>
      <c r="CQW97" s="15"/>
      <c r="CQX97" s="15"/>
      <c r="CQY97" s="15"/>
      <c r="CQZ97" s="15"/>
      <c r="CRA97" s="15"/>
      <c r="CRB97" s="15"/>
      <c r="CRC97" s="15"/>
      <c r="CRD97" s="15"/>
      <c r="CRE97" s="15"/>
      <c r="CRF97" s="15"/>
      <c r="CRG97" s="15"/>
      <c r="CRH97" s="15"/>
      <c r="CRI97" s="15"/>
      <c r="CRJ97" s="15"/>
      <c r="CRK97" s="15"/>
      <c r="CRL97" s="15"/>
      <c r="CRM97" s="15"/>
      <c r="CRN97" s="15"/>
      <c r="CRO97" s="15"/>
      <c r="CRP97" s="15"/>
      <c r="CRQ97" s="15"/>
      <c r="CRR97" s="15"/>
      <c r="CRS97" s="15"/>
      <c r="CRT97" s="15"/>
      <c r="CRU97" s="15"/>
      <c r="CRV97" s="15"/>
      <c r="CRW97" s="15"/>
      <c r="CRX97" s="15"/>
      <c r="CRY97" s="15"/>
      <c r="CRZ97" s="15"/>
      <c r="CSA97" s="15"/>
      <c r="CSB97" s="15"/>
      <c r="CSC97" s="15"/>
      <c r="CSD97" s="15"/>
      <c r="CSE97" s="15"/>
      <c r="CSF97" s="15"/>
      <c r="CSG97" s="15"/>
      <c r="CSH97" s="15"/>
      <c r="CSI97" s="15"/>
      <c r="CSJ97" s="15"/>
      <c r="CSK97" s="15"/>
      <c r="CSL97" s="15"/>
      <c r="CSM97" s="15"/>
      <c r="CSN97" s="15"/>
      <c r="CSO97" s="15"/>
      <c r="CSP97" s="15"/>
      <c r="CSQ97" s="15"/>
      <c r="CSR97" s="15"/>
      <c r="CSS97" s="15"/>
      <c r="CST97" s="15"/>
      <c r="CSU97" s="15"/>
      <c r="CSV97" s="15"/>
      <c r="CSW97" s="15"/>
      <c r="CSX97" s="15"/>
      <c r="CSY97" s="15"/>
      <c r="CSZ97" s="15"/>
      <c r="CTA97" s="15"/>
      <c r="CTB97" s="15"/>
      <c r="CTC97" s="15"/>
      <c r="CTD97" s="15"/>
      <c r="CTE97" s="15"/>
      <c r="CTF97" s="15"/>
      <c r="CTG97" s="15"/>
      <c r="CTH97" s="15"/>
      <c r="CTI97" s="15"/>
      <c r="CTJ97" s="15"/>
      <c r="CTK97" s="15"/>
      <c r="CTL97" s="15"/>
      <c r="CTM97" s="15"/>
      <c r="CTN97" s="15"/>
      <c r="CTO97" s="15"/>
      <c r="CTP97" s="15"/>
      <c r="CTQ97" s="15"/>
      <c r="CTR97" s="15"/>
      <c r="CTS97" s="15"/>
      <c r="CTT97" s="15"/>
      <c r="CTU97" s="15"/>
      <c r="CTV97" s="15"/>
      <c r="CTW97" s="15"/>
      <c r="CTX97" s="15"/>
      <c r="CTY97" s="15"/>
      <c r="CTZ97" s="15"/>
      <c r="CUA97" s="15"/>
      <c r="CUB97" s="15"/>
      <c r="CUC97" s="15"/>
      <c r="CUD97" s="15"/>
      <c r="CUE97" s="15"/>
      <c r="CUF97" s="15"/>
      <c r="CUG97" s="15"/>
      <c r="CUH97" s="15"/>
      <c r="CUI97" s="15"/>
      <c r="CUJ97" s="15"/>
      <c r="CUK97" s="15"/>
      <c r="CUL97" s="15"/>
      <c r="CUM97" s="15"/>
      <c r="CUN97" s="15"/>
      <c r="CUO97" s="15"/>
      <c r="CUP97" s="15"/>
      <c r="CUQ97" s="15"/>
      <c r="CUR97" s="15"/>
      <c r="CUS97" s="15"/>
      <c r="CUT97" s="15"/>
      <c r="CUU97" s="15"/>
      <c r="CUV97" s="15"/>
      <c r="CUW97" s="15"/>
      <c r="CUX97" s="15"/>
      <c r="CUY97" s="15"/>
      <c r="CUZ97" s="15"/>
      <c r="CVA97" s="15"/>
      <c r="CVB97" s="15"/>
      <c r="CVC97" s="15"/>
      <c r="CVD97" s="15"/>
      <c r="CVE97" s="15"/>
      <c r="CVF97" s="15"/>
      <c r="CVG97" s="15"/>
      <c r="CVH97" s="15"/>
      <c r="CVI97" s="15"/>
      <c r="CVJ97" s="15"/>
      <c r="CVK97" s="15"/>
      <c r="CVL97" s="15"/>
      <c r="CVM97" s="15"/>
      <c r="CVN97" s="15"/>
      <c r="CVO97" s="15"/>
      <c r="CVP97" s="15"/>
      <c r="CVQ97" s="15"/>
      <c r="CVR97" s="15"/>
      <c r="CVS97" s="15"/>
      <c r="CVT97" s="15"/>
      <c r="CVU97" s="15"/>
      <c r="CVV97" s="15"/>
      <c r="CVW97" s="15"/>
      <c r="CVX97" s="15"/>
      <c r="CVY97" s="15"/>
      <c r="CVZ97" s="15"/>
      <c r="CWA97" s="15"/>
      <c r="CWB97" s="15"/>
      <c r="CWC97" s="15"/>
      <c r="CWD97" s="15"/>
      <c r="CWE97" s="15"/>
      <c r="CWF97" s="15"/>
      <c r="CWG97" s="15"/>
      <c r="CWH97" s="15"/>
      <c r="CWI97" s="15"/>
      <c r="CWJ97" s="15"/>
      <c r="CWK97" s="15"/>
      <c r="CWL97" s="15"/>
      <c r="CWM97" s="15"/>
      <c r="CWN97" s="15"/>
      <c r="CWO97" s="15"/>
      <c r="CWP97" s="15"/>
      <c r="CWQ97" s="15"/>
      <c r="CWR97" s="15"/>
      <c r="CWS97" s="15"/>
      <c r="CWT97" s="15"/>
      <c r="CWU97" s="15"/>
      <c r="CWV97" s="15"/>
      <c r="CWW97" s="15"/>
      <c r="CWX97" s="15"/>
      <c r="CWY97" s="15"/>
      <c r="CWZ97" s="15"/>
      <c r="CXA97" s="15"/>
      <c r="CXB97" s="15"/>
      <c r="CXC97" s="15"/>
      <c r="CXD97" s="15"/>
      <c r="CXE97" s="15"/>
      <c r="CXF97" s="15"/>
      <c r="CXG97" s="15"/>
      <c r="CXH97" s="15"/>
      <c r="CXI97" s="15"/>
      <c r="CXJ97" s="15"/>
      <c r="CXK97" s="15"/>
      <c r="CXL97" s="15"/>
      <c r="CXM97" s="15"/>
      <c r="CXN97" s="15"/>
      <c r="CXO97" s="15"/>
      <c r="CXP97" s="15"/>
      <c r="CXQ97" s="15"/>
      <c r="CXR97" s="15"/>
      <c r="CXS97" s="15"/>
      <c r="CXT97" s="15"/>
      <c r="CXU97" s="15"/>
      <c r="CXV97" s="15"/>
      <c r="CXW97" s="15"/>
      <c r="CXX97" s="15"/>
      <c r="CXY97" s="15"/>
      <c r="CXZ97" s="15"/>
      <c r="CYA97" s="15"/>
      <c r="CYB97" s="15"/>
      <c r="CYC97" s="15"/>
      <c r="CYD97" s="15"/>
      <c r="CYE97" s="15"/>
      <c r="CYF97" s="15"/>
      <c r="CYG97" s="15"/>
      <c r="CYH97" s="15"/>
      <c r="CYI97" s="15"/>
      <c r="CYJ97" s="15"/>
      <c r="CYK97" s="15"/>
      <c r="CYL97" s="15"/>
      <c r="CYM97" s="15"/>
      <c r="CYN97" s="15"/>
      <c r="CYO97" s="15"/>
      <c r="CYP97" s="15"/>
      <c r="CYQ97" s="15"/>
      <c r="CYR97" s="15"/>
      <c r="CYS97" s="15"/>
      <c r="CYT97" s="15"/>
      <c r="CYU97" s="15"/>
      <c r="CYV97" s="15"/>
      <c r="CYW97" s="15"/>
      <c r="CYX97" s="15"/>
      <c r="CYY97" s="15"/>
      <c r="CYZ97" s="15"/>
      <c r="CZA97" s="15"/>
      <c r="CZB97" s="15"/>
      <c r="CZC97" s="15"/>
      <c r="CZD97" s="15"/>
      <c r="CZE97" s="15"/>
      <c r="CZF97" s="15"/>
      <c r="CZG97" s="15"/>
      <c r="CZH97" s="15"/>
      <c r="CZI97" s="15"/>
      <c r="CZJ97" s="15"/>
      <c r="CZK97" s="15"/>
      <c r="CZL97" s="15"/>
      <c r="CZM97" s="15"/>
      <c r="CZN97" s="15"/>
      <c r="CZO97" s="15"/>
      <c r="CZP97" s="15"/>
      <c r="CZQ97" s="15"/>
      <c r="CZR97" s="15"/>
      <c r="CZS97" s="15"/>
      <c r="CZT97" s="15"/>
      <c r="CZU97" s="15"/>
      <c r="CZV97" s="15"/>
      <c r="CZW97" s="15"/>
      <c r="CZX97" s="15"/>
      <c r="CZY97" s="15"/>
      <c r="CZZ97" s="15"/>
      <c r="DAA97" s="15"/>
      <c r="DAB97" s="15"/>
      <c r="DAC97" s="15"/>
      <c r="DAD97" s="15"/>
      <c r="DAE97" s="15"/>
      <c r="DAF97" s="15"/>
      <c r="DAG97" s="15"/>
      <c r="DAH97" s="15"/>
      <c r="DAI97" s="15"/>
      <c r="DAJ97" s="15"/>
      <c r="DAK97" s="15"/>
      <c r="DAL97" s="15"/>
      <c r="DAM97" s="15"/>
      <c r="DAN97" s="15"/>
      <c r="DAO97" s="15"/>
      <c r="DAP97" s="15"/>
      <c r="DAQ97" s="15"/>
      <c r="DAR97" s="15"/>
      <c r="DAS97" s="15"/>
      <c r="DAT97" s="15"/>
      <c r="DAU97" s="15"/>
      <c r="DAV97" s="15"/>
      <c r="DAW97" s="15"/>
      <c r="DAX97" s="15"/>
      <c r="DAY97" s="15"/>
      <c r="DAZ97" s="15"/>
      <c r="DBA97" s="15"/>
      <c r="DBB97" s="15"/>
      <c r="DBC97" s="15"/>
      <c r="DBD97" s="15"/>
      <c r="DBE97" s="15"/>
      <c r="DBF97" s="15"/>
      <c r="DBG97" s="15"/>
      <c r="DBH97" s="15"/>
      <c r="DBI97" s="15"/>
      <c r="DBJ97" s="15"/>
      <c r="DBK97" s="15"/>
      <c r="DBL97" s="15"/>
      <c r="DBM97" s="15"/>
      <c r="DBN97" s="15"/>
      <c r="DBO97" s="15"/>
      <c r="DBP97" s="15"/>
      <c r="DBQ97" s="15"/>
      <c r="DBR97" s="15"/>
      <c r="DBS97" s="15"/>
      <c r="DBT97" s="15"/>
      <c r="DBU97" s="15"/>
      <c r="DBV97" s="15"/>
      <c r="DBW97" s="15"/>
      <c r="DBX97" s="15"/>
      <c r="DBY97" s="15"/>
      <c r="DBZ97" s="15"/>
      <c r="DCA97" s="15"/>
      <c r="DCB97" s="15"/>
      <c r="DCC97" s="15"/>
      <c r="DCD97" s="15"/>
      <c r="DCE97" s="15"/>
      <c r="DCF97" s="15"/>
      <c r="DCG97" s="15"/>
      <c r="DCH97" s="15"/>
      <c r="DCI97" s="15"/>
      <c r="DCJ97" s="15"/>
      <c r="DCK97" s="15"/>
      <c r="DCL97" s="15"/>
      <c r="DCM97" s="15"/>
      <c r="DCN97" s="15"/>
      <c r="DCO97" s="15"/>
      <c r="DCP97" s="15"/>
      <c r="DCQ97" s="15"/>
      <c r="DCR97" s="15"/>
      <c r="DCS97" s="15"/>
      <c r="DCT97" s="15"/>
      <c r="DCU97" s="15"/>
      <c r="DCV97" s="15"/>
      <c r="DCW97" s="15"/>
      <c r="DCX97" s="15"/>
      <c r="DCY97" s="15"/>
      <c r="DCZ97" s="15"/>
      <c r="DDA97" s="15"/>
      <c r="DDB97" s="15"/>
      <c r="DDC97" s="15"/>
      <c r="DDD97" s="15"/>
      <c r="DDE97" s="15"/>
      <c r="DDF97" s="15"/>
      <c r="DDG97" s="15"/>
      <c r="DDH97" s="15"/>
      <c r="DDI97" s="15"/>
      <c r="DDJ97" s="15"/>
      <c r="DDK97" s="15"/>
      <c r="DDL97" s="15"/>
      <c r="DDM97" s="15"/>
      <c r="DDN97" s="15"/>
      <c r="DDO97" s="15"/>
      <c r="DDP97" s="15"/>
      <c r="DDQ97" s="15"/>
      <c r="DDR97" s="15"/>
      <c r="DDS97" s="15"/>
      <c r="DDT97" s="15"/>
      <c r="DDU97" s="15"/>
      <c r="DDV97" s="15"/>
      <c r="DDW97" s="15"/>
      <c r="DDX97" s="15"/>
      <c r="DDY97" s="15"/>
      <c r="DDZ97" s="15"/>
      <c r="DEA97" s="15"/>
      <c r="DEB97" s="15"/>
      <c r="DEC97" s="15"/>
      <c r="DED97" s="15"/>
      <c r="DEE97" s="15"/>
      <c r="DEF97" s="15"/>
      <c r="DEG97" s="15"/>
      <c r="DEH97" s="15"/>
      <c r="DEI97" s="15"/>
      <c r="DEJ97" s="15"/>
      <c r="DEK97" s="15"/>
      <c r="DEL97" s="15"/>
      <c r="DEM97" s="15"/>
      <c r="DEN97" s="15"/>
      <c r="DEO97" s="15"/>
      <c r="DEP97" s="15"/>
      <c r="DEQ97" s="15"/>
      <c r="DER97" s="15"/>
      <c r="DES97" s="15"/>
      <c r="DET97" s="15"/>
      <c r="DEU97" s="15"/>
      <c r="DEV97" s="15"/>
      <c r="DEW97" s="15"/>
      <c r="DEX97" s="15"/>
      <c r="DEY97" s="15"/>
      <c r="DEZ97" s="15"/>
      <c r="DFA97" s="15"/>
      <c r="DFB97" s="15"/>
      <c r="DFC97" s="15"/>
      <c r="DFD97" s="15"/>
      <c r="DFE97" s="15"/>
      <c r="DFF97" s="15"/>
      <c r="DFG97" s="15"/>
      <c r="DFH97" s="15"/>
      <c r="DFI97" s="15"/>
      <c r="DFJ97" s="15"/>
      <c r="DFK97" s="15"/>
      <c r="DFL97" s="15"/>
      <c r="DFM97" s="15"/>
      <c r="DFN97" s="15"/>
      <c r="DFO97" s="15"/>
      <c r="DFP97" s="15"/>
      <c r="DFQ97" s="15"/>
      <c r="DFR97" s="15"/>
      <c r="DFS97" s="15"/>
      <c r="DFT97" s="15"/>
      <c r="DFU97" s="15"/>
      <c r="DFV97" s="15"/>
      <c r="DFW97" s="15"/>
      <c r="DFX97" s="15"/>
      <c r="DFY97" s="15"/>
      <c r="DFZ97" s="15"/>
      <c r="DGA97" s="15"/>
      <c r="DGB97" s="15"/>
      <c r="DGC97" s="15"/>
      <c r="DGD97" s="15"/>
      <c r="DGE97" s="15"/>
      <c r="DGF97" s="15"/>
      <c r="DGG97" s="15"/>
      <c r="DGH97" s="15"/>
      <c r="DGI97" s="15"/>
      <c r="DGJ97" s="15"/>
      <c r="DGK97" s="15"/>
      <c r="DGL97" s="15"/>
      <c r="DGM97" s="15"/>
      <c r="DGN97" s="15"/>
      <c r="DGO97" s="15"/>
      <c r="DGP97" s="15"/>
      <c r="DGQ97" s="15"/>
      <c r="DGR97" s="15"/>
      <c r="DGS97" s="15"/>
      <c r="DGT97" s="15"/>
      <c r="DGU97" s="15"/>
      <c r="DGV97" s="15"/>
      <c r="DGW97" s="15"/>
      <c r="DGX97" s="15"/>
      <c r="DGY97" s="15"/>
      <c r="DGZ97" s="15"/>
      <c r="DHA97" s="15"/>
      <c r="DHB97" s="15"/>
      <c r="DHC97" s="15"/>
      <c r="DHD97" s="15"/>
      <c r="DHE97" s="15"/>
      <c r="DHF97" s="15"/>
      <c r="DHG97" s="15"/>
      <c r="DHH97" s="15"/>
      <c r="DHI97" s="15"/>
      <c r="DHJ97" s="15"/>
      <c r="DHK97" s="15"/>
      <c r="DHL97" s="15"/>
      <c r="DHM97" s="15"/>
      <c r="DHN97" s="15"/>
      <c r="DHO97" s="15"/>
      <c r="DHP97" s="15"/>
      <c r="DHQ97" s="15"/>
      <c r="DHR97" s="15"/>
      <c r="DHS97" s="15"/>
      <c r="DHT97" s="15"/>
      <c r="DHU97" s="15"/>
      <c r="DHV97" s="15"/>
      <c r="DHW97" s="15"/>
      <c r="DHX97" s="15"/>
      <c r="DHY97" s="15"/>
      <c r="DHZ97" s="15"/>
      <c r="DIA97" s="15"/>
      <c r="DIB97" s="15"/>
      <c r="DIC97" s="15"/>
      <c r="DID97" s="15"/>
      <c r="DIE97" s="15"/>
      <c r="DIF97" s="15"/>
      <c r="DIG97" s="15"/>
      <c r="DIH97" s="15"/>
      <c r="DII97" s="15"/>
      <c r="DIJ97" s="15"/>
      <c r="DIK97" s="15"/>
      <c r="DIL97" s="15"/>
      <c r="DIM97" s="15"/>
      <c r="DIN97" s="15"/>
      <c r="DIO97" s="15"/>
      <c r="DIP97" s="15"/>
      <c r="DIQ97" s="15"/>
      <c r="DIR97" s="15"/>
      <c r="DIS97" s="15"/>
      <c r="DIT97" s="15"/>
      <c r="DIU97" s="15"/>
      <c r="DIV97" s="15"/>
      <c r="DIW97" s="15"/>
      <c r="DIX97" s="15"/>
      <c r="DIY97" s="15"/>
      <c r="DIZ97" s="15"/>
      <c r="DJA97" s="15"/>
      <c r="DJB97" s="15"/>
      <c r="DJC97" s="15"/>
      <c r="DJD97" s="15"/>
      <c r="DJE97" s="15"/>
      <c r="DJF97" s="15"/>
      <c r="DJG97" s="15"/>
      <c r="DJH97" s="15"/>
      <c r="DJI97" s="15"/>
      <c r="DJJ97" s="15"/>
      <c r="DJK97" s="15"/>
      <c r="DJL97" s="15"/>
      <c r="DJM97" s="15"/>
      <c r="DJN97" s="15"/>
      <c r="DJO97" s="15"/>
      <c r="DJP97" s="15"/>
      <c r="DJQ97" s="15"/>
      <c r="DJR97" s="15"/>
      <c r="DJS97" s="15"/>
      <c r="DJT97" s="15"/>
      <c r="DJU97" s="15"/>
      <c r="DJV97" s="15"/>
      <c r="DJW97" s="15"/>
      <c r="DJX97" s="15"/>
      <c r="DJY97" s="15"/>
      <c r="DJZ97" s="15"/>
      <c r="DKA97" s="15"/>
      <c r="DKB97" s="15"/>
      <c r="DKC97" s="15"/>
      <c r="DKD97" s="15"/>
      <c r="DKE97" s="15"/>
      <c r="DKF97" s="15"/>
      <c r="DKG97" s="15"/>
      <c r="DKH97" s="15"/>
      <c r="DKI97" s="15"/>
      <c r="DKJ97" s="15"/>
      <c r="DKK97" s="15"/>
      <c r="DKL97" s="15"/>
      <c r="DKM97" s="15"/>
      <c r="DKN97" s="15"/>
      <c r="DKO97" s="15"/>
      <c r="DKP97" s="15"/>
      <c r="DKQ97" s="15"/>
      <c r="DKR97" s="15"/>
      <c r="DKS97" s="15"/>
      <c r="DKT97" s="15"/>
      <c r="DKU97" s="15"/>
      <c r="DKV97" s="15"/>
      <c r="DKW97" s="15"/>
      <c r="DKX97" s="15"/>
      <c r="DKY97" s="15"/>
      <c r="DKZ97" s="15"/>
      <c r="DLA97" s="15"/>
      <c r="DLB97" s="15"/>
      <c r="DLC97" s="15"/>
      <c r="DLD97" s="15"/>
      <c r="DLE97" s="15"/>
      <c r="DLF97" s="15"/>
      <c r="DLG97" s="15"/>
      <c r="DLH97" s="15"/>
      <c r="DLI97" s="15"/>
      <c r="DLJ97" s="15"/>
      <c r="DLK97" s="15"/>
      <c r="DLL97" s="15"/>
      <c r="DLM97" s="15"/>
      <c r="DLN97" s="15"/>
      <c r="DLO97" s="15"/>
      <c r="DLP97" s="15"/>
      <c r="DLQ97" s="15"/>
      <c r="DLR97" s="15"/>
      <c r="DLS97" s="15"/>
      <c r="DLT97" s="15"/>
      <c r="DLU97" s="15"/>
      <c r="DLV97" s="15"/>
      <c r="DLW97" s="15"/>
      <c r="DLX97" s="15"/>
      <c r="DLY97" s="15"/>
      <c r="DLZ97" s="15"/>
      <c r="DMA97" s="15"/>
      <c r="DMB97" s="15"/>
      <c r="DMC97" s="15"/>
      <c r="DMD97" s="15"/>
      <c r="DME97" s="15"/>
      <c r="DMF97" s="15"/>
      <c r="DMG97" s="15"/>
      <c r="DMH97" s="15"/>
      <c r="DMI97" s="15"/>
      <c r="DMJ97" s="15"/>
      <c r="DMK97" s="15"/>
      <c r="DML97" s="15"/>
      <c r="DMM97" s="15"/>
      <c r="DMN97" s="15"/>
      <c r="DMO97" s="15"/>
      <c r="DMP97" s="15"/>
      <c r="DMQ97" s="15"/>
      <c r="DMR97" s="15"/>
      <c r="DMS97" s="15"/>
      <c r="DMT97" s="15"/>
      <c r="DMU97" s="15"/>
      <c r="DMV97" s="15"/>
      <c r="DMW97" s="15"/>
      <c r="DMX97" s="15"/>
      <c r="DMY97" s="15"/>
      <c r="DMZ97" s="15"/>
      <c r="DNA97" s="15"/>
      <c r="DNB97" s="15"/>
      <c r="DNC97" s="15"/>
      <c r="DND97" s="15"/>
      <c r="DNE97" s="15"/>
      <c r="DNF97" s="15"/>
      <c r="DNG97" s="15"/>
      <c r="DNH97" s="15"/>
      <c r="DNI97" s="15"/>
      <c r="DNJ97" s="15"/>
      <c r="DNK97" s="15"/>
      <c r="DNL97" s="15"/>
      <c r="DNM97" s="15"/>
      <c r="DNN97" s="15"/>
      <c r="DNO97" s="15"/>
      <c r="DNP97" s="15"/>
      <c r="DNQ97" s="15"/>
      <c r="DNR97" s="15"/>
      <c r="DNS97" s="15"/>
      <c r="DNT97" s="15"/>
      <c r="DNU97" s="15"/>
      <c r="DNV97" s="15"/>
      <c r="DNW97" s="15"/>
      <c r="DNX97" s="15"/>
      <c r="DNY97" s="15"/>
      <c r="DNZ97" s="15"/>
      <c r="DOA97" s="15"/>
      <c r="DOB97" s="15"/>
      <c r="DOC97" s="15"/>
      <c r="DOD97" s="15"/>
      <c r="DOE97" s="15"/>
      <c r="DOF97" s="15"/>
      <c r="DOG97" s="15"/>
      <c r="DOH97" s="15"/>
      <c r="DOI97" s="15"/>
      <c r="DOJ97" s="15"/>
      <c r="DOK97" s="15"/>
      <c r="DOL97" s="15"/>
      <c r="DOM97" s="15"/>
      <c r="DON97" s="15"/>
      <c r="DOO97" s="15"/>
      <c r="DOP97" s="15"/>
      <c r="DOQ97" s="15"/>
      <c r="DOR97" s="15"/>
      <c r="DOS97" s="15"/>
      <c r="DOT97" s="15"/>
      <c r="DOU97" s="15"/>
      <c r="DOV97" s="15"/>
      <c r="DOW97" s="15"/>
      <c r="DOX97" s="15"/>
      <c r="DOY97" s="15"/>
      <c r="DOZ97" s="15"/>
      <c r="DPA97" s="15"/>
      <c r="DPB97" s="15"/>
      <c r="DPC97" s="15"/>
      <c r="DPD97" s="15"/>
      <c r="DPE97" s="15"/>
      <c r="DPF97" s="15"/>
      <c r="DPG97" s="15"/>
      <c r="DPH97" s="15"/>
      <c r="DPI97" s="15"/>
      <c r="DPJ97" s="15"/>
      <c r="DPK97" s="15"/>
      <c r="DPL97" s="15"/>
      <c r="DPM97" s="15"/>
      <c r="DPN97" s="15"/>
      <c r="DPO97" s="15"/>
      <c r="DPP97" s="15"/>
      <c r="DPQ97" s="15"/>
      <c r="DPR97" s="15"/>
      <c r="DPS97" s="15"/>
      <c r="DPT97" s="15"/>
      <c r="DPU97" s="15"/>
      <c r="DPV97" s="15"/>
      <c r="DPW97" s="15"/>
      <c r="DPX97" s="15"/>
      <c r="DPY97" s="15"/>
      <c r="DPZ97" s="15"/>
      <c r="DQA97" s="15"/>
      <c r="DQB97" s="15"/>
      <c r="DQC97" s="15"/>
      <c r="DQD97" s="15"/>
      <c r="DQE97" s="15"/>
      <c r="DQF97" s="15"/>
      <c r="DQG97" s="15"/>
      <c r="DQH97" s="15"/>
      <c r="DQI97" s="15"/>
      <c r="DQJ97" s="15"/>
      <c r="DQK97" s="15"/>
      <c r="DQL97" s="15"/>
      <c r="DQM97" s="15"/>
      <c r="DQN97" s="15"/>
      <c r="DQO97" s="15"/>
      <c r="DQP97" s="15"/>
      <c r="DQQ97" s="15"/>
      <c r="DQR97" s="15"/>
      <c r="DQS97" s="15"/>
      <c r="DQT97" s="15"/>
      <c r="DQU97" s="15"/>
      <c r="DQV97" s="15"/>
      <c r="DQW97" s="15"/>
      <c r="DQX97" s="15"/>
      <c r="DQY97" s="15"/>
      <c r="DQZ97" s="15"/>
      <c r="DRA97" s="15"/>
      <c r="DRB97" s="15"/>
      <c r="DRC97" s="15"/>
      <c r="DRD97" s="15"/>
      <c r="DRE97" s="15"/>
      <c r="DRF97" s="15"/>
      <c r="DRG97" s="15"/>
      <c r="DRH97" s="15"/>
      <c r="DRI97" s="15"/>
      <c r="DRJ97" s="15"/>
      <c r="DRK97" s="15"/>
      <c r="DRL97" s="15"/>
      <c r="DRM97" s="15"/>
      <c r="DRN97" s="15"/>
      <c r="DRO97" s="15"/>
      <c r="DRP97" s="15"/>
      <c r="DRQ97" s="15"/>
      <c r="DRR97" s="15"/>
      <c r="DRS97" s="15"/>
      <c r="DRT97" s="15"/>
      <c r="DRU97" s="15"/>
      <c r="DRV97" s="15"/>
      <c r="DRW97" s="15"/>
      <c r="DRX97" s="15"/>
      <c r="DRY97" s="15"/>
      <c r="DRZ97" s="15"/>
      <c r="DSA97" s="15"/>
      <c r="DSB97" s="15"/>
      <c r="DSC97" s="15"/>
      <c r="DSD97" s="15"/>
      <c r="DSE97" s="15"/>
      <c r="DSF97" s="15"/>
      <c r="DSG97" s="15"/>
      <c r="DSH97" s="15"/>
      <c r="DSI97" s="15"/>
      <c r="DSJ97" s="15"/>
      <c r="DSK97" s="15"/>
      <c r="DSL97" s="15"/>
      <c r="DSM97" s="15"/>
      <c r="DSN97" s="15"/>
      <c r="DSO97" s="15"/>
      <c r="DSP97" s="15"/>
      <c r="DSQ97" s="15"/>
      <c r="DSR97" s="15"/>
      <c r="DSS97" s="15"/>
      <c r="DST97" s="15"/>
      <c r="DSU97" s="15"/>
      <c r="DSV97" s="15"/>
      <c r="DSW97" s="15"/>
      <c r="DSX97" s="15"/>
      <c r="DSY97" s="15"/>
      <c r="DSZ97" s="15"/>
      <c r="DTA97" s="15"/>
      <c r="DTB97" s="15"/>
      <c r="DTC97" s="15"/>
      <c r="DTD97" s="15"/>
      <c r="DTE97" s="15"/>
      <c r="DTF97" s="15"/>
      <c r="DTG97" s="15"/>
      <c r="DTH97" s="15"/>
      <c r="DTI97" s="15"/>
      <c r="DTJ97" s="15"/>
      <c r="DTK97" s="15"/>
      <c r="DTL97" s="15"/>
      <c r="DTM97" s="15"/>
      <c r="DTN97" s="15"/>
      <c r="DTO97" s="15"/>
      <c r="DTP97" s="15"/>
      <c r="DTQ97" s="15"/>
      <c r="DTR97" s="15"/>
      <c r="DTS97" s="15"/>
      <c r="DTT97" s="15"/>
      <c r="DTU97" s="15"/>
      <c r="DTV97" s="15"/>
      <c r="DTW97" s="15"/>
      <c r="DTX97" s="15"/>
      <c r="DTY97" s="15"/>
      <c r="DTZ97" s="15"/>
      <c r="DUA97" s="15"/>
      <c r="DUB97" s="15"/>
      <c r="DUC97" s="15"/>
      <c r="DUD97" s="15"/>
      <c r="DUE97" s="15"/>
      <c r="DUF97" s="15"/>
      <c r="DUG97" s="15"/>
      <c r="DUH97" s="15"/>
      <c r="DUI97" s="15"/>
      <c r="DUJ97" s="15"/>
      <c r="DUK97" s="15"/>
      <c r="DUL97" s="15"/>
      <c r="DUM97" s="15"/>
      <c r="DUN97" s="15"/>
      <c r="DUO97" s="15"/>
      <c r="DUP97" s="15"/>
      <c r="DUQ97" s="15"/>
      <c r="DUR97" s="15"/>
      <c r="DUS97" s="15"/>
      <c r="DUT97" s="15"/>
      <c r="DUU97" s="15"/>
      <c r="DUV97" s="15"/>
      <c r="DUW97" s="15"/>
      <c r="DUX97" s="15"/>
      <c r="DUY97" s="15"/>
      <c r="DUZ97" s="15"/>
      <c r="DVA97" s="15"/>
      <c r="DVB97" s="15"/>
      <c r="DVC97" s="15"/>
      <c r="DVD97" s="15"/>
      <c r="DVE97" s="15"/>
      <c r="DVF97" s="15"/>
      <c r="DVG97" s="15"/>
      <c r="DVH97" s="15"/>
      <c r="DVI97" s="15"/>
      <c r="DVJ97" s="15"/>
      <c r="DVK97" s="15"/>
      <c r="DVL97" s="15"/>
      <c r="DVM97" s="15"/>
      <c r="DVN97" s="15"/>
      <c r="DVO97" s="15"/>
      <c r="DVP97" s="15"/>
      <c r="DVQ97" s="15"/>
      <c r="DVR97" s="15"/>
      <c r="DVS97" s="15"/>
      <c r="DVT97" s="15"/>
      <c r="DVU97" s="15"/>
      <c r="DVV97" s="15"/>
      <c r="DVW97" s="15"/>
      <c r="DVX97" s="15"/>
      <c r="DVY97" s="15"/>
      <c r="DVZ97" s="15"/>
      <c r="DWA97" s="15"/>
      <c r="DWB97" s="15"/>
      <c r="DWC97" s="15"/>
      <c r="DWD97" s="15"/>
      <c r="DWE97" s="15"/>
      <c r="DWF97" s="15"/>
      <c r="DWG97" s="15"/>
      <c r="DWH97" s="15"/>
      <c r="DWI97" s="15"/>
      <c r="DWJ97" s="15"/>
      <c r="DWK97" s="15"/>
      <c r="DWL97" s="15"/>
      <c r="DWM97" s="15"/>
      <c r="DWN97" s="15"/>
      <c r="DWO97" s="15"/>
      <c r="DWP97" s="15"/>
      <c r="DWQ97" s="15"/>
      <c r="DWR97" s="15"/>
      <c r="DWS97" s="15"/>
      <c r="DWT97" s="15"/>
      <c r="DWU97" s="15"/>
      <c r="DWV97" s="15"/>
      <c r="DWW97" s="15"/>
      <c r="DWX97" s="15"/>
      <c r="DWY97" s="15"/>
      <c r="DWZ97" s="15"/>
      <c r="DXA97" s="15"/>
      <c r="DXB97" s="15"/>
      <c r="DXC97" s="15"/>
      <c r="DXD97" s="15"/>
      <c r="DXE97" s="15"/>
      <c r="DXF97" s="15"/>
      <c r="DXG97" s="15"/>
      <c r="DXH97" s="15"/>
      <c r="DXI97" s="15"/>
      <c r="DXJ97" s="15"/>
      <c r="DXK97" s="15"/>
      <c r="DXL97" s="15"/>
      <c r="DXM97" s="15"/>
      <c r="DXN97" s="15"/>
      <c r="DXO97" s="15"/>
      <c r="DXP97" s="15"/>
      <c r="DXQ97" s="15"/>
      <c r="DXR97" s="15"/>
      <c r="DXS97" s="15"/>
      <c r="DXT97" s="15"/>
      <c r="DXU97" s="15"/>
      <c r="DXV97" s="15"/>
      <c r="DXW97" s="15"/>
      <c r="DXX97" s="15"/>
      <c r="DXY97" s="15"/>
      <c r="DXZ97" s="15"/>
      <c r="DYA97" s="15"/>
      <c r="DYB97" s="15"/>
      <c r="DYC97" s="15"/>
      <c r="DYD97" s="15"/>
      <c r="DYE97" s="15"/>
      <c r="DYF97" s="15"/>
      <c r="DYG97" s="15"/>
      <c r="DYH97" s="15"/>
      <c r="DYI97" s="15"/>
      <c r="DYJ97" s="15"/>
      <c r="DYK97" s="15"/>
      <c r="DYL97" s="15"/>
      <c r="DYM97" s="15"/>
      <c r="DYN97" s="15"/>
      <c r="DYO97" s="15"/>
      <c r="DYP97" s="15"/>
      <c r="DYQ97" s="15"/>
      <c r="DYR97" s="15"/>
      <c r="DYS97" s="15"/>
      <c r="DYT97" s="15"/>
      <c r="DYU97" s="15"/>
      <c r="DYV97" s="15"/>
      <c r="DYW97" s="15"/>
      <c r="DYX97" s="15"/>
      <c r="DYY97" s="15"/>
      <c r="DYZ97" s="15"/>
      <c r="DZA97" s="15"/>
      <c r="DZB97" s="15"/>
      <c r="DZC97" s="15"/>
      <c r="DZD97" s="15"/>
      <c r="DZE97" s="15"/>
      <c r="DZF97" s="15"/>
      <c r="DZG97" s="15"/>
      <c r="DZH97" s="15"/>
      <c r="DZI97" s="15"/>
      <c r="DZJ97" s="15"/>
      <c r="DZK97" s="15"/>
      <c r="DZL97" s="15"/>
      <c r="DZM97" s="15"/>
      <c r="DZN97" s="15"/>
      <c r="DZO97" s="15"/>
      <c r="DZP97" s="15"/>
      <c r="DZQ97" s="15"/>
      <c r="DZR97" s="15"/>
      <c r="DZS97" s="15"/>
      <c r="DZT97" s="15"/>
      <c r="DZU97" s="15"/>
      <c r="DZV97" s="15"/>
      <c r="DZW97" s="15"/>
      <c r="DZX97" s="15"/>
      <c r="DZY97" s="15"/>
      <c r="DZZ97" s="15"/>
      <c r="EAA97" s="15"/>
      <c r="EAB97" s="15"/>
      <c r="EAC97" s="15"/>
      <c r="EAD97" s="15"/>
      <c r="EAE97" s="15"/>
      <c r="EAF97" s="15"/>
      <c r="EAG97" s="15"/>
      <c r="EAH97" s="15"/>
      <c r="EAI97" s="15"/>
      <c r="EAJ97" s="15"/>
      <c r="EAK97" s="15"/>
      <c r="EAL97" s="15"/>
      <c r="EAM97" s="15"/>
      <c r="EAN97" s="15"/>
      <c r="EAO97" s="15"/>
      <c r="EAP97" s="15"/>
      <c r="EAQ97" s="15"/>
      <c r="EAR97" s="15"/>
      <c r="EAS97" s="15"/>
      <c r="EAT97" s="15"/>
      <c r="EAU97" s="15"/>
      <c r="EAV97" s="15"/>
      <c r="EAW97" s="15"/>
      <c r="EAX97" s="15"/>
      <c r="EAY97" s="15"/>
      <c r="EAZ97" s="15"/>
      <c r="EBA97" s="15"/>
      <c r="EBB97" s="15"/>
      <c r="EBC97" s="15"/>
      <c r="EBD97" s="15"/>
      <c r="EBE97" s="15"/>
      <c r="EBF97" s="15"/>
      <c r="EBG97" s="15"/>
      <c r="EBH97" s="15"/>
      <c r="EBI97" s="15"/>
      <c r="EBJ97" s="15"/>
      <c r="EBK97" s="15"/>
      <c r="EBL97" s="15"/>
      <c r="EBM97" s="15"/>
      <c r="EBN97" s="15"/>
      <c r="EBO97" s="15"/>
      <c r="EBP97" s="15"/>
      <c r="EBQ97" s="15"/>
      <c r="EBR97" s="15"/>
      <c r="EBS97" s="15"/>
      <c r="EBT97" s="15"/>
      <c r="EBU97" s="15"/>
      <c r="EBV97" s="15"/>
      <c r="EBW97" s="15"/>
      <c r="EBX97" s="15"/>
      <c r="EBY97" s="15"/>
      <c r="EBZ97" s="15"/>
      <c r="ECA97" s="15"/>
      <c r="ECB97" s="15"/>
      <c r="ECC97" s="15"/>
      <c r="ECD97" s="15"/>
      <c r="ECE97" s="15"/>
      <c r="ECF97" s="15"/>
      <c r="ECG97" s="15"/>
      <c r="ECH97" s="15"/>
      <c r="ECI97" s="15"/>
      <c r="ECJ97" s="15"/>
      <c r="ECK97" s="15"/>
      <c r="ECL97" s="15"/>
      <c r="ECM97" s="15"/>
      <c r="ECN97" s="15"/>
      <c r="ECO97" s="15"/>
      <c r="ECP97" s="15"/>
      <c r="ECQ97" s="15"/>
      <c r="ECR97" s="15"/>
      <c r="ECS97" s="15"/>
      <c r="ECT97" s="15"/>
      <c r="ECU97" s="15"/>
      <c r="ECV97" s="15"/>
      <c r="ECW97" s="15"/>
      <c r="ECX97" s="15"/>
      <c r="ECY97" s="15"/>
      <c r="ECZ97" s="15"/>
      <c r="EDA97" s="15"/>
      <c r="EDB97" s="15"/>
      <c r="EDC97" s="15"/>
      <c r="EDD97" s="15"/>
      <c r="EDE97" s="15"/>
      <c r="EDF97" s="15"/>
      <c r="EDG97" s="15"/>
      <c r="EDH97" s="15"/>
      <c r="EDI97" s="15"/>
      <c r="EDJ97" s="15"/>
      <c r="EDK97" s="15"/>
      <c r="EDL97" s="15"/>
      <c r="EDM97" s="15"/>
      <c r="EDN97" s="15"/>
      <c r="EDO97" s="15"/>
      <c r="EDP97" s="15"/>
      <c r="EDQ97" s="15"/>
      <c r="EDR97" s="15"/>
      <c r="EDS97" s="15"/>
      <c r="EDT97" s="15"/>
      <c r="EDU97" s="15"/>
      <c r="EDV97" s="15"/>
      <c r="EDW97" s="15"/>
      <c r="EDX97" s="15"/>
      <c r="EDY97" s="15"/>
      <c r="EDZ97" s="15"/>
      <c r="EEA97" s="15"/>
      <c r="EEB97" s="15"/>
      <c r="EEC97" s="15"/>
      <c r="EED97" s="15"/>
      <c r="EEE97" s="15"/>
      <c r="EEF97" s="15"/>
      <c r="EEG97" s="15"/>
      <c r="EEH97" s="15"/>
      <c r="EEI97" s="15"/>
      <c r="EEJ97" s="15"/>
      <c r="EEK97" s="15"/>
      <c r="EEL97" s="15"/>
      <c r="EEM97" s="15"/>
      <c r="EEN97" s="15"/>
      <c r="EEO97" s="15"/>
      <c r="EEP97" s="15"/>
      <c r="EEQ97" s="15"/>
      <c r="EER97" s="15"/>
      <c r="EES97" s="15"/>
      <c r="EET97" s="15"/>
      <c r="EEU97" s="15"/>
      <c r="EEV97" s="15"/>
      <c r="EEW97" s="15"/>
      <c r="EEX97" s="15"/>
      <c r="EEY97" s="15"/>
      <c r="EEZ97" s="15"/>
      <c r="EFA97" s="15"/>
      <c r="EFB97" s="15"/>
      <c r="EFC97" s="15"/>
      <c r="EFD97" s="15"/>
      <c r="EFE97" s="15"/>
      <c r="EFF97" s="15"/>
      <c r="EFG97" s="15"/>
      <c r="EFH97" s="15"/>
      <c r="EFI97" s="15"/>
      <c r="EFJ97" s="15"/>
      <c r="EFK97" s="15"/>
      <c r="EFL97" s="15"/>
      <c r="EFM97" s="15"/>
      <c r="EFN97" s="15"/>
      <c r="EFO97" s="15"/>
      <c r="EFP97" s="15"/>
      <c r="EFQ97" s="15"/>
      <c r="EFR97" s="15"/>
      <c r="EFS97" s="15"/>
      <c r="EFT97" s="15"/>
      <c r="EFU97" s="15"/>
      <c r="EFV97" s="15"/>
      <c r="EFW97" s="15"/>
      <c r="EFX97" s="15"/>
      <c r="EFY97" s="15"/>
      <c r="EFZ97" s="15"/>
      <c r="EGA97" s="15"/>
      <c r="EGB97" s="15"/>
      <c r="EGC97" s="15"/>
      <c r="EGD97" s="15"/>
      <c r="EGE97" s="15"/>
      <c r="EGF97" s="15"/>
      <c r="EGG97" s="15"/>
      <c r="EGH97" s="15"/>
      <c r="EGI97" s="15"/>
      <c r="EGJ97" s="15"/>
      <c r="EGK97" s="15"/>
      <c r="EGL97" s="15"/>
      <c r="EGM97" s="15"/>
      <c r="EGN97" s="15"/>
      <c r="EGO97" s="15"/>
      <c r="EGP97" s="15"/>
      <c r="EGQ97" s="15"/>
      <c r="EGR97" s="15"/>
      <c r="EGS97" s="15"/>
      <c r="EGT97" s="15"/>
      <c r="EGU97" s="15"/>
      <c r="EGV97" s="15"/>
      <c r="EGW97" s="15"/>
      <c r="EGX97" s="15"/>
      <c r="EGY97" s="15"/>
      <c r="EGZ97" s="15"/>
      <c r="EHA97" s="15"/>
      <c r="EHB97" s="15"/>
      <c r="EHC97" s="15"/>
      <c r="EHD97" s="15"/>
      <c r="EHE97" s="15"/>
      <c r="EHF97" s="15"/>
      <c r="EHG97" s="15"/>
      <c r="EHH97" s="15"/>
      <c r="EHI97" s="15"/>
      <c r="EHJ97" s="15"/>
      <c r="EHK97" s="15"/>
      <c r="EHL97" s="15"/>
      <c r="EHM97" s="15"/>
      <c r="EHN97" s="15"/>
      <c r="EHO97" s="15"/>
      <c r="EHP97" s="15"/>
      <c r="EHQ97" s="15"/>
      <c r="EHR97" s="15"/>
      <c r="EHS97" s="15"/>
      <c r="EHT97" s="15"/>
      <c r="EHU97" s="15"/>
      <c r="EHV97" s="15"/>
      <c r="EHW97" s="15"/>
      <c r="EHX97" s="15"/>
      <c r="EHY97" s="15"/>
      <c r="EHZ97" s="15"/>
      <c r="EIA97" s="15"/>
      <c r="EIB97" s="15"/>
      <c r="EIC97" s="15"/>
      <c r="EID97" s="15"/>
      <c r="EIE97" s="15"/>
      <c r="EIF97" s="15"/>
      <c r="EIG97" s="15"/>
      <c r="EIH97" s="15"/>
      <c r="EII97" s="15"/>
      <c r="EIJ97" s="15"/>
      <c r="EIK97" s="15"/>
      <c r="EIL97" s="15"/>
      <c r="EIM97" s="15"/>
      <c r="EIN97" s="15"/>
      <c r="EIO97" s="15"/>
      <c r="EIP97" s="15"/>
      <c r="EIQ97" s="15"/>
      <c r="EIR97" s="15"/>
      <c r="EIS97" s="15"/>
      <c r="EIT97" s="15"/>
      <c r="EIU97" s="15"/>
      <c r="EIV97" s="15"/>
      <c r="EIW97" s="15"/>
      <c r="EIX97" s="15"/>
      <c r="EIY97" s="15"/>
      <c r="EIZ97" s="15"/>
      <c r="EJA97" s="15"/>
      <c r="EJB97" s="15"/>
      <c r="EJC97" s="15"/>
      <c r="EJD97" s="15"/>
      <c r="EJE97" s="15"/>
      <c r="EJF97" s="15"/>
      <c r="EJG97" s="15"/>
      <c r="EJH97" s="15"/>
      <c r="EJI97" s="15"/>
      <c r="EJJ97" s="15"/>
      <c r="EJK97" s="15"/>
      <c r="EJL97" s="15"/>
      <c r="EJM97" s="15"/>
      <c r="EJN97" s="15"/>
      <c r="EJO97" s="15"/>
      <c r="EJP97" s="15"/>
      <c r="EJQ97" s="15"/>
      <c r="EJR97" s="15"/>
      <c r="EJS97" s="15"/>
      <c r="EJT97" s="15"/>
      <c r="EJU97" s="15"/>
      <c r="EJV97" s="15"/>
      <c r="EJW97" s="15"/>
      <c r="EJX97" s="15"/>
      <c r="EJY97" s="15"/>
      <c r="EJZ97" s="15"/>
      <c r="EKA97" s="15"/>
      <c r="EKB97" s="15"/>
      <c r="EKC97" s="15"/>
      <c r="EKD97" s="15"/>
      <c r="EKE97" s="15"/>
      <c r="EKF97" s="15"/>
      <c r="EKG97" s="15"/>
      <c r="EKH97" s="15"/>
      <c r="EKI97" s="15"/>
      <c r="EKJ97" s="15"/>
      <c r="EKK97" s="15"/>
      <c r="EKL97" s="15"/>
      <c r="EKM97" s="15"/>
      <c r="EKN97" s="15"/>
      <c r="EKO97" s="15"/>
      <c r="EKP97" s="15"/>
      <c r="EKQ97" s="15"/>
      <c r="EKR97" s="15"/>
      <c r="EKS97" s="15"/>
      <c r="EKT97" s="15"/>
      <c r="EKU97" s="15"/>
      <c r="EKV97" s="15"/>
      <c r="EKW97" s="15"/>
      <c r="EKX97" s="15"/>
      <c r="EKY97" s="15"/>
      <c r="EKZ97" s="15"/>
      <c r="ELA97" s="15"/>
      <c r="ELB97" s="15"/>
      <c r="ELC97" s="15"/>
      <c r="ELD97" s="15"/>
      <c r="ELE97" s="15"/>
      <c r="ELF97" s="15"/>
      <c r="ELG97" s="15"/>
      <c r="ELH97" s="15"/>
      <c r="ELI97" s="15"/>
      <c r="ELJ97" s="15"/>
      <c r="ELK97" s="15"/>
      <c r="ELL97" s="15"/>
      <c r="ELM97" s="15"/>
      <c r="ELN97" s="15"/>
      <c r="ELO97" s="15"/>
      <c r="ELP97" s="15"/>
      <c r="ELQ97" s="15"/>
      <c r="ELR97" s="15"/>
      <c r="ELS97" s="15"/>
      <c r="ELT97" s="15"/>
      <c r="ELU97" s="15"/>
      <c r="ELV97" s="15"/>
      <c r="ELW97" s="15"/>
      <c r="ELX97" s="15"/>
      <c r="ELY97" s="15"/>
      <c r="ELZ97" s="15"/>
      <c r="EMA97" s="15"/>
      <c r="EMB97" s="15"/>
      <c r="EMC97" s="15"/>
      <c r="EMD97" s="15"/>
      <c r="EME97" s="15"/>
      <c r="EMF97" s="15"/>
      <c r="EMG97" s="15"/>
      <c r="EMH97" s="15"/>
      <c r="EMI97" s="15"/>
      <c r="EMJ97" s="15"/>
      <c r="EMK97" s="15"/>
      <c r="EML97" s="15"/>
      <c r="EMM97" s="15"/>
      <c r="EMN97" s="15"/>
      <c r="EMO97" s="15"/>
      <c r="EMP97" s="15"/>
      <c r="EMQ97" s="15"/>
      <c r="EMR97" s="15"/>
      <c r="EMS97" s="15"/>
      <c r="EMT97" s="15"/>
      <c r="EMU97" s="15"/>
      <c r="EMV97" s="15"/>
      <c r="EMW97" s="15"/>
      <c r="EMX97" s="15"/>
      <c r="EMY97" s="15"/>
      <c r="EMZ97" s="15"/>
      <c r="ENA97" s="15"/>
      <c r="ENB97" s="15"/>
      <c r="ENC97" s="15"/>
      <c r="END97" s="15"/>
      <c r="ENE97" s="15"/>
      <c r="ENF97" s="15"/>
      <c r="ENG97" s="15"/>
      <c r="ENH97" s="15"/>
      <c r="ENI97" s="15"/>
      <c r="ENJ97" s="15"/>
      <c r="ENK97" s="15"/>
      <c r="ENL97" s="15"/>
      <c r="ENM97" s="15"/>
      <c r="ENN97" s="15"/>
      <c r="ENO97" s="15"/>
      <c r="ENP97" s="15"/>
      <c r="ENQ97" s="15"/>
      <c r="ENR97" s="15"/>
      <c r="ENS97" s="15"/>
      <c r="ENT97" s="15"/>
      <c r="ENU97" s="15"/>
      <c r="ENV97" s="15"/>
      <c r="ENW97" s="15"/>
      <c r="ENX97" s="15"/>
      <c r="ENY97" s="15"/>
      <c r="ENZ97" s="15"/>
      <c r="EOA97" s="15"/>
      <c r="EOB97" s="15"/>
      <c r="EOC97" s="15"/>
      <c r="EOD97" s="15"/>
      <c r="EOE97" s="15"/>
      <c r="EOF97" s="15"/>
      <c r="EOG97" s="15"/>
      <c r="EOH97" s="15"/>
      <c r="EOI97" s="15"/>
      <c r="EOJ97" s="15"/>
      <c r="EOK97" s="15"/>
      <c r="EOL97" s="15"/>
      <c r="EOM97" s="15"/>
      <c r="EON97" s="15"/>
      <c r="EOO97" s="15"/>
      <c r="EOP97" s="15"/>
      <c r="EOQ97" s="15"/>
      <c r="EOR97" s="15"/>
      <c r="EOS97" s="15"/>
      <c r="EOT97" s="15"/>
      <c r="EOU97" s="15"/>
      <c r="EOV97" s="15"/>
      <c r="EOW97" s="15"/>
      <c r="EOX97" s="15"/>
      <c r="EOY97" s="15"/>
      <c r="EOZ97" s="15"/>
      <c r="EPA97" s="15"/>
      <c r="EPB97" s="15"/>
      <c r="EPC97" s="15"/>
      <c r="EPD97" s="15"/>
      <c r="EPE97" s="15"/>
      <c r="EPF97" s="15"/>
      <c r="EPG97" s="15"/>
      <c r="EPH97" s="15"/>
      <c r="EPI97" s="15"/>
      <c r="EPJ97" s="15"/>
      <c r="EPK97" s="15"/>
      <c r="EPL97" s="15"/>
      <c r="EPM97" s="15"/>
      <c r="EPN97" s="15"/>
      <c r="EPO97" s="15"/>
      <c r="EPP97" s="15"/>
      <c r="EPQ97" s="15"/>
      <c r="EPR97" s="15"/>
      <c r="EPS97" s="15"/>
      <c r="EPT97" s="15"/>
      <c r="EPU97" s="15"/>
      <c r="EPV97" s="15"/>
      <c r="EPW97" s="15"/>
      <c r="EPX97" s="15"/>
      <c r="EPY97" s="15"/>
      <c r="EPZ97" s="15"/>
      <c r="EQA97" s="15"/>
      <c r="EQB97" s="15"/>
      <c r="EQC97" s="15"/>
      <c r="EQD97" s="15"/>
      <c r="EQE97" s="15"/>
      <c r="EQF97" s="15"/>
      <c r="EQG97" s="15"/>
      <c r="EQH97" s="15"/>
      <c r="EQI97" s="15"/>
      <c r="EQJ97" s="15"/>
      <c r="EQK97" s="15"/>
      <c r="EQL97" s="15"/>
      <c r="EQM97" s="15"/>
      <c r="EQN97" s="15"/>
      <c r="EQO97" s="15"/>
      <c r="EQP97" s="15"/>
      <c r="EQQ97" s="15"/>
      <c r="EQR97" s="15"/>
      <c r="EQS97" s="15"/>
      <c r="EQT97" s="15"/>
      <c r="EQU97" s="15"/>
      <c r="EQV97" s="15"/>
      <c r="EQW97" s="15"/>
      <c r="EQX97" s="15"/>
      <c r="EQY97" s="15"/>
      <c r="EQZ97" s="15"/>
      <c r="ERA97" s="15"/>
      <c r="ERB97" s="15"/>
      <c r="ERC97" s="15"/>
      <c r="ERD97" s="15"/>
      <c r="ERE97" s="15"/>
      <c r="ERF97" s="15"/>
      <c r="ERG97" s="15"/>
      <c r="ERH97" s="15"/>
      <c r="ERI97" s="15"/>
      <c r="ERJ97" s="15"/>
      <c r="ERK97" s="15"/>
      <c r="ERL97" s="15"/>
      <c r="ERM97" s="15"/>
      <c r="ERN97" s="15"/>
      <c r="ERO97" s="15"/>
      <c r="ERP97" s="15"/>
      <c r="ERQ97" s="15"/>
      <c r="ERR97" s="15"/>
      <c r="ERS97" s="15"/>
      <c r="ERT97" s="15"/>
      <c r="ERU97" s="15"/>
      <c r="ERV97" s="15"/>
      <c r="ERW97" s="15"/>
      <c r="ERX97" s="15"/>
      <c r="ERY97" s="15"/>
      <c r="ERZ97" s="15"/>
      <c r="ESA97" s="15"/>
      <c r="ESB97" s="15"/>
      <c r="ESC97" s="15"/>
      <c r="ESD97" s="15"/>
      <c r="ESE97" s="15"/>
      <c r="ESF97" s="15"/>
      <c r="ESG97" s="15"/>
      <c r="ESH97" s="15"/>
      <c r="ESI97" s="15"/>
      <c r="ESJ97" s="15"/>
      <c r="ESK97" s="15"/>
      <c r="ESL97" s="15"/>
      <c r="ESM97" s="15"/>
      <c r="ESN97" s="15"/>
      <c r="ESO97" s="15"/>
      <c r="ESP97" s="15"/>
      <c r="ESQ97" s="15"/>
      <c r="ESR97" s="15"/>
      <c r="ESS97" s="15"/>
      <c r="EST97" s="15"/>
      <c r="ESU97" s="15"/>
      <c r="ESV97" s="15"/>
      <c r="ESW97" s="15"/>
      <c r="ESX97" s="15"/>
      <c r="ESY97" s="15"/>
      <c r="ESZ97" s="15"/>
      <c r="ETA97" s="15"/>
      <c r="ETB97" s="15"/>
      <c r="ETC97" s="15"/>
      <c r="ETD97" s="15"/>
      <c r="ETE97" s="15"/>
      <c r="ETF97" s="15"/>
      <c r="ETG97" s="15"/>
      <c r="ETH97" s="15"/>
      <c r="ETI97" s="15"/>
      <c r="ETJ97" s="15"/>
      <c r="ETK97" s="15"/>
      <c r="ETL97" s="15"/>
      <c r="ETM97" s="15"/>
      <c r="ETN97" s="15"/>
      <c r="ETO97" s="15"/>
      <c r="ETP97" s="15"/>
      <c r="ETQ97" s="15"/>
      <c r="ETR97" s="15"/>
      <c r="ETS97" s="15"/>
      <c r="ETT97" s="15"/>
      <c r="ETU97" s="15"/>
      <c r="ETV97" s="15"/>
      <c r="ETW97" s="15"/>
      <c r="ETX97" s="15"/>
      <c r="ETY97" s="15"/>
      <c r="ETZ97" s="15"/>
      <c r="EUA97" s="15"/>
      <c r="EUB97" s="15"/>
      <c r="EUC97" s="15"/>
      <c r="EUD97" s="15"/>
      <c r="EUE97" s="15"/>
      <c r="EUF97" s="15"/>
      <c r="EUG97" s="15"/>
      <c r="EUH97" s="15"/>
      <c r="EUI97" s="15"/>
      <c r="EUJ97" s="15"/>
      <c r="EUK97" s="15"/>
      <c r="EUL97" s="15"/>
      <c r="EUM97" s="15"/>
      <c r="EUN97" s="15"/>
      <c r="EUO97" s="15"/>
      <c r="EUP97" s="15"/>
      <c r="EUQ97" s="15"/>
      <c r="EUR97" s="15"/>
      <c r="EUS97" s="15"/>
      <c r="EUT97" s="15"/>
      <c r="EUU97" s="15"/>
      <c r="EUV97" s="15"/>
      <c r="EUW97" s="15"/>
      <c r="EUX97" s="15"/>
      <c r="EUY97" s="15"/>
      <c r="EUZ97" s="15"/>
      <c r="EVA97" s="15"/>
      <c r="EVB97" s="15"/>
      <c r="EVC97" s="15"/>
      <c r="EVD97" s="15"/>
      <c r="EVE97" s="15"/>
      <c r="EVF97" s="15"/>
      <c r="EVG97" s="15"/>
      <c r="EVH97" s="15"/>
      <c r="EVI97" s="15"/>
      <c r="EVJ97" s="15"/>
      <c r="EVK97" s="15"/>
      <c r="EVL97" s="15"/>
      <c r="EVM97" s="15"/>
      <c r="EVN97" s="15"/>
      <c r="EVO97" s="15"/>
      <c r="EVP97" s="15"/>
      <c r="EVQ97" s="15"/>
      <c r="EVR97" s="15"/>
      <c r="EVS97" s="15"/>
      <c r="EVT97" s="15"/>
      <c r="EVU97" s="15"/>
      <c r="EVV97" s="15"/>
      <c r="EVW97" s="15"/>
      <c r="EVX97" s="15"/>
      <c r="EVY97" s="15"/>
      <c r="EVZ97" s="15"/>
      <c r="EWA97" s="15"/>
      <c r="EWB97" s="15"/>
      <c r="EWC97" s="15"/>
      <c r="EWD97" s="15"/>
      <c r="EWE97" s="15"/>
      <c r="EWF97" s="15"/>
      <c r="EWG97" s="15"/>
      <c r="EWH97" s="15"/>
      <c r="EWI97" s="15"/>
      <c r="EWJ97" s="15"/>
      <c r="EWK97" s="15"/>
      <c r="EWL97" s="15"/>
      <c r="EWM97" s="15"/>
      <c r="EWN97" s="15"/>
      <c r="EWO97" s="15"/>
      <c r="EWP97" s="15"/>
      <c r="EWQ97" s="15"/>
      <c r="EWR97" s="15"/>
      <c r="EWS97" s="15"/>
      <c r="EWT97" s="15"/>
      <c r="EWU97" s="15"/>
      <c r="EWV97" s="15"/>
      <c r="EWW97" s="15"/>
      <c r="EWX97" s="15"/>
      <c r="EWY97" s="15"/>
      <c r="EWZ97" s="15"/>
      <c r="EXA97" s="15"/>
      <c r="EXB97" s="15"/>
      <c r="EXC97" s="15"/>
      <c r="EXD97" s="15"/>
      <c r="EXE97" s="15"/>
      <c r="EXF97" s="15"/>
      <c r="EXG97" s="15"/>
      <c r="EXH97" s="15"/>
      <c r="EXI97" s="15"/>
      <c r="EXJ97" s="15"/>
      <c r="EXK97" s="15"/>
      <c r="EXL97" s="15"/>
      <c r="EXM97" s="15"/>
      <c r="EXN97" s="15"/>
      <c r="EXO97" s="15"/>
      <c r="EXP97" s="15"/>
      <c r="EXQ97" s="15"/>
      <c r="EXR97" s="15"/>
      <c r="EXS97" s="15"/>
      <c r="EXT97" s="15"/>
      <c r="EXU97" s="15"/>
      <c r="EXV97" s="15"/>
      <c r="EXW97" s="15"/>
      <c r="EXX97" s="15"/>
      <c r="EXY97" s="15"/>
      <c r="EXZ97" s="15"/>
      <c r="EYA97" s="15"/>
      <c r="EYB97" s="15"/>
      <c r="EYC97" s="15"/>
      <c r="EYD97" s="15"/>
      <c r="EYE97" s="15"/>
      <c r="EYF97" s="15"/>
      <c r="EYG97" s="15"/>
      <c r="EYH97" s="15"/>
      <c r="EYI97" s="15"/>
      <c r="EYJ97" s="15"/>
      <c r="EYK97" s="15"/>
      <c r="EYL97" s="15"/>
      <c r="EYM97" s="15"/>
      <c r="EYN97" s="15"/>
      <c r="EYO97" s="15"/>
      <c r="EYP97" s="15"/>
      <c r="EYQ97" s="15"/>
      <c r="EYR97" s="15"/>
      <c r="EYS97" s="15"/>
      <c r="EYT97" s="15"/>
      <c r="EYU97" s="15"/>
      <c r="EYV97" s="15"/>
      <c r="EYW97" s="15"/>
      <c r="EYX97" s="15"/>
      <c r="EYY97" s="15"/>
      <c r="EYZ97" s="15"/>
      <c r="EZA97" s="15"/>
      <c r="EZB97" s="15"/>
      <c r="EZC97" s="15"/>
      <c r="EZD97" s="15"/>
      <c r="EZE97" s="15"/>
      <c r="EZF97" s="15"/>
      <c r="EZG97" s="15"/>
      <c r="EZH97" s="15"/>
      <c r="EZI97" s="15"/>
      <c r="EZJ97" s="15"/>
      <c r="EZK97" s="15"/>
      <c r="EZL97" s="15"/>
      <c r="EZM97" s="15"/>
      <c r="EZN97" s="15"/>
      <c r="EZO97" s="15"/>
      <c r="EZP97" s="15"/>
      <c r="EZQ97" s="15"/>
      <c r="EZR97" s="15"/>
      <c r="EZS97" s="15"/>
      <c r="EZT97" s="15"/>
      <c r="EZU97" s="15"/>
      <c r="EZV97" s="15"/>
      <c r="EZW97" s="15"/>
      <c r="EZX97" s="15"/>
      <c r="EZY97" s="15"/>
      <c r="EZZ97" s="15"/>
      <c r="FAA97" s="15"/>
      <c r="FAB97" s="15"/>
      <c r="FAC97" s="15"/>
      <c r="FAD97" s="15"/>
      <c r="FAE97" s="15"/>
      <c r="FAF97" s="15"/>
      <c r="FAG97" s="15"/>
      <c r="FAH97" s="15"/>
      <c r="FAI97" s="15"/>
      <c r="FAJ97" s="15"/>
      <c r="FAK97" s="15"/>
      <c r="FAL97" s="15"/>
      <c r="FAM97" s="15"/>
      <c r="FAN97" s="15"/>
      <c r="FAO97" s="15"/>
      <c r="FAP97" s="15"/>
      <c r="FAQ97" s="15"/>
      <c r="FAR97" s="15"/>
      <c r="FAS97" s="15"/>
      <c r="FAT97" s="15"/>
      <c r="FAU97" s="15"/>
      <c r="FAV97" s="15"/>
      <c r="FAW97" s="15"/>
      <c r="FAX97" s="15"/>
      <c r="FAY97" s="15"/>
      <c r="FAZ97" s="15"/>
      <c r="FBA97" s="15"/>
      <c r="FBB97" s="15"/>
      <c r="FBC97" s="15"/>
      <c r="FBD97" s="15"/>
      <c r="FBE97" s="15"/>
      <c r="FBF97" s="15"/>
      <c r="FBG97" s="15"/>
      <c r="FBH97" s="15"/>
      <c r="FBI97" s="15"/>
      <c r="FBJ97" s="15"/>
      <c r="FBK97" s="15"/>
      <c r="FBL97" s="15"/>
      <c r="FBM97" s="15"/>
      <c r="FBN97" s="15"/>
      <c r="FBO97" s="15"/>
      <c r="FBP97" s="15"/>
      <c r="FBQ97" s="15"/>
      <c r="FBR97" s="15"/>
      <c r="FBS97" s="15"/>
      <c r="FBT97" s="15"/>
      <c r="FBU97" s="15"/>
      <c r="FBV97" s="15"/>
      <c r="FBW97" s="15"/>
      <c r="FBX97" s="15"/>
      <c r="FBY97" s="15"/>
      <c r="FBZ97" s="15"/>
      <c r="FCA97" s="15"/>
      <c r="FCB97" s="15"/>
      <c r="FCC97" s="15"/>
      <c r="FCD97" s="15"/>
      <c r="FCE97" s="15"/>
      <c r="FCF97" s="15"/>
      <c r="FCG97" s="15"/>
      <c r="FCH97" s="15"/>
      <c r="FCI97" s="15"/>
      <c r="FCJ97" s="15"/>
      <c r="FCK97" s="15"/>
      <c r="FCL97" s="15"/>
      <c r="FCM97" s="15"/>
      <c r="FCN97" s="15"/>
      <c r="FCO97" s="15"/>
      <c r="FCP97" s="15"/>
      <c r="FCQ97" s="15"/>
      <c r="FCR97" s="15"/>
      <c r="FCS97" s="15"/>
      <c r="FCT97" s="15"/>
      <c r="FCU97" s="15"/>
      <c r="FCV97" s="15"/>
      <c r="FCW97" s="15"/>
      <c r="FCX97" s="15"/>
      <c r="FCY97" s="15"/>
      <c r="FCZ97" s="15"/>
      <c r="FDA97" s="15"/>
      <c r="FDB97" s="15"/>
      <c r="FDC97" s="15"/>
      <c r="FDD97" s="15"/>
      <c r="FDE97" s="15"/>
      <c r="FDF97" s="15"/>
      <c r="FDG97" s="15"/>
      <c r="FDH97" s="15"/>
      <c r="FDI97" s="15"/>
      <c r="FDJ97" s="15"/>
      <c r="FDK97" s="15"/>
      <c r="FDL97" s="15"/>
      <c r="FDM97" s="15"/>
      <c r="FDN97" s="15"/>
      <c r="FDO97" s="15"/>
      <c r="FDP97" s="15"/>
      <c r="FDQ97" s="15"/>
      <c r="FDR97" s="15"/>
      <c r="FDS97" s="15"/>
      <c r="FDT97" s="15"/>
      <c r="FDU97" s="15"/>
      <c r="FDV97" s="15"/>
      <c r="FDW97" s="15"/>
      <c r="FDX97" s="15"/>
      <c r="FDY97" s="15"/>
      <c r="FDZ97" s="15"/>
      <c r="FEA97" s="15"/>
      <c r="FEB97" s="15"/>
      <c r="FEC97" s="15"/>
      <c r="FED97" s="15"/>
      <c r="FEE97" s="15"/>
      <c r="FEF97" s="15"/>
      <c r="FEG97" s="15"/>
      <c r="FEH97" s="15"/>
      <c r="FEI97" s="15"/>
      <c r="FEJ97" s="15"/>
      <c r="FEK97" s="15"/>
      <c r="FEL97" s="15"/>
      <c r="FEM97" s="15"/>
      <c r="FEN97" s="15"/>
      <c r="FEO97" s="15"/>
      <c r="FEP97" s="15"/>
      <c r="FEQ97" s="15"/>
      <c r="FER97" s="15"/>
      <c r="FES97" s="15"/>
      <c r="FET97" s="15"/>
      <c r="FEU97" s="15"/>
      <c r="FEV97" s="15"/>
      <c r="FEW97" s="15"/>
      <c r="FEX97" s="15"/>
      <c r="FEY97" s="15"/>
      <c r="FEZ97" s="15"/>
      <c r="FFA97" s="15"/>
      <c r="FFB97" s="15"/>
      <c r="FFC97" s="15"/>
      <c r="FFD97" s="15"/>
      <c r="FFE97" s="15"/>
      <c r="FFF97" s="15"/>
      <c r="FFG97" s="15"/>
      <c r="FFH97" s="15"/>
      <c r="FFI97" s="15"/>
      <c r="FFJ97" s="15"/>
      <c r="FFK97" s="15"/>
      <c r="FFL97" s="15"/>
      <c r="FFM97" s="15"/>
      <c r="FFN97" s="15"/>
      <c r="FFO97" s="15"/>
      <c r="FFP97" s="15"/>
      <c r="FFQ97" s="15"/>
      <c r="FFR97" s="15"/>
      <c r="FFS97" s="15"/>
      <c r="FFT97" s="15"/>
      <c r="FFU97" s="15"/>
      <c r="FFV97" s="15"/>
      <c r="FFW97" s="15"/>
      <c r="FFX97" s="15"/>
      <c r="FFY97" s="15"/>
      <c r="FFZ97" s="15"/>
      <c r="FGA97" s="15"/>
      <c r="FGB97" s="15"/>
      <c r="FGC97" s="15"/>
      <c r="FGD97" s="15"/>
      <c r="FGE97" s="15"/>
      <c r="FGF97" s="15"/>
      <c r="FGG97" s="15"/>
      <c r="FGH97" s="15"/>
      <c r="FGI97" s="15"/>
      <c r="FGJ97" s="15"/>
      <c r="FGK97" s="15"/>
      <c r="FGL97" s="15"/>
      <c r="FGM97" s="15"/>
      <c r="FGN97" s="15"/>
      <c r="FGO97" s="15"/>
      <c r="FGP97" s="15"/>
      <c r="FGQ97" s="15"/>
      <c r="FGR97" s="15"/>
      <c r="FGS97" s="15"/>
      <c r="FGT97" s="15"/>
      <c r="FGU97" s="15"/>
      <c r="FGV97" s="15"/>
      <c r="FGW97" s="15"/>
      <c r="FGX97" s="15"/>
      <c r="FGY97" s="15"/>
      <c r="FGZ97" s="15"/>
      <c r="FHA97" s="15"/>
      <c r="FHB97" s="15"/>
      <c r="FHC97" s="15"/>
      <c r="FHD97" s="15"/>
      <c r="FHE97" s="15"/>
      <c r="FHF97" s="15"/>
      <c r="FHG97" s="15"/>
      <c r="FHH97" s="15"/>
      <c r="FHI97" s="15"/>
      <c r="FHJ97" s="15"/>
      <c r="FHK97" s="15"/>
      <c r="FHL97" s="15"/>
      <c r="FHM97" s="15"/>
      <c r="FHN97" s="15"/>
      <c r="FHO97" s="15"/>
      <c r="FHP97" s="15"/>
      <c r="FHQ97" s="15"/>
      <c r="FHR97" s="15"/>
      <c r="FHS97" s="15"/>
      <c r="FHT97" s="15"/>
      <c r="FHU97" s="15"/>
      <c r="FHV97" s="15"/>
      <c r="FHW97" s="15"/>
      <c r="FHX97" s="15"/>
      <c r="FHY97" s="15"/>
      <c r="FHZ97" s="15"/>
      <c r="FIA97" s="15"/>
      <c r="FIB97" s="15"/>
      <c r="FIC97" s="15"/>
      <c r="FID97" s="15"/>
      <c r="FIE97" s="15"/>
      <c r="FIF97" s="15"/>
      <c r="FIG97" s="15"/>
      <c r="FIH97" s="15"/>
      <c r="FII97" s="15"/>
      <c r="FIJ97" s="15"/>
      <c r="FIK97" s="15"/>
      <c r="FIL97" s="15"/>
      <c r="FIM97" s="15"/>
      <c r="FIN97" s="15"/>
      <c r="FIO97" s="15"/>
      <c r="FIP97" s="15"/>
      <c r="FIQ97" s="15"/>
      <c r="FIR97" s="15"/>
      <c r="FIS97" s="15"/>
      <c r="FIT97" s="15"/>
      <c r="FIU97" s="15"/>
      <c r="FIV97" s="15"/>
      <c r="FIW97" s="15"/>
      <c r="FIX97" s="15"/>
      <c r="FIY97" s="15"/>
      <c r="FIZ97" s="15"/>
      <c r="FJA97" s="15"/>
      <c r="FJB97" s="15"/>
      <c r="FJC97" s="15"/>
      <c r="FJD97" s="15"/>
      <c r="FJE97" s="15"/>
      <c r="FJF97" s="15"/>
      <c r="FJG97" s="15"/>
      <c r="FJH97" s="15"/>
      <c r="FJI97" s="15"/>
      <c r="FJJ97" s="15"/>
      <c r="FJK97" s="15"/>
      <c r="FJL97" s="15"/>
      <c r="FJM97" s="15"/>
      <c r="FJN97" s="15"/>
      <c r="FJO97" s="15"/>
      <c r="FJP97" s="15"/>
      <c r="FJQ97" s="15"/>
      <c r="FJR97" s="15"/>
      <c r="FJS97" s="15"/>
      <c r="FJT97" s="15"/>
      <c r="FJU97" s="15"/>
      <c r="FJV97" s="15"/>
      <c r="FJW97" s="15"/>
      <c r="FJX97" s="15"/>
      <c r="FJY97" s="15"/>
      <c r="FJZ97" s="15"/>
      <c r="FKA97" s="15"/>
      <c r="FKB97" s="15"/>
      <c r="FKC97" s="15"/>
      <c r="FKD97" s="15"/>
      <c r="FKE97" s="15"/>
      <c r="FKF97" s="15"/>
      <c r="FKG97" s="15"/>
      <c r="FKH97" s="15"/>
      <c r="FKI97" s="15"/>
      <c r="FKJ97" s="15"/>
      <c r="FKK97" s="15"/>
      <c r="FKL97" s="15"/>
      <c r="FKM97" s="15"/>
      <c r="FKN97" s="15"/>
      <c r="FKO97" s="15"/>
      <c r="FKP97" s="15"/>
      <c r="FKQ97" s="15"/>
      <c r="FKR97" s="15"/>
      <c r="FKS97" s="15"/>
      <c r="FKT97" s="15"/>
      <c r="FKU97" s="15"/>
      <c r="FKV97" s="15"/>
      <c r="FKW97" s="15"/>
      <c r="FKX97" s="15"/>
      <c r="FKY97" s="15"/>
      <c r="FKZ97" s="15"/>
      <c r="FLA97" s="15"/>
      <c r="FLB97" s="15"/>
      <c r="FLC97" s="15"/>
      <c r="FLD97" s="15"/>
      <c r="FLE97" s="15"/>
      <c r="FLF97" s="15"/>
      <c r="FLG97" s="15"/>
      <c r="FLH97" s="15"/>
      <c r="FLI97" s="15"/>
      <c r="FLJ97" s="15"/>
      <c r="FLK97" s="15"/>
      <c r="FLL97" s="15"/>
      <c r="FLM97" s="15"/>
      <c r="FLN97" s="15"/>
      <c r="FLO97" s="15"/>
      <c r="FLP97" s="15"/>
      <c r="FLQ97" s="15"/>
      <c r="FLR97" s="15"/>
      <c r="FLS97" s="15"/>
      <c r="FLT97" s="15"/>
      <c r="FLU97" s="15"/>
      <c r="FLV97" s="15"/>
      <c r="FLW97" s="15"/>
      <c r="FLX97" s="15"/>
      <c r="FLY97" s="15"/>
      <c r="FLZ97" s="15"/>
      <c r="FMA97" s="15"/>
      <c r="FMB97" s="15"/>
      <c r="FMC97" s="15"/>
      <c r="FMD97" s="15"/>
      <c r="FME97" s="15"/>
      <c r="FMF97" s="15"/>
      <c r="FMG97" s="15"/>
      <c r="FMH97" s="15"/>
      <c r="FMI97" s="15"/>
      <c r="FMJ97" s="15"/>
      <c r="FMK97" s="15"/>
      <c r="FML97" s="15"/>
      <c r="FMM97" s="15"/>
      <c r="FMN97" s="15"/>
      <c r="FMO97" s="15"/>
      <c r="FMP97" s="15"/>
      <c r="FMQ97" s="15"/>
      <c r="FMR97" s="15"/>
      <c r="FMS97" s="15"/>
      <c r="FMT97" s="15"/>
      <c r="FMU97" s="15"/>
      <c r="FMV97" s="15"/>
      <c r="FMW97" s="15"/>
      <c r="FMX97" s="15"/>
      <c r="FMY97" s="15"/>
      <c r="FMZ97" s="15"/>
      <c r="FNA97" s="15"/>
      <c r="FNB97" s="15"/>
      <c r="FNC97" s="15"/>
      <c r="FND97" s="15"/>
      <c r="FNE97" s="15"/>
      <c r="FNF97" s="15"/>
      <c r="FNG97" s="15"/>
      <c r="FNH97" s="15"/>
      <c r="FNI97" s="15"/>
      <c r="FNJ97" s="15"/>
      <c r="FNK97" s="15"/>
      <c r="FNL97" s="15"/>
      <c r="FNM97" s="15"/>
      <c r="FNN97" s="15"/>
      <c r="FNO97" s="15"/>
      <c r="FNP97" s="15"/>
      <c r="FNQ97" s="15"/>
      <c r="FNR97" s="15"/>
      <c r="FNS97" s="15"/>
      <c r="FNT97" s="15"/>
      <c r="FNU97" s="15"/>
      <c r="FNV97" s="15"/>
      <c r="FNW97" s="15"/>
      <c r="FNX97" s="15"/>
      <c r="FNY97" s="15"/>
      <c r="FNZ97" s="15"/>
      <c r="FOA97" s="15"/>
      <c r="FOB97" s="15"/>
      <c r="FOC97" s="15"/>
      <c r="FOD97" s="15"/>
      <c r="FOE97" s="15"/>
      <c r="FOF97" s="15"/>
      <c r="FOG97" s="15"/>
      <c r="FOH97" s="15"/>
      <c r="FOI97" s="15"/>
      <c r="FOJ97" s="15"/>
      <c r="FOK97" s="15"/>
      <c r="FOL97" s="15"/>
      <c r="FOM97" s="15"/>
      <c r="FON97" s="15"/>
      <c r="FOO97" s="15"/>
      <c r="FOP97" s="15"/>
      <c r="FOQ97" s="15"/>
      <c r="FOR97" s="15"/>
      <c r="FOS97" s="15"/>
      <c r="FOT97" s="15"/>
      <c r="FOU97" s="15"/>
      <c r="FOV97" s="15"/>
      <c r="FOW97" s="15"/>
      <c r="FOX97" s="15"/>
      <c r="FOY97" s="15"/>
      <c r="FOZ97" s="15"/>
      <c r="FPA97" s="15"/>
      <c r="FPB97" s="15"/>
      <c r="FPC97" s="15"/>
      <c r="FPD97" s="15"/>
      <c r="FPE97" s="15"/>
      <c r="FPF97" s="15"/>
      <c r="FPG97" s="15"/>
      <c r="FPH97" s="15"/>
      <c r="FPI97" s="15"/>
      <c r="FPJ97" s="15"/>
      <c r="FPK97" s="15"/>
      <c r="FPL97" s="15"/>
      <c r="FPM97" s="15"/>
      <c r="FPN97" s="15"/>
      <c r="FPO97" s="15"/>
      <c r="FPP97" s="15"/>
      <c r="FPQ97" s="15"/>
      <c r="FPR97" s="15"/>
      <c r="FPS97" s="15"/>
      <c r="FPT97" s="15"/>
      <c r="FPU97" s="15"/>
      <c r="FPV97" s="15"/>
      <c r="FPW97" s="15"/>
      <c r="FPX97" s="15"/>
      <c r="FPY97" s="15"/>
      <c r="FPZ97" s="15"/>
      <c r="FQA97" s="15"/>
      <c r="FQB97" s="15"/>
      <c r="FQC97" s="15"/>
      <c r="FQD97" s="15"/>
      <c r="FQE97" s="15"/>
      <c r="FQF97" s="15"/>
      <c r="FQG97" s="15"/>
      <c r="FQH97" s="15"/>
      <c r="FQI97" s="15"/>
      <c r="FQJ97" s="15"/>
      <c r="FQK97" s="15"/>
      <c r="FQL97" s="15"/>
      <c r="FQM97" s="15"/>
      <c r="FQN97" s="15"/>
      <c r="FQO97" s="15"/>
      <c r="FQP97" s="15"/>
      <c r="FQQ97" s="15"/>
      <c r="FQR97" s="15"/>
      <c r="FQS97" s="15"/>
      <c r="FQT97" s="15"/>
      <c r="FQU97" s="15"/>
      <c r="FQV97" s="15"/>
      <c r="FQW97" s="15"/>
      <c r="FQX97" s="15"/>
      <c r="FQY97" s="15"/>
      <c r="FQZ97" s="15"/>
      <c r="FRA97" s="15"/>
      <c r="FRB97" s="15"/>
      <c r="FRC97" s="15"/>
      <c r="FRD97" s="15"/>
      <c r="FRE97" s="15"/>
      <c r="FRF97" s="15"/>
      <c r="FRG97" s="15"/>
      <c r="FRH97" s="15"/>
      <c r="FRI97" s="15"/>
      <c r="FRJ97" s="15"/>
      <c r="FRK97" s="15"/>
      <c r="FRL97" s="15"/>
      <c r="FRM97" s="15"/>
      <c r="FRN97" s="15"/>
      <c r="FRO97" s="15"/>
      <c r="FRP97" s="15"/>
      <c r="FRQ97" s="15"/>
      <c r="FRR97" s="15"/>
      <c r="FRS97" s="15"/>
      <c r="FRT97" s="15"/>
      <c r="FRU97" s="15"/>
      <c r="FRV97" s="15"/>
      <c r="FRW97" s="15"/>
      <c r="FRX97" s="15"/>
      <c r="FRY97" s="15"/>
      <c r="FRZ97" s="15"/>
      <c r="FSA97" s="15"/>
      <c r="FSB97" s="15"/>
      <c r="FSC97" s="15"/>
      <c r="FSD97" s="15"/>
      <c r="FSE97" s="15"/>
      <c r="FSF97" s="15"/>
      <c r="FSG97" s="15"/>
      <c r="FSH97" s="15"/>
      <c r="FSI97" s="15"/>
      <c r="FSJ97" s="15"/>
      <c r="FSK97" s="15"/>
      <c r="FSL97" s="15"/>
      <c r="FSM97" s="15"/>
      <c r="FSN97" s="15"/>
      <c r="FSO97" s="15"/>
      <c r="FSP97" s="15"/>
      <c r="FSQ97" s="15"/>
      <c r="FSR97" s="15"/>
      <c r="FSS97" s="15"/>
      <c r="FST97" s="15"/>
      <c r="FSU97" s="15"/>
      <c r="FSV97" s="15"/>
      <c r="FSW97" s="15"/>
      <c r="FSX97" s="15"/>
      <c r="FSY97" s="15"/>
      <c r="FSZ97" s="15"/>
      <c r="FTA97" s="15"/>
      <c r="FTB97" s="15"/>
      <c r="FTC97" s="15"/>
      <c r="FTD97" s="15"/>
      <c r="FTE97" s="15"/>
      <c r="FTF97" s="15"/>
      <c r="FTG97" s="15"/>
      <c r="FTH97" s="15"/>
      <c r="FTI97" s="15"/>
      <c r="FTJ97" s="15"/>
      <c r="FTK97" s="15"/>
      <c r="FTL97" s="15"/>
      <c r="FTM97" s="15"/>
      <c r="FTN97" s="15"/>
      <c r="FTO97" s="15"/>
      <c r="FTP97" s="15"/>
      <c r="FTQ97" s="15"/>
      <c r="FTR97" s="15"/>
      <c r="FTS97" s="15"/>
      <c r="FTT97" s="15"/>
      <c r="FTU97" s="15"/>
      <c r="FTV97" s="15"/>
      <c r="FTW97" s="15"/>
      <c r="FTX97" s="15"/>
      <c r="FTY97" s="15"/>
      <c r="FTZ97" s="15"/>
      <c r="FUA97" s="15"/>
      <c r="FUB97" s="15"/>
      <c r="FUC97" s="15"/>
      <c r="FUD97" s="15"/>
      <c r="FUE97" s="15"/>
      <c r="FUF97" s="15"/>
      <c r="FUG97" s="15"/>
      <c r="FUH97" s="15"/>
      <c r="FUI97" s="15"/>
      <c r="FUJ97" s="15"/>
      <c r="FUK97" s="15"/>
      <c r="FUL97" s="15"/>
      <c r="FUM97" s="15"/>
      <c r="FUN97" s="15"/>
      <c r="FUO97" s="15"/>
      <c r="FUP97" s="15"/>
      <c r="FUQ97" s="15"/>
      <c r="FUR97" s="15"/>
      <c r="FUS97" s="15"/>
      <c r="FUT97" s="15"/>
      <c r="FUU97" s="15"/>
      <c r="FUV97" s="15"/>
      <c r="FUW97" s="15"/>
      <c r="FUX97" s="15"/>
      <c r="FUY97" s="15"/>
      <c r="FUZ97" s="15"/>
      <c r="FVA97" s="15"/>
      <c r="FVB97" s="15"/>
      <c r="FVC97" s="15"/>
      <c r="FVD97" s="15"/>
      <c r="FVE97" s="15"/>
      <c r="FVF97" s="15"/>
      <c r="FVG97" s="15"/>
      <c r="FVH97" s="15"/>
      <c r="FVI97" s="15"/>
      <c r="FVJ97" s="15"/>
      <c r="FVK97" s="15"/>
      <c r="FVL97" s="15"/>
      <c r="FVM97" s="15"/>
      <c r="FVN97" s="15"/>
      <c r="FVO97" s="15"/>
      <c r="FVP97" s="15"/>
      <c r="FVQ97" s="15"/>
      <c r="FVR97" s="15"/>
      <c r="FVS97" s="15"/>
      <c r="FVT97" s="15"/>
      <c r="FVU97" s="15"/>
      <c r="FVV97" s="15"/>
      <c r="FVW97" s="15"/>
      <c r="FVX97" s="15"/>
      <c r="FVY97" s="15"/>
      <c r="FVZ97" s="15"/>
      <c r="FWA97" s="15"/>
      <c r="FWB97" s="15"/>
      <c r="FWC97" s="15"/>
      <c r="FWD97" s="15"/>
      <c r="FWE97" s="15"/>
      <c r="FWF97" s="15"/>
      <c r="FWG97" s="15"/>
      <c r="FWH97" s="15"/>
      <c r="FWI97" s="15"/>
      <c r="FWJ97" s="15"/>
      <c r="FWK97" s="15"/>
      <c r="FWL97" s="15"/>
      <c r="FWM97" s="15"/>
      <c r="FWN97" s="15"/>
      <c r="FWO97" s="15"/>
      <c r="FWP97" s="15"/>
      <c r="FWQ97" s="15"/>
      <c r="FWR97" s="15"/>
      <c r="FWS97" s="15"/>
      <c r="FWT97" s="15"/>
      <c r="FWU97" s="15"/>
      <c r="FWV97" s="15"/>
      <c r="FWW97" s="15"/>
      <c r="FWX97" s="15"/>
      <c r="FWY97" s="15"/>
      <c r="FWZ97" s="15"/>
      <c r="FXA97" s="15"/>
      <c r="FXB97" s="15"/>
      <c r="FXC97" s="15"/>
      <c r="FXD97" s="15"/>
      <c r="FXE97" s="15"/>
      <c r="FXF97" s="15"/>
      <c r="FXG97" s="15"/>
      <c r="FXH97" s="15"/>
      <c r="FXI97" s="15"/>
      <c r="FXJ97" s="15"/>
      <c r="FXK97" s="15"/>
      <c r="FXL97" s="15"/>
      <c r="FXM97" s="15"/>
      <c r="FXN97" s="15"/>
      <c r="FXO97" s="15"/>
      <c r="FXP97" s="15"/>
      <c r="FXQ97" s="15"/>
      <c r="FXR97" s="15"/>
      <c r="FXS97" s="15"/>
      <c r="FXT97" s="15"/>
      <c r="FXU97" s="15"/>
      <c r="FXV97" s="15"/>
      <c r="FXW97" s="15"/>
      <c r="FXX97" s="15"/>
      <c r="FXY97" s="15"/>
      <c r="FXZ97" s="15"/>
      <c r="FYA97" s="15"/>
      <c r="FYB97" s="15"/>
      <c r="FYC97" s="15"/>
      <c r="FYD97" s="15"/>
      <c r="FYE97" s="15"/>
      <c r="FYF97" s="15"/>
      <c r="FYG97" s="15"/>
      <c r="FYH97" s="15"/>
      <c r="FYI97" s="15"/>
      <c r="FYJ97" s="15"/>
      <c r="FYK97" s="15"/>
      <c r="FYL97" s="15"/>
      <c r="FYM97" s="15"/>
      <c r="FYN97" s="15"/>
      <c r="FYO97" s="15"/>
      <c r="FYP97" s="15"/>
      <c r="FYQ97" s="15"/>
      <c r="FYR97" s="15"/>
      <c r="FYS97" s="15"/>
      <c r="FYT97" s="15"/>
      <c r="FYU97" s="15"/>
      <c r="FYV97" s="15"/>
      <c r="FYW97" s="15"/>
      <c r="FYX97" s="15"/>
      <c r="FYY97" s="15"/>
      <c r="FYZ97" s="15"/>
      <c r="FZA97" s="15"/>
      <c r="FZB97" s="15"/>
      <c r="FZC97" s="15"/>
      <c r="FZD97" s="15"/>
      <c r="FZE97" s="15"/>
      <c r="FZF97" s="15"/>
      <c r="FZG97" s="15"/>
      <c r="FZH97" s="15"/>
      <c r="FZI97" s="15"/>
      <c r="FZJ97" s="15"/>
      <c r="FZK97" s="15"/>
      <c r="FZL97" s="15"/>
      <c r="FZM97" s="15"/>
      <c r="FZN97" s="15"/>
      <c r="FZO97" s="15"/>
      <c r="FZP97" s="15"/>
      <c r="FZQ97" s="15"/>
      <c r="FZR97" s="15"/>
      <c r="FZS97" s="15"/>
      <c r="FZT97" s="15"/>
      <c r="FZU97" s="15"/>
      <c r="FZV97" s="15"/>
      <c r="FZW97" s="15"/>
      <c r="FZX97" s="15"/>
      <c r="FZY97" s="15"/>
      <c r="FZZ97" s="15"/>
      <c r="GAA97" s="15"/>
      <c r="GAB97" s="15"/>
      <c r="GAC97" s="15"/>
      <c r="GAD97" s="15"/>
      <c r="GAE97" s="15"/>
      <c r="GAF97" s="15"/>
      <c r="GAG97" s="15"/>
      <c r="GAH97" s="15"/>
      <c r="GAI97" s="15"/>
      <c r="GAJ97" s="15"/>
      <c r="GAK97" s="15"/>
      <c r="GAL97" s="15"/>
      <c r="GAM97" s="15"/>
      <c r="GAN97" s="15"/>
      <c r="GAO97" s="15"/>
      <c r="GAP97" s="15"/>
      <c r="GAQ97" s="15"/>
      <c r="GAR97" s="15"/>
      <c r="GAS97" s="15"/>
      <c r="GAT97" s="15"/>
      <c r="GAU97" s="15"/>
      <c r="GAV97" s="15"/>
      <c r="GAW97" s="15"/>
      <c r="GAX97" s="15"/>
      <c r="GAY97" s="15"/>
      <c r="GAZ97" s="15"/>
      <c r="GBA97" s="15"/>
      <c r="GBB97" s="15"/>
      <c r="GBC97" s="15"/>
      <c r="GBD97" s="15"/>
      <c r="GBE97" s="15"/>
      <c r="GBF97" s="15"/>
      <c r="GBG97" s="15"/>
      <c r="GBH97" s="15"/>
      <c r="GBI97" s="15"/>
      <c r="GBJ97" s="15"/>
      <c r="GBK97" s="15"/>
      <c r="GBL97" s="15"/>
      <c r="GBM97" s="15"/>
      <c r="GBN97" s="15"/>
      <c r="GBO97" s="15"/>
      <c r="GBP97" s="15"/>
      <c r="GBQ97" s="15"/>
      <c r="GBR97" s="15"/>
      <c r="GBS97" s="15"/>
      <c r="GBT97" s="15"/>
      <c r="GBU97" s="15"/>
      <c r="GBV97" s="15"/>
      <c r="GBW97" s="15"/>
      <c r="GBX97" s="15"/>
      <c r="GBY97" s="15"/>
      <c r="GBZ97" s="15"/>
      <c r="GCA97" s="15"/>
      <c r="GCB97" s="15"/>
      <c r="GCC97" s="15"/>
      <c r="GCD97" s="15"/>
      <c r="GCE97" s="15"/>
      <c r="GCF97" s="15"/>
      <c r="GCG97" s="15"/>
      <c r="GCH97" s="15"/>
      <c r="GCI97" s="15"/>
      <c r="GCJ97" s="15"/>
      <c r="GCK97" s="15"/>
      <c r="GCL97" s="15"/>
      <c r="GCM97" s="15"/>
      <c r="GCN97" s="15"/>
      <c r="GCO97" s="15"/>
      <c r="GCP97" s="15"/>
      <c r="GCQ97" s="15"/>
      <c r="GCR97" s="15"/>
      <c r="GCS97" s="15"/>
      <c r="GCT97" s="15"/>
      <c r="GCU97" s="15"/>
      <c r="GCV97" s="15"/>
      <c r="GCW97" s="15"/>
      <c r="GCX97" s="15"/>
      <c r="GCY97" s="15"/>
      <c r="GCZ97" s="15"/>
      <c r="GDA97" s="15"/>
      <c r="GDB97" s="15"/>
      <c r="GDC97" s="15"/>
      <c r="GDD97" s="15"/>
      <c r="GDE97" s="15"/>
      <c r="GDF97" s="15"/>
      <c r="GDG97" s="15"/>
      <c r="GDH97" s="15"/>
      <c r="GDI97" s="15"/>
      <c r="GDJ97" s="15"/>
      <c r="GDK97" s="15"/>
      <c r="GDL97" s="15"/>
      <c r="GDM97" s="15"/>
      <c r="GDN97" s="15"/>
      <c r="GDO97" s="15"/>
      <c r="GDP97" s="15"/>
      <c r="GDQ97" s="15"/>
      <c r="GDR97" s="15"/>
      <c r="GDS97" s="15"/>
      <c r="GDT97" s="15"/>
      <c r="GDU97" s="15"/>
      <c r="GDV97" s="15"/>
      <c r="GDW97" s="15"/>
      <c r="GDX97" s="15"/>
      <c r="GDY97" s="15"/>
      <c r="GDZ97" s="15"/>
      <c r="GEA97" s="15"/>
      <c r="GEB97" s="15"/>
      <c r="GEC97" s="15"/>
      <c r="GED97" s="15"/>
      <c r="GEE97" s="15"/>
      <c r="GEF97" s="15"/>
      <c r="GEG97" s="15"/>
      <c r="GEH97" s="15"/>
      <c r="GEI97" s="15"/>
      <c r="GEJ97" s="15"/>
      <c r="GEK97" s="15"/>
      <c r="GEL97" s="15"/>
      <c r="GEM97" s="15"/>
      <c r="GEN97" s="15"/>
      <c r="GEO97" s="15"/>
      <c r="GEP97" s="15"/>
      <c r="GEQ97" s="15"/>
      <c r="GER97" s="15"/>
      <c r="GES97" s="15"/>
      <c r="GET97" s="15"/>
      <c r="GEU97" s="15"/>
      <c r="GEV97" s="15"/>
      <c r="GEW97" s="15"/>
      <c r="GEX97" s="15"/>
      <c r="GEY97" s="15"/>
      <c r="GEZ97" s="15"/>
      <c r="GFA97" s="15"/>
      <c r="GFB97" s="15"/>
      <c r="GFC97" s="15"/>
      <c r="GFD97" s="15"/>
      <c r="GFE97" s="15"/>
      <c r="GFF97" s="15"/>
      <c r="GFG97" s="15"/>
      <c r="GFH97" s="15"/>
      <c r="GFI97" s="15"/>
      <c r="GFJ97" s="15"/>
      <c r="GFK97" s="15"/>
      <c r="GFL97" s="15"/>
      <c r="GFM97" s="15"/>
      <c r="GFN97" s="15"/>
      <c r="GFO97" s="15"/>
      <c r="GFP97" s="15"/>
      <c r="GFQ97" s="15"/>
      <c r="GFR97" s="15"/>
      <c r="GFS97" s="15"/>
      <c r="GFT97" s="15"/>
      <c r="GFU97" s="15"/>
      <c r="GFV97" s="15"/>
      <c r="GFW97" s="15"/>
      <c r="GFX97" s="15"/>
      <c r="GFY97" s="15"/>
      <c r="GFZ97" s="15"/>
      <c r="GGA97" s="15"/>
      <c r="GGB97" s="15"/>
      <c r="GGC97" s="15"/>
      <c r="GGD97" s="15"/>
      <c r="GGE97" s="15"/>
      <c r="GGF97" s="15"/>
      <c r="GGG97" s="15"/>
      <c r="GGH97" s="15"/>
      <c r="GGI97" s="15"/>
      <c r="GGJ97" s="15"/>
      <c r="GGK97" s="15"/>
      <c r="GGL97" s="15"/>
      <c r="GGM97" s="15"/>
      <c r="GGN97" s="15"/>
      <c r="GGO97" s="15"/>
      <c r="GGP97" s="15"/>
      <c r="GGQ97" s="15"/>
      <c r="GGR97" s="15"/>
      <c r="GGS97" s="15"/>
      <c r="GGT97" s="15"/>
      <c r="GGU97" s="15"/>
      <c r="GGV97" s="15"/>
      <c r="GGW97" s="15"/>
      <c r="GGX97" s="15"/>
      <c r="GGY97" s="15"/>
      <c r="GGZ97" s="15"/>
      <c r="GHA97" s="15"/>
      <c r="GHB97" s="15"/>
      <c r="GHC97" s="15"/>
      <c r="GHD97" s="15"/>
      <c r="GHE97" s="15"/>
      <c r="GHF97" s="15"/>
      <c r="GHG97" s="15"/>
      <c r="GHH97" s="15"/>
      <c r="GHI97" s="15"/>
      <c r="GHJ97" s="15"/>
      <c r="GHK97" s="15"/>
      <c r="GHL97" s="15"/>
      <c r="GHM97" s="15"/>
      <c r="GHN97" s="15"/>
      <c r="GHO97" s="15"/>
      <c r="GHP97" s="15"/>
      <c r="GHQ97" s="15"/>
      <c r="GHR97" s="15"/>
      <c r="GHS97" s="15"/>
      <c r="GHT97" s="15"/>
      <c r="GHU97" s="15"/>
      <c r="GHV97" s="15"/>
      <c r="GHW97" s="15"/>
      <c r="GHX97" s="15"/>
      <c r="GHY97" s="15"/>
      <c r="GHZ97" s="15"/>
      <c r="GIA97" s="15"/>
      <c r="GIB97" s="15"/>
      <c r="GIC97" s="15"/>
      <c r="GID97" s="15"/>
      <c r="GIE97" s="15"/>
      <c r="GIF97" s="15"/>
      <c r="GIG97" s="15"/>
      <c r="GIH97" s="15"/>
      <c r="GII97" s="15"/>
      <c r="GIJ97" s="15"/>
      <c r="GIK97" s="15"/>
      <c r="GIL97" s="15"/>
      <c r="GIM97" s="15"/>
      <c r="GIN97" s="15"/>
      <c r="GIO97" s="15"/>
      <c r="GIP97" s="15"/>
      <c r="GIQ97" s="15"/>
      <c r="GIR97" s="15"/>
      <c r="GIS97" s="15"/>
      <c r="GIT97" s="15"/>
      <c r="GIU97" s="15"/>
      <c r="GIV97" s="15"/>
      <c r="GIW97" s="15"/>
      <c r="GIX97" s="15"/>
      <c r="GIY97" s="15"/>
      <c r="GIZ97" s="15"/>
      <c r="GJA97" s="15"/>
      <c r="GJB97" s="15"/>
      <c r="GJC97" s="15"/>
      <c r="GJD97" s="15"/>
      <c r="GJE97" s="15"/>
      <c r="GJF97" s="15"/>
      <c r="GJG97" s="15"/>
      <c r="GJH97" s="15"/>
      <c r="GJI97" s="15"/>
      <c r="GJJ97" s="15"/>
      <c r="GJK97" s="15"/>
      <c r="GJL97" s="15"/>
      <c r="GJM97" s="15"/>
      <c r="GJN97" s="15"/>
      <c r="GJO97" s="15"/>
      <c r="GJP97" s="15"/>
      <c r="GJQ97" s="15"/>
      <c r="GJR97" s="15"/>
      <c r="GJS97" s="15"/>
      <c r="GJT97" s="15"/>
      <c r="GJU97" s="15"/>
      <c r="GJV97" s="15"/>
      <c r="GJW97" s="15"/>
      <c r="GJX97" s="15"/>
      <c r="GJY97" s="15"/>
      <c r="GJZ97" s="15"/>
      <c r="GKA97" s="15"/>
      <c r="GKB97" s="15"/>
      <c r="GKC97" s="15"/>
      <c r="GKD97" s="15"/>
      <c r="GKE97" s="15"/>
      <c r="GKF97" s="15"/>
      <c r="GKG97" s="15"/>
      <c r="GKH97" s="15"/>
      <c r="GKI97" s="15"/>
      <c r="GKJ97" s="15"/>
      <c r="GKK97" s="15"/>
      <c r="GKL97" s="15"/>
      <c r="GKM97" s="15"/>
      <c r="GKN97" s="15"/>
      <c r="GKO97" s="15"/>
      <c r="GKP97" s="15"/>
      <c r="GKQ97" s="15"/>
      <c r="GKR97" s="15"/>
      <c r="GKS97" s="15"/>
      <c r="GKT97" s="15"/>
      <c r="GKU97" s="15"/>
      <c r="GKV97" s="15"/>
      <c r="GKW97" s="15"/>
      <c r="GKX97" s="15"/>
      <c r="GKY97" s="15"/>
      <c r="GKZ97" s="15"/>
      <c r="GLA97" s="15"/>
      <c r="GLB97" s="15"/>
      <c r="GLC97" s="15"/>
      <c r="GLD97" s="15"/>
      <c r="GLE97" s="15"/>
      <c r="GLF97" s="15"/>
      <c r="GLG97" s="15"/>
      <c r="GLH97" s="15"/>
      <c r="GLI97" s="15"/>
      <c r="GLJ97" s="15"/>
      <c r="GLK97" s="15"/>
      <c r="GLL97" s="15"/>
      <c r="GLM97" s="15"/>
      <c r="GLN97" s="15"/>
      <c r="GLO97" s="15"/>
      <c r="GLP97" s="15"/>
      <c r="GLQ97" s="15"/>
      <c r="GLR97" s="15"/>
      <c r="GLS97" s="15"/>
      <c r="GLT97" s="15"/>
      <c r="GLU97" s="15"/>
      <c r="GLV97" s="15"/>
      <c r="GLW97" s="15"/>
      <c r="GLX97" s="15"/>
      <c r="GLY97" s="15"/>
      <c r="GLZ97" s="15"/>
      <c r="GMA97" s="15"/>
      <c r="GMB97" s="15"/>
      <c r="GMC97" s="15"/>
      <c r="GMD97" s="15"/>
      <c r="GME97" s="15"/>
      <c r="GMF97" s="15"/>
      <c r="GMG97" s="15"/>
      <c r="GMH97" s="15"/>
      <c r="GMI97" s="15"/>
      <c r="GMJ97" s="15"/>
      <c r="GMK97" s="15"/>
      <c r="GML97" s="15"/>
      <c r="GMM97" s="15"/>
      <c r="GMN97" s="15"/>
      <c r="GMO97" s="15"/>
      <c r="GMP97" s="15"/>
      <c r="GMQ97" s="15"/>
      <c r="GMR97" s="15"/>
      <c r="GMS97" s="15"/>
      <c r="GMT97" s="15"/>
      <c r="GMU97" s="15"/>
      <c r="GMV97" s="15"/>
      <c r="GMW97" s="15"/>
      <c r="GMX97" s="15"/>
      <c r="GMY97" s="15"/>
      <c r="GMZ97" s="15"/>
      <c r="GNA97" s="15"/>
      <c r="GNB97" s="15"/>
      <c r="GNC97" s="15"/>
      <c r="GND97" s="15"/>
      <c r="GNE97" s="15"/>
      <c r="GNF97" s="15"/>
      <c r="GNG97" s="15"/>
      <c r="GNH97" s="15"/>
      <c r="GNI97" s="15"/>
      <c r="GNJ97" s="15"/>
      <c r="GNK97" s="15"/>
      <c r="GNL97" s="15"/>
      <c r="GNM97" s="15"/>
      <c r="GNN97" s="15"/>
      <c r="GNO97" s="15"/>
      <c r="GNP97" s="15"/>
      <c r="GNQ97" s="15"/>
      <c r="GNR97" s="15"/>
      <c r="GNS97" s="15"/>
      <c r="GNT97" s="15"/>
      <c r="GNU97" s="15"/>
      <c r="GNV97" s="15"/>
      <c r="GNW97" s="15"/>
      <c r="GNX97" s="15"/>
      <c r="GNY97" s="15"/>
      <c r="GNZ97" s="15"/>
      <c r="GOA97" s="15"/>
      <c r="GOB97" s="15"/>
      <c r="GOC97" s="15"/>
      <c r="GOD97" s="15"/>
      <c r="GOE97" s="15"/>
      <c r="GOF97" s="15"/>
      <c r="GOG97" s="15"/>
      <c r="GOH97" s="15"/>
      <c r="GOI97" s="15"/>
      <c r="GOJ97" s="15"/>
      <c r="GOK97" s="15"/>
      <c r="GOL97" s="15"/>
      <c r="GOM97" s="15"/>
      <c r="GON97" s="15"/>
      <c r="GOO97" s="15"/>
      <c r="GOP97" s="15"/>
      <c r="GOQ97" s="15"/>
      <c r="GOR97" s="15"/>
      <c r="GOS97" s="15"/>
      <c r="GOT97" s="15"/>
      <c r="GOU97" s="15"/>
      <c r="GOV97" s="15"/>
      <c r="GOW97" s="15"/>
      <c r="GOX97" s="15"/>
      <c r="GOY97" s="15"/>
      <c r="GOZ97" s="15"/>
      <c r="GPA97" s="15"/>
      <c r="GPB97" s="15"/>
      <c r="GPC97" s="15"/>
      <c r="GPD97" s="15"/>
      <c r="GPE97" s="15"/>
      <c r="GPF97" s="15"/>
      <c r="GPG97" s="15"/>
      <c r="GPH97" s="15"/>
      <c r="GPI97" s="15"/>
      <c r="GPJ97" s="15"/>
      <c r="GPK97" s="15"/>
      <c r="GPL97" s="15"/>
      <c r="GPM97" s="15"/>
      <c r="GPN97" s="15"/>
      <c r="GPO97" s="15"/>
      <c r="GPP97" s="15"/>
      <c r="GPQ97" s="15"/>
      <c r="GPR97" s="15"/>
      <c r="GPS97" s="15"/>
      <c r="GPT97" s="15"/>
      <c r="GPU97" s="15"/>
      <c r="GPV97" s="15"/>
      <c r="GPW97" s="15"/>
      <c r="GPX97" s="15"/>
      <c r="GPY97" s="15"/>
      <c r="GPZ97" s="15"/>
      <c r="GQA97" s="15"/>
      <c r="GQB97" s="15"/>
      <c r="GQC97" s="15"/>
      <c r="GQD97" s="15"/>
      <c r="GQE97" s="15"/>
      <c r="GQF97" s="15"/>
      <c r="GQG97" s="15"/>
      <c r="GQH97" s="15"/>
      <c r="GQI97" s="15"/>
      <c r="GQJ97" s="15"/>
      <c r="GQK97" s="15"/>
      <c r="GQL97" s="15"/>
      <c r="GQM97" s="15"/>
      <c r="GQN97" s="15"/>
      <c r="GQO97" s="15"/>
      <c r="GQP97" s="15"/>
      <c r="GQQ97" s="15"/>
      <c r="GQR97" s="15"/>
      <c r="GQS97" s="15"/>
      <c r="GQT97" s="15"/>
      <c r="GQU97" s="15"/>
      <c r="GQV97" s="15"/>
      <c r="GQW97" s="15"/>
      <c r="GQX97" s="15"/>
      <c r="GQY97" s="15"/>
      <c r="GQZ97" s="15"/>
      <c r="GRA97" s="15"/>
      <c r="GRB97" s="15"/>
      <c r="GRC97" s="15"/>
      <c r="GRD97" s="15"/>
      <c r="GRE97" s="15"/>
      <c r="GRF97" s="15"/>
      <c r="GRG97" s="15"/>
      <c r="GRH97" s="15"/>
      <c r="GRI97" s="15"/>
      <c r="GRJ97" s="15"/>
      <c r="GRK97" s="15"/>
      <c r="GRL97" s="15"/>
      <c r="GRM97" s="15"/>
      <c r="GRN97" s="15"/>
      <c r="GRO97" s="15"/>
      <c r="GRP97" s="15"/>
      <c r="GRQ97" s="15"/>
      <c r="GRR97" s="15"/>
      <c r="GRS97" s="15"/>
      <c r="GRT97" s="15"/>
      <c r="GRU97" s="15"/>
      <c r="GRV97" s="15"/>
      <c r="GRW97" s="15"/>
      <c r="GRX97" s="15"/>
      <c r="GRY97" s="15"/>
      <c r="GRZ97" s="15"/>
      <c r="GSA97" s="15"/>
      <c r="GSB97" s="15"/>
      <c r="GSC97" s="15"/>
      <c r="GSD97" s="15"/>
      <c r="GSE97" s="15"/>
      <c r="GSF97" s="15"/>
      <c r="GSG97" s="15"/>
      <c r="GSH97" s="15"/>
      <c r="GSI97" s="15"/>
      <c r="GSJ97" s="15"/>
      <c r="GSK97" s="15"/>
      <c r="GSL97" s="15"/>
      <c r="GSM97" s="15"/>
      <c r="GSN97" s="15"/>
      <c r="GSO97" s="15"/>
      <c r="GSP97" s="15"/>
      <c r="GSQ97" s="15"/>
      <c r="GSR97" s="15"/>
      <c r="GSS97" s="15"/>
      <c r="GST97" s="15"/>
      <c r="GSU97" s="15"/>
      <c r="GSV97" s="15"/>
      <c r="GSW97" s="15"/>
      <c r="GSX97" s="15"/>
      <c r="GSY97" s="15"/>
      <c r="GSZ97" s="15"/>
      <c r="GTA97" s="15"/>
      <c r="GTB97" s="15"/>
      <c r="GTC97" s="15"/>
      <c r="GTD97" s="15"/>
      <c r="GTE97" s="15"/>
      <c r="GTF97" s="15"/>
      <c r="GTG97" s="15"/>
      <c r="GTH97" s="15"/>
      <c r="GTI97" s="15"/>
      <c r="GTJ97" s="15"/>
      <c r="GTK97" s="15"/>
      <c r="GTL97" s="15"/>
      <c r="GTM97" s="15"/>
      <c r="GTN97" s="15"/>
      <c r="GTO97" s="15"/>
      <c r="GTP97" s="15"/>
      <c r="GTQ97" s="15"/>
      <c r="GTR97" s="15"/>
      <c r="GTS97" s="15"/>
      <c r="GTT97" s="15"/>
      <c r="GTU97" s="15"/>
      <c r="GTV97" s="15"/>
      <c r="GTW97" s="15"/>
      <c r="GTX97" s="15"/>
      <c r="GTY97" s="15"/>
      <c r="GTZ97" s="15"/>
      <c r="GUA97" s="15"/>
      <c r="GUB97" s="15"/>
      <c r="GUC97" s="15"/>
      <c r="GUD97" s="15"/>
      <c r="GUE97" s="15"/>
      <c r="GUF97" s="15"/>
      <c r="GUG97" s="15"/>
      <c r="GUH97" s="15"/>
      <c r="GUI97" s="15"/>
      <c r="GUJ97" s="15"/>
      <c r="GUK97" s="15"/>
      <c r="GUL97" s="15"/>
      <c r="GUM97" s="15"/>
      <c r="GUN97" s="15"/>
      <c r="GUO97" s="15"/>
      <c r="GUP97" s="15"/>
      <c r="GUQ97" s="15"/>
      <c r="GUR97" s="15"/>
      <c r="GUS97" s="15"/>
      <c r="GUT97" s="15"/>
      <c r="GUU97" s="15"/>
      <c r="GUV97" s="15"/>
      <c r="GUW97" s="15"/>
      <c r="GUX97" s="15"/>
      <c r="GUY97" s="15"/>
      <c r="GUZ97" s="15"/>
      <c r="GVA97" s="15"/>
      <c r="GVB97" s="15"/>
      <c r="GVC97" s="15"/>
      <c r="GVD97" s="15"/>
      <c r="GVE97" s="15"/>
      <c r="GVF97" s="15"/>
      <c r="GVG97" s="15"/>
      <c r="GVH97" s="15"/>
      <c r="GVI97" s="15"/>
      <c r="GVJ97" s="15"/>
      <c r="GVK97" s="15"/>
      <c r="GVL97" s="15"/>
      <c r="GVM97" s="15"/>
      <c r="GVN97" s="15"/>
      <c r="GVO97" s="15"/>
      <c r="GVP97" s="15"/>
      <c r="GVQ97" s="15"/>
      <c r="GVR97" s="15"/>
      <c r="GVS97" s="15"/>
      <c r="GVT97" s="15"/>
      <c r="GVU97" s="15"/>
      <c r="GVV97" s="15"/>
      <c r="GVW97" s="15"/>
      <c r="GVX97" s="15"/>
      <c r="GVY97" s="15"/>
      <c r="GVZ97" s="15"/>
      <c r="GWA97" s="15"/>
      <c r="GWB97" s="15"/>
      <c r="GWC97" s="15"/>
      <c r="GWD97" s="15"/>
      <c r="GWE97" s="15"/>
      <c r="GWF97" s="15"/>
      <c r="GWG97" s="15"/>
      <c r="GWH97" s="15"/>
      <c r="GWI97" s="15"/>
      <c r="GWJ97" s="15"/>
      <c r="GWK97" s="15"/>
      <c r="GWL97" s="15"/>
      <c r="GWM97" s="15"/>
      <c r="GWN97" s="15"/>
      <c r="GWO97" s="15"/>
      <c r="GWP97" s="15"/>
      <c r="GWQ97" s="15"/>
      <c r="GWR97" s="15"/>
      <c r="GWS97" s="15"/>
      <c r="GWT97" s="15"/>
      <c r="GWU97" s="15"/>
      <c r="GWV97" s="15"/>
      <c r="GWW97" s="15"/>
      <c r="GWX97" s="15"/>
      <c r="GWY97" s="15"/>
      <c r="GWZ97" s="15"/>
      <c r="GXA97" s="15"/>
      <c r="GXB97" s="15"/>
      <c r="GXC97" s="15"/>
      <c r="GXD97" s="15"/>
      <c r="GXE97" s="15"/>
      <c r="GXF97" s="15"/>
      <c r="GXG97" s="15"/>
      <c r="GXH97" s="15"/>
      <c r="GXI97" s="15"/>
      <c r="GXJ97" s="15"/>
      <c r="GXK97" s="15"/>
      <c r="GXL97" s="15"/>
      <c r="GXM97" s="15"/>
      <c r="GXN97" s="15"/>
      <c r="GXO97" s="15"/>
      <c r="GXP97" s="15"/>
      <c r="GXQ97" s="15"/>
      <c r="GXR97" s="15"/>
      <c r="GXS97" s="15"/>
      <c r="GXT97" s="15"/>
      <c r="GXU97" s="15"/>
      <c r="GXV97" s="15"/>
      <c r="GXW97" s="15"/>
      <c r="GXX97" s="15"/>
      <c r="GXY97" s="15"/>
      <c r="GXZ97" s="15"/>
      <c r="GYA97" s="15"/>
      <c r="GYB97" s="15"/>
      <c r="GYC97" s="15"/>
      <c r="GYD97" s="15"/>
      <c r="GYE97" s="15"/>
      <c r="GYF97" s="15"/>
      <c r="GYG97" s="15"/>
      <c r="GYH97" s="15"/>
      <c r="GYI97" s="15"/>
      <c r="GYJ97" s="15"/>
      <c r="GYK97" s="15"/>
      <c r="GYL97" s="15"/>
      <c r="GYM97" s="15"/>
      <c r="GYN97" s="15"/>
      <c r="GYO97" s="15"/>
      <c r="GYP97" s="15"/>
      <c r="GYQ97" s="15"/>
      <c r="GYR97" s="15"/>
      <c r="GYS97" s="15"/>
      <c r="GYT97" s="15"/>
      <c r="GYU97" s="15"/>
      <c r="GYV97" s="15"/>
      <c r="GYW97" s="15"/>
      <c r="GYX97" s="15"/>
      <c r="GYY97" s="15"/>
      <c r="GYZ97" s="15"/>
      <c r="GZA97" s="15"/>
      <c r="GZB97" s="15"/>
      <c r="GZC97" s="15"/>
      <c r="GZD97" s="15"/>
      <c r="GZE97" s="15"/>
      <c r="GZF97" s="15"/>
      <c r="GZG97" s="15"/>
      <c r="GZH97" s="15"/>
      <c r="GZI97" s="15"/>
      <c r="GZJ97" s="15"/>
      <c r="GZK97" s="15"/>
      <c r="GZL97" s="15"/>
      <c r="GZM97" s="15"/>
      <c r="GZN97" s="15"/>
      <c r="GZO97" s="15"/>
      <c r="GZP97" s="15"/>
      <c r="GZQ97" s="15"/>
      <c r="GZR97" s="15"/>
      <c r="GZS97" s="15"/>
      <c r="GZT97" s="15"/>
      <c r="GZU97" s="15"/>
      <c r="GZV97" s="15"/>
      <c r="GZW97" s="15"/>
      <c r="GZX97" s="15"/>
      <c r="GZY97" s="15"/>
      <c r="GZZ97" s="15"/>
      <c r="HAA97" s="15"/>
      <c r="HAB97" s="15"/>
      <c r="HAC97" s="15"/>
      <c r="HAD97" s="15"/>
      <c r="HAE97" s="15"/>
      <c r="HAF97" s="15"/>
      <c r="HAG97" s="15"/>
      <c r="HAH97" s="15"/>
      <c r="HAI97" s="15"/>
      <c r="HAJ97" s="15"/>
      <c r="HAK97" s="15"/>
      <c r="HAL97" s="15"/>
      <c r="HAM97" s="15"/>
      <c r="HAN97" s="15"/>
      <c r="HAO97" s="15"/>
      <c r="HAP97" s="15"/>
      <c r="HAQ97" s="15"/>
      <c r="HAR97" s="15"/>
      <c r="HAS97" s="15"/>
      <c r="HAT97" s="15"/>
      <c r="HAU97" s="15"/>
      <c r="HAV97" s="15"/>
      <c r="HAW97" s="15"/>
      <c r="HAX97" s="15"/>
      <c r="HAY97" s="15"/>
      <c r="HAZ97" s="15"/>
      <c r="HBA97" s="15"/>
      <c r="HBB97" s="15"/>
      <c r="HBC97" s="15"/>
      <c r="HBD97" s="15"/>
      <c r="HBE97" s="15"/>
      <c r="HBF97" s="15"/>
      <c r="HBG97" s="15"/>
      <c r="HBH97" s="15"/>
      <c r="HBI97" s="15"/>
      <c r="HBJ97" s="15"/>
      <c r="HBK97" s="15"/>
      <c r="HBL97" s="15"/>
      <c r="HBM97" s="15"/>
      <c r="HBN97" s="15"/>
      <c r="HBO97" s="15"/>
      <c r="HBP97" s="15"/>
      <c r="HBQ97" s="15"/>
      <c r="HBR97" s="15"/>
      <c r="HBS97" s="15"/>
      <c r="HBT97" s="15"/>
      <c r="HBU97" s="15"/>
      <c r="HBV97" s="15"/>
      <c r="HBW97" s="15"/>
      <c r="HBX97" s="15"/>
      <c r="HBY97" s="15"/>
      <c r="HBZ97" s="15"/>
      <c r="HCA97" s="15"/>
      <c r="HCB97" s="15"/>
      <c r="HCC97" s="15"/>
      <c r="HCD97" s="15"/>
      <c r="HCE97" s="15"/>
      <c r="HCF97" s="15"/>
      <c r="HCG97" s="15"/>
      <c r="HCH97" s="15"/>
      <c r="HCI97" s="15"/>
      <c r="HCJ97" s="15"/>
      <c r="HCK97" s="15"/>
      <c r="HCL97" s="15"/>
      <c r="HCM97" s="15"/>
      <c r="HCN97" s="15"/>
      <c r="HCO97" s="15"/>
      <c r="HCP97" s="15"/>
      <c r="HCQ97" s="15"/>
      <c r="HCR97" s="15"/>
      <c r="HCS97" s="15"/>
      <c r="HCT97" s="15"/>
      <c r="HCU97" s="15"/>
      <c r="HCV97" s="15"/>
      <c r="HCW97" s="15"/>
      <c r="HCX97" s="15"/>
      <c r="HCY97" s="15"/>
      <c r="HCZ97" s="15"/>
      <c r="HDA97" s="15"/>
      <c r="HDB97" s="15"/>
      <c r="HDC97" s="15"/>
      <c r="HDD97" s="15"/>
      <c r="HDE97" s="15"/>
      <c r="HDF97" s="15"/>
      <c r="HDG97" s="15"/>
      <c r="HDH97" s="15"/>
      <c r="HDI97" s="15"/>
      <c r="HDJ97" s="15"/>
      <c r="HDK97" s="15"/>
      <c r="HDL97" s="15"/>
      <c r="HDM97" s="15"/>
      <c r="HDN97" s="15"/>
      <c r="HDO97" s="15"/>
      <c r="HDP97" s="15"/>
      <c r="HDQ97" s="15"/>
      <c r="HDR97" s="15"/>
      <c r="HDS97" s="15"/>
      <c r="HDT97" s="15"/>
      <c r="HDU97" s="15"/>
      <c r="HDV97" s="15"/>
      <c r="HDW97" s="15"/>
      <c r="HDX97" s="15"/>
      <c r="HDY97" s="15"/>
      <c r="HDZ97" s="15"/>
      <c r="HEA97" s="15"/>
      <c r="HEB97" s="15"/>
      <c r="HEC97" s="15"/>
      <c r="HED97" s="15"/>
      <c r="HEE97" s="15"/>
      <c r="HEF97" s="15"/>
      <c r="HEG97" s="15"/>
      <c r="HEH97" s="15"/>
      <c r="HEI97" s="15"/>
      <c r="HEJ97" s="15"/>
      <c r="HEK97" s="15"/>
      <c r="HEL97" s="15"/>
      <c r="HEM97" s="15"/>
      <c r="HEN97" s="15"/>
      <c r="HEO97" s="15"/>
      <c r="HEP97" s="15"/>
      <c r="HEQ97" s="15"/>
      <c r="HER97" s="15"/>
      <c r="HES97" s="15"/>
      <c r="HET97" s="15"/>
      <c r="HEU97" s="15"/>
      <c r="HEV97" s="15"/>
      <c r="HEW97" s="15"/>
      <c r="HEX97" s="15"/>
      <c r="HEY97" s="15"/>
      <c r="HEZ97" s="15"/>
      <c r="HFA97" s="15"/>
      <c r="HFB97" s="15"/>
      <c r="HFC97" s="15"/>
      <c r="HFD97" s="15"/>
      <c r="HFE97" s="15"/>
      <c r="HFF97" s="15"/>
      <c r="HFG97" s="15"/>
      <c r="HFH97" s="15"/>
      <c r="HFI97" s="15"/>
      <c r="HFJ97" s="15"/>
      <c r="HFK97" s="15"/>
      <c r="HFL97" s="15"/>
      <c r="HFM97" s="15"/>
      <c r="HFN97" s="15"/>
      <c r="HFO97" s="15"/>
      <c r="HFP97" s="15"/>
      <c r="HFQ97" s="15"/>
      <c r="HFR97" s="15"/>
      <c r="HFS97" s="15"/>
      <c r="HFT97" s="15"/>
      <c r="HFU97" s="15"/>
      <c r="HFV97" s="15"/>
      <c r="HFW97" s="15"/>
      <c r="HFX97" s="15"/>
      <c r="HFY97" s="15"/>
      <c r="HFZ97" s="15"/>
      <c r="HGA97" s="15"/>
      <c r="HGB97" s="15"/>
      <c r="HGC97" s="15"/>
      <c r="HGD97" s="15"/>
      <c r="HGE97" s="15"/>
      <c r="HGF97" s="15"/>
      <c r="HGG97" s="15"/>
      <c r="HGH97" s="15"/>
      <c r="HGI97" s="15"/>
      <c r="HGJ97" s="15"/>
      <c r="HGK97" s="15"/>
      <c r="HGL97" s="15"/>
      <c r="HGM97" s="15"/>
      <c r="HGN97" s="15"/>
      <c r="HGO97" s="15"/>
      <c r="HGP97" s="15"/>
      <c r="HGQ97" s="15"/>
      <c r="HGR97" s="15"/>
      <c r="HGS97" s="15"/>
      <c r="HGT97" s="15"/>
      <c r="HGU97" s="15"/>
      <c r="HGV97" s="15"/>
      <c r="HGW97" s="15"/>
      <c r="HGX97" s="15"/>
      <c r="HGY97" s="15"/>
      <c r="HGZ97" s="15"/>
      <c r="HHA97" s="15"/>
      <c r="HHB97" s="15"/>
      <c r="HHC97" s="15"/>
      <c r="HHD97" s="15"/>
      <c r="HHE97" s="15"/>
      <c r="HHF97" s="15"/>
      <c r="HHG97" s="15"/>
      <c r="HHH97" s="15"/>
      <c r="HHI97" s="15"/>
      <c r="HHJ97" s="15"/>
      <c r="HHK97" s="15"/>
      <c r="HHL97" s="15"/>
      <c r="HHM97" s="15"/>
      <c r="HHN97" s="15"/>
      <c r="HHO97" s="15"/>
      <c r="HHP97" s="15"/>
      <c r="HHQ97" s="15"/>
      <c r="HHR97" s="15"/>
      <c r="HHS97" s="15"/>
      <c r="HHT97" s="15"/>
      <c r="HHU97" s="15"/>
      <c r="HHV97" s="15"/>
      <c r="HHW97" s="15"/>
      <c r="HHX97" s="15"/>
      <c r="HHY97" s="15"/>
      <c r="HHZ97" s="15"/>
      <c r="HIA97" s="15"/>
      <c r="HIB97" s="15"/>
      <c r="HIC97" s="15"/>
      <c r="HID97" s="15"/>
      <c r="HIE97" s="15"/>
      <c r="HIF97" s="15"/>
      <c r="HIG97" s="15"/>
      <c r="HIH97" s="15"/>
      <c r="HII97" s="15"/>
      <c r="HIJ97" s="15"/>
      <c r="HIK97" s="15"/>
      <c r="HIL97" s="15"/>
      <c r="HIM97" s="15"/>
      <c r="HIN97" s="15"/>
      <c r="HIO97" s="15"/>
      <c r="HIP97" s="15"/>
      <c r="HIQ97" s="15"/>
      <c r="HIR97" s="15"/>
      <c r="HIS97" s="15"/>
      <c r="HIT97" s="15"/>
      <c r="HIU97" s="15"/>
      <c r="HIV97" s="15"/>
      <c r="HIW97" s="15"/>
      <c r="HIX97" s="15"/>
      <c r="HIY97" s="15"/>
      <c r="HIZ97" s="15"/>
      <c r="HJA97" s="15"/>
      <c r="HJB97" s="15"/>
      <c r="HJC97" s="15"/>
      <c r="HJD97" s="15"/>
      <c r="HJE97" s="15"/>
      <c r="HJF97" s="15"/>
      <c r="HJG97" s="15"/>
      <c r="HJH97" s="15"/>
      <c r="HJI97" s="15"/>
      <c r="HJJ97" s="15"/>
      <c r="HJK97" s="15"/>
      <c r="HJL97" s="15"/>
      <c r="HJM97" s="15"/>
      <c r="HJN97" s="15"/>
      <c r="HJO97" s="15"/>
      <c r="HJP97" s="15"/>
      <c r="HJQ97" s="15"/>
      <c r="HJR97" s="15"/>
      <c r="HJS97" s="15"/>
      <c r="HJT97" s="15"/>
      <c r="HJU97" s="15"/>
      <c r="HJV97" s="15"/>
      <c r="HJW97" s="15"/>
      <c r="HJX97" s="15"/>
      <c r="HJY97" s="15"/>
      <c r="HJZ97" s="15"/>
      <c r="HKA97" s="15"/>
      <c r="HKB97" s="15"/>
      <c r="HKC97" s="15"/>
      <c r="HKD97" s="15"/>
      <c r="HKE97" s="15"/>
      <c r="HKF97" s="15"/>
      <c r="HKG97" s="15"/>
      <c r="HKH97" s="15"/>
      <c r="HKI97" s="15"/>
      <c r="HKJ97" s="15"/>
      <c r="HKK97" s="15"/>
      <c r="HKL97" s="15"/>
      <c r="HKM97" s="15"/>
      <c r="HKN97" s="15"/>
      <c r="HKO97" s="15"/>
      <c r="HKP97" s="15"/>
      <c r="HKQ97" s="15"/>
      <c r="HKR97" s="15"/>
      <c r="HKS97" s="15"/>
      <c r="HKT97" s="15"/>
      <c r="HKU97" s="15"/>
      <c r="HKV97" s="15"/>
      <c r="HKW97" s="15"/>
      <c r="HKX97" s="15"/>
      <c r="HKY97" s="15"/>
      <c r="HKZ97" s="15"/>
      <c r="HLA97" s="15"/>
      <c r="HLB97" s="15"/>
      <c r="HLC97" s="15"/>
      <c r="HLD97" s="15"/>
      <c r="HLE97" s="15"/>
      <c r="HLF97" s="15"/>
      <c r="HLG97" s="15"/>
      <c r="HLH97" s="15"/>
      <c r="HLI97" s="15"/>
      <c r="HLJ97" s="15"/>
      <c r="HLK97" s="15"/>
      <c r="HLL97" s="15"/>
      <c r="HLM97" s="15"/>
      <c r="HLN97" s="15"/>
      <c r="HLO97" s="15"/>
      <c r="HLP97" s="15"/>
      <c r="HLQ97" s="15"/>
      <c r="HLR97" s="15"/>
      <c r="HLS97" s="15"/>
      <c r="HLT97" s="15"/>
      <c r="HLU97" s="15"/>
      <c r="HLV97" s="15"/>
      <c r="HLW97" s="15"/>
      <c r="HLX97" s="15"/>
      <c r="HLY97" s="15"/>
      <c r="HLZ97" s="15"/>
      <c r="HMA97" s="15"/>
      <c r="HMB97" s="15"/>
      <c r="HMC97" s="15"/>
      <c r="HMD97" s="15"/>
      <c r="HME97" s="15"/>
      <c r="HMF97" s="15"/>
      <c r="HMG97" s="15"/>
      <c r="HMH97" s="15"/>
      <c r="HMI97" s="15"/>
      <c r="HMJ97" s="15"/>
      <c r="HMK97" s="15"/>
      <c r="HML97" s="15"/>
      <c r="HMM97" s="15"/>
      <c r="HMN97" s="15"/>
      <c r="HMO97" s="15"/>
      <c r="HMP97" s="15"/>
      <c r="HMQ97" s="15"/>
      <c r="HMR97" s="15"/>
      <c r="HMS97" s="15"/>
      <c r="HMT97" s="15"/>
      <c r="HMU97" s="15"/>
      <c r="HMV97" s="15"/>
      <c r="HMW97" s="15"/>
      <c r="HMX97" s="15"/>
      <c r="HMY97" s="15"/>
      <c r="HMZ97" s="15"/>
      <c r="HNA97" s="15"/>
      <c r="HNB97" s="15"/>
      <c r="HNC97" s="15"/>
      <c r="HND97" s="15"/>
      <c r="HNE97" s="15"/>
      <c r="HNF97" s="15"/>
      <c r="HNG97" s="15"/>
      <c r="HNH97" s="15"/>
      <c r="HNI97" s="15"/>
      <c r="HNJ97" s="15"/>
      <c r="HNK97" s="15"/>
      <c r="HNL97" s="15"/>
      <c r="HNM97" s="15"/>
      <c r="HNN97" s="15"/>
      <c r="HNO97" s="15"/>
      <c r="HNP97" s="15"/>
      <c r="HNQ97" s="15"/>
      <c r="HNR97" s="15"/>
      <c r="HNS97" s="15"/>
      <c r="HNT97" s="15"/>
      <c r="HNU97" s="15"/>
      <c r="HNV97" s="15"/>
      <c r="HNW97" s="15"/>
      <c r="HNX97" s="15"/>
      <c r="HNY97" s="15"/>
      <c r="HNZ97" s="15"/>
      <c r="HOA97" s="15"/>
      <c r="HOB97" s="15"/>
      <c r="HOC97" s="15"/>
      <c r="HOD97" s="15"/>
      <c r="HOE97" s="15"/>
      <c r="HOF97" s="15"/>
      <c r="HOG97" s="15"/>
      <c r="HOH97" s="15"/>
      <c r="HOI97" s="15"/>
      <c r="HOJ97" s="15"/>
      <c r="HOK97" s="15"/>
      <c r="HOL97" s="15"/>
      <c r="HOM97" s="15"/>
      <c r="HON97" s="15"/>
      <c r="HOO97" s="15"/>
      <c r="HOP97" s="15"/>
      <c r="HOQ97" s="15"/>
      <c r="HOR97" s="15"/>
      <c r="HOS97" s="15"/>
      <c r="HOT97" s="15"/>
      <c r="HOU97" s="15"/>
      <c r="HOV97" s="15"/>
      <c r="HOW97" s="15"/>
      <c r="HOX97" s="15"/>
      <c r="HOY97" s="15"/>
      <c r="HOZ97" s="15"/>
      <c r="HPA97" s="15"/>
      <c r="HPB97" s="15"/>
      <c r="HPC97" s="15"/>
      <c r="HPD97" s="15"/>
      <c r="HPE97" s="15"/>
      <c r="HPF97" s="15"/>
      <c r="HPG97" s="15"/>
      <c r="HPH97" s="15"/>
      <c r="HPI97" s="15"/>
      <c r="HPJ97" s="15"/>
      <c r="HPK97" s="15"/>
      <c r="HPL97" s="15"/>
      <c r="HPM97" s="15"/>
      <c r="HPN97" s="15"/>
      <c r="HPO97" s="15"/>
      <c r="HPP97" s="15"/>
      <c r="HPQ97" s="15"/>
      <c r="HPR97" s="15"/>
      <c r="HPS97" s="15"/>
      <c r="HPT97" s="15"/>
      <c r="HPU97" s="15"/>
      <c r="HPV97" s="15"/>
      <c r="HPW97" s="15"/>
      <c r="HPX97" s="15"/>
      <c r="HPY97" s="15"/>
      <c r="HPZ97" s="15"/>
      <c r="HQA97" s="15"/>
      <c r="HQB97" s="15"/>
      <c r="HQC97" s="15"/>
      <c r="HQD97" s="15"/>
      <c r="HQE97" s="15"/>
      <c r="HQF97" s="15"/>
      <c r="HQG97" s="15"/>
      <c r="HQH97" s="15"/>
      <c r="HQI97" s="15"/>
      <c r="HQJ97" s="15"/>
      <c r="HQK97" s="15"/>
      <c r="HQL97" s="15"/>
      <c r="HQM97" s="15"/>
      <c r="HQN97" s="15"/>
      <c r="HQO97" s="15"/>
      <c r="HQP97" s="15"/>
      <c r="HQQ97" s="15"/>
      <c r="HQR97" s="15"/>
      <c r="HQS97" s="15"/>
      <c r="HQT97" s="15"/>
      <c r="HQU97" s="15"/>
      <c r="HQV97" s="15"/>
      <c r="HQW97" s="15"/>
      <c r="HQX97" s="15"/>
      <c r="HQY97" s="15"/>
      <c r="HQZ97" s="15"/>
      <c r="HRA97" s="15"/>
      <c r="HRB97" s="15"/>
      <c r="HRC97" s="15"/>
      <c r="HRD97" s="15"/>
      <c r="HRE97" s="15"/>
      <c r="HRF97" s="15"/>
      <c r="HRG97" s="15"/>
      <c r="HRH97" s="15"/>
      <c r="HRI97" s="15"/>
      <c r="HRJ97" s="15"/>
      <c r="HRK97" s="15"/>
      <c r="HRL97" s="15"/>
      <c r="HRM97" s="15"/>
      <c r="HRN97" s="15"/>
      <c r="HRO97" s="15"/>
      <c r="HRP97" s="15"/>
      <c r="HRQ97" s="15"/>
      <c r="HRR97" s="15"/>
      <c r="HRS97" s="15"/>
      <c r="HRT97" s="15"/>
      <c r="HRU97" s="15"/>
      <c r="HRV97" s="15"/>
      <c r="HRW97" s="15"/>
      <c r="HRX97" s="15"/>
      <c r="HRY97" s="15"/>
      <c r="HRZ97" s="15"/>
      <c r="HSA97" s="15"/>
      <c r="HSB97" s="15"/>
      <c r="HSC97" s="15"/>
      <c r="HSD97" s="15"/>
      <c r="HSE97" s="15"/>
      <c r="HSF97" s="15"/>
      <c r="HSG97" s="15"/>
      <c r="HSH97" s="15"/>
      <c r="HSI97" s="15"/>
      <c r="HSJ97" s="15"/>
      <c r="HSK97" s="15"/>
      <c r="HSL97" s="15"/>
      <c r="HSM97" s="15"/>
      <c r="HSN97" s="15"/>
      <c r="HSO97" s="15"/>
      <c r="HSP97" s="15"/>
      <c r="HSQ97" s="15"/>
      <c r="HSR97" s="15"/>
      <c r="HSS97" s="15"/>
      <c r="HST97" s="15"/>
      <c r="HSU97" s="15"/>
      <c r="HSV97" s="15"/>
      <c r="HSW97" s="15"/>
      <c r="HSX97" s="15"/>
      <c r="HSY97" s="15"/>
      <c r="HSZ97" s="15"/>
      <c r="HTA97" s="15"/>
      <c r="HTB97" s="15"/>
      <c r="HTC97" s="15"/>
      <c r="HTD97" s="15"/>
      <c r="HTE97" s="15"/>
      <c r="HTF97" s="15"/>
      <c r="HTG97" s="15"/>
      <c r="HTH97" s="15"/>
      <c r="HTI97" s="15"/>
      <c r="HTJ97" s="15"/>
      <c r="HTK97" s="15"/>
      <c r="HTL97" s="15"/>
      <c r="HTM97" s="15"/>
      <c r="HTN97" s="15"/>
      <c r="HTO97" s="15"/>
      <c r="HTP97" s="15"/>
      <c r="HTQ97" s="15"/>
      <c r="HTR97" s="15"/>
      <c r="HTS97" s="15"/>
      <c r="HTT97" s="15"/>
      <c r="HTU97" s="15"/>
      <c r="HTV97" s="15"/>
      <c r="HTW97" s="15"/>
      <c r="HTX97" s="15"/>
      <c r="HTY97" s="15"/>
      <c r="HTZ97" s="15"/>
      <c r="HUA97" s="15"/>
      <c r="HUB97" s="15"/>
      <c r="HUC97" s="15"/>
      <c r="HUD97" s="15"/>
      <c r="HUE97" s="15"/>
      <c r="HUF97" s="15"/>
      <c r="HUG97" s="15"/>
      <c r="HUH97" s="15"/>
      <c r="HUI97" s="15"/>
      <c r="HUJ97" s="15"/>
      <c r="HUK97" s="15"/>
      <c r="HUL97" s="15"/>
      <c r="HUM97" s="15"/>
      <c r="HUN97" s="15"/>
      <c r="HUO97" s="15"/>
      <c r="HUP97" s="15"/>
      <c r="HUQ97" s="15"/>
      <c r="HUR97" s="15"/>
      <c r="HUS97" s="15"/>
      <c r="HUT97" s="15"/>
      <c r="HUU97" s="15"/>
      <c r="HUV97" s="15"/>
      <c r="HUW97" s="15"/>
      <c r="HUX97" s="15"/>
      <c r="HUY97" s="15"/>
      <c r="HUZ97" s="15"/>
      <c r="HVA97" s="15"/>
      <c r="HVB97" s="15"/>
      <c r="HVC97" s="15"/>
      <c r="HVD97" s="15"/>
      <c r="HVE97" s="15"/>
      <c r="HVF97" s="15"/>
      <c r="HVG97" s="15"/>
      <c r="HVH97" s="15"/>
      <c r="HVI97" s="15"/>
      <c r="HVJ97" s="15"/>
      <c r="HVK97" s="15"/>
      <c r="HVL97" s="15"/>
      <c r="HVM97" s="15"/>
      <c r="HVN97" s="15"/>
      <c r="HVO97" s="15"/>
      <c r="HVP97" s="15"/>
      <c r="HVQ97" s="15"/>
      <c r="HVR97" s="15"/>
      <c r="HVS97" s="15"/>
      <c r="HVT97" s="15"/>
      <c r="HVU97" s="15"/>
      <c r="HVV97" s="15"/>
      <c r="HVW97" s="15"/>
      <c r="HVX97" s="15"/>
      <c r="HVY97" s="15"/>
      <c r="HVZ97" s="15"/>
      <c r="HWA97" s="15"/>
      <c r="HWB97" s="15"/>
      <c r="HWC97" s="15"/>
      <c r="HWD97" s="15"/>
      <c r="HWE97" s="15"/>
      <c r="HWF97" s="15"/>
      <c r="HWG97" s="15"/>
      <c r="HWH97" s="15"/>
      <c r="HWI97" s="15"/>
      <c r="HWJ97" s="15"/>
      <c r="HWK97" s="15"/>
      <c r="HWL97" s="15"/>
      <c r="HWM97" s="15"/>
      <c r="HWN97" s="15"/>
      <c r="HWO97" s="15"/>
      <c r="HWP97" s="15"/>
      <c r="HWQ97" s="15"/>
      <c r="HWR97" s="15"/>
      <c r="HWS97" s="15"/>
      <c r="HWT97" s="15"/>
      <c r="HWU97" s="15"/>
      <c r="HWV97" s="15"/>
      <c r="HWW97" s="15"/>
      <c r="HWX97" s="15"/>
      <c r="HWY97" s="15"/>
      <c r="HWZ97" s="15"/>
      <c r="HXA97" s="15"/>
      <c r="HXB97" s="15"/>
      <c r="HXC97" s="15"/>
      <c r="HXD97" s="15"/>
      <c r="HXE97" s="15"/>
      <c r="HXF97" s="15"/>
      <c r="HXG97" s="15"/>
      <c r="HXH97" s="15"/>
      <c r="HXI97" s="15"/>
      <c r="HXJ97" s="15"/>
      <c r="HXK97" s="15"/>
      <c r="HXL97" s="15"/>
      <c r="HXM97" s="15"/>
      <c r="HXN97" s="15"/>
      <c r="HXO97" s="15"/>
      <c r="HXP97" s="15"/>
      <c r="HXQ97" s="15"/>
      <c r="HXR97" s="15"/>
      <c r="HXS97" s="15"/>
      <c r="HXT97" s="15"/>
      <c r="HXU97" s="15"/>
      <c r="HXV97" s="15"/>
      <c r="HXW97" s="15"/>
      <c r="HXX97" s="15"/>
      <c r="HXY97" s="15"/>
      <c r="HXZ97" s="15"/>
      <c r="HYA97" s="15"/>
      <c r="HYB97" s="15"/>
      <c r="HYC97" s="15"/>
      <c r="HYD97" s="15"/>
      <c r="HYE97" s="15"/>
      <c r="HYF97" s="15"/>
      <c r="HYG97" s="15"/>
      <c r="HYH97" s="15"/>
      <c r="HYI97" s="15"/>
      <c r="HYJ97" s="15"/>
      <c r="HYK97" s="15"/>
      <c r="HYL97" s="15"/>
      <c r="HYM97" s="15"/>
      <c r="HYN97" s="15"/>
      <c r="HYO97" s="15"/>
      <c r="HYP97" s="15"/>
      <c r="HYQ97" s="15"/>
      <c r="HYR97" s="15"/>
      <c r="HYS97" s="15"/>
      <c r="HYT97" s="15"/>
      <c r="HYU97" s="15"/>
      <c r="HYV97" s="15"/>
      <c r="HYW97" s="15"/>
      <c r="HYX97" s="15"/>
      <c r="HYY97" s="15"/>
      <c r="HYZ97" s="15"/>
      <c r="HZA97" s="15"/>
      <c r="HZB97" s="15"/>
      <c r="HZC97" s="15"/>
      <c r="HZD97" s="15"/>
      <c r="HZE97" s="15"/>
      <c r="HZF97" s="15"/>
      <c r="HZG97" s="15"/>
      <c r="HZH97" s="15"/>
      <c r="HZI97" s="15"/>
      <c r="HZJ97" s="15"/>
      <c r="HZK97" s="15"/>
      <c r="HZL97" s="15"/>
      <c r="HZM97" s="15"/>
      <c r="HZN97" s="15"/>
      <c r="HZO97" s="15"/>
      <c r="HZP97" s="15"/>
      <c r="HZQ97" s="15"/>
      <c r="HZR97" s="15"/>
      <c r="HZS97" s="15"/>
      <c r="HZT97" s="15"/>
      <c r="HZU97" s="15"/>
      <c r="HZV97" s="15"/>
      <c r="HZW97" s="15"/>
      <c r="HZX97" s="15"/>
      <c r="HZY97" s="15"/>
      <c r="HZZ97" s="15"/>
      <c r="IAA97" s="15"/>
      <c r="IAB97" s="15"/>
      <c r="IAC97" s="15"/>
      <c r="IAD97" s="15"/>
      <c r="IAE97" s="15"/>
      <c r="IAF97" s="15"/>
      <c r="IAG97" s="15"/>
      <c r="IAH97" s="15"/>
      <c r="IAI97" s="15"/>
      <c r="IAJ97" s="15"/>
      <c r="IAK97" s="15"/>
      <c r="IAL97" s="15"/>
      <c r="IAM97" s="15"/>
      <c r="IAN97" s="15"/>
      <c r="IAO97" s="15"/>
      <c r="IAP97" s="15"/>
      <c r="IAQ97" s="15"/>
      <c r="IAR97" s="15"/>
      <c r="IAS97" s="15"/>
      <c r="IAT97" s="15"/>
      <c r="IAU97" s="15"/>
      <c r="IAV97" s="15"/>
      <c r="IAW97" s="15"/>
      <c r="IAX97" s="15"/>
      <c r="IAY97" s="15"/>
      <c r="IAZ97" s="15"/>
      <c r="IBA97" s="15"/>
      <c r="IBB97" s="15"/>
      <c r="IBC97" s="15"/>
      <c r="IBD97" s="15"/>
      <c r="IBE97" s="15"/>
      <c r="IBF97" s="15"/>
      <c r="IBG97" s="15"/>
      <c r="IBH97" s="15"/>
      <c r="IBI97" s="15"/>
      <c r="IBJ97" s="15"/>
      <c r="IBK97" s="15"/>
      <c r="IBL97" s="15"/>
      <c r="IBM97" s="15"/>
      <c r="IBN97" s="15"/>
      <c r="IBO97" s="15"/>
      <c r="IBP97" s="15"/>
      <c r="IBQ97" s="15"/>
      <c r="IBR97" s="15"/>
      <c r="IBS97" s="15"/>
      <c r="IBT97" s="15"/>
      <c r="IBU97" s="15"/>
      <c r="IBV97" s="15"/>
      <c r="IBW97" s="15"/>
      <c r="IBX97" s="15"/>
      <c r="IBY97" s="15"/>
      <c r="IBZ97" s="15"/>
      <c r="ICA97" s="15"/>
      <c r="ICB97" s="15"/>
      <c r="ICC97" s="15"/>
      <c r="ICD97" s="15"/>
      <c r="ICE97" s="15"/>
      <c r="ICF97" s="15"/>
      <c r="ICG97" s="15"/>
      <c r="ICH97" s="15"/>
      <c r="ICI97" s="15"/>
      <c r="ICJ97" s="15"/>
      <c r="ICK97" s="15"/>
      <c r="ICL97" s="15"/>
      <c r="ICM97" s="15"/>
      <c r="ICN97" s="15"/>
      <c r="ICO97" s="15"/>
      <c r="ICP97" s="15"/>
      <c r="ICQ97" s="15"/>
      <c r="ICR97" s="15"/>
      <c r="ICS97" s="15"/>
      <c r="ICT97" s="15"/>
      <c r="ICU97" s="15"/>
      <c r="ICV97" s="15"/>
      <c r="ICW97" s="15"/>
      <c r="ICX97" s="15"/>
      <c r="ICY97" s="15"/>
      <c r="ICZ97" s="15"/>
      <c r="IDA97" s="15"/>
      <c r="IDB97" s="15"/>
      <c r="IDC97" s="15"/>
      <c r="IDD97" s="15"/>
      <c r="IDE97" s="15"/>
      <c r="IDF97" s="15"/>
      <c r="IDG97" s="15"/>
      <c r="IDH97" s="15"/>
      <c r="IDI97" s="15"/>
      <c r="IDJ97" s="15"/>
      <c r="IDK97" s="15"/>
      <c r="IDL97" s="15"/>
      <c r="IDM97" s="15"/>
      <c r="IDN97" s="15"/>
      <c r="IDO97" s="15"/>
      <c r="IDP97" s="15"/>
      <c r="IDQ97" s="15"/>
      <c r="IDR97" s="15"/>
      <c r="IDS97" s="15"/>
      <c r="IDT97" s="15"/>
      <c r="IDU97" s="15"/>
      <c r="IDV97" s="15"/>
      <c r="IDW97" s="15"/>
      <c r="IDX97" s="15"/>
      <c r="IDY97" s="15"/>
      <c r="IDZ97" s="15"/>
      <c r="IEA97" s="15"/>
      <c r="IEB97" s="15"/>
      <c r="IEC97" s="15"/>
      <c r="IED97" s="15"/>
      <c r="IEE97" s="15"/>
      <c r="IEF97" s="15"/>
      <c r="IEG97" s="15"/>
      <c r="IEH97" s="15"/>
      <c r="IEI97" s="15"/>
      <c r="IEJ97" s="15"/>
      <c r="IEK97" s="15"/>
      <c r="IEL97" s="15"/>
      <c r="IEM97" s="15"/>
      <c r="IEN97" s="15"/>
      <c r="IEO97" s="15"/>
      <c r="IEP97" s="15"/>
      <c r="IEQ97" s="15"/>
      <c r="IER97" s="15"/>
      <c r="IES97" s="15"/>
      <c r="IET97" s="15"/>
      <c r="IEU97" s="15"/>
      <c r="IEV97" s="15"/>
      <c r="IEW97" s="15"/>
      <c r="IEX97" s="15"/>
      <c r="IEY97" s="15"/>
      <c r="IEZ97" s="15"/>
      <c r="IFA97" s="15"/>
      <c r="IFB97" s="15"/>
      <c r="IFC97" s="15"/>
      <c r="IFD97" s="15"/>
      <c r="IFE97" s="15"/>
      <c r="IFF97" s="15"/>
      <c r="IFG97" s="15"/>
      <c r="IFH97" s="15"/>
      <c r="IFI97" s="15"/>
      <c r="IFJ97" s="15"/>
      <c r="IFK97" s="15"/>
      <c r="IFL97" s="15"/>
      <c r="IFM97" s="15"/>
      <c r="IFN97" s="15"/>
      <c r="IFO97" s="15"/>
      <c r="IFP97" s="15"/>
      <c r="IFQ97" s="15"/>
      <c r="IFR97" s="15"/>
      <c r="IFS97" s="15"/>
      <c r="IFT97" s="15"/>
      <c r="IFU97" s="15"/>
      <c r="IFV97" s="15"/>
      <c r="IFW97" s="15"/>
      <c r="IFX97" s="15"/>
      <c r="IFY97" s="15"/>
      <c r="IFZ97" s="15"/>
      <c r="IGA97" s="15"/>
      <c r="IGB97" s="15"/>
      <c r="IGC97" s="15"/>
      <c r="IGD97" s="15"/>
      <c r="IGE97" s="15"/>
      <c r="IGF97" s="15"/>
      <c r="IGG97" s="15"/>
      <c r="IGH97" s="15"/>
      <c r="IGI97" s="15"/>
      <c r="IGJ97" s="15"/>
      <c r="IGK97" s="15"/>
      <c r="IGL97" s="15"/>
      <c r="IGM97" s="15"/>
      <c r="IGN97" s="15"/>
      <c r="IGO97" s="15"/>
      <c r="IGP97" s="15"/>
      <c r="IGQ97" s="15"/>
      <c r="IGR97" s="15"/>
      <c r="IGS97" s="15"/>
      <c r="IGT97" s="15"/>
      <c r="IGU97" s="15"/>
      <c r="IGV97" s="15"/>
      <c r="IGW97" s="15"/>
      <c r="IGX97" s="15"/>
      <c r="IGY97" s="15"/>
      <c r="IGZ97" s="15"/>
      <c r="IHA97" s="15"/>
      <c r="IHB97" s="15"/>
      <c r="IHC97" s="15"/>
      <c r="IHD97" s="15"/>
      <c r="IHE97" s="15"/>
      <c r="IHF97" s="15"/>
      <c r="IHG97" s="15"/>
      <c r="IHH97" s="15"/>
      <c r="IHI97" s="15"/>
      <c r="IHJ97" s="15"/>
      <c r="IHK97" s="15"/>
      <c r="IHL97" s="15"/>
      <c r="IHM97" s="15"/>
      <c r="IHN97" s="15"/>
      <c r="IHO97" s="15"/>
      <c r="IHP97" s="15"/>
      <c r="IHQ97" s="15"/>
      <c r="IHR97" s="15"/>
      <c r="IHS97" s="15"/>
      <c r="IHT97" s="15"/>
      <c r="IHU97" s="15"/>
      <c r="IHV97" s="15"/>
      <c r="IHW97" s="15"/>
      <c r="IHX97" s="15"/>
      <c r="IHY97" s="15"/>
      <c r="IHZ97" s="15"/>
      <c r="IIA97" s="15"/>
      <c r="IIB97" s="15"/>
      <c r="IIC97" s="15"/>
      <c r="IID97" s="15"/>
      <c r="IIE97" s="15"/>
      <c r="IIF97" s="15"/>
      <c r="IIG97" s="15"/>
      <c r="IIH97" s="15"/>
      <c r="III97" s="15"/>
      <c r="IIJ97" s="15"/>
      <c r="IIK97" s="15"/>
      <c r="IIL97" s="15"/>
      <c r="IIM97" s="15"/>
      <c r="IIN97" s="15"/>
      <c r="IIO97" s="15"/>
      <c r="IIP97" s="15"/>
      <c r="IIQ97" s="15"/>
      <c r="IIR97" s="15"/>
      <c r="IIS97" s="15"/>
      <c r="IIT97" s="15"/>
      <c r="IIU97" s="15"/>
      <c r="IIV97" s="15"/>
      <c r="IIW97" s="15"/>
      <c r="IIX97" s="15"/>
      <c r="IIY97" s="15"/>
      <c r="IIZ97" s="15"/>
      <c r="IJA97" s="15"/>
      <c r="IJB97" s="15"/>
      <c r="IJC97" s="15"/>
      <c r="IJD97" s="15"/>
      <c r="IJE97" s="15"/>
      <c r="IJF97" s="15"/>
      <c r="IJG97" s="15"/>
      <c r="IJH97" s="15"/>
      <c r="IJI97" s="15"/>
      <c r="IJJ97" s="15"/>
      <c r="IJK97" s="15"/>
      <c r="IJL97" s="15"/>
      <c r="IJM97" s="15"/>
      <c r="IJN97" s="15"/>
      <c r="IJO97" s="15"/>
      <c r="IJP97" s="15"/>
      <c r="IJQ97" s="15"/>
      <c r="IJR97" s="15"/>
      <c r="IJS97" s="15"/>
      <c r="IJT97" s="15"/>
      <c r="IJU97" s="15"/>
      <c r="IJV97" s="15"/>
      <c r="IJW97" s="15"/>
      <c r="IJX97" s="15"/>
      <c r="IJY97" s="15"/>
      <c r="IJZ97" s="15"/>
      <c r="IKA97" s="15"/>
      <c r="IKB97" s="15"/>
      <c r="IKC97" s="15"/>
      <c r="IKD97" s="15"/>
      <c r="IKE97" s="15"/>
      <c r="IKF97" s="15"/>
      <c r="IKG97" s="15"/>
      <c r="IKH97" s="15"/>
      <c r="IKI97" s="15"/>
      <c r="IKJ97" s="15"/>
      <c r="IKK97" s="15"/>
      <c r="IKL97" s="15"/>
      <c r="IKM97" s="15"/>
      <c r="IKN97" s="15"/>
      <c r="IKO97" s="15"/>
      <c r="IKP97" s="15"/>
      <c r="IKQ97" s="15"/>
      <c r="IKR97" s="15"/>
      <c r="IKS97" s="15"/>
      <c r="IKT97" s="15"/>
      <c r="IKU97" s="15"/>
      <c r="IKV97" s="15"/>
      <c r="IKW97" s="15"/>
      <c r="IKX97" s="15"/>
      <c r="IKY97" s="15"/>
      <c r="IKZ97" s="15"/>
      <c r="ILA97" s="15"/>
      <c r="ILB97" s="15"/>
      <c r="ILC97" s="15"/>
      <c r="ILD97" s="15"/>
      <c r="ILE97" s="15"/>
      <c r="ILF97" s="15"/>
      <c r="ILG97" s="15"/>
      <c r="ILH97" s="15"/>
      <c r="ILI97" s="15"/>
      <c r="ILJ97" s="15"/>
      <c r="ILK97" s="15"/>
      <c r="ILL97" s="15"/>
      <c r="ILM97" s="15"/>
      <c r="ILN97" s="15"/>
      <c r="ILO97" s="15"/>
      <c r="ILP97" s="15"/>
      <c r="ILQ97" s="15"/>
      <c r="ILR97" s="15"/>
      <c r="ILS97" s="15"/>
      <c r="ILT97" s="15"/>
      <c r="ILU97" s="15"/>
      <c r="ILV97" s="15"/>
      <c r="ILW97" s="15"/>
      <c r="ILX97" s="15"/>
      <c r="ILY97" s="15"/>
      <c r="ILZ97" s="15"/>
      <c r="IMA97" s="15"/>
      <c r="IMB97" s="15"/>
      <c r="IMC97" s="15"/>
      <c r="IMD97" s="15"/>
      <c r="IME97" s="15"/>
      <c r="IMF97" s="15"/>
      <c r="IMG97" s="15"/>
      <c r="IMH97" s="15"/>
      <c r="IMI97" s="15"/>
      <c r="IMJ97" s="15"/>
      <c r="IMK97" s="15"/>
      <c r="IML97" s="15"/>
      <c r="IMM97" s="15"/>
      <c r="IMN97" s="15"/>
      <c r="IMO97" s="15"/>
      <c r="IMP97" s="15"/>
      <c r="IMQ97" s="15"/>
      <c r="IMR97" s="15"/>
      <c r="IMS97" s="15"/>
      <c r="IMT97" s="15"/>
      <c r="IMU97" s="15"/>
      <c r="IMV97" s="15"/>
      <c r="IMW97" s="15"/>
      <c r="IMX97" s="15"/>
      <c r="IMY97" s="15"/>
      <c r="IMZ97" s="15"/>
      <c r="INA97" s="15"/>
      <c r="INB97" s="15"/>
      <c r="INC97" s="15"/>
      <c r="IND97" s="15"/>
      <c r="INE97" s="15"/>
      <c r="INF97" s="15"/>
      <c r="ING97" s="15"/>
      <c r="INH97" s="15"/>
      <c r="INI97" s="15"/>
      <c r="INJ97" s="15"/>
      <c r="INK97" s="15"/>
      <c r="INL97" s="15"/>
      <c r="INM97" s="15"/>
      <c r="INN97" s="15"/>
      <c r="INO97" s="15"/>
      <c r="INP97" s="15"/>
      <c r="INQ97" s="15"/>
      <c r="INR97" s="15"/>
      <c r="INS97" s="15"/>
      <c r="INT97" s="15"/>
      <c r="INU97" s="15"/>
      <c r="INV97" s="15"/>
      <c r="INW97" s="15"/>
      <c r="INX97" s="15"/>
      <c r="INY97" s="15"/>
      <c r="INZ97" s="15"/>
      <c r="IOA97" s="15"/>
      <c r="IOB97" s="15"/>
      <c r="IOC97" s="15"/>
      <c r="IOD97" s="15"/>
      <c r="IOE97" s="15"/>
      <c r="IOF97" s="15"/>
      <c r="IOG97" s="15"/>
      <c r="IOH97" s="15"/>
      <c r="IOI97" s="15"/>
      <c r="IOJ97" s="15"/>
      <c r="IOK97" s="15"/>
      <c r="IOL97" s="15"/>
      <c r="IOM97" s="15"/>
      <c r="ION97" s="15"/>
      <c r="IOO97" s="15"/>
      <c r="IOP97" s="15"/>
      <c r="IOQ97" s="15"/>
      <c r="IOR97" s="15"/>
      <c r="IOS97" s="15"/>
      <c r="IOT97" s="15"/>
      <c r="IOU97" s="15"/>
      <c r="IOV97" s="15"/>
      <c r="IOW97" s="15"/>
      <c r="IOX97" s="15"/>
      <c r="IOY97" s="15"/>
      <c r="IOZ97" s="15"/>
      <c r="IPA97" s="15"/>
      <c r="IPB97" s="15"/>
      <c r="IPC97" s="15"/>
      <c r="IPD97" s="15"/>
      <c r="IPE97" s="15"/>
      <c r="IPF97" s="15"/>
      <c r="IPG97" s="15"/>
      <c r="IPH97" s="15"/>
      <c r="IPI97" s="15"/>
      <c r="IPJ97" s="15"/>
      <c r="IPK97" s="15"/>
      <c r="IPL97" s="15"/>
      <c r="IPM97" s="15"/>
      <c r="IPN97" s="15"/>
      <c r="IPO97" s="15"/>
      <c r="IPP97" s="15"/>
      <c r="IPQ97" s="15"/>
      <c r="IPR97" s="15"/>
      <c r="IPS97" s="15"/>
      <c r="IPT97" s="15"/>
      <c r="IPU97" s="15"/>
      <c r="IPV97" s="15"/>
      <c r="IPW97" s="15"/>
      <c r="IPX97" s="15"/>
      <c r="IPY97" s="15"/>
      <c r="IPZ97" s="15"/>
      <c r="IQA97" s="15"/>
      <c r="IQB97" s="15"/>
      <c r="IQC97" s="15"/>
      <c r="IQD97" s="15"/>
      <c r="IQE97" s="15"/>
      <c r="IQF97" s="15"/>
      <c r="IQG97" s="15"/>
      <c r="IQH97" s="15"/>
      <c r="IQI97" s="15"/>
      <c r="IQJ97" s="15"/>
      <c r="IQK97" s="15"/>
      <c r="IQL97" s="15"/>
      <c r="IQM97" s="15"/>
      <c r="IQN97" s="15"/>
      <c r="IQO97" s="15"/>
      <c r="IQP97" s="15"/>
      <c r="IQQ97" s="15"/>
      <c r="IQR97" s="15"/>
      <c r="IQS97" s="15"/>
      <c r="IQT97" s="15"/>
      <c r="IQU97" s="15"/>
      <c r="IQV97" s="15"/>
      <c r="IQW97" s="15"/>
      <c r="IQX97" s="15"/>
      <c r="IQY97" s="15"/>
      <c r="IQZ97" s="15"/>
      <c r="IRA97" s="15"/>
      <c r="IRB97" s="15"/>
      <c r="IRC97" s="15"/>
      <c r="IRD97" s="15"/>
      <c r="IRE97" s="15"/>
      <c r="IRF97" s="15"/>
      <c r="IRG97" s="15"/>
      <c r="IRH97" s="15"/>
      <c r="IRI97" s="15"/>
      <c r="IRJ97" s="15"/>
      <c r="IRK97" s="15"/>
      <c r="IRL97" s="15"/>
      <c r="IRM97" s="15"/>
      <c r="IRN97" s="15"/>
      <c r="IRO97" s="15"/>
      <c r="IRP97" s="15"/>
      <c r="IRQ97" s="15"/>
      <c r="IRR97" s="15"/>
      <c r="IRS97" s="15"/>
      <c r="IRT97" s="15"/>
      <c r="IRU97" s="15"/>
      <c r="IRV97" s="15"/>
      <c r="IRW97" s="15"/>
      <c r="IRX97" s="15"/>
      <c r="IRY97" s="15"/>
      <c r="IRZ97" s="15"/>
      <c r="ISA97" s="15"/>
      <c r="ISB97" s="15"/>
      <c r="ISC97" s="15"/>
      <c r="ISD97" s="15"/>
      <c r="ISE97" s="15"/>
      <c r="ISF97" s="15"/>
      <c r="ISG97" s="15"/>
      <c r="ISH97" s="15"/>
      <c r="ISI97" s="15"/>
      <c r="ISJ97" s="15"/>
      <c r="ISK97" s="15"/>
      <c r="ISL97" s="15"/>
      <c r="ISM97" s="15"/>
      <c r="ISN97" s="15"/>
      <c r="ISO97" s="15"/>
      <c r="ISP97" s="15"/>
      <c r="ISQ97" s="15"/>
      <c r="ISR97" s="15"/>
      <c r="ISS97" s="15"/>
      <c r="IST97" s="15"/>
      <c r="ISU97" s="15"/>
      <c r="ISV97" s="15"/>
      <c r="ISW97" s="15"/>
      <c r="ISX97" s="15"/>
      <c r="ISY97" s="15"/>
      <c r="ISZ97" s="15"/>
      <c r="ITA97" s="15"/>
      <c r="ITB97" s="15"/>
      <c r="ITC97" s="15"/>
      <c r="ITD97" s="15"/>
      <c r="ITE97" s="15"/>
      <c r="ITF97" s="15"/>
      <c r="ITG97" s="15"/>
      <c r="ITH97" s="15"/>
      <c r="ITI97" s="15"/>
      <c r="ITJ97" s="15"/>
      <c r="ITK97" s="15"/>
      <c r="ITL97" s="15"/>
      <c r="ITM97" s="15"/>
      <c r="ITN97" s="15"/>
      <c r="ITO97" s="15"/>
      <c r="ITP97" s="15"/>
      <c r="ITQ97" s="15"/>
      <c r="ITR97" s="15"/>
      <c r="ITS97" s="15"/>
      <c r="ITT97" s="15"/>
      <c r="ITU97" s="15"/>
      <c r="ITV97" s="15"/>
      <c r="ITW97" s="15"/>
      <c r="ITX97" s="15"/>
      <c r="ITY97" s="15"/>
      <c r="ITZ97" s="15"/>
      <c r="IUA97" s="15"/>
      <c r="IUB97" s="15"/>
      <c r="IUC97" s="15"/>
      <c r="IUD97" s="15"/>
      <c r="IUE97" s="15"/>
      <c r="IUF97" s="15"/>
      <c r="IUG97" s="15"/>
      <c r="IUH97" s="15"/>
      <c r="IUI97" s="15"/>
      <c r="IUJ97" s="15"/>
      <c r="IUK97" s="15"/>
      <c r="IUL97" s="15"/>
      <c r="IUM97" s="15"/>
      <c r="IUN97" s="15"/>
      <c r="IUO97" s="15"/>
      <c r="IUP97" s="15"/>
      <c r="IUQ97" s="15"/>
      <c r="IUR97" s="15"/>
      <c r="IUS97" s="15"/>
      <c r="IUT97" s="15"/>
      <c r="IUU97" s="15"/>
      <c r="IUV97" s="15"/>
      <c r="IUW97" s="15"/>
      <c r="IUX97" s="15"/>
      <c r="IUY97" s="15"/>
      <c r="IUZ97" s="15"/>
      <c r="IVA97" s="15"/>
      <c r="IVB97" s="15"/>
      <c r="IVC97" s="15"/>
      <c r="IVD97" s="15"/>
      <c r="IVE97" s="15"/>
      <c r="IVF97" s="15"/>
      <c r="IVG97" s="15"/>
      <c r="IVH97" s="15"/>
      <c r="IVI97" s="15"/>
      <c r="IVJ97" s="15"/>
      <c r="IVK97" s="15"/>
      <c r="IVL97" s="15"/>
      <c r="IVM97" s="15"/>
      <c r="IVN97" s="15"/>
      <c r="IVO97" s="15"/>
      <c r="IVP97" s="15"/>
      <c r="IVQ97" s="15"/>
      <c r="IVR97" s="15"/>
      <c r="IVS97" s="15"/>
      <c r="IVT97" s="15"/>
      <c r="IVU97" s="15"/>
      <c r="IVV97" s="15"/>
      <c r="IVW97" s="15"/>
      <c r="IVX97" s="15"/>
      <c r="IVY97" s="15"/>
      <c r="IVZ97" s="15"/>
      <c r="IWA97" s="15"/>
      <c r="IWB97" s="15"/>
      <c r="IWC97" s="15"/>
      <c r="IWD97" s="15"/>
      <c r="IWE97" s="15"/>
      <c r="IWF97" s="15"/>
      <c r="IWG97" s="15"/>
      <c r="IWH97" s="15"/>
      <c r="IWI97" s="15"/>
      <c r="IWJ97" s="15"/>
      <c r="IWK97" s="15"/>
      <c r="IWL97" s="15"/>
      <c r="IWM97" s="15"/>
      <c r="IWN97" s="15"/>
      <c r="IWO97" s="15"/>
      <c r="IWP97" s="15"/>
      <c r="IWQ97" s="15"/>
      <c r="IWR97" s="15"/>
      <c r="IWS97" s="15"/>
      <c r="IWT97" s="15"/>
      <c r="IWU97" s="15"/>
      <c r="IWV97" s="15"/>
      <c r="IWW97" s="15"/>
      <c r="IWX97" s="15"/>
      <c r="IWY97" s="15"/>
      <c r="IWZ97" s="15"/>
      <c r="IXA97" s="15"/>
      <c r="IXB97" s="15"/>
      <c r="IXC97" s="15"/>
      <c r="IXD97" s="15"/>
      <c r="IXE97" s="15"/>
      <c r="IXF97" s="15"/>
      <c r="IXG97" s="15"/>
      <c r="IXH97" s="15"/>
      <c r="IXI97" s="15"/>
      <c r="IXJ97" s="15"/>
      <c r="IXK97" s="15"/>
      <c r="IXL97" s="15"/>
      <c r="IXM97" s="15"/>
      <c r="IXN97" s="15"/>
      <c r="IXO97" s="15"/>
      <c r="IXP97" s="15"/>
      <c r="IXQ97" s="15"/>
      <c r="IXR97" s="15"/>
      <c r="IXS97" s="15"/>
      <c r="IXT97" s="15"/>
      <c r="IXU97" s="15"/>
      <c r="IXV97" s="15"/>
      <c r="IXW97" s="15"/>
      <c r="IXX97" s="15"/>
      <c r="IXY97" s="15"/>
      <c r="IXZ97" s="15"/>
      <c r="IYA97" s="15"/>
      <c r="IYB97" s="15"/>
      <c r="IYC97" s="15"/>
      <c r="IYD97" s="15"/>
      <c r="IYE97" s="15"/>
      <c r="IYF97" s="15"/>
      <c r="IYG97" s="15"/>
      <c r="IYH97" s="15"/>
      <c r="IYI97" s="15"/>
      <c r="IYJ97" s="15"/>
      <c r="IYK97" s="15"/>
      <c r="IYL97" s="15"/>
      <c r="IYM97" s="15"/>
      <c r="IYN97" s="15"/>
      <c r="IYO97" s="15"/>
      <c r="IYP97" s="15"/>
      <c r="IYQ97" s="15"/>
      <c r="IYR97" s="15"/>
      <c r="IYS97" s="15"/>
      <c r="IYT97" s="15"/>
      <c r="IYU97" s="15"/>
      <c r="IYV97" s="15"/>
      <c r="IYW97" s="15"/>
      <c r="IYX97" s="15"/>
      <c r="IYY97" s="15"/>
      <c r="IYZ97" s="15"/>
      <c r="IZA97" s="15"/>
      <c r="IZB97" s="15"/>
      <c r="IZC97" s="15"/>
      <c r="IZD97" s="15"/>
      <c r="IZE97" s="15"/>
      <c r="IZF97" s="15"/>
      <c r="IZG97" s="15"/>
      <c r="IZH97" s="15"/>
      <c r="IZI97" s="15"/>
      <c r="IZJ97" s="15"/>
      <c r="IZK97" s="15"/>
      <c r="IZL97" s="15"/>
      <c r="IZM97" s="15"/>
      <c r="IZN97" s="15"/>
      <c r="IZO97" s="15"/>
      <c r="IZP97" s="15"/>
      <c r="IZQ97" s="15"/>
      <c r="IZR97" s="15"/>
      <c r="IZS97" s="15"/>
      <c r="IZT97" s="15"/>
      <c r="IZU97" s="15"/>
      <c r="IZV97" s="15"/>
      <c r="IZW97" s="15"/>
      <c r="IZX97" s="15"/>
      <c r="IZY97" s="15"/>
      <c r="IZZ97" s="15"/>
      <c r="JAA97" s="15"/>
      <c r="JAB97" s="15"/>
      <c r="JAC97" s="15"/>
      <c r="JAD97" s="15"/>
      <c r="JAE97" s="15"/>
      <c r="JAF97" s="15"/>
      <c r="JAG97" s="15"/>
      <c r="JAH97" s="15"/>
      <c r="JAI97" s="15"/>
      <c r="JAJ97" s="15"/>
      <c r="JAK97" s="15"/>
      <c r="JAL97" s="15"/>
      <c r="JAM97" s="15"/>
      <c r="JAN97" s="15"/>
      <c r="JAO97" s="15"/>
      <c r="JAP97" s="15"/>
      <c r="JAQ97" s="15"/>
      <c r="JAR97" s="15"/>
      <c r="JAS97" s="15"/>
      <c r="JAT97" s="15"/>
      <c r="JAU97" s="15"/>
      <c r="JAV97" s="15"/>
      <c r="JAW97" s="15"/>
      <c r="JAX97" s="15"/>
      <c r="JAY97" s="15"/>
      <c r="JAZ97" s="15"/>
      <c r="JBA97" s="15"/>
      <c r="JBB97" s="15"/>
      <c r="JBC97" s="15"/>
      <c r="JBD97" s="15"/>
      <c r="JBE97" s="15"/>
      <c r="JBF97" s="15"/>
      <c r="JBG97" s="15"/>
      <c r="JBH97" s="15"/>
      <c r="JBI97" s="15"/>
      <c r="JBJ97" s="15"/>
      <c r="JBK97" s="15"/>
      <c r="JBL97" s="15"/>
      <c r="JBM97" s="15"/>
      <c r="JBN97" s="15"/>
      <c r="JBO97" s="15"/>
      <c r="JBP97" s="15"/>
      <c r="JBQ97" s="15"/>
      <c r="JBR97" s="15"/>
      <c r="JBS97" s="15"/>
      <c r="JBT97" s="15"/>
      <c r="JBU97" s="15"/>
      <c r="JBV97" s="15"/>
      <c r="JBW97" s="15"/>
      <c r="JBX97" s="15"/>
      <c r="JBY97" s="15"/>
      <c r="JBZ97" s="15"/>
      <c r="JCA97" s="15"/>
      <c r="JCB97" s="15"/>
      <c r="JCC97" s="15"/>
      <c r="JCD97" s="15"/>
      <c r="JCE97" s="15"/>
      <c r="JCF97" s="15"/>
      <c r="JCG97" s="15"/>
      <c r="JCH97" s="15"/>
      <c r="JCI97" s="15"/>
      <c r="JCJ97" s="15"/>
      <c r="JCK97" s="15"/>
      <c r="JCL97" s="15"/>
      <c r="JCM97" s="15"/>
      <c r="JCN97" s="15"/>
      <c r="JCO97" s="15"/>
      <c r="JCP97" s="15"/>
      <c r="JCQ97" s="15"/>
      <c r="JCR97" s="15"/>
      <c r="JCS97" s="15"/>
      <c r="JCT97" s="15"/>
      <c r="JCU97" s="15"/>
      <c r="JCV97" s="15"/>
      <c r="JCW97" s="15"/>
      <c r="JCX97" s="15"/>
      <c r="JCY97" s="15"/>
      <c r="JCZ97" s="15"/>
      <c r="JDA97" s="15"/>
      <c r="JDB97" s="15"/>
      <c r="JDC97" s="15"/>
      <c r="JDD97" s="15"/>
      <c r="JDE97" s="15"/>
      <c r="JDF97" s="15"/>
      <c r="JDG97" s="15"/>
      <c r="JDH97" s="15"/>
      <c r="JDI97" s="15"/>
      <c r="JDJ97" s="15"/>
      <c r="JDK97" s="15"/>
      <c r="JDL97" s="15"/>
      <c r="JDM97" s="15"/>
      <c r="JDN97" s="15"/>
      <c r="JDO97" s="15"/>
      <c r="JDP97" s="15"/>
      <c r="JDQ97" s="15"/>
      <c r="JDR97" s="15"/>
      <c r="JDS97" s="15"/>
      <c r="JDT97" s="15"/>
      <c r="JDU97" s="15"/>
      <c r="JDV97" s="15"/>
      <c r="JDW97" s="15"/>
      <c r="JDX97" s="15"/>
      <c r="JDY97" s="15"/>
      <c r="JDZ97" s="15"/>
      <c r="JEA97" s="15"/>
      <c r="JEB97" s="15"/>
      <c r="JEC97" s="15"/>
      <c r="JED97" s="15"/>
      <c r="JEE97" s="15"/>
      <c r="JEF97" s="15"/>
      <c r="JEG97" s="15"/>
      <c r="JEH97" s="15"/>
      <c r="JEI97" s="15"/>
      <c r="JEJ97" s="15"/>
      <c r="JEK97" s="15"/>
      <c r="JEL97" s="15"/>
      <c r="JEM97" s="15"/>
      <c r="JEN97" s="15"/>
      <c r="JEO97" s="15"/>
      <c r="JEP97" s="15"/>
      <c r="JEQ97" s="15"/>
      <c r="JER97" s="15"/>
      <c r="JES97" s="15"/>
      <c r="JET97" s="15"/>
      <c r="JEU97" s="15"/>
      <c r="JEV97" s="15"/>
      <c r="JEW97" s="15"/>
      <c r="JEX97" s="15"/>
      <c r="JEY97" s="15"/>
      <c r="JEZ97" s="15"/>
      <c r="JFA97" s="15"/>
      <c r="JFB97" s="15"/>
      <c r="JFC97" s="15"/>
      <c r="JFD97" s="15"/>
      <c r="JFE97" s="15"/>
      <c r="JFF97" s="15"/>
      <c r="JFG97" s="15"/>
      <c r="JFH97" s="15"/>
      <c r="JFI97" s="15"/>
      <c r="JFJ97" s="15"/>
      <c r="JFK97" s="15"/>
      <c r="JFL97" s="15"/>
      <c r="JFM97" s="15"/>
      <c r="JFN97" s="15"/>
      <c r="JFO97" s="15"/>
      <c r="JFP97" s="15"/>
      <c r="JFQ97" s="15"/>
      <c r="JFR97" s="15"/>
      <c r="JFS97" s="15"/>
      <c r="JFT97" s="15"/>
      <c r="JFU97" s="15"/>
      <c r="JFV97" s="15"/>
      <c r="JFW97" s="15"/>
      <c r="JFX97" s="15"/>
      <c r="JFY97" s="15"/>
      <c r="JFZ97" s="15"/>
      <c r="JGA97" s="15"/>
      <c r="JGB97" s="15"/>
      <c r="JGC97" s="15"/>
      <c r="JGD97" s="15"/>
      <c r="JGE97" s="15"/>
      <c r="JGF97" s="15"/>
      <c r="JGG97" s="15"/>
      <c r="JGH97" s="15"/>
      <c r="JGI97" s="15"/>
      <c r="JGJ97" s="15"/>
      <c r="JGK97" s="15"/>
      <c r="JGL97" s="15"/>
      <c r="JGM97" s="15"/>
      <c r="JGN97" s="15"/>
      <c r="JGO97" s="15"/>
      <c r="JGP97" s="15"/>
      <c r="JGQ97" s="15"/>
      <c r="JGR97" s="15"/>
      <c r="JGS97" s="15"/>
      <c r="JGT97" s="15"/>
      <c r="JGU97" s="15"/>
      <c r="JGV97" s="15"/>
      <c r="JGW97" s="15"/>
      <c r="JGX97" s="15"/>
      <c r="JGY97" s="15"/>
      <c r="JGZ97" s="15"/>
      <c r="JHA97" s="15"/>
      <c r="JHB97" s="15"/>
      <c r="JHC97" s="15"/>
      <c r="JHD97" s="15"/>
      <c r="JHE97" s="15"/>
      <c r="JHF97" s="15"/>
      <c r="JHG97" s="15"/>
      <c r="JHH97" s="15"/>
      <c r="JHI97" s="15"/>
      <c r="JHJ97" s="15"/>
      <c r="JHK97" s="15"/>
      <c r="JHL97" s="15"/>
      <c r="JHM97" s="15"/>
      <c r="JHN97" s="15"/>
      <c r="JHO97" s="15"/>
      <c r="JHP97" s="15"/>
      <c r="JHQ97" s="15"/>
      <c r="JHR97" s="15"/>
      <c r="JHS97" s="15"/>
      <c r="JHT97" s="15"/>
      <c r="JHU97" s="15"/>
      <c r="JHV97" s="15"/>
      <c r="JHW97" s="15"/>
      <c r="JHX97" s="15"/>
      <c r="JHY97" s="15"/>
      <c r="JHZ97" s="15"/>
      <c r="JIA97" s="15"/>
      <c r="JIB97" s="15"/>
      <c r="JIC97" s="15"/>
      <c r="JID97" s="15"/>
      <c r="JIE97" s="15"/>
      <c r="JIF97" s="15"/>
      <c r="JIG97" s="15"/>
      <c r="JIH97" s="15"/>
      <c r="JII97" s="15"/>
      <c r="JIJ97" s="15"/>
      <c r="JIK97" s="15"/>
      <c r="JIL97" s="15"/>
      <c r="JIM97" s="15"/>
      <c r="JIN97" s="15"/>
      <c r="JIO97" s="15"/>
      <c r="JIP97" s="15"/>
      <c r="JIQ97" s="15"/>
      <c r="JIR97" s="15"/>
      <c r="JIS97" s="15"/>
      <c r="JIT97" s="15"/>
      <c r="JIU97" s="15"/>
      <c r="JIV97" s="15"/>
      <c r="JIW97" s="15"/>
      <c r="JIX97" s="15"/>
      <c r="JIY97" s="15"/>
      <c r="JIZ97" s="15"/>
      <c r="JJA97" s="15"/>
      <c r="JJB97" s="15"/>
      <c r="JJC97" s="15"/>
      <c r="JJD97" s="15"/>
      <c r="JJE97" s="15"/>
      <c r="JJF97" s="15"/>
      <c r="JJG97" s="15"/>
      <c r="JJH97" s="15"/>
      <c r="JJI97" s="15"/>
      <c r="JJJ97" s="15"/>
      <c r="JJK97" s="15"/>
      <c r="JJL97" s="15"/>
      <c r="JJM97" s="15"/>
      <c r="JJN97" s="15"/>
      <c r="JJO97" s="15"/>
      <c r="JJP97" s="15"/>
      <c r="JJQ97" s="15"/>
      <c r="JJR97" s="15"/>
      <c r="JJS97" s="15"/>
      <c r="JJT97" s="15"/>
      <c r="JJU97" s="15"/>
      <c r="JJV97" s="15"/>
      <c r="JJW97" s="15"/>
      <c r="JJX97" s="15"/>
      <c r="JJY97" s="15"/>
      <c r="JJZ97" s="15"/>
      <c r="JKA97" s="15"/>
      <c r="JKB97" s="15"/>
      <c r="JKC97" s="15"/>
      <c r="JKD97" s="15"/>
      <c r="JKE97" s="15"/>
      <c r="JKF97" s="15"/>
      <c r="JKG97" s="15"/>
      <c r="JKH97" s="15"/>
      <c r="JKI97" s="15"/>
      <c r="JKJ97" s="15"/>
      <c r="JKK97" s="15"/>
      <c r="JKL97" s="15"/>
      <c r="JKM97" s="15"/>
      <c r="JKN97" s="15"/>
      <c r="JKO97" s="15"/>
      <c r="JKP97" s="15"/>
      <c r="JKQ97" s="15"/>
      <c r="JKR97" s="15"/>
      <c r="JKS97" s="15"/>
      <c r="JKT97" s="15"/>
      <c r="JKU97" s="15"/>
      <c r="JKV97" s="15"/>
      <c r="JKW97" s="15"/>
      <c r="JKX97" s="15"/>
      <c r="JKY97" s="15"/>
      <c r="JKZ97" s="15"/>
      <c r="JLA97" s="15"/>
      <c r="JLB97" s="15"/>
      <c r="JLC97" s="15"/>
      <c r="JLD97" s="15"/>
      <c r="JLE97" s="15"/>
      <c r="JLF97" s="15"/>
      <c r="JLG97" s="15"/>
      <c r="JLH97" s="15"/>
      <c r="JLI97" s="15"/>
      <c r="JLJ97" s="15"/>
      <c r="JLK97" s="15"/>
      <c r="JLL97" s="15"/>
      <c r="JLM97" s="15"/>
      <c r="JLN97" s="15"/>
      <c r="JLO97" s="15"/>
      <c r="JLP97" s="15"/>
      <c r="JLQ97" s="15"/>
      <c r="JLR97" s="15"/>
      <c r="JLS97" s="15"/>
      <c r="JLT97" s="15"/>
      <c r="JLU97" s="15"/>
      <c r="JLV97" s="15"/>
      <c r="JLW97" s="15"/>
      <c r="JLX97" s="15"/>
      <c r="JLY97" s="15"/>
      <c r="JLZ97" s="15"/>
      <c r="JMA97" s="15"/>
      <c r="JMB97" s="15"/>
      <c r="JMC97" s="15"/>
      <c r="JMD97" s="15"/>
      <c r="JME97" s="15"/>
      <c r="JMF97" s="15"/>
      <c r="JMG97" s="15"/>
      <c r="JMH97" s="15"/>
      <c r="JMI97" s="15"/>
      <c r="JMJ97" s="15"/>
      <c r="JMK97" s="15"/>
      <c r="JML97" s="15"/>
      <c r="JMM97" s="15"/>
      <c r="JMN97" s="15"/>
      <c r="JMO97" s="15"/>
      <c r="JMP97" s="15"/>
      <c r="JMQ97" s="15"/>
      <c r="JMR97" s="15"/>
      <c r="JMS97" s="15"/>
      <c r="JMT97" s="15"/>
      <c r="JMU97" s="15"/>
      <c r="JMV97" s="15"/>
      <c r="JMW97" s="15"/>
      <c r="JMX97" s="15"/>
      <c r="JMY97" s="15"/>
      <c r="JMZ97" s="15"/>
      <c r="JNA97" s="15"/>
      <c r="JNB97" s="15"/>
      <c r="JNC97" s="15"/>
      <c r="JND97" s="15"/>
      <c r="JNE97" s="15"/>
      <c r="JNF97" s="15"/>
      <c r="JNG97" s="15"/>
      <c r="JNH97" s="15"/>
      <c r="JNI97" s="15"/>
      <c r="JNJ97" s="15"/>
      <c r="JNK97" s="15"/>
      <c r="JNL97" s="15"/>
      <c r="JNM97" s="15"/>
      <c r="JNN97" s="15"/>
      <c r="JNO97" s="15"/>
      <c r="JNP97" s="15"/>
      <c r="JNQ97" s="15"/>
      <c r="JNR97" s="15"/>
      <c r="JNS97" s="15"/>
      <c r="JNT97" s="15"/>
      <c r="JNU97" s="15"/>
      <c r="JNV97" s="15"/>
      <c r="JNW97" s="15"/>
      <c r="JNX97" s="15"/>
      <c r="JNY97" s="15"/>
      <c r="JNZ97" s="15"/>
      <c r="JOA97" s="15"/>
      <c r="JOB97" s="15"/>
      <c r="JOC97" s="15"/>
      <c r="JOD97" s="15"/>
      <c r="JOE97" s="15"/>
      <c r="JOF97" s="15"/>
      <c r="JOG97" s="15"/>
      <c r="JOH97" s="15"/>
      <c r="JOI97" s="15"/>
      <c r="JOJ97" s="15"/>
      <c r="JOK97" s="15"/>
      <c r="JOL97" s="15"/>
      <c r="JOM97" s="15"/>
      <c r="JON97" s="15"/>
      <c r="JOO97" s="15"/>
      <c r="JOP97" s="15"/>
      <c r="JOQ97" s="15"/>
      <c r="JOR97" s="15"/>
      <c r="JOS97" s="15"/>
      <c r="JOT97" s="15"/>
      <c r="JOU97" s="15"/>
      <c r="JOV97" s="15"/>
      <c r="JOW97" s="15"/>
      <c r="JOX97" s="15"/>
      <c r="JOY97" s="15"/>
      <c r="JOZ97" s="15"/>
      <c r="JPA97" s="15"/>
      <c r="JPB97" s="15"/>
      <c r="JPC97" s="15"/>
      <c r="JPD97" s="15"/>
      <c r="JPE97" s="15"/>
      <c r="JPF97" s="15"/>
      <c r="JPG97" s="15"/>
      <c r="JPH97" s="15"/>
      <c r="JPI97" s="15"/>
      <c r="JPJ97" s="15"/>
      <c r="JPK97" s="15"/>
      <c r="JPL97" s="15"/>
      <c r="JPM97" s="15"/>
      <c r="JPN97" s="15"/>
      <c r="JPO97" s="15"/>
      <c r="JPP97" s="15"/>
      <c r="JPQ97" s="15"/>
      <c r="JPR97" s="15"/>
      <c r="JPS97" s="15"/>
      <c r="JPT97" s="15"/>
      <c r="JPU97" s="15"/>
      <c r="JPV97" s="15"/>
      <c r="JPW97" s="15"/>
      <c r="JPX97" s="15"/>
      <c r="JPY97" s="15"/>
      <c r="JPZ97" s="15"/>
      <c r="JQA97" s="15"/>
      <c r="JQB97" s="15"/>
      <c r="JQC97" s="15"/>
      <c r="JQD97" s="15"/>
      <c r="JQE97" s="15"/>
      <c r="JQF97" s="15"/>
      <c r="JQG97" s="15"/>
      <c r="JQH97" s="15"/>
      <c r="JQI97" s="15"/>
      <c r="JQJ97" s="15"/>
      <c r="JQK97" s="15"/>
      <c r="JQL97" s="15"/>
      <c r="JQM97" s="15"/>
      <c r="JQN97" s="15"/>
      <c r="JQO97" s="15"/>
      <c r="JQP97" s="15"/>
      <c r="JQQ97" s="15"/>
      <c r="JQR97" s="15"/>
      <c r="JQS97" s="15"/>
      <c r="JQT97" s="15"/>
      <c r="JQU97" s="15"/>
      <c r="JQV97" s="15"/>
      <c r="JQW97" s="15"/>
      <c r="JQX97" s="15"/>
      <c r="JQY97" s="15"/>
      <c r="JQZ97" s="15"/>
      <c r="JRA97" s="15"/>
      <c r="JRB97" s="15"/>
      <c r="JRC97" s="15"/>
      <c r="JRD97" s="15"/>
      <c r="JRE97" s="15"/>
      <c r="JRF97" s="15"/>
      <c r="JRG97" s="15"/>
      <c r="JRH97" s="15"/>
      <c r="JRI97" s="15"/>
      <c r="JRJ97" s="15"/>
      <c r="JRK97" s="15"/>
      <c r="JRL97" s="15"/>
      <c r="JRM97" s="15"/>
      <c r="JRN97" s="15"/>
      <c r="JRO97" s="15"/>
      <c r="JRP97" s="15"/>
      <c r="JRQ97" s="15"/>
      <c r="JRR97" s="15"/>
      <c r="JRS97" s="15"/>
      <c r="JRT97" s="15"/>
      <c r="JRU97" s="15"/>
      <c r="JRV97" s="15"/>
      <c r="JRW97" s="15"/>
      <c r="JRX97" s="15"/>
      <c r="JRY97" s="15"/>
      <c r="JRZ97" s="15"/>
      <c r="JSA97" s="15"/>
      <c r="JSB97" s="15"/>
      <c r="JSC97" s="15"/>
      <c r="JSD97" s="15"/>
      <c r="JSE97" s="15"/>
      <c r="JSF97" s="15"/>
      <c r="JSG97" s="15"/>
      <c r="JSH97" s="15"/>
      <c r="JSI97" s="15"/>
      <c r="JSJ97" s="15"/>
      <c r="JSK97" s="15"/>
      <c r="JSL97" s="15"/>
      <c r="JSM97" s="15"/>
      <c r="JSN97" s="15"/>
      <c r="JSO97" s="15"/>
      <c r="JSP97" s="15"/>
      <c r="JSQ97" s="15"/>
      <c r="JSR97" s="15"/>
      <c r="JSS97" s="15"/>
      <c r="JST97" s="15"/>
      <c r="JSU97" s="15"/>
      <c r="JSV97" s="15"/>
      <c r="JSW97" s="15"/>
      <c r="JSX97" s="15"/>
      <c r="JSY97" s="15"/>
      <c r="JSZ97" s="15"/>
      <c r="JTA97" s="15"/>
      <c r="JTB97" s="15"/>
      <c r="JTC97" s="15"/>
      <c r="JTD97" s="15"/>
      <c r="JTE97" s="15"/>
      <c r="JTF97" s="15"/>
      <c r="JTG97" s="15"/>
      <c r="JTH97" s="15"/>
      <c r="JTI97" s="15"/>
      <c r="JTJ97" s="15"/>
      <c r="JTK97" s="15"/>
      <c r="JTL97" s="15"/>
      <c r="JTM97" s="15"/>
      <c r="JTN97" s="15"/>
      <c r="JTO97" s="15"/>
      <c r="JTP97" s="15"/>
      <c r="JTQ97" s="15"/>
      <c r="JTR97" s="15"/>
      <c r="JTS97" s="15"/>
      <c r="JTT97" s="15"/>
      <c r="JTU97" s="15"/>
      <c r="JTV97" s="15"/>
      <c r="JTW97" s="15"/>
      <c r="JTX97" s="15"/>
      <c r="JTY97" s="15"/>
      <c r="JTZ97" s="15"/>
      <c r="JUA97" s="15"/>
      <c r="JUB97" s="15"/>
      <c r="JUC97" s="15"/>
      <c r="JUD97" s="15"/>
      <c r="JUE97" s="15"/>
      <c r="JUF97" s="15"/>
      <c r="JUG97" s="15"/>
      <c r="JUH97" s="15"/>
      <c r="JUI97" s="15"/>
      <c r="JUJ97" s="15"/>
      <c r="JUK97" s="15"/>
      <c r="JUL97" s="15"/>
      <c r="JUM97" s="15"/>
      <c r="JUN97" s="15"/>
      <c r="JUO97" s="15"/>
      <c r="JUP97" s="15"/>
      <c r="JUQ97" s="15"/>
      <c r="JUR97" s="15"/>
      <c r="JUS97" s="15"/>
      <c r="JUT97" s="15"/>
      <c r="JUU97" s="15"/>
      <c r="JUV97" s="15"/>
      <c r="JUW97" s="15"/>
      <c r="JUX97" s="15"/>
      <c r="JUY97" s="15"/>
      <c r="JUZ97" s="15"/>
      <c r="JVA97" s="15"/>
      <c r="JVB97" s="15"/>
      <c r="JVC97" s="15"/>
      <c r="JVD97" s="15"/>
      <c r="JVE97" s="15"/>
      <c r="JVF97" s="15"/>
      <c r="JVG97" s="15"/>
      <c r="JVH97" s="15"/>
      <c r="JVI97" s="15"/>
      <c r="JVJ97" s="15"/>
      <c r="JVK97" s="15"/>
      <c r="JVL97" s="15"/>
      <c r="JVM97" s="15"/>
      <c r="JVN97" s="15"/>
      <c r="JVO97" s="15"/>
      <c r="JVP97" s="15"/>
      <c r="JVQ97" s="15"/>
      <c r="JVR97" s="15"/>
      <c r="JVS97" s="15"/>
      <c r="JVT97" s="15"/>
      <c r="JVU97" s="15"/>
      <c r="JVV97" s="15"/>
      <c r="JVW97" s="15"/>
      <c r="JVX97" s="15"/>
      <c r="JVY97" s="15"/>
      <c r="JVZ97" s="15"/>
      <c r="JWA97" s="15"/>
      <c r="JWB97" s="15"/>
      <c r="JWC97" s="15"/>
      <c r="JWD97" s="15"/>
      <c r="JWE97" s="15"/>
      <c r="JWF97" s="15"/>
      <c r="JWG97" s="15"/>
      <c r="JWH97" s="15"/>
      <c r="JWI97" s="15"/>
      <c r="JWJ97" s="15"/>
      <c r="JWK97" s="15"/>
      <c r="JWL97" s="15"/>
      <c r="JWM97" s="15"/>
      <c r="JWN97" s="15"/>
      <c r="JWO97" s="15"/>
      <c r="JWP97" s="15"/>
      <c r="JWQ97" s="15"/>
      <c r="JWR97" s="15"/>
      <c r="JWS97" s="15"/>
      <c r="JWT97" s="15"/>
      <c r="JWU97" s="15"/>
      <c r="JWV97" s="15"/>
      <c r="JWW97" s="15"/>
      <c r="JWX97" s="15"/>
      <c r="JWY97" s="15"/>
      <c r="JWZ97" s="15"/>
      <c r="JXA97" s="15"/>
      <c r="JXB97" s="15"/>
      <c r="JXC97" s="15"/>
      <c r="JXD97" s="15"/>
      <c r="JXE97" s="15"/>
      <c r="JXF97" s="15"/>
      <c r="JXG97" s="15"/>
      <c r="JXH97" s="15"/>
      <c r="JXI97" s="15"/>
      <c r="JXJ97" s="15"/>
      <c r="JXK97" s="15"/>
      <c r="JXL97" s="15"/>
      <c r="JXM97" s="15"/>
      <c r="JXN97" s="15"/>
      <c r="JXO97" s="15"/>
      <c r="JXP97" s="15"/>
      <c r="JXQ97" s="15"/>
      <c r="JXR97" s="15"/>
      <c r="JXS97" s="15"/>
      <c r="JXT97" s="15"/>
      <c r="JXU97" s="15"/>
      <c r="JXV97" s="15"/>
      <c r="JXW97" s="15"/>
      <c r="JXX97" s="15"/>
      <c r="JXY97" s="15"/>
      <c r="JXZ97" s="15"/>
      <c r="JYA97" s="15"/>
      <c r="JYB97" s="15"/>
      <c r="JYC97" s="15"/>
      <c r="JYD97" s="15"/>
      <c r="JYE97" s="15"/>
      <c r="JYF97" s="15"/>
      <c r="JYG97" s="15"/>
      <c r="JYH97" s="15"/>
      <c r="JYI97" s="15"/>
      <c r="JYJ97" s="15"/>
      <c r="JYK97" s="15"/>
      <c r="JYL97" s="15"/>
      <c r="JYM97" s="15"/>
      <c r="JYN97" s="15"/>
      <c r="JYO97" s="15"/>
      <c r="JYP97" s="15"/>
      <c r="JYQ97" s="15"/>
      <c r="JYR97" s="15"/>
      <c r="JYS97" s="15"/>
      <c r="JYT97" s="15"/>
      <c r="JYU97" s="15"/>
      <c r="JYV97" s="15"/>
      <c r="JYW97" s="15"/>
      <c r="JYX97" s="15"/>
      <c r="JYY97" s="15"/>
      <c r="JYZ97" s="15"/>
      <c r="JZA97" s="15"/>
      <c r="JZB97" s="15"/>
      <c r="JZC97" s="15"/>
      <c r="JZD97" s="15"/>
      <c r="JZE97" s="15"/>
      <c r="JZF97" s="15"/>
      <c r="JZG97" s="15"/>
      <c r="JZH97" s="15"/>
      <c r="JZI97" s="15"/>
      <c r="JZJ97" s="15"/>
      <c r="JZK97" s="15"/>
      <c r="JZL97" s="15"/>
      <c r="JZM97" s="15"/>
      <c r="JZN97" s="15"/>
      <c r="JZO97" s="15"/>
      <c r="JZP97" s="15"/>
      <c r="JZQ97" s="15"/>
      <c r="JZR97" s="15"/>
      <c r="JZS97" s="15"/>
      <c r="JZT97" s="15"/>
      <c r="JZU97" s="15"/>
      <c r="JZV97" s="15"/>
      <c r="JZW97" s="15"/>
      <c r="JZX97" s="15"/>
      <c r="JZY97" s="15"/>
      <c r="JZZ97" s="15"/>
      <c r="KAA97" s="15"/>
      <c r="KAB97" s="15"/>
      <c r="KAC97" s="15"/>
      <c r="KAD97" s="15"/>
      <c r="KAE97" s="15"/>
      <c r="KAF97" s="15"/>
      <c r="KAG97" s="15"/>
      <c r="KAH97" s="15"/>
      <c r="KAI97" s="15"/>
      <c r="KAJ97" s="15"/>
      <c r="KAK97" s="15"/>
      <c r="KAL97" s="15"/>
      <c r="KAM97" s="15"/>
      <c r="KAN97" s="15"/>
      <c r="KAO97" s="15"/>
      <c r="KAP97" s="15"/>
      <c r="KAQ97" s="15"/>
      <c r="KAR97" s="15"/>
      <c r="KAS97" s="15"/>
      <c r="KAT97" s="15"/>
      <c r="KAU97" s="15"/>
      <c r="KAV97" s="15"/>
      <c r="KAW97" s="15"/>
      <c r="KAX97" s="15"/>
      <c r="KAY97" s="15"/>
      <c r="KAZ97" s="15"/>
      <c r="KBA97" s="15"/>
      <c r="KBB97" s="15"/>
      <c r="KBC97" s="15"/>
      <c r="KBD97" s="15"/>
      <c r="KBE97" s="15"/>
      <c r="KBF97" s="15"/>
      <c r="KBG97" s="15"/>
      <c r="KBH97" s="15"/>
      <c r="KBI97" s="15"/>
      <c r="KBJ97" s="15"/>
      <c r="KBK97" s="15"/>
      <c r="KBL97" s="15"/>
      <c r="KBM97" s="15"/>
      <c r="KBN97" s="15"/>
      <c r="KBO97" s="15"/>
      <c r="KBP97" s="15"/>
      <c r="KBQ97" s="15"/>
      <c r="KBR97" s="15"/>
      <c r="KBS97" s="15"/>
      <c r="KBT97" s="15"/>
      <c r="KBU97" s="15"/>
      <c r="KBV97" s="15"/>
      <c r="KBW97" s="15"/>
      <c r="KBX97" s="15"/>
      <c r="KBY97" s="15"/>
      <c r="KBZ97" s="15"/>
      <c r="KCA97" s="15"/>
      <c r="KCB97" s="15"/>
      <c r="KCC97" s="15"/>
      <c r="KCD97" s="15"/>
      <c r="KCE97" s="15"/>
      <c r="KCF97" s="15"/>
      <c r="KCG97" s="15"/>
      <c r="KCH97" s="15"/>
      <c r="KCI97" s="15"/>
      <c r="KCJ97" s="15"/>
      <c r="KCK97" s="15"/>
      <c r="KCL97" s="15"/>
      <c r="KCM97" s="15"/>
      <c r="KCN97" s="15"/>
      <c r="KCO97" s="15"/>
      <c r="KCP97" s="15"/>
      <c r="KCQ97" s="15"/>
      <c r="KCR97" s="15"/>
      <c r="KCS97" s="15"/>
      <c r="KCT97" s="15"/>
      <c r="KCU97" s="15"/>
      <c r="KCV97" s="15"/>
      <c r="KCW97" s="15"/>
      <c r="KCX97" s="15"/>
      <c r="KCY97" s="15"/>
      <c r="KCZ97" s="15"/>
      <c r="KDA97" s="15"/>
      <c r="KDB97" s="15"/>
      <c r="KDC97" s="15"/>
      <c r="KDD97" s="15"/>
      <c r="KDE97" s="15"/>
      <c r="KDF97" s="15"/>
      <c r="KDG97" s="15"/>
      <c r="KDH97" s="15"/>
      <c r="KDI97" s="15"/>
      <c r="KDJ97" s="15"/>
      <c r="KDK97" s="15"/>
      <c r="KDL97" s="15"/>
      <c r="KDM97" s="15"/>
      <c r="KDN97" s="15"/>
      <c r="KDO97" s="15"/>
      <c r="KDP97" s="15"/>
      <c r="KDQ97" s="15"/>
      <c r="KDR97" s="15"/>
      <c r="KDS97" s="15"/>
      <c r="KDT97" s="15"/>
      <c r="KDU97" s="15"/>
      <c r="KDV97" s="15"/>
      <c r="KDW97" s="15"/>
      <c r="KDX97" s="15"/>
      <c r="KDY97" s="15"/>
      <c r="KDZ97" s="15"/>
      <c r="KEA97" s="15"/>
      <c r="KEB97" s="15"/>
      <c r="KEC97" s="15"/>
      <c r="KED97" s="15"/>
      <c r="KEE97" s="15"/>
      <c r="KEF97" s="15"/>
      <c r="KEG97" s="15"/>
      <c r="KEH97" s="15"/>
      <c r="KEI97" s="15"/>
      <c r="KEJ97" s="15"/>
      <c r="KEK97" s="15"/>
      <c r="KEL97" s="15"/>
      <c r="KEM97" s="15"/>
      <c r="KEN97" s="15"/>
      <c r="KEO97" s="15"/>
      <c r="KEP97" s="15"/>
      <c r="KEQ97" s="15"/>
      <c r="KER97" s="15"/>
      <c r="KES97" s="15"/>
      <c r="KET97" s="15"/>
      <c r="KEU97" s="15"/>
      <c r="KEV97" s="15"/>
      <c r="KEW97" s="15"/>
      <c r="KEX97" s="15"/>
      <c r="KEY97" s="15"/>
      <c r="KEZ97" s="15"/>
      <c r="KFA97" s="15"/>
      <c r="KFB97" s="15"/>
      <c r="KFC97" s="15"/>
      <c r="KFD97" s="15"/>
      <c r="KFE97" s="15"/>
      <c r="KFF97" s="15"/>
      <c r="KFG97" s="15"/>
      <c r="KFH97" s="15"/>
      <c r="KFI97" s="15"/>
      <c r="KFJ97" s="15"/>
      <c r="KFK97" s="15"/>
      <c r="KFL97" s="15"/>
      <c r="KFM97" s="15"/>
      <c r="KFN97" s="15"/>
      <c r="KFO97" s="15"/>
      <c r="KFP97" s="15"/>
      <c r="KFQ97" s="15"/>
      <c r="KFR97" s="15"/>
      <c r="KFS97" s="15"/>
      <c r="KFT97" s="15"/>
      <c r="KFU97" s="15"/>
      <c r="KFV97" s="15"/>
      <c r="KFW97" s="15"/>
      <c r="KFX97" s="15"/>
      <c r="KFY97" s="15"/>
      <c r="KFZ97" s="15"/>
      <c r="KGA97" s="15"/>
      <c r="KGB97" s="15"/>
      <c r="KGC97" s="15"/>
      <c r="KGD97" s="15"/>
      <c r="KGE97" s="15"/>
      <c r="KGF97" s="15"/>
      <c r="KGG97" s="15"/>
      <c r="KGH97" s="15"/>
      <c r="KGI97" s="15"/>
      <c r="KGJ97" s="15"/>
      <c r="KGK97" s="15"/>
      <c r="KGL97" s="15"/>
      <c r="KGM97" s="15"/>
      <c r="KGN97" s="15"/>
      <c r="KGO97" s="15"/>
      <c r="KGP97" s="15"/>
      <c r="KGQ97" s="15"/>
      <c r="KGR97" s="15"/>
      <c r="KGS97" s="15"/>
      <c r="KGT97" s="15"/>
      <c r="KGU97" s="15"/>
      <c r="KGV97" s="15"/>
      <c r="KGW97" s="15"/>
      <c r="KGX97" s="15"/>
      <c r="KGY97" s="15"/>
      <c r="KGZ97" s="15"/>
      <c r="KHA97" s="15"/>
      <c r="KHB97" s="15"/>
      <c r="KHC97" s="15"/>
      <c r="KHD97" s="15"/>
      <c r="KHE97" s="15"/>
      <c r="KHF97" s="15"/>
      <c r="KHG97" s="15"/>
      <c r="KHH97" s="15"/>
      <c r="KHI97" s="15"/>
      <c r="KHJ97" s="15"/>
      <c r="KHK97" s="15"/>
      <c r="KHL97" s="15"/>
      <c r="KHM97" s="15"/>
      <c r="KHN97" s="15"/>
      <c r="KHO97" s="15"/>
      <c r="KHP97" s="15"/>
      <c r="KHQ97" s="15"/>
      <c r="KHR97" s="15"/>
      <c r="KHS97" s="15"/>
      <c r="KHT97" s="15"/>
      <c r="KHU97" s="15"/>
      <c r="KHV97" s="15"/>
      <c r="KHW97" s="15"/>
      <c r="KHX97" s="15"/>
      <c r="KHY97" s="15"/>
      <c r="KHZ97" s="15"/>
      <c r="KIA97" s="15"/>
      <c r="KIB97" s="15"/>
      <c r="KIC97" s="15"/>
      <c r="KID97" s="15"/>
      <c r="KIE97" s="15"/>
      <c r="KIF97" s="15"/>
      <c r="KIG97" s="15"/>
      <c r="KIH97" s="15"/>
      <c r="KII97" s="15"/>
      <c r="KIJ97" s="15"/>
      <c r="KIK97" s="15"/>
      <c r="KIL97" s="15"/>
      <c r="KIM97" s="15"/>
      <c r="KIN97" s="15"/>
      <c r="KIO97" s="15"/>
      <c r="KIP97" s="15"/>
      <c r="KIQ97" s="15"/>
      <c r="KIR97" s="15"/>
      <c r="KIS97" s="15"/>
      <c r="KIT97" s="15"/>
      <c r="KIU97" s="15"/>
      <c r="KIV97" s="15"/>
      <c r="KIW97" s="15"/>
      <c r="KIX97" s="15"/>
      <c r="KIY97" s="15"/>
      <c r="KIZ97" s="15"/>
      <c r="KJA97" s="15"/>
      <c r="KJB97" s="15"/>
      <c r="KJC97" s="15"/>
      <c r="KJD97" s="15"/>
      <c r="KJE97" s="15"/>
      <c r="KJF97" s="15"/>
      <c r="KJG97" s="15"/>
      <c r="KJH97" s="15"/>
      <c r="KJI97" s="15"/>
      <c r="KJJ97" s="15"/>
      <c r="KJK97" s="15"/>
      <c r="KJL97" s="15"/>
      <c r="KJM97" s="15"/>
      <c r="KJN97" s="15"/>
      <c r="KJO97" s="15"/>
      <c r="KJP97" s="15"/>
      <c r="KJQ97" s="15"/>
      <c r="KJR97" s="15"/>
      <c r="KJS97" s="15"/>
      <c r="KJT97" s="15"/>
      <c r="KJU97" s="15"/>
      <c r="KJV97" s="15"/>
      <c r="KJW97" s="15"/>
      <c r="KJX97" s="15"/>
      <c r="KJY97" s="15"/>
      <c r="KJZ97" s="15"/>
      <c r="KKA97" s="15"/>
      <c r="KKB97" s="15"/>
      <c r="KKC97" s="15"/>
      <c r="KKD97" s="15"/>
      <c r="KKE97" s="15"/>
      <c r="KKF97" s="15"/>
      <c r="KKG97" s="15"/>
      <c r="KKH97" s="15"/>
      <c r="KKI97" s="15"/>
      <c r="KKJ97" s="15"/>
      <c r="KKK97" s="15"/>
      <c r="KKL97" s="15"/>
      <c r="KKM97" s="15"/>
      <c r="KKN97" s="15"/>
      <c r="KKO97" s="15"/>
      <c r="KKP97" s="15"/>
      <c r="KKQ97" s="15"/>
      <c r="KKR97" s="15"/>
      <c r="KKS97" s="15"/>
      <c r="KKT97" s="15"/>
      <c r="KKU97" s="15"/>
      <c r="KKV97" s="15"/>
      <c r="KKW97" s="15"/>
      <c r="KKX97" s="15"/>
      <c r="KKY97" s="15"/>
      <c r="KKZ97" s="15"/>
      <c r="KLA97" s="15"/>
      <c r="KLB97" s="15"/>
      <c r="KLC97" s="15"/>
      <c r="KLD97" s="15"/>
      <c r="KLE97" s="15"/>
      <c r="KLF97" s="15"/>
      <c r="KLG97" s="15"/>
      <c r="KLH97" s="15"/>
      <c r="KLI97" s="15"/>
      <c r="KLJ97" s="15"/>
      <c r="KLK97" s="15"/>
      <c r="KLL97" s="15"/>
      <c r="KLM97" s="15"/>
      <c r="KLN97" s="15"/>
      <c r="KLO97" s="15"/>
      <c r="KLP97" s="15"/>
      <c r="KLQ97" s="15"/>
      <c r="KLR97" s="15"/>
      <c r="KLS97" s="15"/>
      <c r="KLT97" s="15"/>
      <c r="KLU97" s="15"/>
      <c r="KLV97" s="15"/>
      <c r="KLW97" s="15"/>
      <c r="KLX97" s="15"/>
      <c r="KLY97" s="15"/>
      <c r="KLZ97" s="15"/>
      <c r="KMA97" s="15"/>
      <c r="KMB97" s="15"/>
      <c r="KMC97" s="15"/>
      <c r="KMD97" s="15"/>
      <c r="KME97" s="15"/>
      <c r="KMF97" s="15"/>
      <c r="KMG97" s="15"/>
      <c r="KMH97" s="15"/>
      <c r="KMI97" s="15"/>
      <c r="KMJ97" s="15"/>
      <c r="KMK97" s="15"/>
      <c r="KML97" s="15"/>
      <c r="KMM97" s="15"/>
      <c r="KMN97" s="15"/>
      <c r="KMO97" s="15"/>
      <c r="KMP97" s="15"/>
      <c r="KMQ97" s="15"/>
      <c r="KMR97" s="15"/>
      <c r="KMS97" s="15"/>
      <c r="KMT97" s="15"/>
      <c r="KMU97" s="15"/>
      <c r="KMV97" s="15"/>
      <c r="KMW97" s="15"/>
      <c r="KMX97" s="15"/>
      <c r="KMY97" s="15"/>
      <c r="KMZ97" s="15"/>
      <c r="KNA97" s="15"/>
      <c r="KNB97" s="15"/>
      <c r="KNC97" s="15"/>
      <c r="KND97" s="15"/>
      <c r="KNE97" s="15"/>
      <c r="KNF97" s="15"/>
      <c r="KNG97" s="15"/>
      <c r="KNH97" s="15"/>
      <c r="KNI97" s="15"/>
      <c r="KNJ97" s="15"/>
      <c r="KNK97" s="15"/>
      <c r="KNL97" s="15"/>
      <c r="KNM97" s="15"/>
      <c r="KNN97" s="15"/>
      <c r="KNO97" s="15"/>
      <c r="KNP97" s="15"/>
      <c r="KNQ97" s="15"/>
      <c r="KNR97" s="15"/>
      <c r="KNS97" s="15"/>
      <c r="KNT97" s="15"/>
      <c r="KNU97" s="15"/>
      <c r="KNV97" s="15"/>
      <c r="KNW97" s="15"/>
      <c r="KNX97" s="15"/>
      <c r="KNY97" s="15"/>
      <c r="KNZ97" s="15"/>
      <c r="KOA97" s="15"/>
      <c r="KOB97" s="15"/>
      <c r="KOC97" s="15"/>
      <c r="KOD97" s="15"/>
      <c r="KOE97" s="15"/>
      <c r="KOF97" s="15"/>
      <c r="KOG97" s="15"/>
      <c r="KOH97" s="15"/>
      <c r="KOI97" s="15"/>
      <c r="KOJ97" s="15"/>
      <c r="KOK97" s="15"/>
      <c r="KOL97" s="15"/>
      <c r="KOM97" s="15"/>
      <c r="KON97" s="15"/>
      <c r="KOO97" s="15"/>
      <c r="KOP97" s="15"/>
      <c r="KOQ97" s="15"/>
      <c r="KOR97" s="15"/>
      <c r="KOS97" s="15"/>
      <c r="KOT97" s="15"/>
      <c r="KOU97" s="15"/>
      <c r="KOV97" s="15"/>
      <c r="KOW97" s="15"/>
      <c r="KOX97" s="15"/>
      <c r="KOY97" s="15"/>
      <c r="KOZ97" s="15"/>
      <c r="KPA97" s="15"/>
      <c r="KPB97" s="15"/>
      <c r="KPC97" s="15"/>
      <c r="KPD97" s="15"/>
      <c r="KPE97" s="15"/>
      <c r="KPF97" s="15"/>
      <c r="KPG97" s="15"/>
      <c r="KPH97" s="15"/>
      <c r="KPI97" s="15"/>
      <c r="KPJ97" s="15"/>
      <c r="KPK97" s="15"/>
      <c r="KPL97" s="15"/>
      <c r="KPM97" s="15"/>
      <c r="KPN97" s="15"/>
      <c r="KPO97" s="15"/>
      <c r="KPP97" s="15"/>
      <c r="KPQ97" s="15"/>
      <c r="KPR97" s="15"/>
      <c r="KPS97" s="15"/>
      <c r="KPT97" s="15"/>
      <c r="KPU97" s="15"/>
      <c r="KPV97" s="15"/>
      <c r="KPW97" s="15"/>
      <c r="KPX97" s="15"/>
      <c r="KPY97" s="15"/>
      <c r="KPZ97" s="15"/>
      <c r="KQA97" s="15"/>
      <c r="KQB97" s="15"/>
      <c r="KQC97" s="15"/>
      <c r="KQD97" s="15"/>
      <c r="KQE97" s="15"/>
      <c r="KQF97" s="15"/>
      <c r="KQG97" s="15"/>
      <c r="KQH97" s="15"/>
      <c r="KQI97" s="15"/>
      <c r="KQJ97" s="15"/>
      <c r="KQK97" s="15"/>
      <c r="KQL97" s="15"/>
      <c r="KQM97" s="15"/>
      <c r="KQN97" s="15"/>
      <c r="KQO97" s="15"/>
      <c r="KQP97" s="15"/>
      <c r="KQQ97" s="15"/>
      <c r="KQR97" s="15"/>
      <c r="KQS97" s="15"/>
      <c r="KQT97" s="15"/>
      <c r="KQU97" s="15"/>
      <c r="KQV97" s="15"/>
      <c r="KQW97" s="15"/>
      <c r="KQX97" s="15"/>
      <c r="KQY97" s="15"/>
      <c r="KQZ97" s="15"/>
      <c r="KRA97" s="15"/>
      <c r="KRB97" s="15"/>
      <c r="KRC97" s="15"/>
      <c r="KRD97" s="15"/>
      <c r="KRE97" s="15"/>
      <c r="KRF97" s="15"/>
      <c r="KRG97" s="15"/>
      <c r="KRH97" s="15"/>
      <c r="KRI97" s="15"/>
      <c r="KRJ97" s="15"/>
      <c r="KRK97" s="15"/>
      <c r="KRL97" s="15"/>
      <c r="KRM97" s="15"/>
      <c r="KRN97" s="15"/>
      <c r="KRO97" s="15"/>
      <c r="KRP97" s="15"/>
      <c r="KRQ97" s="15"/>
      <c r="KRR97" s="15"/>
      <c r="KRS97" s="15"/>
      <c r="KRT97" s="15"/>
      <c r="KRU97" s="15"/>
      <c r="KRV97" s="15"/>
      <c r="KRW97" s="15"/>
      <c r="KRX97" s="15"/>
      <c r="KRY97" s="15"/>
      <c r="KRZ97" s="15"/>
      <c r="KSA97" s="15"/>
      <c r="KSB97" s="15"/>
      <c r="KSC97" s="15"/>
      <c r="KSD97" s="15"/>
      <c r="KSE97" s="15"/>
      <c r="KSF97" s="15"/>
      <c r="KSG97" s="15"/>
      <c r="KSH97" s="15"/>
      <c r="KSI97" s="15"/>
      <c r="KSJ97" s="15"/>
      <c r="KSK97" s="15"/>
      <c r="KSL97" s="15"/>
      <c r="KSM97" s="15"/>
      <c r="KSN97" s="15"/>
      <c r="KSO97" s="15"/>
      <c r="KSP97" s="15"/>
      <c r="KSQ97" s="15"/>
      <c r="KSR97" s="15"/>
      <c r="KSS97" s="15"/>
      <c r="KST97" s="15"/>
      <c r="KSU97" s="15"/>
      <c r="KSV97" s="15"/>
      <c r="KSW97" s="15"/>
      <c r="KSX97" s="15"/>
      <c r="KSY97" s="15"/>
      <c r="KSZ97" s="15"/>
      <c r="KTA97" s="15"/>
      <c r="KTB97" s="15"/>
      <c r="KTC97" s="15"/>
      <c r="KTD97" s="15"/>
      <c r="KTE97" s="15"/>
      <c r="KTF97" s="15"/>
      <c r="KTG97" s="15"/>
      <c r="KTH97" s="15"/>
      <c r="KTI97" s="15"/>
      <c r="KTJ97" s="15"/>
      <c r="KTK97" s="15"/>
      <c r="KTL97" s="15"/>
      <c r="KTM97" s="15"/>
      <c r="KTN97" s="15"/>
      <c r="KTO97" s="15"/>
      <c r="KTP97" s="15"/>
      <c r="KTQ97" s="15"/>
      <c r="KTR97" s="15"/>
      <c r="KTS97" s="15"/>
      <c r="KTT97" s="15"/>
      <c r="KTU97" s="15"/>
      <c r="KTV97" s="15"/>
      <c r="KTW97" s="15"/>
      <c r="KTX97" s="15"/>
      <c r="KTY97" s="15"/>
      <c r="KTZ97" s="15"/>
      <c r="KUA97" s="15"/>
      <c r="KUB97" s="15"/>
      <c r="KUC97" s="15"/>
      <c r="KUD97" s="15"/>
      <c r="KUE97" s="15"/>
      <c r="KUF97" s="15"/>
      <c r="KUG97" s="15"/>
      <c r="KUH97" s="15"/>
      <c r="KUI97" s="15"/>
      <c r="KUJ97" s="15"/>
      <c r="KUK97" s="15"/>
      <c r="KUL97" s="15"/>
      <c r="KUM97" s="15"/>
      <c r="KUN97" s="15"/>
      <c r="KUO97" s="15"/>
      <c r="KUP97" s="15"/>
      <c r="KUQ97" s="15"/>
      <c r="KUR97" s="15"/>
      <c r="KUS97" s="15"/>
      <c r="KUT97" s="15"/>
      <c r="KUU97" s="15"/>
      <c r="KUV97" s="15"/>
      <c r="KUW97" s="15"/>
      <c r="KUX97" s="15"/>
      <c r="KUY97" s="15"/>
      <c r="KUZ97" s="15"/>
      <c r="KVA97" s="15"/>
      <c r="KVB97" s="15"/>
      <c r="KVC97" s="15"/>
      <c r="KVD97" s="15"/>
      <c r="KVE97" s="15"/>
      <c r="KVF97" s="15"/>
      <c r="KVG97" s="15"/>
      <c r="KVH97" s="15"/>
      <c r="KVI97" s="15"/>
      <c r="KVJ97" s="15"/>
      <c r="KVK97" s="15"/>
      <c r="KVL97" s="15"/>
      <c r="KVM97" s="15"/>
      <c r="KVN97" s="15"/>
      <c r="KVO97" s="15"/>
      <c r="KVP97" s="15"/>
      <c r="KVQ97" s="15"/>
      <c r="KVR97" s="15"/>
      <c r="KVS97" s="15"/>
      <c r="KVT97" s="15"/>
      <c r="KVU97" s="15"/>
      <c r="KVV97" s="15"/>
      <c r="KVW97" s="15"/>
      <c r="KVX97" s="15"/>
      <c r="KVY97" s="15"/>
      <c r="KVZ97" s="15"/>
      <c r="KWA97" s="15"/>
      <c r="KWB97" s="15"/>
      <c r="KWC97" s="15"/>
      <c r="KWD97" s="15"/>
      <c r="KWE97" s="15"/>
      <c r="KWF97" s="15"/>
      <c r="KWG97" s="15"/>
      <c r="KWH97" s="15"/>
      <c r="KWI97" s="15"/>
      <c r="KWJ97" s="15"/>
      <c r="KWK97" s="15"/>
      <c r="KWL97" s="15"/>
      <c r="KWM97" s="15"/>
      <c r="KWN97" s="15"/>
      <c r="KWO97" s="15"/>
      <c r="KWP97" s="15"/>
      <c r="KWQ97" s="15"/>
      <c r="KWR97" s="15"/>
      <c r="KWS97" s="15"/>
      <c r="KWT97" s="15"/>
      <c r="KWU97" s="15"/>
      <c r="KWV97" s="15"/>
      <c r="KWW97" s="15"/>
      <c r="KWX97" s="15"/>
      <c r="KWY97" s="15"/>
      <c r="KWZ97" s="15"/>
      <c r="KXA97" s="15"/>
      <c r="KXB97" s="15"/>
      <c r="KXC97" s="15"/>
      <c r="KXD97" s="15"/>
      <c r="KXE97" s="15"/>
      <c r="KXF97" s="15"/>
      <c r="KXG97" s="15"/>
      <c r="KXH97" s="15"/>
      <c r="KXI97" s="15"/>
      <c r="KXJ97" s="15"/>
      <c r="KXK97" s="15"/>
      <c r="KXL97" s="15"/>
      <c r="KXM97" s="15"/>
      <c r="KXN97" s="15"/>
      <c r="KXO97" s="15"/>
      <c r="KXP97" s="15"/>
      <c r="KXQ97" s="15"/>
      <c r="KXR97" s="15"/>
      <c r="KXS97" s="15"/>
      <c r="KXT97" s="15"/>
      <c r="KXU97" s="15"/>
      <c r="KXV97" s="15"/>
      <c r="KXW97" s="15"/>
      <c r="KXX97" s="15"/>
      <c r="KXY97" s="15"/>
      <c r="KXZ97" s="15"/>
      <c r="KYA97" s="15"/>
      <c r="KYB97" s="15"/>
      <c r="KYC97" s="15"/>
      <c r="KYD97" s="15"/>
      <c r="KYE97" s="15"/>
      <c r="KYF97" s="15"/>
      <c r="KYG97" s="15"/>
      <c r="KYH97" s="15"/>
      <c r="KYI97" s="15"/>
      <c r="KYJ97" s="15"/>
      <c r="KYK97" s="15"/>
      <c r="KYL97" s="15"/>
      <c r="KYM97" s="15"/>
      <c r="KYN97" s="15"/>
      <c r="KYO97" s="15"/>
      <c r="KYP97" s="15"/>
      <c r="KYQ97" s="15"/>
      <c r="KYR97" s="15"/>
      <c r="KYS97" s="15"/>
      <c r="KYT97" s="15"/>
      <c r="KYU97" s="15"/>
      <c r="KYV97" s="15"/>
      <c r="KYW97" s="15"/>
      <c r="KYX97" s="15"/>
      <c r="KYY97" s="15"/>
      <c r="KYZ97" s="15"/>
      <c r="KZA97" s="15"/>
      <c r="KZB97" s="15"/>
      <c r="KZC97" s="15"/>
      <c r="KZD97" s="15"/>
      <c r="KZE97" s="15"/>
      <c r="KZF97" s="15"/>
      <c r="KZG97" s="15"/>
      <c r="KZH97" s="15"/>
      <c r="KZI97" s="15"/>
      <c r="KZJ97" s="15"/>
      <c r="KZK97" s="15"/>
      <c r="KZL97" s="15"/>
      <c r="KZM97" s="15"/>
      <c r="KZN97" s="15"/>
      <c r="KZO97" s="15"/>
      <c r="KZP97" s="15"/>
      <c r="KZQ97" s="15"/>
      <c r="KZR97" s="15"/>
      <c r="KZS97" s="15"/>
      <c r="KZT97" s="15"/>
      <c r="KZU97" s="15"/>
      <c r="KZV97" s="15"/>
      <c r="KZW97" s="15"/>
      <c r="KZX97" s="15"/>
      <c r="KZY97" s="15"/>
      <c r="KZZ97" s="15"/>
      <c r="LAA97" s="15"/>
      <c r="LAB97" s="15"/>
      <c r="LAC97" s="15"/>
      <c r="LAD97" s="15"/>
      <c r="LAE97" s="15"/>
      <c r="LAF97" s="15"/>
      <c r="LAG97" s="15"/>
      <c r="LAH97" s="15"/>
      <c r="LAI97" s="15"/>
      <c r="LAJ97" s="15"/>
      <c r="LAK97" s="15"/>
      <c r="LAL97" s="15"/>
      <c r="LAM97" s="15"/>
      <c r="LAN97" s="15"/>
      <c r="LAO97" s="15"/>
      <c r="LAP97" s="15"/>
      <c r="LAQ97" s="15"/>
      <c r="LAR97" s="15"/>
      <c r="LAS97" s="15"/>
      <c r="LAT97" s="15"/>
      <c r="LAU97" s="15"/>
      <c r="LAV97" s="15"/>
      <c r="LAW97" s="15"/>
      <c r="LAX97" s="15"/>
      <c r="LAY97" s="15"/>
      <c r="LAZ97" s="15"/>
      <c r="LBA97" s="15"/>
      <c r="LBB97" s="15"/>
      <c r="LBC97" s="15"/>
      <c r="LBD97" s="15"/>
      <c r="LBE97" s="15"/>
      <c r="LBF97" s="15"/>
      <c r="LBG97" s="15"/>
      <c r="LBH97" s="15"/>
      <c r="LBI97" s="15"/>
      <c r="LBJ97" s="15"/>
      <c r="LBK97" s="15"/>
      <c r="LBL97" s="15"/>
      <c r="LBM97" s="15"/>
      <c r="LBN97" s="15"/>
      <c r="LBO97" s="15"/>
      <c r="LBP97" s="15"/>
      <c r="LBQ97" s="15"/>
      <c r="LBR97" s="15"/>
      <c r="LBS97" s="15"/>
      <c r="LBT97" s="15"/>
      <c r="LBU97" s="15"/>
      <c r="LBV97" s="15"/>
      <c r="LBW97" s="15"/>
      <c r="LBX97" s="15"/>
      <c r="LBY97" s="15"/>
      <c r="LBZ97" s="15"/>
      <c r="LCA97" s="15"/>
      <c r="LCB97" s="15"/>
      <c r="LCC97" s="15"/>
      <c r="LCD97" s="15"/>
      <c r="LCE97" s="15"/>
      <c r="LCF97" s="15"/>
      <c r="LCG97" s="15"/>
      <c r="LCH97" s="15"/>
      <c r="LCI97" s="15"/>
      <c r="LCJ97" s="15"/>
      <c r="LCK97" s="15"/>
      <c r="LCL97" s="15"/>
      <c r="LCM97" s="15"/>
      <c r="LCN97" s="15"/>
      <c r="LCO97" s="15"/>
      <c r="LCP97" s="15"/>
      <c r="LCQ97" s="15"/>
      <c r="LCR97" s="15"/>
      <c r="LCS97" s="15"/>
      <c r="LCT97" s="15"/>
      <c r="LCU97" s="15"/>
      <c r="LCV97" s="15"/>
      <c r="LCW97" s="15"/>
      <c r="LCX97" s="15"/>
      <c r="LCY97" s="15"/>
      <c r="LCZ97" s="15"/>
      <c r="LDA97" s="15"/>
      <c r="LDB97" s="15"/>
      <c r="LDC97" s="15"/>
      <c r="LDD97" s="15"/>
      <c r="LDE97" s="15"/>
      <c r="LDF97" s="15"/>
      <c r="LDG97" s="15"/>
      <c r="LDH97" s="15"/>
      <c r="LDI97" s="15"/>
      <c r="LDJ97" s="15"/>
      <c r="LDK97" s="15"/>
      <c r="LDL97" s="15"/>
      <c r="LDM97" s="15"/>
      <c r="LDN97" s="15"/>
      <c r="LDO97" s="15"/>
      <c r="LDP97" s="15"/>
      <c r="LDQ97" s="15"/>
      <c r="LDR97" s="15"/>
      <c r="LDS97" s="15"/>
      <c r="LDT97" s="15"/>
      <c r="LDU97" s="15"/>
      <c r="LDV97" s="15"/>
      <c r="LDW97" s="15"/>
      <c r="LDX97" s="15"/>
      <c r="LDY97" s="15"/>
      <c r="LDZ97" s="15"/>
      <c r="LEA97" s="15"/>
      <c r="LEB97" s="15"/>
      <c r="LEC97" s="15"/>
      <c r="LED97" s="15"/>
      <c r="LEE97" s="15"/>
      <c r="LEF97" s="15"/>
      <c r="LEG97" s="15"/>
      <c r="LEH97" s="15"/>
      <c r="LEI97" s="15"/>
      <c r="LEJ97" s="15"/>
      <c r="LEK97" s="15"/>
      <c r="LEL97" s="15"/>
      <c r="LEM97" s="15"/>
      <c r="LEN97" s="15"/>
      <c r="LEO97" s="15"/>
      <c r="LEP97" s="15"/>
      <c r="LEQ97" s="15"/>
      <c r="LER97" s="15"/>
      <c r="LES97" s="15"/>
      <c r="LET97" s="15"/>
      <c r="LEU97" s="15"/>
      <c r="LEV97" s="15"/>
      <c r="LEW97" s="15"/>
      <c r="LEX97" s="15"/>
      <c r="LEY97" s="15"/>
      <c r="LEZ97" s="15"/>
      <c r="LFA97" s="15"/>
      <c r="LFB97" s="15"/>
      <c r="LFC97" s="15"/>
      <c r="LFD97" s="15"/>
      <c r="LFE97" s="15"/>
      <c r="LFF97" s="15"/>
      <c r="LFG97" s="15"/>
      <c r="LFH97" s="15"/>
      <c r="LFI97" s="15"/>
      <c r="LFJ97" s="15"/>
      <c r="LFK97" s="15"/>
      <c r="LFL97" s="15"/>
      <c r="LFM97" s="15"/>
      <c r="LFN97" s="15"/>
      <c r="LFO97" s="15"/>
      <c r="LFP97" s="15"/>
      <c r="LFQ97" s="15"/>
      <c r="LFR97" s="15"/>
      <c r="LFS97" s="15"/>
      <c r="LFT97" s="15"/>
      <c r="LFU97" s="15"/>
      <c r="LFV97" s="15"/>
      <c r="LFW97" s="15"/>
      <c r="LFX97" s="15"/>
      <c r="LFY97" s="15"/>
      <c r="LFZ97" s="15"/>
      <c r="LGA97" s="15"/>
      <c r="LGB97" s="15"/>
      <c r="LGC97" s="15"/>
      <c r="LGD97" s="15"/>
      <c r="LGE97" s="15"/>
      <c r="LGF97" s="15"/>
      <c r="LGG97" s="15"/>
      <c r="LGH97" s="15"/>
      <c r="LGI97" s="15"/>
      <c r="LGJ97" s="15"/>
      <c r="LGK97" s="15"/>
      <c r="LGL97" s="15"/>
      <c r="LGM97" s="15"/>
      <c r="LGN97" s="15"/>
      <c r="LGO97" s="15"/>
      <c r="LGP97" s="15"/>
      <c r="LGQ97" s="15"/>
      <c r="LGR97" s="15"/>
      <c r="LGS97" s="15"/>
      <c r="LGT97" s="15"/>
      <c r="LGU97" s="15"/>
      <c r="LGV97" s="15"/>
      <c r="LGW97" s="15"/>
      <c r="LGX97" s="15"/>
      <c r="LGY97" s="15"/>
      <c r="LGZ97" s="15"/>
      <c r="LHA97" s="15"/>
      <c r="LHB97" s="15"/>
      <c r="LHC97" s="15"/>
      <c r="LHD97" s="15"/>
      <c r="LHE97" s="15"/>
      <c r="LHF97" s="15"/>
      <c r="LHG97" s="15"/>
      <c r="LHH97" s="15"/>
      <c r="LHI97" s="15"/>
      <c r="LHJ97" s="15"/>
      <c r="LHK97" s="15"/>
      <c r="LHL97" s="15"/>
      <c r="LHM97" s="15"/>
      <c r="LHN97" s="15"/>
      <c r="LHO97" s="15"/>
      <c r="LHP97" s="15"/>
      <c r="LHQ97" s="15"/>
      <c r="LHR97" s="15"/>
      <c r="LHS97" s="15"/>
      <c r="LHT97" s="15"/>
      <c r="LHU97" s="15"/>
      <c r="LHV97" s="15"/>
      <c r="LHW97" s="15"/>
      <c r="LHX97" s="15"/>
      <c r="LHY97" s="15"/>
      <c r="LHZ97" s="15"/>
      <c r="LIA97" s="15"/>
      <c r="LIB97" s="15"/>
      <c r="LIC97" s="15"/>
      <c r="LID97" s="15"/>
      <c r="LIE97" s="15"/>
      <c r="LIF97" s="15"/>
      <c r="LIG97" s="15"/>
      <c r="LIH97" s="15"/>
      <c r="LII97" s="15"/>
      <c r="LIJ97" s="15"/>
      <c r="LIK97" s="15"/>
      <c r="LIL97" s="15"/>
      <c r="LIM97" s="15"/>
      <c r="LIN97" s="15"/>
      <c r="LIO97" s="15"/>
      <c r="LIP97" s="15"/>
      <c r="LIQ97" s="15"/>
      <c r="LIR97" s="15"/>
      <c r="LIS97" s="15"/>
      <c r="LIT97" s="15"/>
      <c r="LIU97" s="15"/>
      <c r="LIV97" s="15"/>
      <c r="LIW97" s="15"/>
      <c r="LIX97" s="15"/>
      <c r="LIY97" s="15"/>
      <c r="LIZ97" s="15"/>
      <c r="LJA97" s="15"/>
      <c r="LJB97" s="15"/>
      <c r="LJC97" s="15"/>
      <c r="LJD97" s="15"/>
      <c r="LJE97" s="15"/>
      <c r="LJF97" s="15"/>
      <c r="LJG97" s="15"/>
      <c r="LJH97" s="15"/>
      <c r="LJI97" s="15"/>
      <c r="LJJ97" s="15"/>
      <c r="LJK97" s="15"/>
      <c r="LJL97" s="15"/>
      <c r="LJM97" s="15"/>
      <c r="LJN97" s="15"/>
      <c r="LJO97" s="15"/>
      <c r="LJP97" s="15"/>
      <c r="LJQ97" s="15"/>
      <c r="LJR97" s="15"/>
      <c r="LJS97" s="15"/>
      <c r="LJT97" s="15"/>
      <c r="LJU97" s="15"/>
      <c r="LJV97" s="15"/>
      <c r="LJW97" s="15"/>
      <c r="LJX97" s="15"/>
      <c r="LJY97" s="15"/>
      <c r="LJZ97" s="15"/>
      <c r="LKA97" s="15"/>
      <c r="LKB97" s="15"/>
      <c r="LKC97" s="15"/>
      <c r="LKD97" s="15"/>
      <c r="LKE97" s="15"/>
      <c r="LKF97" s="15"/>
      <c r="LKG97" s="15"/>
      <c r="LKH97" s="15"/>
      <c r="LKI97" s="15"/>
      <c r="LKJ97" s="15"/>
      <c r="LKK97" s="15"/>
      <c r="LKL97" s="15"/>
      <c r="LKM97" s="15"/>
      <c r="LKN97" s="15"/>
      <c r="LKO97" s="15"/>
      <c r="LKP97" s="15"/>
      <c r="LKQ97" s="15"/>
      <c r="LKR97" s="15"/>
      <c r="LKS97" s="15"/>
      <c r="LKT97" s="15"/>
      <c r="LKU97" s="15"/>
      <c r="LKV97" s="15"/>
      <c r="LKW97" s="15"/>
      <c r="LKX97" s="15"/>
      <c r="LKY97" s="15"/>
      <c r="LKZ97" s="15"/>
      <c r="LLA97" s="15"/>
      <c r="LLB97" s="15"/>
      <c r="LLC97" s="15"/>
      <c r="LLD97" s="15"/>
      <c r="LLE97" s="15"/>
      <c r="LLF97" s="15"/>
      <c r="LLG97" s="15"/>
      <c r="LLH97" s="15"/>
      <c r="LLI97" s="15"/>
      <c r="LLJ97" s="15"/>
      <c r="LLK97" s="15"/>
      <c r="LLL97" s="15"/>
      <c r="LLM97" s="15"/>
      <c r="LLN97" s="15"/>
      <c r="LLO97" s="15"/>
      <c r="LLP97" s="15"/>
      <c r="LLQ97" s="15"/>
      <c r="LLR97" s="15"/>
      <c r="LLS97" s="15"/>
      <c r="LLT97" s="15"/>
      <c r="LLU97" s="15"/>
      <c r="LLV97" s="15"/>
      <c r="LLW97" s="15"/>
      <c r="LLX97" s="15"/>
      <c r="LLY97" s="15"/>
      <c r="LLZ97" s="15"/>
      <c r="LMA97" s="15"/>
      <c r="LMB97" s="15"/>
      <c r="LMC97" s="15"/>
      <c r="LMD97" s="15"/>
      <c r="LME97" s="15"/>
      <c r="LMF97" s="15"/>
      <c r="LMG97" s="15"/>
      <c r="LMH97" s="15"/>
      <c r="LMI97" s="15"/>
      <c r="LMJ97" s="15"/>
      <c r="LMK97" s="15"/>
      <c r="LML97" s="15"/>
      <c r="LMM97" s="15"/>
      <c r="LMN97" s="15"/>
      <c r="LMO97" s="15"/>
      <c r="LMP97" s="15"/>
      <c r="LMQ97" s="15"/>
      <c r="LMR97" s="15"/>
      <c r="LMS97" s="15"/>
      <c r="LMT97" s="15"/>
      <c r="LMU97" s="15"/>
      <c r="LMV97" s="15"/>
      <c r="LMW97" s="15"/>
      <c r="LMX97" s="15"/>
      <c r="LMY97" s="15"/>
      <c r="LMZ97" s="15"/>
      <c r="LNA97" s="15"/>
      <c r="LNB97" s="15"/>
      <c r="LNC97" s="15"/>
      <c r="LND97" s="15"/>
      <c r="LNE97" s="15"/>
      <c r="LNF97" s="15"/>
      <c r="LNG97" s="15"/>
      <c r="LNH97" s="15"/>
      <c r="LNI97" s="15"/>
      <c r="LNJ97" s="15"/>
      <c r="LNK97" s="15"/>
      <c r="LNL97" s="15"/>
      <c r="LNM97" s="15"/>
      <c r="LNN97" s="15"/>
      <c r="LNO97" s="15"/>
      <c r="LNP97" s="15"/>
      <c r="LNQ97" s="15"/>
      <c r="LNR97" s="15"/>
      <c r="LNS97" s="15"/>
      <c r="LNT97" s="15"/>
      <c r="LNU97" s="15"/>
      <c r="LNV97" s="15"/>
      <c r="LNW97" s="15"/>
      <c r="LNX97" s="15"/>
      <c r="LNY97" s="15"/>
      <c r="LNZ97" s="15"/>
      <c r="LOA97" s="15"/>
      <c r="LOB97" s="15"/>
      <c r="LOC97" s="15"/>
      <c r="LOD97" s="15"/>
      <c r="LOE97" s="15"/>
      <c r="LOF97" s="15"/>
      <c r="LOG97" s="15"/>
      <c r="LOH97" s="15"/>
      <c r="LOI97" s="15"/>
      <c r="LOJ97" s="15"/>
      <c r="LOK97" s="15"/>
      <c r="LOL97" s="15"/>
      <c r="LOM97" s="15"/>
      <c r="LON97" s="15"/>
      <c r="LOO97" s="15"/>
      <c r="LOP97" s="15"/>
      <c r="LOQ97" s="15"/>
      <c r="LOR97" s="15"/>
      <c r="LOS97" s="15"/>
      <c r="LOT97" s="15"/>
      <c r="LOU97" s="15"/>
      <c r="LOV97" s="15"/>
      <c r="LOW97" s="15"/>
      <c r="LOX97" s="15"/>
      <c r="LOY97" s="15"/>
      <c r="LOZ97" s="15"/>
      <c r="LPA97" s="15"/>
      <c r="LPB97" s="15"/>
      <c r="LPC97" s="15"/>
      <c r="LPD97" s="15"/>
      <c r="LPE97" s="15"/>
      <c r="LPF97" s="15"/>
      <c r="LPG97" s="15"/>
      <c r="LPH97" s="15"/>
      <c r="LPI97" s="15"/>
      <c r="LPJ97" s="15"/>
      <c r="LPK97" s="15"/>
      <c r="LPL97" s="15"/>
      <c r="LPM97" s="15"/>
      <c r="LPN97" s="15"/>
      <c r="LPO97" s="15"/>
      <c r="LPP97" s="15"/>
      <c r="LPQ97" s="15"/>
      <c r="LPR97" s="15"/>
      <c r="LPS97" s="15"/>
      <c r="LPT97" s="15"/>
      <c r="LPU97" s="15"/>
      <c r="LPV97" s="15"/>
      <c r="LPW97" s="15"/>
      <c r="LPX97" s="15"/>
      <c r="LPY97" s="15"/>
      <c r="LPZ97" s="15"/>
      <c r="LQA97" s="15"/>
      <c r="LQB97" s="15"/>
      <c r="LQC97" s="15"/>
      <c r="LQD97" s="15"/>
      <c r="LQE97" s="15"/>
      <c r="LQF97" s="15"/>
      <c r="LQG97" s="15"/>
      <c r="LQH97" s="15"/>
      <c r="LQI97" s="15"/>
      <c r="LQJ97" s="15"/>
      <c r="LQK97" s="15"/>
      <c r="LQL97" s="15"/>
      <c r="LQM97" s="15"/>
      <c r="LQN97" s="15"/>
      <c r="LQO97" s="15"/>
      <c r="LQP97" s="15"/>
      <c r="LQQ97" s="15"/>
      <c r="LQR97" s="15"/>
      <c r="LQS97" s="15"/>
      <c r="LQT97" s="15"/>
      <c r="LQU97" s="15"/>
      <c r="LQV97" s="15"/>
      <c r="LQW97" s="15"/>
      <c r="LQX97" s="15"/>
      <c r="LQY97" s="15"/>
      <c r="LQZ97" s="15"/>
      <c r="LRA97" s="15"/>
      <c r="LRB97" s="15"/>
      <c r="LRC97" s="15"/>
      <c r="LRD97" s="15"/>
      <c r="LRE97" s="15"/>
      <c r="LRF97" s="15"/>
      <c r="LRG97" s="15"/>
      <c r="LRH97" s="15"/>
      <c r="LRI97" s="15"/>
      <c r="LRJ97" s="15"/>
      <c r="LRK97" s="15"/>
      <c r="LRL97" s="15"/>
      <c r="LRM97" s="15"/>
      <c r="LRN97" s="15"/>
      <c r="LRO97" s="15"/>
      <c r="LRP97" s="15"/>
      <c r="LRQ97" s="15"/>
      <c r="LRR97" s="15"/>
      <c r="LRS97" s="15"/>
      <c r="LRT97" s="15"/>
      <c r="LRU97" s="15"/>
      <c r="LRV97" s="15"/>
      <c r="LRW97" s="15"/>
      <c r="LRX97" s="15"/>
      <c r="LRY97" s="15"/>
      <c r="LRZ97" s="15"/>
      <c r="LSA97" s="15"/>
      <c r="LSB97" s="15"/>
      <c r="LSC97" s="15"/>
      <c r="LSD97" s="15"/>
      <c r="LSE97" s="15"/>
      <c r="LSF97" s="15"/>
      <c r="LSG97" s="15"/>
      <c r="LSH97" s="15"/>
      <c r="LSI97" s="15"/>
      <c r="LSJ97" s="15"/>
      <c r="LSK97" s="15"/>
      <c r="LSL97" s="15"/>
      <c r="LSM97" s="15"/>
      <c r="LSN97" s="15"/>
      <c r="LSO97" s="15"/>
      <c r="LSP97" s="15"/>
      <c r="LSQ97" s="15"/>
      <c r="LSR97" s="15"/>
      <c r="LSS97" s="15"/>
      <c r="LST97" s="15"/>
      <c r="LSU97" s="15"/>
      <c r="LSV97" s="15"/>
      <c r="LSW97" s="15"/>
      <c r="LSX97" s="15"/>
      <c r="LSY97" s="15"/>
      <c r="LSZ97" s="15"/>
      <c r="LTA97" s="15"/>
      <c r="LTB97" s="15"/>
      <c r="LTC97" s="15"/>
      <c r="LTD97" s="15"/>
      <c r="LTE97" s="15"/>
      <c r="LTF97" s="15"/>
      <c r="LTG97" s="15"/>
      <c r="LTH97" s="15"/>
      <c r="LTI97" s="15"/>
      <c r="LTJ97" s="15"/>
      <c r="LTK97" s="15"/>
      <c r="LTL97" s="15"/>
      <c r="LTM97" s="15"/>
      <c r="LTN97" s="15"/>
      <c r="LTO97" s="15"/>
      <c r="LTP97" s="15"/>
      <c r="LTQ97" s="15"/>
      <c r="LTR97" s="15"/>
      <c r="LTS97" s="15"/>
      <c r="LTT97" s="15"/>
      <c r="LTU97" s="15"/>
      <c r="LTV97" s="15"/>
      <c r="LTW97" s="15"/>
      <c r="LTX97" s="15"/>
      <c r="LTY97" s="15"/>
      <c r="LTZ97" s="15"/>
      <c r="LUA97" s="15"/>
      <c r="LUB97" s="15"/>
      <c r="LUC97" s="15"/>
      <c r="LUD97" s="15"/>
      <c r="LUE97" s="15"/>
      <c r="LUF97" s="15"/>
      <c r="LUG97" s="15"/>
      <c r="LUH97" s="15"/>
      <c r="LUI97" s="15"/>
      <c r="LUJ97" s="15"/>
      <c r="LUK97" s="15"/>
      <c r="LUL97" s="15"/>
      <c r="LUM97" s="15"/>
      <c r="LUN97" s="15"/>
      <c r="LUO97" s="15"/>
      <c r="LUP97" s="15"/>
      <c r="LUQ97" s="15"/>
      <c r="LUR97" s="15"/>
      <c r="LUS97" s="15"/>
      <c r="LUT97" s="15"/>
      <c r="LUU97" s="15"/>
      <c r="LUV97" s="15"/>
      <c r="LUW97" s="15"/>
      <c r="LUX97" s="15"/>
      <c r="LUY97" s="15"/>
      <c r="LUZ97" s="15"/>
      <c r="LVA97" s="15"/>
      <c r="LVB97" s="15"/>
      <c r="LVC97" s="15"/>
      <c r="LVD97" s="15"/>
      <c r="LVE97" s="15"/>
      <c r="LVF97" s="15"/>
      <c r="LVG97" s="15"/>
      <c r="LVH97" s="15"/>
      <c r="LVI97" s="15"/>
      <c r="LVJ97" s="15"/>
      <c r="LVK97" s="15"/>
      <c r="LVL97" s="15"/>
      <c r="LVM97" s="15"/>
      <c r="LVN97" s="15"/>
      <c r="LVO97" s="15"/>
      <c r="LVP97" s="15"/>
      <c r="LVQ97" s="15"/>
      <c r="LVR97" s="15"/>
      <c r="LVS97" s="15"/>
      <c r="LVT97" s="15"/>
      <c r="LVU97" s="15"/>
      <c r="LVV97" s="15"/>
      <c r="LVW97" s="15"/>
      <c r="LVX97" s="15"/>
      <c r="LVY97" s="15"/>
      <c r="LVZ97" s="15"/>
      <c r="LWA97" s="15"/>
      <c r="LWB97" s="15"/>
      <c r="LWC97" s="15"/>
      <c r="LWD97" s="15"/>
      <c r="LWE97" s="15"/>
      <c r="LWF97" s="15"/>
      <c r="LWG97" s="15"/>
      <c r="LWH97" s="15"/>
      <c r="LWI97" s="15"/>
      <c r="LWJ97" s="15"/>
      <c r="LWK97" s="15"/>
      <c r="LWL97" s="15"/>
      <c r="LWM97" s="15"/>
      <c r="LWN97" s="15"/>
      <c r="LWO97" s="15"/>
      <c r="LWP97" s="15"/>
      <c r="LWQ97" s="15"/>
      <c r="LWR97" s="15"/>
      <c r="LWS97" s="15"/>
      <c r="LWT97" s="15"/>
      <c r="LWU97" s="15"/>
      <c r="LWV97" s="15"/>
      <c r="LWW97" s="15"/>
      <c r="LWX97" s="15"/>
      <c r="LWY97" s="15"/>
      <c r="LWZ97" s="15"/>
      <c r="LXA97" s="15"/>
      <c r="LXB97" s="15"/>
      <c r="LXC97" s="15"/>
      <c r="LXD97" s="15"/>
      <c r="LXE97" s="15"/>
      <c r="LXF97" s="15"/>
      <c r="LXG97" s="15"/>
      <c r="LXH97" s="15"/>
      <c r="LXI97" s="15"/>
      <c r="LXJ97" s="15"/>
      <c r="LXK97" s="15"/>
      <c r="LXL97" s="15"/>
      <c r="LXM97" s="15"/>
      <c r="LXN97" s="15"/>
      <c r="LXO97" s="15"/>
      <c r="LXP97" s="15"/>
      <c r="LXQ97" s="15"/>
      <c r="LXR97" s="15"/>
      <c r="LXS97" s="15"/>
      <c r="LXT97" s="15"/>
      <c r="LXU97" s="15"/>
      <c r="LXV97" s="15"/>
      <c r="LXW97" s="15"/>
      <c r="LXX97" s="15"/>
      <c r="LXY97" s="15"/>
      <c r="LXZ97" s="15"/>
      <c r="LYA97" s="15"/>
      <c r="LYB97" s="15"/>
      <c r="LYC97" s="15"/>
      <c r="LYD97" s="15"/>
      <c r="LYE97" s="15"/>
      <c r="LYF97" s="15"/>
      <c r="LYG97" s="15"/>
      <c r="LYH97" s="15"/>
      <c r="LYI97" s="15"/>
      <c r="LYJ97" s="15"/>
      <c r="LYK97" s="15"/>
      <c r="LYL97" s="15"/>
      <c r="LYM97" s="15"/>
      <c r="LYN97" s="15"/>
      <c r="LYO97" s="15"/>
      <c r="LYP97" s="15"/>
      <c r="LYQ97" s="15"/>
      <c r="LYR97" s="15"/>
      <c r="LYS97" s="15"/>
      <c r="LYT97" s="15"/>
      <c r="LYU97" s="15"/>
      <c r="LYV97" s="15"/>
      <c r="LYW97" s="15"/>
      <c r="LYX97" s="15"/>
      <c r="LYY97" s="15"/>
      <c r="LYZ97" s="15"/>
      <c r="LZA97" s="15"/>
      <c r="LZB97" s="15"/>
      <c r="LZC97" s="15"/>
      <c r="LZD97" s="15"/>
      <c r="LZE97" s="15"/>
      <c r="LZF97" s="15"/>
      <c r="LZG97" s="15"/>
      <c r="LZH97" s="15"/>
      <c r="LZI97" s="15"/>
      <c r="LZJ97" s="15"/>
      <c r="LZK97" s="15"/>
      <c r="LZL97" s="15"/>
      <c r="LZM97" s="15"/>
      <c r="LZN97" s="15"/>
      <c r="LZO97" s="15"/>
      <c r="LZP97" s="15"/>
      <c r="LZQ97" s="15"/>
      <c r="LZR97" s="15"/>
      <c r="LZS97" s="15"/>
      <c r="LZT97" s="15"/>
      <c r="LZU97" s="15"/>
      <c r="LZV97" s="15"/>
      <c r="LZW97" s="15"/>
      <c r="LZX97" s="15"/>
      <c r="LZY97" s="15"/>
      <c r="LZZ97" s="15"/>
      <c r="MAA97" s="15"/>
      <c r="MAB97" s="15"/>
      <c r="MAC97" s="15"/>
      <c r="MAD97" s="15"/>
      <c r="MAE97" s="15"/>
      <c r="MAF97" s="15"/>
      <c r="MAG97" s="15"/>
      <c r="MAH97" s="15"/>
      <c r="MAI97" s="15"/>
      <c r="MAJ97" s="15"/>
      <c r="MAK97" s="15"/>
      <c r="MAL97" s="15"/>
      <c r="MAM97" s="15"/>
      <c r="MAN97" s="15"/>
      <c r="MAO97" s="15"/>
      <c r="MAP97" s="15"/>
      <c r="MAQ97" s="15"/>
      <c r="MAR97" s="15"/>
      <c r="MAS97" s="15"/>
      <c r="MAT97" s="15"/>
      <c r="MAU97" s="15"/>
      <c r="MAV97" s="15"/>
      <c r="MAW97" s="15"/>
      <c r="MAX97" s="15"/>
      <c r="MAY97" s="15"/>
      <c r="MAZ97" s="15"/>
      <c r="MBA97" s="15"/>
      <c r="MBB97" s="15"/>
      <c r="MBC97" s="15"/>
      <c r="MBD97" s="15"/>
      <c r="MBE97" s="15"/>
      <c r="MBF97" s="15"/>
      <c r="MBG97" s="15"/>
      <c r="MBH97" s="15"/>
      <c r="MBI97" s="15"/>
      <c r="MBJ97" s="15"/>
      <c r="MBK97" s="15"/>
      <c r="MBL97" s="15"/>
      <c r="MBM97" s="15"/>
      <c r="MBN97" s="15"/>
      <c r="MBO97" s="15"/>
      <c r="MBP97" s="15"/>
      <c r="MBQ97" s="15"/>
      <c r="MBR97" s="15"/>
      <c r="MBS97" s="15"/>
      <c r="MBT97" s="15"/>
      <c r="MBU97" s="15"/>
      <c r="MBV97" s="15"/>
      <c r="MBW97" s="15"/>
      <c r="MBX97" s="15"/>
      <c r="MBY97" s="15"/>
      <c r="MBZ97" s="15"/>
      <c r="MCA97" s="15"/>
      <c r="MCB97" s="15"/>
      <c r="MCC97" s="15"/>
      <c r="MCD97" s="15"/>
      <c r="MCE97" s="15"/>
      <c r="MCF97" s="15"/>
      <c r="MCG97" s="15"/>
      <c r="MCH97" s="15"/>
      <c r="MCI97" s="15"/>
      <c r="MCJ97" s="15"/>
      <c r="MCK97" s="15"/>
      <c r="MCL97" s="15"/>
      <c r="MCM97" s="15"/>
      <c r="MCN97" s="15"/>
      <c r="MCO97" s="15"/>
      <c r="MCP97" s="15"/>
      <c r="MCQ97" s="15"/>
      <c r="MCR97" s="15"/>
      <c r="MCS97" s="15"/>
      <c r="MCT97" s="15"/>
      <c r="MCU97" s="15"/>
      <c r="MCV97" s="15"/>
      <c r="MCW97" s="15"/>
      <c r="MCX97" s="15"/>
      <c r="MCY97" s="15"/>
      <c r="MCZ97" s="15"/>
      <c r="MDA97" s="15"/>
      <c r="MDB97" s="15"/>
      <c r="MDC97" s="15"/>
      <c r="MDD97" s="15"/>
      <c r="MDE97" s="15"/>
      <c r="MDF97" s="15"/>
      <c r="MDG97" s="15"/>
      <c r="MDH97" s="15"/>
      <c r="MDI97" s="15"/>
      <c r="MDJ97" s="15"/>
      <c r="MDK97" s="15"/>
      <c r="MDL97" s="15"/>
      <c r="MDM97" s="15"/>
      <c r="MDN97" s="15"/>
      <c r="MDO97" s="15"/>
      <c r="MDP97" s="15"/>
      <c r="MDQ97" s="15"/>
      <c r="MDR97" s="15"/>
      <c r="MDS97" s="15"/>
      <c r="MDT97" s="15"/>
      <c r="MDU97" s="15"/>
      <c r="MDV97" s="15"/>
      <c r="MDW97" s="15"/>
      <c r="MDX97" s="15"/>
      <c r="MDY97" s="15"/>
      <c r="MDZ97" s="15"/>
      <c r="MEA97" s="15"/>
      <c r="MEB97" s="15"/>
      <c r="MEC97" s="15"/>
      <c r="MED97" s="15"/>
      <c r="MEE97" s="15"/>
      <c r="MEF97" s="15"/>
      <c r="MEG97" s="15"/>
      <c r="MEH97" s="15"/>
      <c r="MEI97" s="15"/>
      <c r="MEJ97" s="15"/>
      <c r="MEK97" s="15"/>
      <c r="MEL97" s="15"/>
      <c r="MEM97" s="15"/>
      <c r="MEN97" s="15"/>
      <c r="MEO97" s="15"/>
      <c r="MEP97" s="15"/>
      <c r="MEQ97" s="15"/>
      <c r="MER97" s="15"/>
      <c r="MES97" s="15"/>
      <c r="MET97" s="15"/>
      <c r="MEU97" s="15"/>
      <c r="MEV97" s="15"/>
      <c r="MEW97" s="15"/>
      <c r="MEX97" s="15"/>
      <c r="MEY97" s="15"/>
      <c r="MEZ97" s="15"/>
      <c r="MFA97" s="15"/>
      <c r="MFB97" s="15"/>
      <c r="MFC97" s="15"/>
      <c r="MFD97" s="15"/>
      <c r="MFE97" s="15"/>
      <c r="MFF97" s="15"/>
      <c r="MFG97" s="15"/>
      <c r="MFH97" s="15"/>
      <c r="MFI97" s="15"/>
      <c r="MFJ97" s="15"/>
      <c r="MFK97" s="15"/>
      <c r="MFL97" s="15"/>
      <c r="MFM97" s="15"/>
      <c r="MFN97" s="15"/>
      <c r="MFO97" s="15"/>
      <c r="MFP97" s="15"/>
      <c r="MFQ97" s="15"/>
      <c r="MFR97" s="15"/>
      <c r="MFS97" s="15"/>
      <c r="MFT97" s="15"/>
      <c r="MFU97" s="15"/>
      <c r="MFV97" s="15"/>
      <c r="MFW97" s="15"/>
      <c r="MFX97" s="15"/>
      <c r="MFY97" s="15"/>
      <c r="MFZ97" s="15"/>
      <c r="MGA97" s="15"/>
      <c r="MGB97" s="15"/>
      <c r="MGC97" s="15"/>
      <c r="MGD97" s="15"/>
      <c r="MGE97" s="15"/>
      <c r="MGF97" s="15"/>
      <c r="MGG97" s="15"/>
      <c r="MGH97" s="15"/>
      <c r="MGI97" s="15"/>
      <c r="MGJ97" s="15"/>
      <c r="MGK97" s="15"/>
      <c r="MGL97" s="15"/>
      <c r="MGM97" s="15"/>
      <c r="MGN97" s="15"/>
      <c r="MGO97" s="15"/>
      <c r="MGP97" s="15"/>
      <c r="MGQ97" s="15"/>
      <c r="MGR97" s="15"/>
      <c r="MGS97" s="15"/>
      <c r="MGT97" s="15"/>
      <c r="MGU97" s="15"/>
      <c r="MGV97" s="15"/>
      <c r="MGW97" s="15"/>
      <c r="MGX97" s="15"/>
      <c r="MGY97" s="15"/>
      <c r="MGZ97" s="15"/>
      <c r="MHA97" s="15"/>
      <c r="MHB97" s="15"/>
      <c r="MHC97" s="15"/>
      <c r="MHD97" s="15"/>
      <c r="MHE97" s="15"/>
      <c r="MHF97" s="15"/>
      <c r="MHG97" s="15"/>
      <c r="MHH97" s="15"/>
      <c r="MHI97" s="15"/>
      <c r="MHJ97" s="15"/>
      <c r="MHK97" s="15"/>
      <c r="MHL97" s="15"/>
      <c r="MHM97" s="15"/>
      <c r="MHN97" s="15"/>
      <c r="MHO97" s="15"/>
      <c r="MHP97" s="15"/>
      <c r="MHQ97" s="15"/>
      <c r="MHR97" s="15"/>
      <c r="MHS97" s="15"/>
      <c r="MHT97" s="15"/>
      <c r="MHU97" s="15"/>
      <c r="MHV97" s="15"/>
      <c r="MHW97" s="15"/>
      <c r="MHX97" s="15"/>
      <c r="MHY97" s="15"/>
      <c r="MHZ97" s="15"/>
      <c r="MIA97" s="15"/>
      <c r="MIB97" s="15"/>
      <c r="MIC97" s="15"/>
      <c r="MID97" s="15"/>
      <c r="MIE97" s="15"/>
      <c r="MIF97" s="15"/>
      <c r="MIG97" s="15"/>
      <c r="MIH97" s="15"/>
      <c r="MII97" s="15"/>
      <c r="MIJ97" s="15"/>
      <c r="MIK97" s="15"/>
      <c r="MIL97" s="15"/>
      <c r="MIM97" s="15"/>
      <c r="MIN97" s="15"/>
      <c r="MIO97" s="15"/>
      <c r="MIP97" s="15"/>
      <c r="MIQ97" s="15"/>
      <c r="MIR97" s="15"/>
      <c r="MIS97" s="15"/>
      <c r="MIT97" s="15"/>
      <c r="MIU97" s="15"/>
      <c r="MIV97" s="15"/>
      <c r="MIW97" s="15"/>
      <c r="MIX97" s="15"/>
      <c r="MIY97" s="15"/>
      <c r="MIZ97" s="15"/>
      <c r="MJA97" s="15"/>
      <c r="MJB97" s="15"/>
      <c r="MJC97" s="15"/>
      <c r="MJD97" s="15"/>
      <c r="MJE97" s="15"/>
      <c r="MJF97" s="15"/>
      <c r="MJG97" s="15"/>
      <c r="MJH97" s="15"/>
      <c r="MJI97" s="15"/>
      <c r="MJJ97" s="15"/>
      <c r="MJK97" s="15"/>
      <c r="MJL97" s="15"/>
      <c r="MJM97" s="15"/>
      <c r="MJN97" s="15"/>
      <c r="MJO97" s="15"/>
      <c r="MJP97" s="15"/>
      <c r="MJQ97" s="15"/>
      <c r="MJR97" s="15"/>
      <c r="MJS97" s="15"/>
      <c r="MJT97" s="15"/>
      <c r="MJU97" s="15"/>
      <c r="MJV97" s="15"/>
      <c r="MJW97" s="15"/>
      <c r="MJX97" s="15"/>
      <c r="MJY97" s="15"/>
      <c r="MJZ97" s="15"/>
      <c r="MKA97" s="15"/>
      <c r="MKB97" s="15"/>
      <c r="MKC97" s="15"/>
      <c r="MKD97" s="15"/>
      <c r="MKE97" s="15"/>
      <c r="MKF97" s="15"/>
      <c r="MKG97" s="15"/>
      <c r="MKH97" s="15"/>
      <c r="MKI97" s="15"/>
      <c r="MKJ97" s="15"/>
      <c r="MKK97" s="15"/>
      <c r="MKL97" s="15"/>
      <c r="MKM97" s="15"/>
      <c r="MKN97" s="15"/>
      <c r="MKO97" s="15"/>
      <c r="MKP97" s="15"/>
      <c r="MKQ97" s="15"/>
      <c r="MKR97" s="15"/>
      <c r="MKS97" s="15"/>
      <c r="MKT97" s="15"/>
      <c r="MKU97" s="15"/>
      <c r="MKV97" s="15"/>
      <c r="MKW97" s="15"/>
      <c r="MKX97" s="15"/>
      <c r="MKY97" s="15"/>
      <c r="MKZ97" s="15"/>
      <c r="MLA97" s="15"/>
      <c r="MLB97" s="15"/>
      <c r="MLC97" s="15"/>
      <c r="MLD97" s="15"/>
      <c r="MLE97" s="15"/>
      <c r="MLF97" s="15"/>
      <c r="MLG97" s="15"/>
      <c r="MLH97" s="15"/>
      <c r="MLI97" s="15"/>
      <c r="MLJ97" s="15"/>
      <c r="MLK97" s="15"/>
      <c r="MLL97" s="15"/>
      <c r="MLM97" s="15"/>
      <c r="MLN97" s="15"/>
      <c r="MLO97" s="15"/>
      <c r="MLP97" s="15"/>
      <c r="MLQ97" s="15"/>
      <c r="MLR97" s="15"/>
      <c r="MLS97" s="15"/>
      <c r="MLT97" s="15"/>
      <c r="MLU97" s="15"/>
      <c r="MLV97" s="15"/>
      <c r="MLW97" s="15"/>
      <c r="MLX97" s="15"/>
      <c r="MLY97" s="15"/>
      <c r="MLZ97" s="15"/>
      <c r="MMA97" s="15"/>
      <c r="MMB97" s="15"/>
      <c r="MMC97" s="15"/>
      <c r="MMD97" s="15"/>
      <c r="MME97" s="15"/>
      <c r="MMF97" s="15"/>
      <c r="MMG97" s="15"/>
      <c r="MMH97" s="15"/>
      <c r="MMI97" s="15"/>
      <c r="MMJ97" s="15"/>
      <c r="MMK97" s="15"/>
      <c r="MML97" s="15"/>
      <c r="MMM97" s="15"/>
      <c r="MMN97" s="15"/>
      <c r="MMO97" s="15"/>
      <c r="MMP97" s="15"/>
      <c r="MMQ97" s="15"/>
      <c r="MMR97" s="15"/>
      <c r="MMS97" s="15"/>
      <c r="MMT97" s="15"/>
      <c r="MMU97" s="15"/>
      <c r="MMV97" s="15"/>
      <c r="MMW97" s="15"/>
      <c r="MMX97" s="15"/>
      <c r="MMY97" s="15"/>
      <c r="MMZ97" s="15"/>
      <c r="MNA97" s="15"/>
      <c r="MNB97" s="15"/>
      <c r="MNC97" s="15"/>
      <c r="MND97" s="15"/>
      <c r="MNE97" s="15"/>
      <c r="MNF97" s="15"/>
      <c r="MNG97" s="15"/>
      <c r="MNH97" s="15"/>
      <c r="MNI97" s="15"/>
      <c r="MNJ97" s="15"/>
      <c r="MNK97" s="15"/>
      <c r="MNL97" s="15"/>
      <c r="MNM97" s="15"/>
      <c r="MNN97" s="15"/>
      <c r="MNO97" s="15"/>
      <c r="MNP97" s="15"/>
      <c r="MNQ97" s="15"/>
      <c r="MNR97" s="15"/>
      <c r="MNS97" s="15"/>
      <c r="MNT97" s="15"/>
      <c r="MNU97" s="15"/>
      <c r="MNV97" s="15"/>
      <c r="MNW97" s="15"/>
      <c r="MNX97" s="15"/>
      <c r="MNY97" s="15"/>
      <c r="MNZ97" s="15"/>
      <c r="MOA97" s="15"/>
      <c r="MOB97" s="15"/>
      <c r="MOC97" s="15"/>
      <c r="MOD97" s="15"/>
      <c r="MOE97" s="15"/>
      <c r="MOF97" s="15"/>
      <c r="MOG97" s="15"/>
      <c r="MOH97" s="15"/>
      <c r="MOI97" s="15"/>
      <c r="MOJ97" s="15"/>
      <c r="MOK97" s="15"/>
      <c r="MOL97" s="15"/>
      <c r="MOM97" s="15"/>
      <c r="MON97" s="15"/>
      <c r="MOO97" s="15"/>
      <c r="MOP97" s="15"/>
      <c r="MOQ97" s="15"/>
      <c r="MOR97" s="15"/>
      <c r="MOS97" s="15"/>
      <c r="MOT97" s="15"/>
      <c r="MOU97" s="15"/>
      <c r="MOV97" s="15"/>
      <c r="MOW97" s="15"/>
      <c r="MOX97" s="15"/>
      <c r="MOY97" s="15"/>
      <c r="MOZ97" s="15"/>
      <c r="MPA97" s="15"/>
      <c r="MPB97" s="15"/>
      <c r="MPC97" s="15"/>
      <c r="MPD97" s="15"/>
      <c r="MPE97" s="15"/>
      <c r="MPF97" s="15"/>
      <c r="MPG97" s="15"/>
      <c r="MPH97" s="15"/>
      <c r="MPI97" s="15"/>
      <c r="MPJ97" s="15"/>
      <c r="MPK97" s="15"/>
      <c r="MPL97" s="15"/>
      <c r="MPM97" s="15"/>
      <c r="MPN97" s="15"/>
      <c r="MPO97" s="15"/>
      <c r="MPP97" s="15"/>
      <c r="MPQ97" s="15"/>
      <c r="MPR97" s="15"/>
      <c r="MPS97" s="15"/>
      <c r="MPT97" s="15"/>
      <c r="MPU97" s="15"/>
      <c r="MPV97" s="15"/>
      <c r="MPW97" s="15"/>
      <c r="MPX97" s="15"/>
      <c r="MPY97" s="15"/>
      <c r="MPZ97" s="15"/>
      <c r="MQA97" s="15"/>
      <c r="MQB97" s="15"/>
      <c r="MQC97" s="15"/>
      <c r="MQD97" s="15"/>
      <c r="MQE97" s="15"/>
      <c r="MQF97" s="15"/>
      <c r="MQG97" s="15"/>
      <c r="MQH97" s="15"/>
      <c r="MQI97" s="15"/>
      <c r="MQJ97" s="15"/>
      <c r="MQK97" s="15"/>
      <c r="MQL97" s="15"/>
      <c r="MQM97" s="15"/>
      <c r="MQN97" s="15"/>
      <c r="MQO97" s="15"/>
      <c r="MQP97" s="15"/>
      <c r="MQQ97" s="15"/>
      <c r="MQR97" s="15"/>
      <c r="MQS97" s="15"/>
      <c r="MQT97" s="15"/>
      <c r="MQU97" s="15"/>
      <c r="MQV97" s="15"/>
      <c r="MQW97" s="15"/>
      <c r="MQX97" s="15"/>
      <c r="MQY97" s="15"/>
      <c r="MQZ97" s="15"/>
      <c r="MRA97" s="15"/>
      <c r="MRB97" s="15"/>
      <c r="MRC97" s="15"/>
      <c r="MRD97" s="15"/>
      <c r="MRE97" s="15"/>
      <c r="MRF97" s="15"/>
      <c r="MRG97" s="15"/>
      <c r="MRH97" s="15"/>
      <c r="MRI97" s="15"/>
      <c r="MRJ97" s="15"/>
      <c r="MRK97" s="15"/>
      <c r="MRL97" s="15"/>
      <c r="MRM97" s="15"/>
      <c r="MRN97" s="15"/>
      <c r="MRO97" s="15"/>
      <c r="MRP97" s="15"/>
      <c r="MRQ97" s="15"/>
      <c r="MRR97" s="15"/>
      <c r="MRS97" s="15"/>
      <c r="MRT97" s="15"/>
      <c r="MRU97" s="15"/>
      <c r="MRV97" s="15"/>
      <c r="MRW97" s="15"/>
      <c r="MRX97" s="15"/>
      <c r="MRY97" s="15"/>
      <c r="MRZ97" s="15"/>
      <c r="MSA97" s="15"/>
      <c r="MSB97" s="15"/>
      <c r="MSC97" s="15"/>
      <c r="MSD97" s="15"/>
      <c r="MSE97" s="15"/>
      <c r="MSF97" s="15"/>
      <c r="MSG97" s="15"/>
      <c r="MSH97" s="15"/>
      <c r="MSI97" s="15"/>
      <c r="MSJ97" s="15"/>
      <c r="MSK97" s="15"/>
      <c r="MSL97" s="15"/>
      <c r="MSM97" s="15"/>
      <c r="MSN97" s="15"/>
      <c r="MSO97" s="15"/>
      <c r="MSP97" s="15"/>
      <c r="MSQ97" s="15"/>
      <c r="MSR97" s="15"/>
      <c r="MSS97" s="15"/>
      <c r="MST97" s="15"/>
      <c r="MSU97" s="15"/>
      <c r="MSV97" s="15"/>
      <c r="MSW97" s="15"/>
      <c r="MSX97" s="15"/>
      <c r="MSY97" s="15"/>
      <c r="MSZ97" s="15"/>
      <c r="MTA97" s="15"/>
      <c r="MTB97" s="15"/>
      <c r="MTC97" s="15"/>
      <c r="MTD97" s="15"/>
      <c r="MTE97" s="15"/>
      <c r="MTF97" s="15"/>
      <c r="MTG97" s="15"/>
      <c r="MTH97" s="15"/>
      <c r="MTI97" s="15"/>
      <c r="MTJ97" s="15"/>
      <c r="MTK97" s="15"/>
      <c r="MTL97" s="15"/>
      <c r="MTM97" s="15"/>
      <c r="MTN97" s="15"/>
      <c r="MTO97" s="15"/>
      <c r="MTP97" s="15"/>
      <c r="MTQ97" s="15"/>
      <c r="MTR97" s="15"/>
      <c r="MTS97" s="15"/>
      <c r="MTT97" s="15"/>
      <c r="MTU97" s="15"/>
      <c r="MTV97" s="15"/>
      <c r="MTW97" s="15"/>
      <c r="MTX97" s="15"/>
      <c r="MTY97" s="15"/>
      <c r="MTZ97" s="15"/>
      <c r="MUA97" s="15"/>
      <c r="MUB97" s="15"/>
      <c r="MUC97" s="15"/>
      <c r="MUD97" s="15"/>
      <c r="MUE97" s="15"/>
      <c r="MUF97" s="15"/>
      <c r="MUG97" s="15"/>
      <c r="MUH97" s="15"/>
      <c r="MUI97" s="15"/>
      <c r="MUJ97" s="15"/>
      <c r="MUK97" s="15"/>
      <c r="MUL97" s="15"/>
      <c r="MUM97" s="15"/>
      <c r="MUN97" s="15"/>
      <c r="MUO97" s="15"/>
      <c r="MUP97" s="15"/>
      <c r="MUQ97" s="15"/>
      <c r="MUR97" s="15"/>
      <c r="MUS97" s="15"/>
      <c r="MUT97" s="15"/>
      <c r="MUU97" s="15"/>
      <c r="MUV97" s="15"/>
      <c r="MUW97" s="15"/>
      <c r="MUX97" s="15"/>
      <c r="MUY97" s="15"/>
      <c r="MUZ97" s="15"/>
      <c r="MVA97" s="15"/>
      <c r="MVB97" s="15"/>
      <c r="MVC97" s="15"/>
      <c r="MVD97" s="15"/>
      <c r="MVE97" s="15"/>
      <c r="MVF97" s="15"/>
      <c r="MVG97" s="15"/>
      <c r="MVH97" s="15"/>
      <c r="MVI97" s="15"/>
      <c r="MVJ97" s="15"/>
      <c r="MVK97" s="15"/>
      <c r="MVL97" s="15"/>
      <c r="MVM97" s="15"/>
      <c r="MVN97" s="15"/>
      <c r="MVO97" s="15"/>
      <c r="MVP97" s="15"/>
      <c r="MVQ97" s="15"/>
      <c r="MVR97" s="15"/>
      <c r="MVS97" s="15"/>
      <c r="MVT97" s="15"/>
      <c r="MVU97" s="15"/>
      <c r="MVV97" s="15"/>
      <c r="MVW97" s="15"/>
      <c r="MVX97" s="15"/>
      <c r="MVY97" s="15"/>
      <c r="MVZ97" s="15"/>
      <c r="MWA97" s="15"/>
      <c r="MWB97" s="15"/>
      <c r="MWC97" s="15"/>
      <c r="MWD97" s="15"/>
      <c r="MWE97" s="15"/>
      <c r="MWF97" s="15"/>
      <c r="MWG97" s="15"/>
      <c r="MWH97" s="15"/>
      <c r="MWI97" s="15"/>
      <c r="MWJ97" s="15"/>
      <c r="MWK97" s="15"/>
      <c r="MWL97" s="15"/>
      <c r="MWM97" s="15"/>
      <c r="MWN97" s="15"/>
      <c r="MWO97" s="15"/>
      <c r="MWP97" s="15"/>
      <c r="MWQ97" s="15"/>
      <c r="MWR97" s="15"/>
      <c r="MWS97" s="15"/>
      <c r="MWT97" s="15"/>
      <c r="MWU97" s="15"/>
      <c r="MWV97" s="15"/>
      <c r="MWW97" s="15"/>
      <c r="MWX97" s="15"/>
      <c r="MWY97" s="15"/>
      <c r="MWZ97" s="15"/>
      <c r="MXA97" s="15"/>
      <c r="MXB97" s="15"/>
      <c r="MXC97" s="15"/>
      <c r="MXD97" s="15"/>
      <c r="MXE97" s="15"/>
      <c r="MXF97" s="15"/>
      <c r="MXG97" s="15"/>
      <c r="MXH97" s="15"/>
      <c r="MXI97" s="15"/>
      <c r="MXJ97" s="15"/>
      <c r="MXK97" s="15"/>
      <c r="MXL97" s="15"/>
      <c r="MXM97" s="15"/>
      <c r="MXN97" s="15"/>
      <c r="MXO97" s="15"/>
      <c r="MXP97" s="15"/>
      <c r="MXQ97" s="15"/>
      <c r="MXR97" s="15"/>
      <c r="MXS97" s="15"/>
      <c r="MXT97" s="15"/>
      <c r="MXU97" s="15"/>
      <c r="MXV97" s="15"/>
      <c r="MXW97" s="15"/>
      <c r="MXX97" s="15"/>
      <c r="MXY97" s="15"/>
      <c r="MXZ97" s="15"/>
      <c r="MYA97" s="15"/>
      <c r="MYB97" s="15"/>
      <c r="MYC97" s="15"/>
      <c r="MYD97" s="15"/>
      <c r="MYE97" s="15"/>
      <c r="MYF97" s="15"/>
      <c r="MYG97" s="15"/>
      <c r="MYH97" s="15"/>
      <c r="MYI97" s="15"/>
      <c r="MYJ97" s="15"/>
      <c r="MYK97" s="15"/>
      <c r="MYL97" s="15"/>
      <c r="MYM97" s="15"/>
      <c r="MYN97" s="15"/>
      <c r="MYO97" s="15"/>
      <c r="MYP97" s="15"/>
      <c r="MYQ97" s="15"/>
      <c r="MYR97" s="15"/>
      <c r="MYS97" s="15"/>
      <c r="MYT97" s="15"/>
      <c r="MYU97" s="15"/>
      <c r="MYV97" s="15"/>
      <c r="MYW97" s="15"/>
      <c r="MYX97" s="15"/>
      <c r="MYY97" s="15"/>
      <c r="MYZ97" s="15"/>
      <c r="MZA97" s="15"/>
      <c r="MZB97" s="15"/>
      <c r="MZC97" s="15"/>
      <c r="MZD97" s="15"/>
      <c r="MZE97" s="15"/>
      <c r="MZF97" s="15"/>
      <c r="MZG97" s="15"/>
      <c r="MZH97" s="15"/>
      <c r="MZI97" s="15"/>
      <c r="MZJ97" s="15"/>
      <c r="MZK97" s="15"/>
      <c r="MZL97" s="15"/>
      <c r="MZM97" s="15"/>
      <c r="MZN97" s="15"/>
      <c r="MZO97" s="15"/>
      <c r="MZP97" s="15"/>
      <c r="MZQ97" s="15"/>
      <c r="MZR97" s="15"/>
      <c r="MZS97" s="15"/>
      <c r="MZT97" s="15"/>
      <c r="MZU97" s="15"/>
      <c r="MZV97" s="15"/>
      <c r="MZW97" s="15"/>
      <c r="MZX97" s="15"/>
      <c r="MZY97" s="15"/>
      <c r="MZZ97" s="15"/>
      <c r="NAA97" s="15"/>
      <c r="NAB97" s="15"/>
      <c r="NAC97" s="15"/>
      <c r="NAD97" s="15"/>
      <c r="NAE97" s="15"/>
      <c r="NAF97" s="15"/>
      <c r="NAG97" s="15"/>
      <c r="NAH97" s="15"/>
      <c r="NAI97" s="15"/>
      <c r="NAJ97" s="15"/>
      <c r="NAK97" s="15"/>
      <c r="NAL97" s="15"/>
      <c r="NAM97" s="15"/>
      <c r="NAN97" s="15"/>
      <c r="NAO97" s="15"/>
      <c r="NAP97" s="15"/>
      <c r="NAQ97" s="15"/>
      <c r="NAR97" s="15"/>
      <c r="NAS97" s="15"/>
      <c r="NAT97" s="15"/>
      <c r="NAU97" s="15"/>
      <c r="NAV97" s="15"/>
      <c r="NAW97" s="15"/>
      <c r="NAX97" s="15"/>
      <c r="NAY97" s="15"/>
      <c r="NAZ97" s="15"/>
      <c r="NBA97" s="15"/>
      <c r="NBB97" s="15"/>
      <c r="NBC97" s="15"/>
      <c r="NBD97" s="15"/>
      <c r="NBE97" s="15"/>
      <c r="NBF97" s="15"/>
      <c r="NBG97" s="15"/>
      <c r="NBH97" s="15"/>
      <c r="NBI97" s="15"/>
      <c r="NBJ97" s="15"/>
      <c r="NBK97" s="15"/>
      <c r="NBL97" s="15"/>
      <c r="NBM97" s="15"/>
      <c r="NBN97" s="15"/>
      <c r="NBO97" s="15"/>
      <c r="NBP97" s="15"/>
      <c r="NBQ97" s="15"/>
      <c r="NBR97" s="15"/>
      <c r="NBS97" s="15"/>
      <c r="NBT97" s="15"/>
      <c r="NBU97" s="15"/>
      <c r="NBV97" s="15"/>
      <c r="NBW97" s="15"/>
      <c r="NBX97" s="15"/>
      <c r="NBY97" s="15"/>
      <c r="NBZ97" s="15"/>
      <c r="NCA97" s="15"/>
      <c r="NCB97" s="15"/>
      <c r="NCC97" s="15"/>
      <c r="NCD97" s="15"/>
      <c r="NCE97" s="15"/>
      <c r="NCF97" s="15"/>
      <c r="NCG97" s="15"/>
      <c r="NCH97" s="15"/>
      <c r="NCI97" s="15"/>
      <c r="NCJ97" s="15"/>
      <c r="NCK97" s="15"/>
      <c r="NCL97" s="15"/>
      <c r="NCM97" s="15"/>
      <c r="NCN97" s="15"/>
      <c r="NCO97" s="15"/>
      <c r="NCP97" s="15"/>
      <c r="NCQ97" s="15"/>
      <c r="NCR97" s="15"/>
      <c r="NCS97" s="15"/>
      <c r="NCT97" s="15"/>
      <c r="NCU97" s="15"/>
      <c r="NCV97" s="15"/>
      <c r="NCW97" s="15"/>
      <c r="NCX97" s="15"/>
      <c r="NCY97" s="15"/>
      <c r="NCZ97" s="15"/>
      <c r="NDA97" s="15"/>
      <c r="NDB97" s="15"/>
      <c r="NDC97" s="15"/>
      <c r="NDD97" s="15"/>
      <c r="NDE97" s="15"/>
      <c r="NDF97" s="15"/>
      <c r="NDG97" s="15"/>
      <c r="NDH97" s="15"/>
      <c r="NDI97" s="15"/>
      <c r="NDJ97" s="15"/>
      <c r="NDK97" s="15"/>
      <c r="NDL97" s="15"/>
      <c r="NDM97" s="15"/>
      <c r="NDN97" s="15"/>
      <c r="NDO97" s="15"/>
      <c r="NDP97" s="15"/>
      <c r="NDQ97" s="15"/>
      <c r="NDR97" s="15"/>
      <c r="NDS97" s="15"/>
      <c r="NDT97" s="15"/>
      <c r="NDU97" s="15"/>
      <c r="NDV97" s="15"/>
      <c r="NDW97" s="15"/>
      <c r="NDX97" s="15"/>
      <c r="NDY97" s="15"/>
      <c r="NDZ97" s="15"/>
      <c r="NEA97" s="15"/>
      <c r="NEB97" s="15"/>
      <c r="NEC97" s="15"/>
      <c r="NED97" s="15"/>
      <c r="NEE97" s="15"/>
      <c r="NEF97" s="15"/>
      <c r="NEG97" s="15"/>
      <c r="NEH97" s="15"/>
      <c r="NEI97" s="15"/>
      <c r="NEJ97" s="15"/>
      <c r="NEK97" s="15"/>
      <c r="NEL97" s="15"/>
      <c r="NEM97" s="15"/>
      <c r="NEN97" s="15"/>
      <c r="NEO97" s="15"/>
      <c r="NEP97" s="15"/>
      <c r="NEQ97" s="15"/>
      <c r="NER97" s="15"/>
      <c r="NES97" s="15"/>
      <c r="NET97" s="15"/>
      <c r="NEU97" s="15"/>
      <c r="NEV97" s="15"/>
      <c r="NEW97" s="15"/>
      <c r="NEX97" s="15"/>
      <c r="NEY97" s="15"/>
      <c r="NEZ97" s="15"/>
      <c r="NFA97" s="15"/>
      <c r="NFB97" s="15"/>
      <c r="NFC97" s="15"/>
      <c r="NFD97" s="15"/>
      <c r="NFE97" s="15"/>
      <c r="NFF97" s="15"/>
      <c r="NFG97" s="15"/>
      <c r="NFH97" s="15"/>
      <c r="NFI97" s="15"/>
      <c r="NFJ97" s="15"/>
      <c r="NFK97" s="15"/>
      <c r="NFL97" s="15"/>
      <c r="NFM97" s="15"/>
      <c r="NFN97" s="15"/>
      <c r="NFO97" s="15"/>
      <c r="NFP97" s="15"/>
      <c r="NFQ97" s="15"/>
      <c r="NFR97" s="15"/>
      <c r="NFS97" s="15"/>
      <c r="NFT97" s="15"/>
      <c r="NFU97" s="15"/>
      <c r="NFV97" s="15"/>
      <c r="NFW97" s="15"/>
      <c r="NFX97" s="15"/>
      <c r="NFY97" s="15"/>
      <c r="NFZ97" s="15"/>
      <c r="NGA97" s="15"/>
      <c r="NGB97" s="15"/>
      <c r="NGC97" s="15"/>
      <c r="NGD97" s="15"/>
      <c r="NGE97" s="15"/>
      <c r="NGF97" s="15"/>
      <c r="NGG97" s="15"/>
      <c r="NGH97" s="15"/>
      <c r="NGI97" s="15"/>
      <c r="NGJ97" s="15"/>
      <c r="NGK97" s="15"/>
      <c r="NGL97" s="15"/>
      <c r="NGM97" s="15"/>
      <c r="NGN97" s="15"/>
      <c r="NGO97" s="15"/>
      <c r="NGP97" s="15"/>
      <c r="NGQ97" s="15"/>
      <c r="NGR97" s="15"/>
      <c r="NGS97" s="15"/>
      <c r="NGT97" s="15"/>
      <c r="NGU97" s="15"/>
      <c r="NGV97" s="15"/>
      <c r="NGW97" s="15"/>
      <c r="NGX97" s="15"/>
      <c r="NGY97" s="15"/>
      <c r="NGZ97" s="15"/>
      <c r="NHA97" s="15"/>
      <c r="NHB97" s="15"/>
      <c r="NHC97" s="15"/>
      <c r="NHD97" s="15"/>
      <c r="NHE97" s="15"/>
      <c r="NHF97" s="15"/>
      <c r="NHG97" s="15"/>
      <c r="NHH97" s="15"/>
      <c r="NHI97" s="15"/>
      <c r="NHJ97" s="15"/>
      <c r="NHK97" s="15"/>
      <c r="NHL97" s="15"/>
      <c r="NHM97" s="15"/>
      <c r="NHN97" s="15"/>
      <c r="NHO97" s="15"/>
      <c r="NHP97" s="15"/>
      <c r="NHQ97" s="15"/>
      <c r="NHR97" s="15"/>
      <c r="NHS97" s="15"/>
      <c r="NHT97" s="15"/>
      <c r="NHU97" s="15"/>
      <c r="NHV97" s="15"/>
      <c r="NHW97" s="15"/>
      <c r="NHX97" s="15"/>
      <c r="NHY97" s="15"/>
      <c r="NHZ97" s="15"/>
      <c r="NIA97" s="15"/>
      <c r="NIB97" s="15"/>
      <c r="NIC97" s="15"/>
      <c r="NID97" s="15"/>
      <c r="NIE97" s="15"/>
      <c r="NIF97" s="15"/>
      <c r="NIG97" s="15"/>
      <c r="NIH97" s="15"/>
      <c r="NII97" s="15"/>
      <c r="NIJ97" s="15"/>
      <c r="NIK97" s="15"/>
      <c r="NIL97" s="15"/>
      <c r="NIM97" s="15"/>
      <c r="NIN97" s="15"/>
      <c r="NIO97" s="15"/>
      <c r="NIP97" s="15"/>
      <c r="NIQ97" s="15"/>
      <c r="NIR97" s="15"/>
      <c r="NIS97" s="15"/>
      <c r="NIT97" s="15"/>
      <c r="NIU97" s="15"/>
      <c r="NIV97" s="15"/>
      <c r="NIW97" s="15"/>
      <c r="NIX97" s="15"/>
      <c r="NIY97" s="15"/>
      <c r="NIZ97" s="15"/>
      <c r="NJA97" s="15"/>
      <c r="NJB97" s="15"/>
      <c r="NJC97" s="15"/>
      <c r="NJD97" s="15"/>
      <c r="NJE97" s="15"/>
      <c r="NJF97" s="15"/>
      <c r="NJG97" s="15"/>
      <c r="NJH97" s="15"/>
      <c r="NJI97" s="15"/>
      <c r="NJJ97" s="15"/>
      <c r="NJK97" s="15"/>
      <c r="NJL97" s="15"/>
      <c r="NJM97" s="15"/>
      <c r="NJN97" s="15"/>
      <c r="NJO97" s="15"/>
      <c r="NJP97" s="15"/>
      <c r="NJQ97" s="15"/>
      <c r="NJR97" s="15"/>
      <c r="NJS97" s="15"/>
      <c r="NJT97" s="15"/>
      <c r="NJU97" s="15"/>
      <c r="NJV97" s="15"/>
      <c r="NJW97" s="15"/>
      <c r="NJX97" s="15"/>
      <c r="NJY97" s="15"/>
      <c r="NJZ97" s="15"/>
      <c r="NKA97" s="15"/>
      <c r="NKB97" s="15"/>
      <c r="NKC97" s="15"/>
      <c r="NKD97" s="15"/>
      <c r="NKE97" s="15"/>
      <c r="NKF97" s="15"/>
      <c r="NKG97" s="15"/>
      <c r="NKH97" s="15"/>
      <c r="NKI97" s="15"/>
      <c r="NKJ97" s="15"/>
      <c r="NKK97" s="15"/>
      <c r="NKL97" s="15"/>
      <c r="NKM97" s="15"/>
      <c r="NKN97" s="15"/>
      <c r="NKO97" s="15"/>
      <c r="NKP97" s="15"/>
      <c r="NKQ97" s="15"/>
      <c r="NKR97" s="15"/>
      <c r="NKS97" s="15"/>
      <c r="NKT97" s="15"/>
      <c r="NKU97" s="15"/>
      <c r="NKV97" s="15"/>
      <c r="NKW97" s="15"/>
      <c r="NKX97" s="15"/>
      <c r="NKY97" s="15"/>
      <c r="NKZ97" s="15"/>
      <c r="NLA97" s="15"/>
      <c r="NLB97" s="15"/>
      <c r="NLC97" s="15"/>
      <c r="NLD97" s="15"/>
      <c r="NLE97" s="15"/>
      <c r="NLF97" s="15"/>
      <c r="NLG97" s="15"/>
      <c r="NLH97" s="15"/>
      <c r="NLI97" s="15"/>
      <c r="NLJ97" s="15"/>
      <c r="NLK97" s="15"/>
      <c r="NLL97" s="15"/>
      <c r="NLM97" s="15"/>
      <c r="NLN97" s="15"/>
      <c r="NLO97" s="15"/>
      <c r="NLP97" s="15"/>
      <c r="NLQ97" s="15"/>
      <c r="NLR97" s="15"/>
      <c r="NLS97" s="15"/>
      <c r="NLT97" s="15"/>
      <c r="NLU97" s="15"/>
      <c r="NLV97" s="15"/>
      <c r="NLW97" s="15"/>
      <c r="NLX97" s="15"/>
      <c r="NLY97" s="15"/>
      <c r="NLZ97" s="15"/>
      <c r="NMA97" s="15"/>
      <c r="NMB97" s="15"/>
      <c r="NMC97" s="15"/>
      <c r="NMD97" s="15"/>
      <c r="NME97" s="15"/>
      <c r="NMF97" s="15"/>
      <c r="NMG97" s="15"/>
      <c r="NMH97" s="15"/>
      <c r="NMI97" s="15"/>
      <c r="NMJ97" s="15"/>
      <c r="NMK97" s="15"/>
      <c r="NML97" s="15"/>
      <c r="NMM97" s="15"/>
      <c r="NMN97" s="15"/>
      <c r="NMO97" s="15"/>
      <c r="NMP97" s="15"/>
      <c r="NMQ97" s="15"/>
      <c r="NMR97" s="15"/>
      <c r="NMS97" s="15"/>
      <c r="NMT97" s="15"/>
      <c r="NMU97" s="15"/>
      <c r="NMV97" s="15"/>
      <c r="NMW97" s="15"/>
      <c r="NMX97" s="15"/>
      <c r="NMY97" s="15"/>
      <c r="NMZ97" s="15"/>
      <c r="NNA97" s="15"/>
      <c r="NNB97" s="15"/>
      <c r="NNC97" s="15"/>
      <c r="NND97" s="15"/>
      <c r="NNE97" s="15"/>
      <c r="NNF97" s="15"/>
      <c r="NNG97" s="15"/>
      <c r="NNH97" s="15"/>
      <c r="NNI97" s="15"/>
      <c r="NNJ97" s="15"/>
      <c r="NNK97" s="15"/>
      <c r="NNL97" s="15"/>
      <c r="NNM97" s="15"/>
      <c r="NNN97" s="15"/>
      <c r="NNO97" s="15"/>
      <c r="NNP97" s="15"/>
      <c r="NNQ97" s="15"/>
      <c r="NNR97" s="15"/>
      <c r="NNS97" s="15"/>
      <c r="NNT97" s="15"/>
      <c r="NNU97" s="15"/>
      <c r="NNV97" s="15"/>
      <c r="NNW97" s="15"/>
      <c r="NNX97" s="15"/>
      <c r="NNY97" s="15"/>
      <c r="NNZ97" s="15"/>
      <c r="NOA97" s="15"/>
      <c r="NOB97" s="15"/>
      <c r="NOC97" s="15"/>
      <c r="NOD97" s="15"/>
      <c r="NOE97" s="15"/>
      <c r="NOF97" s="15"/>
      <c r="NOG97" s="15"/>
      <c r="NOH97" s="15"/>
      <c r="NOI97" s="15"/>
      <c r="NOJ97" s="15"/>
      <c r="NOK97" s="15"/>
      <c r="NOL97" s="15"/>
      <c r="NOM97" s="15"/>
      <c r="NON97" s="15"/>
      <c r="NOO97" s="15"/>
      <c r="NOP97" s="15"/>
      <c r="NOQ97" s="15"/>
      <c r="NOR97" s="15"/>
      <c r="NOS97" s="15"/>
      <c r="NOT97" s="15"/>
      <c r="NOU97" s="15"/>
      <c r="NOV97" s="15"/>
      <c r="NOW97" s="15"/>
      <c r="NOX97" s="15"/>
      <c r="NOY97" s="15"/>
      <c r="NOZ97" s="15"/>
      <c r="NPA97" s="15"/>
      <c r="NPB97" s="15"/>
      <c r="NPC97" s="15"/>
      <c r="NPD97" s="15"/>
      <c r="NPE97" s="15"/>
      <c r="NPF97" s="15"/>
      <c r="NPG97" s="15"/>
      <c r="NPH97" s="15"/>
      <c r="NPI97" s="15"/>
      <c r="NPJ97" s="15"/>
      <c r="NPK97" s="15"/>
      <c r="NPL97" s="15"/>
      <c r="NPM97" s="15"/>
      <c r="NPN97" s="15"/>
      <c r="NPO97" s="15"/>
      <c r="NPP97" s="15"/>
      <c r="NPQ97" s="15"/>
      <c r="NPR97" s="15"/>
      <c r="NPS97" s="15"/>
      <c r="NPT97" s="15"/>
      <c r="NPU97" s="15"/>
      <c r="NPV97" s="15"/>
      <c r="NPW97" s="15"/>
      <c r="NPX97" s="15"/>
      <c r="NPY97" s="15"/>
      <c r="NPZ97" s="15"/>
      <c r="NQA97" s="15"/>
      <c r="NQB97" s="15"/>
      <c r="NQC97" s="15"/>
      <c r="NQD97" s="15"/>
      <c r="NQE97" s="15"/>
      <c r="NQF97" s="15"/>
      <c r="NQG97" s="15"/>
      <c r="NQH97" s="15"/>
      <c r="NQI97" s="15"/>
      <c r="NQJ97" s="15"/>
      <c r="NQK97" s="15"/>
      <c r="NQL97" s="15"/>
      <c r="NQM97" s="15"/>
      <c r="NQN97" s="15"/>
      <c r="NQO97" s="15"/>
      <c r="NQP97" s="15"/>
      <c r="NQQ97" s="15"/>
      <c r="NQR97" s="15"/>
      <c r="NQS97" s="15"/>
      <c r="NQT97" s="15"/>
      <c r="NQU97" s="15"/>
      <c r="NQV97" s="15"/>
      <c r="NQW97" s="15"/>
      <c r="NQX97" s="15"/>
      <c r="NQY97" s="15"/>
      <c r="NQZ97" s="15"/>
      <c r="NRA97" s="15"/>
      <c r="NRB97" s="15"/>
      <c r="NRC97" s="15"/>
      <c r="NRD97" s="15"/>
      <c r="NRE97" s="15"/>
      <c r="NRF97" s="15"/>
      <c r="NRG97" s="15"/>
      <c r="NRH97" s="15"/>
      <c r="NRI97" s="15"/>
      <c r="NRJ97" s="15"/>
      <c r="NRK97" s="15"/>
      <c r="NRL97" s="15"/>
      <c r="NRM97" s="15"/>
      <c r="NRN97" s="15"/>
      <c r="NRO97" s="15"/>
      <c r="NRP97" s="15"/>
      <c r="NRQ97" s="15"/>
      <c r="NRR97" s="15"/>
      <c r="NRS97" s="15"/>
      <c r="NRT97" s="15"/>
      <c r="NRU97" s="15"/>
      <c r="NRV97" s="15"/>
      <c r="NRW97" s="15"/>
      <c r="NRX97" s="15"/>
      <c r="NRY97" s="15"/>
      <c r="NRZ97" s="15"/>
      <c r="NSA97" s="15"/>
      <c r="NSB97" s="15"/>
      <c r="NSC97" s="15"/>
      <c r="NSD97" s="15"/>
      <c r="NSE97" s="15"/>
      <c r="NSF97" s="15"/>
      <c r="NSG97" s="15"/>
      <c r="NSH97" s="15"/>
      <c r="NSI97" s="15"/>
      <c r="NSJ97" s="15"/>
      <c r="NSK97" s="15"/>
      <c r="NSL97" s="15"/>
      <c r="NSM97" s="15"/>
      <c r="NSN97" s="15"/>
      <c r="NSO97" s="15"/>
      <c r="NSP97" s="15"/>
      <c r="NSQ97" s="15"/>
      <c r="NSR97" s="15"/>
      <c r="NSS97" s="15"/>
      <c r="NST97" s="15"/>
      <c r="NSU97" s="15"/>
      <c r="NSV97" s="15"/>
      <c r="NSW97" s="15"/>
      <c r="NSX97" s="15"/>
      <c r="NSY97" s="15"/>
      <c r="NSZ97" s="15"/>
      <c r="NTA97" s="15"/>
      <c r="NTB97" s="15"/>
      <c r="NTC97" s="15"/>
      <c r="NTD97" s="15"/>
      <c r="NTE97" s="15"/>
      <c r="NTF97" s="15"/>
      <c r="NTG97" s="15"/>
      <c r="NTH97" s="15"/>
      <c r="NTI97" s="15"/>
      <c r="NTJ97" s="15"/>
      <c r="NTK97" s="15"/>
      <c r="NTL97" s="15"/>
      <c r="NTM97" s="15"/>
      <c r="NTN97" s="15"/>
      <c r="NTO97" s="15"/>
      <c r="NTP97" s="15"/>
      <c r="NTQ97" s="15"/>
      <c r="NTR97" s="15"/>
      <c r="NTS97" s="15"/>
      <c r="NTT97" s="15"/>
      <c r="NTU97" s="15"/>
      <c r="NTV97" s="15"/>
      <c r="NTW97" s="15"/>
      <c r="NTX97" s="15"/>
      <c r="NTY97" s="15"/>
      <c r="NTZ97" s="15"/>
      <c r="NUA97" s="15"/>
      <c r="NUB97" s="15"/>
      <c r="NUC97" s="15"/>
      <c r="NUD97" s="15"/>
      <c r="NUE97" s="15"/>
      <c r="NUF97" s="15"/>
      <c r="NUG97" s="15"/>
      <c r="NUH97" s="15"/>
      <c r="NUI97" s="15"/>
      <c r="NUJ97" s="15"/>
      <c r="NUK97" s="15"/>
      <c r="NUL97" s="15"/>
      <c r="NUM97" s="15"/>
      <c r="NUN97" s="15"/>
      <c r="NUO97" s="15"/>
      <c r="NUP97" s="15"/>
      <c r="NUQ97" s="15"/>
      <c r="NUR97" s="15"/>
      <c r="NUS97" s="15"/>
      <c r="NUT97" s="15"/>
      <c r="NUU97" s="15"/>
      <c r="NUV97" s="15"/>
      <c r="NUW97" s="15"/>
      <c r="NUX97" s="15"/>
      <c r="NUY97" s="15"/>
      <c r="NUZ97" s="15"/>
      <c r="NVA97" s="15"/>
      <c r="NVB97" s="15"/>
      <c r="NVC97" s="15"/>
      <c r="NVD97" s="15"/>
      <c r="NVE97" s="15"/>
      <c r="NVF97" s="15"/>
      <c r="NVG97" s="15"/>
      <c r="NVH97" s="15"/>
      <c r="NVI97" s="15"/>
      <c r="NVJ97" s="15"/>
      <c r="NVK97" s="15"/>
      <c r="NVL97" s="15"/>
      <c r="NVM97" s="15"/>
      <c r="NVN97" s="15"/>
      <c r="NVO97" s="15"/>
      <c r="NVP97" s="15"/>
      <c r="NVQ97" s="15"/>
      <c r="NVR97" s="15"/>
      <c r="NVS97" s="15"/>
      <c r="NVT97" s="15"/>
      <c r="NVU97" s="15"/>
      <c r="NVV97" s="15"/>
      <c r="NVW97" s="15"/>
      <c r="NVX97" s="15"/>
      <c r="NVY97" s="15"/>
      <c r="NVZ97" s="15"/>
      <c r="NWA97" s="15"/>
      <c r="NWB97" s="15"/>
      <c r="NWC97" s="15"/>
      <c r="NWD97" s="15"/>
      <c r="NWE97" s="15"/>
      <c r="NWF97" s="15"/>
      <c r="NWG97" s="15"/>
      <c r="NWH97" s="15"/>
      <c r="NWI97" s="15"/>
      <c r="NWJ97" s="15"/>
      <c r="NWK97" s="15"/>
      <c r="NWL97" s="15"/>
      <c r="NWM97" s="15"/>
      <c r="NWN97" s="15"/>
      <c r="NWO97" s="15"/>
      <c r="NWP97" s="15"/>
      <c r="NWQ97" s="15"/>
      <c r="NWR97" s="15"/>
      <c r="NWS97" s="15"/>
      <c r="NWT97" s="15"/>
      <c r="NWU97" s="15"/>
      <c r="NWV97" s="15"/>
      <c r="NWW97" s="15"/>
      <c r="NWX97" s="15"/>
      <c r="NWY97" s="15"/>
      <c r="NWZ97" s="15"/>
      <c r="NXA97" s="15"/>
      <c r="NXB97" s="15"/>
      <c r="NXC97" s="15"/>
      <c r="NXD97" s="15"/>
      <c r="NXE97" s="15"/>
      <c r="NXF97" s="15"/>
      <c r="NXG97" s="15"/>
      <c r="NXH97" s="15"/>
      <c r="NXI97" s="15"/>
      <c r="NXJ97" s="15"/>
      <c r="NXK97" s="15"/>
      <c r="NXL97" s="15"/>
      <c r="NXM97" s="15"/>
      <c r="NXN97" s="15"/>
      <c r="NXO97" s="15"/>
      <c r="NXP97" s="15"/>
      <c r="NXQ97" s="15"/>
      <c r="NXR97" s="15"/>
      <c r="NXS97" s="15"/>
      <c r="NXT97" s="15"/>
      <c r="NXU97" s="15"/>
      <c r="NXV97" s="15"/>
      <c r="NXW97" s="15"/>
      <c r="NXX97" s="15"/>
      <c r="NXY97" s="15"/>
      <c r="NXZ97" s="15"/>
      <c r="NYA97" s="15"/>
      <c r="NYB97" s="15"/>
      <c r="NYC97" s="15"/>
      <c r="NYD97" s="15"/>
      <c r="NYE97" s="15"/>
      <c r="NYF97" s="15"/>
      <c r="NYG97" s="15"/>
      <c r="NYH97" s="15"/>
      <c r="NYI97" s="15"/>
      <c r="NYJ97" s="15"/>
      <c r="NYK97" s="15"/>
      <c r="NYL97" s="15"/>
      <c r="NYM97" s="15"/>
      <c r="NYN97" s="15"/>
      <c r="NYO97" s="15"/>
      <c r="NYP97" s="15"/>
      <c r="NYQ97" s="15"/>
      <c r="NYR97" s="15"/>
      <c r="NYS97" s="15"/>
      <c r="NYT97" s="15"/>
      <c r="NYU97" s="15"/>
      <c r="NYV97" s="15"/>
      <c r="NYW97" s="15"/>
      <c r="NYX97" s="15"/>
      <c r="NYY97" s="15"/>
      <c r="NYZ97" s="15"/>
      <c r="NZA97" s="15"/>
      <c r="NZB97" s="15"/>
      <c r="NZC97" s="15"/>
      <c r="NZD97" s="15"/>
      <c r="NZE97" s="15"/>
      <c r="NZF97" s="15"/>
      <c r="NZG97" s="15"/>
      <c r="NZH97" s="15"/>
      <c r="NZI97" s="15"/>
      <c r="NZJ97" s="15"/>
      <c r="NZK97" s="15"/>
      <c r="NZL97" s="15"/>
      <c r="NZM97" s="15"/>
      <c r="NZN97" s="15"/>
      <c r="NZO97" s="15"/>
      <c r="NZP97" s="15"/>
      <c r="NZQ97" s="15"/>
      <c r="NZR97" s="15"/>
      <c r="NZS97" s="15"/>
      <c r="NZT97" s="15"/>
      <c r="NZU97" s="15"/>
      <c r="NZV97" s="15"/>
      <c r="NZW97" s="15"/>
      <c r="NZX97" s="15"/>
      <c r="NZY97" s="15"/>
      <c r="NZZ97" s="15"/>
      <c r="OAA97" s="15"/>
      <c r="OAB97" s="15"/>
      <c r="OAC97" s="15"/>
      <c r="OAD97" s="15"/>
      <c r="OAE97" s="15"/>
      <c r="OAF97" s="15"/>
      <c r="OAG97" s="15"/>
      <c r="OAH97" s="15"/>
      <c r="OAI97" s="15"/>
      <c r="OAJ97" s="15"/>
      <c r="OAK97" s="15"/>
      <c r="OAL97" s="15"/>
      <c r="OAM97" s="15"/>
      <c r="OAN97" s="15"/>
      <c r="OAO97" s="15"/>
      <c r="OAP97" s="15"/>
      <c r="OAQ97" s="15"/>
      <c r="OAR97" s="15"/>
      <c r="OAS97" s="15"/>
      <c r="OAT97" s="15"/>
      <c r="OAU97" s="15"/>
      <c r="OAV97" s="15"/>
      <c r="OAW97" s="15"/>
      <c r="OAX97" s="15"/>
      <c r="OAY97" s="15"/>
      <c r="OAZ97" s="15"/>
      <c r="OBA97" s="15"/>
      <c r="OBB97" s="15"/>
      <c r="OBC97" s="15"/>
      <c r="OBD97" s="15"/>
      <c r="OBE97" s="15"/>
      <c r="OBF97" s="15"/>
      <c r="OBG97" s="15"/>
      <c r="OBH97" s="15"/>
      <c r="OBI97" s="15"/>
      <c r="OBJ97" s="15"/>
      <c r="OBK97" s="15"/>
      <c r="OBL97" s="15"/>
      <c r="OBM97" s="15"/>
      <c r="OBN97" s="15"/>
      <c r="OBO97" s="15"/>
      <c r="OBP97" s="15"/>
      <c r="OBQ97" s="15"/>
      <c r="OBR97" s="15"/>
      <c r="OBS97" s="15"/>
      <c r="OBT97" s="15"/>
      <c r="OBU97" s="15"/>
      <c r="OBV97" s="15"/>
      <c r="OBW97" s="15"/>
      <c r="OBX97" s="15"/>
      <c r="OBY97" s="15"/>
      <c r="OBZ97" s="15"/>
      <c r="OCA97" s="15"/>
      <c r="OCB97" s="15"/>
      <c r="OCC97" s="15"/>
      <c r="OCD97" s="15"/>
      <c r="OCE97" s="15"/>
      <c r="OCF97" s="15"/>
      <c r="OCG97" s="15"/>
      <c r="OCH97" s="15"/>
      <c r="OCI97" s="15"/>
      <c r="OCJ97" s="15"/>
      <c r="OCK97" s="15"/>
      <c r="OCL97" s="15"/>
      <c r="OCM97" s="15"/>
      <c r="OCN97" s="15"/>
      <c r="OCO97" s="15"/>
      <c r="OCP97" s="15"/>
      <c r="OCQ97" s="15"/>
      <c r="OCR97" s="15"/>
      <c r="OCS97" s="15"/>
      <c r="OCT97" s="15"/>
      <c r="OCU97" s="15"/>
      <c r="OCV97" s="15"/>
      <c r="OCW97" s="15"/>
      <c r="OCX97" s="15"/>
      <c r="OCY97" s="15"/>
      <c r="OCZ97" s="15"/>
      <c r="ODA97" s="15"/>
      <c r="ODB97" s="15"/>
      <c r="ODC97" s="15"/>
      <c r="ODD97" s="15"/>
      <c r="ODE97" s="15"/>
      <c r="ODF97" s="15"/>
      <c r="ODG97" s="15"/>
      <c r="ODH97" s="15"/>
      <c r="ODI97" s="15"/>
      <c r="ODJ97" s="15"/>
      <c r="ODK97" s="15"/>
      <c r="ODL97" s="15"/>
      <c r="ODM97" s="15"/>
      <c r="ODN97" s="15"/>
      <c r="ODO97" s="15"/>
      <c r="ODP97" s="15"/>
      <c r="ODQ97" s="15"/>
      <c r="ODR97" s="15"/>
      <c r="ODS97" s="15"/>
      <c r="ODT97" s="15"/>
      <c r="ODU97" s="15"/>
      <c r="ODV97" s="15"/>
      <c r="ODW97" s="15"/>
      <c r="ODX97" s="15"/>
      <c r="ODY97" s="15"/>
      <c r="ODZ97" s="15"/>
      <c r="OEA97" s="15"/>
      <c r="OEB97" s="15"/>
      <c r="OEC97" s="15"/>
      <c r="OED97" s="15"/>
      <c r="OEE97" s="15"/>
      <c r="OEF97" s="15"/>
      <c r="OEG97" s="15"/>
      <c r="OEH97" s="15"/>
      <c r="OEI97" s="15"/>
      <c r="OEJ97" s="15"/>
      <c r="OEK97" s="15"/>
      <c r="OEL97" s="15"/>
      <c r="OEM97" s="15"/>
      <c r="OEN97" s="15"/>
      <c r="OEO97" s="15"/>
      <c r="OEP97" s="15"/>
      <c r="OEQ97" s="15"/>
      <c r="OER97" s="15"/>
      <c r="OES97" s="15"/>
      <c r="OET97" s="15"/>
      <c r="OEU97" s="15"/>
      <c r="OEV97" s="15"/>
      <c r="OEW97" s="15"/>
      <c r="OEX97" s="15"/>
      <c r="OEY97" s="15"/>
      <c r="OEZ97" s="15"/>
      <c r="OFA97" s="15"/>
      <c r="OFB97" s="15"/>
      <c r="OFC97" s="15"/>
      <c r="OFD97" s="15"/>
      <c r="OFE97" s="15"/>
      <c r="OFF97" s="15"/>
      <c r="OFG97" s="15"/>
      <c r="OFH97" s="15"/>
      <c r="OFI97" s="15"/>
      <c r="OFJ97" s="15"/>
      <c r="OFK97" s="15"/>
      <c r="OFL97" s="15"/>
      <c r="OFM97" s="15"/>
      <c r="OFN97" s="15"/>
      <c r="OFO97" s="15"/>
      <c r="OFP97" s="15"/>
      <c r="OFQ97" s="15"/>
      <c r="OFR97" s="15"/>
      <c r="OFS97" s="15"/>
      <c r="OFT97" s="15"/>
      <c r="OFU97" s="15"/>
      <c r="OFV97" s="15"/>
      <c r="OFW97" s="15"/>
      <c r="OFX97" s="15"/>
      <c r="OFY97" s="15"/>
      <c r="OFZ97" s="15"/>
      <c r="OGA97" s="15"/>
      <c r="OGB97" s="15"/>
      <c r="OGC97" s="15"/>
      <c r="OGD97" s="15"/>
      <c r="OGE97" s="15"/>
      <c r="OGF97" s="15"/>
      <c r="OGG97" s="15"/>
      <c r="OGH97" s="15"/>
      <c r="OGI97" s="15"/>
      <c r="OGJ97" s="15"/>
      <c r="OGK97" s="15"/>
      <c r="OGL97" s="15"/>
      <c r="OGM97" s="15"/>
      <c r="OGN97" s="15"/>
      <c r="OGO97" s="15"/>
      <c r="OGP97" s="15"/>
      <c r="OGQ97" s="15"/>
      <c r="OGR97" s="15"/>
      <c r="OGS97" s="15"/>
      <c r="OGT97" s="15"/>
      <c r="OGU97" s="15"/>
      <c r="OGV97" s="15"/>
      <c r="OGW97" s="15"/>
      <c r="OGX97" s="15"/>
      <c r="OGY97" s="15"/>
      <c r="OGZ97" s="15"/>
      <c r="OHA97" s="15"/>
      <c r="OHB97" s="15"/>
      <c r="OHC97" s="15"/>
      <c r="OHD97" s="15"/>
      <c r="OHE97" s="15"/>
      <c r="OHF97" s="15"/>
      <c r="OHG97" s="15"/>
      <c r="OHH97" s="15"/>
      <c r="OHI97" s="15"/>
      <c r="OHJ97" s="15"/>
      <c r="OHK97" s="15"/>
      <c r="OHL97" s="15"/>
      <c r="OHM97" s="15"/>
      <c r="OHN97" s="15"/>
      <c r="OHO97" s="15"/>
      <c r="OHP97" s="15"/>
      <c r="OHQ97" s="15"/>
      <c r="OHR97" s="15"/>
      <c r="OHS97" s="15"/>
      <c r="OHT97" s="15"/>
      <c r="OHU97" s="15"/>
      <c r="OHV97" s="15"/>
      <c r="OHW97" s="15"/>
      <c r="OHX97" s="15"/>
      <c r="OHY97" s="15"/>
      <c r="OHZ97" s="15"/>
      <c r="OIA97" s="15"/>
      <c r="OIB97" s="15"/>
      <c r="OIC97" s="15"/>
      <c r="OID97" s="15"/>
      <c r="OIE97" s="15"/>
      <c r="OIF97" s="15"/>
      <c r="OIG97" s="15"/>
      <c r="OIH97" s="15"/>
      <c r="OII97" s="15"/>
      <c r="OIJ97" s="15"/>
      <c r="OIK97" s="15"/>
      <c r="OIL97" s="15"/>
      <c r="OIM97" s="15"/>
      <c r="OIN97" s="15"/>
      <c r="OIO97" s="15"/>
      <c r="OIP97" s="15"/>
      <c r="OIQ97" s="15"/>
      <c r="OIR97" s="15"/>
      <c r="OIS97" s="15"/>
      <c r="OIT97" s="15"/>
      <c r="OIU97" s="15"/>
      <c r="OIV97" s="15"/>
      <c r="OIW97" s="15"/>
      <c r="OIX97" s="15"/>
      <c r="OIY97" s="15"/>
      <c r="OIZ97" s="15"/>
      <c r="OJA97" s="15"/>
      <c r="OJB97" s="15"/>
      <c r="OJC97" s="15"/>
      <c r="OJD97" s="15"/>
      <c r="OJE97" s="15"/>
      <c r="OJF97" s="15"/>
      <c r="OJG97" s="15"/>
      <c r="OJH97" s="15"/>
      <c r="OJI97" s="15"/>
      <c r="OJJ97" s="15"/>
      <c r="OJK97" s="15"/>
      <c r="OJL97" s="15"/>
      <c r="OJM97" s="15"/>
      <c r="OJN97" s="15"/>
      <c r="OJO97" s="15"/>
      <c r="OJP97" s="15"/>
      <c r="OJQ97" s="15"/>
      <c r="OJR97" s="15"/>
      <c r="OJS97" s="15"/>
      <c r="OJT97" s="15"/>
      <c r="OJU97" s="15"/>
      <c r="OJV97" s="15"/>
      <c r="OJW97" s="15"/>
      <c r="OJX97" s="15"/>
      <c r="OJY97" s="15"/>
      <c r="OJZ97" s="15"/>
      <c r="OKA97" s="15"/>
      <c r="OKB97" s="15"/>
      <c r="OKC97" s="15"/>
      <c r="OKD97" s="15"/>
      <c r="OKE97" s="15"/>
      <c r="OKF97" s="15"/>
      <c r="OKG97" s="15"/>
      <c r="OKH97" s="15"/>
      <c r="OKI97" s="15"/>
      <c r="OKJ97" s="15"/>
      <c r="OKK97" s="15"/>
      <c r="OKL97" s="15"/>
      <c r="OKM97" s="15"/>
      <c r="OKN97" s="15"/>
      <c r="OKO97" s="15"/>
      <c r="OKP97" s="15"/>
      <c r="OKQ97" s="15"/>
      <c r="OKR97" s="15"/>
      <c r="OKS97" s="15"/>
      <c r="OKT97" s="15"/>
      <c r="OKU97" s="15"/>
      <c r="OKV97" s="15"/>
      <c r="OKW97" s="15"/>
      <c r="OKX97" s="15"/>
      <c r="OKY97" s="15"/>
      <c r="OKZ97" s="15"/>
      <c r="OLA97" s="15"/>
      <c r="OLB97" s="15"/>
      <c r="OLC97" s="15"/>
      <c r="OLD97" s="15"/>
      <c r="OLE97" s="15"/>
      <c r="OLF97" s="15"/>
      <c r="OLG97" s="15"/>
      <c r="OLH97" s="15"/>
      <c r="OLI97" s="15"/>
      <c r="OLJ97" s="15"/>
      <c r="OLK97" s="15"/>
      <c r="OLL97" s="15"/>
      <c r="OLM97" s="15"/>
      <c r="OLN97" s="15"/>
      <c r="OLO97" s="15"/>
      <c r="OLP97" s="15"/>
      <c r="OLQ97" s="15"/>
      <c r="OLR97" s="15"/>
      <c r="OLS97" s="15"/>
      <c r="OLT97" s="15"/>
      <c r="OLU97" s="15"/>
      <c r="OLV97" s="15"/>
      <c r="OLW97" s="15"/>
      <c r="OLX97" s="15"/>
      <c r="OLY97" s="15"/>
      <c r="OLZ97" s="15"/>
      <c r="OMA97" s="15"/>
      <c r="OMB97" s="15"/>
      <c r="OMC97" s="15"/>
      <c r="OMD97" s="15"/>
      <c r="OME97" s="15"/>
      <c r="OMF97" s="15"/>
      <c r="OMG97" s="15"/>
      <c r="OMH97" s="15"/>
      <c r="OMI97" s="15"/>
      <c r="OMJ97" s="15"/>
      <c r="OMK97" s="15"/>
      <c r="OML97" s="15"/>
      <c r="OMM97" s="15"/>
      <c r="OMN97" s="15"/>
      <c r="OMO97" s="15"/>
      <c r="OMP97" s="15"/>
      <c r="OMQ97" s="15"/>
      <c r="OMR97" s="15"/>
      <c r="OMS97" s="15"/>
      <c r="OMT97" s="15"/>
      <c r="OMU97" s="15"/>
      <c r="OMV97" s="15"/>
      <c r="OMW97" s="15"/>
      <c r="OMX97" s="15"/>
      <c r="OMY97" s="15"/>
      <c r="OMZ97" s="15"/>
      <c r="ONA97" s="15"/>
      <c r="ONB97" s="15"/>
      <c r="ONC97" s="15"/>
      <c r="OND97" s="15"/>
      <c r="ONE97" s="15"/>
      <c r="ONF97" s="15"/>
      <c r="ONG97" s="15"/>
      <c r="ONH97" s="15"/>
      <c r="ONI97" s="15"/>
      <c r="ONJ97" s="15"/>
      <c r="ONK97" s="15"/>
      <c r="ONL97" s="15"/>
      <c r="ONM97" s="15"/>
      <c r="ONN97" s="15"/>
      <c r="ONO97" s="15"/>
      <c r="ONP97" s="15"/>
      <c r="ONQ97" s="15"/>
      <c r="ONR97" s="15"/>
      <c r="ONS97" s="15"/>
      <c r="ONT97" s="15"/>
      <c r="ONU97" s="15"/>
      <c r="ONV97" s="15"/>
      <c r="ONW97" s="15"/>
      <c r="ONX97" s="15"/>
      <c r="ONY97" s="15"/>
      <c r="ONZ97" s="15"/>
      <c r="OOA97" s="15"/>
      <c r="OOB97" s="15"/>
      <c r="OOC97" s="15"/>
      <c r="OOD97" s="15"/>
      <c r="OOE97" s="15"/>
      <c r="OOF97" s="15"/>
      <c r="OOG97" s="15"/>
      <c r="OOH97" s="15"/>
      <c r="OOI97" s="15"/>
      <c r="OOJ97" s="15"/>
      <c r="OOK97" s="15"/>
      <c r="OOL97" s="15"/>
      <c r="OOM97" s="15"/>
      <c r="OON97" s="15"/>
      <c r="OOO97" s="15"/>
      <c r="OOP97" s="15"/>
      <c r="OOQ97" s="15"/>
      <c r="OOR97" s="15"/>
      <c r="OOS97" s="15"/>
      <c r="OOT97" s="15"/>
      <c r="OOU97" s="15"/>
      <c r="OOV97" s="15"/>
      <c r="OOW97" s="15"/>
      <c r="OOX97" s="15"/>
      <c r="OOY97" s="15"/>
      <c r="OOZ97" s="15"/>
      <c r="OPA97" s="15"/>
      <c r="OPB97" s="15"/>
      <c r="OPC97" s="15"/>
      <c r="OPD97" s="15"/>
      <c r="OPE97" s="15"/>
      <c r="OPF97" s="15"/>
      <c r="OPG97" s="15"/>
      <c r="OPH97" s="15"/>
      <c r="OPI97" s="15"/>
      <c r="OPJ97" s="15"/>
      <c r="OPK97" s="15"/>
      <c r="OPL97" s="15"/>
      <c r="OPM97" s="15"/>
      <c r="OPN97" s="15"/>
      <c r="OPO97" s="15"/>
      <c r="OPP97" s="15"/>
      <c r="OPQ97" s="15"/>
      <c r="OPR97" s="15"/>
      <c r="OPS97" s="15"/>
      <c r="OPT97" s="15"/>
      <c r="OPU97" s="15"/>
      <c r="OPV97" s="15"/>
      <c r="OPW97" s="15"/>
      <c r="OPX97" s="15"/>
      <c r="OPY97" s="15"/>
      <c r="OPZ97" s="15"/>
      <c r="OQA97" s="15"/>
      <c r="OQB97" s="15"/>
      <c r="OQC97" s="15"/>
      <c r="OQD97" s="15"/>
      <c r="OQE97" s="15"/>
      <c r="OQF97" s="15"/>
      <c r="OQG97" s="15"/>
      <c r="OQH97" s="15"/>
      <c r="OQI97" s="15"/>
      <c r="OQJ97" s="15"/>
      <c r="OQK97" s="15"/>
      <c r="OQL97" s="15"/>
      <c r="OQM97" s="15"/>
      <c r="OQN97" s="15"/>
      <c r="OQO97" s="15"/>
      <c r="OQP97" s="15"/>
      <c r="OQQ97" s="15"/>
      <c r="OQR97" s="15"/>
      <c r="OQS97" s="15"/>
      <c r="OQT97" s="15"/>
      <c r="OQU97" s="15"/>
      <c r="OQV97" s="15"/>
      <c r="OQW97" s="15"/>
      <c r="OQX97" s="15"/>
      <c r="OQY97" s="15"/>
      <c r="OQZ97" s="15"/>
      <c r="ORA97" s="15"/>
      <c r="ORB97" s="15"/>
      <c r="ORC97" s="15"/>
      <c r="ORD97" s="15"/>
      <c r="ORE97" s="15"/>
      <c r="ORF97" s="15"/>
      <c r="ORG97" s="15"/>
      <c r="ORH97" s="15"/>
      <c r="ORI97" s="15"/>
      <c r="ORJ97" s="15"/>
      <c r="ORK97" s="15"/>
      <c r="ORL97" s="15"/>
      <c r="ORM97" s="15"/>
      <c r="ORN97" s="15"/>
      <c r="ORO97" s="15"/>
      <c r="ORP97" s="15"/>
      <c r="ORQ97" s="15"/>
      <c r="ORR97" s="15"/>
      <c r="ORS97" s="15"/>
      <c r="ORT97" s="15"/>
      <c r="ORU97" s="15"/>
      <c r="ORV97" s="15"/>
      <c r="ORW97" s="15"/>
      <c r="ORX97" s="15"/>
      <c r="ORY97" s="15"/>
      <c r="ORZ97" s="15"/>
      <c r="OSA97" s="15"/>
      <c r="OSB97" s="15"/>
      <c r="OSC97" s="15"/>
      <c r="OSD97" s="15"/>
      <c r="OSE97" s="15"/>
      <c r="OSF97" s="15"/>
      <c r="OSG97" s="15"/>
      <c r="OSH97" s="15"/>
      <c r="OSI97" s="15"/>
      <c r="OSJ97" s="15"/>
      <c r="OSK97" s="15"/>
      <c r="OSL97" s="15"/>
      <c r="OSM97" s="15"/>
      <c r="OSN97" s="15"/>
      <c r="OSO97" s="15"/>
      <c r="OSP97" s="15"/>
      <c r="OSQ97" s="15"/>
      <c r="OSR97" s="15"/>
      <c r="OSS97" s="15"/>
      <c r="OST97" s="15"/>
      <c r="OSU97" s="15"/>
      <c r="OSV97" s="15"/>
      <c r="OSW97" s="15"/>
      <c r="OSX97" s="15"/>
      <c r="OSY97" s="15"/>
      <c r="OSZ97" s="15"/>
      <c r="OTA97" s="15"/>
      <c r="OTB97" s="15"/>
      <c r="OTC97" s="15"/>
      <c r="OTD97" s="15"/>
      <c r="OTE97" s="15"/>
      <c r="OTF97" s="15"/>
      <c r="OTG97" s="15"/>
      <c r="OTH97" s="15"/>
      <c r="OTI97" s="15"/>
      <c r="OTJ97" s="15"/>
      <c r="OTK97" s="15"/>
      <c r="OTL97" s="15"/>
      <c r="OTM97" s="15"/>
      <c r="OTN97" s="15"/>
      <c r="OTO97" s="15"/>
      <c r="OTP97" s="15"/>
      <c r="OTQ97" s="15"/>
      <c r="OTR97" s="15"/>
      <c r="OTS97" s="15"/>
      <c r="OTT97" s="15"/>
      <c r="OTU97" s="15"/>
      <c r="OTV97" s="15"/>
      <c r="OTW97" s="15"/>
      <c r="OTX97" s="15"/>
      <c r="OTY97" s="15"/>
      <c r="OTZ97" s="15"/>
      <c r="OUA97" s="15"/>
      <c r="OUB97" s="15"/>
      <c r="OUC97" s="15"/>
      <c r="OUD97" s="15"/>
      <c r="OUE97" s="15"/>
      <c r="OUF97" s="15"/>
      <c r="OUG97" s="15"/>
      <c r="OUH97" s="15"/>
      <c r="OUI97" s="15"/>
      <c r="OUJ97" s="15"/>
      <c r="OUK97" s="15"/>
      <c r="OUL97" s="15"/>
      <c r="OUM97" s="15"/>
      <c r="OUN97" s="15"/>
      <c r="OUO97" s="15"/>
      <c r="OUP97" s="15"/>
      <c r="OUQ97" s="15"/>
      <c r="OUR97" s="15"/>
      <c r="OUS97" s="15"/>
      <c r="OUT97" s="15"/>
      <c r="OUU97" s="15"/>
      <c r="OUV97" s="15"/>
      <c r="OUW97" s="15"/>
      <c r="OUX97" s="15"/>
      <c r="OUY97" s="15"/>
      <c r="OUZ97" s="15"/>
      <c r="OVA97" s="15"/>
      <c r="OVB97" s="15"/>
      <c r="OVC97" s="15"/>
      <c r="OVD97" s="15"/>
      <c r="OVE97" s="15"/>
      <c r="OVF97" s="15"/>
      <c r="OVG97" s="15"/>
      <c r="OVH97" s="15"/>
      <c r="OVI97" s="15"/>
      <c r="OVJ97" s="15"/>
      <c r="OVK97" s="15"/>
      <c r="OVL97" s="15"/>
      <c r="OVM97" s="15"/>
      <c r="OVN97" s="15"/>
      <c r="OVO97" s="15"/>
      <c r="OVP97" s="15"/>
      <c r="OVQ97" s="15"/>
      <c r="OVR97" s="15"/>
      <c r="OVS97" s="15"/>
      <c r="OVT97" s="15"/>
      <c r="OVU97" s="15"/>
      <c r="OVV97" s="15"/>
      <c r="OVW97" s="15"/>
      <c r="OVX97" s="15"/>
      <c r="OVY97" s="15"/>
      <c r="OVZ97" s="15"/>
      <c r="OWA97" s="15"/>
      <c r="OWB97" s="15"/>
      <c r="OWC97" s="15"/>
      <c r="OWD97" s="15"/>
      <c r="OWE97" s="15"/>
      <c r="OWF97" s="15"/>
      <c r="OWG97" s="15"/>
      <c r="OWH97" s="15"/>
      <c r="OWI97" s="15"/>
      <c r="OWJ97" s="15"/>
      <c r="OWK97" s="15"/>
      <c r="OWL97" s="15"/>
      <c r="OWM97" s="15"/>
      <c r="OWN97" s="15"/>
      <c r="OWO97" s="15"/>
      <c r="OWP97" s="15"/>
      <c r="OWQ97" s="15"/>
      <c r="OWR97" s="15"/>
      <c r="OWS97" s="15"/>
      <c r="OWT97" s="15"/>
      <c r="OWU97" s="15"/>
      <c r="OWV97" s="15"/>
      <c r="OWW97" s="15"/>
      <c r="OWX97" s="15"/>
      <c r="OWY97" s="15"/>
      <c r="OWZ97" s="15"/>
      <c r="OXA97" s="15"/>
      <c r="OXB97" s="15"/>
      <c r="OXC97" s="15"/>
      <c r="OXD97" s="15"/>
      <c r="OXE97" s="15"/>
      <c r="OXF97" s="15"/>
      <c r="OXG97" s="15"/>
      <c r="OXH97" s="15"/>
      <c r="OXI97" s="15"/>
      <c r="OXJ97" s="15"/>
      <c r="OXK97" s="15"/>
      <c r="OXL97" s="15"/>
      <c r="OXM97" s="15"/>
      <c r="OXN97" s="15"/>
      <c r="OXO97" s="15"/>
      <c r="OXP97" s="15"/>
      <c r="OXQ97" s="15"/>
      <c r="OXR97" s="15"/>
      <c r="OXS97" s="15"/>
      <c r="OXT97" s="15"/>
      <c r="OXU97" s="15"/>
      <c r="OXV97" s="15"/>
      <c r="OXW97" s="15"/>
      <c r="OXX97" s="15"/>
      <c r="OXY97" s="15"/>
      <c r="OXZ97" s="15"/>
      <c r="OYA97" s="15"/>
      <c r="OYB97" s="15"/>
      <c r="OYC97" s="15"/>
      <c r="OYD97" s="15"/>
      <c r="OYE97" s="15"/>
      <c r="OYF97" s="15"/>
      <c r="OYG97" s="15"/>
      <c r="OYH97" s="15"/>
      <c r="OYI97" s="15"/>
      <c r="OYJ97" s="15"/>
      <c r="OYK97" s="15"/>
      <c r="OYL97" s="15"/>
      <c r="OYM97" s="15"/>
      <c r="OYN97" s="15"/>
      <c r="OYO97" s="15"/>
      <c r="OYP97" s="15"/>
      <c r="OYQ97" s="15"/>
      <c r="OYR97" s="15"/>
      <c r="OYS97" s="15"/>
      <c r="OYT97" s="15"/>
      <c r="OYU97" s="15"/>
      <c r="OYV97" s="15"/>
      <c r="OYW97" s="15"/>
      <c r="OYX97" s="15"/>
      <c r="OYY97" s="15"/>
      <c r="OYZ97" s="15"/>
      <c r="OZA97" s="15"/>
      <c r="OZB97" s="15"/>
      <c r="OZC97" s="15"/>
      <c r="OZD97" s="15"/>
      <c r="OZE97" s="15"/>
      <c r="OZF97" s="15"/>
      <c r="OZG97" s="15"/>
      <c r="OZH97" s="15"/>
      <c r="OZI97" s="15"/>
      <c r="OZJ97" s="15"/>
      <c r="OZK97" s="15"/>
      <c r="OZL97" s="15"/>
      <c r="OZM97" s="15"/>
      <c r="OZN97" s="15"/>
      <c r="OZO97" s="15"/>
      <c r="OZP97" s="15"/>
      <c r="OZQ97" s="15"/>
      <c r="OZR97" s="15"/>
      <c r="OZS97" s="15"/>
      <c r="OZT97" s="15"/>
      <c r="OZU97" s="15"/>
      <c r="OZV97" s="15"/>
      <c r="OZW97" s="15"/>
      <c r="OZX97" s="15"/>
      <c r="OZY97" s="15"/>
      <c r="OZZ97" s="15"/>
      <c r="PAA97" s="15"/>
      <c r="PAB97" s="15"/>
      <c r="PAC97" s="15"/>
      <c r="PAD97" s="15"/>
      <c r="PAE97" s="15"/>
      <c r="PAF97" s="15"/>
      <c r="PAG97" s="15"/>
      <c r="PAH97" s="15"/>
      <c r="PAI97" s="15"/>
      <c r="PAJ97" s="15"/>
      <c r="PAK97" s="15"/>
      <c r="PAL97" s="15"/>
      <c r="PAM97" s="15"/>
      <c r="PAN97" s="15"/>
      <c r="PAO97" s="15"/>
      <c r="PAP97" s="15"/>
      <c r="PAQ97" s="15"/>
      <c r="PAR97" s="15"/>
      <c r="PAS97" s="15"/>
      <c r="PAT97" s="15"/>
      <c r="PAU97" s="15"/>
      <c r="PAV97" s="15"/>
      <c r="PAW97" s="15"/>
      <c r="PAX97" s="15"/>
      <c r="PAY97" s="15"/>
      <c r="PAZ97" s="15"/>
      <c r="PBA97" s="15"/>
      <c r="PBB97" s="15"/>
      <c r="PBC97" s="15"/>
      <c r="PBD97" s="15"/>
      <c r="PBE97" s="15"/>
      <c r="PBF97" s="15"/>
      <c r="PBG97" s="15"/>
      <c r="PBH97" s="15"/>
      <c r="PBI97" s="15"/>
      <c r="PBJ97" s="15"/>
      <c r="PBK97" s="15"/>
      <c r="PBL97" s="15"/>
      <c r="PBM97" s="15"/>
      <c r="PBN97" s="15"/>
      <c r="PBO97" s="15"/>
      <c r="PBP97" s="15"/>
      <c r="PBQ97" s="15"/>
      <c r="PBR97" s="15"/>
      <c r="PBS97" s="15"/>
      <c r="PBT97" s="15"/>
      <c r="PBU97" s="15"/>
      <c r="PBV97" s="15"/>
      <c r="PBW97" s="15"/>
      <c r="PBX97" s="15"/>
      <c r="PBY97" s="15"/>
      <c r="PBZ97" s="15"/>
      <c r="PCA97" s="15"/>
      <c r="PCB97" s="15"/>
      <c r="PCC97" s="15"/>
      <c r="PCD97" s="15"/>
      <c r="PCE97" s="15"/>
      <c r="PCF97" s="15"/>
      <c r="PCG97" s="15"/>
      <c r="PCH97" s="15"/>
      <c r="PCI97" s="15"/>
      <c r="PCJ97" s="15"/>
      <c r="PCK97" s="15"/>
      <c r="PCL97" s="15"/>
      <c r="PCM97" s="15"/>
      <c r="PCN97" s="15"/>
      <c r="PCO97" s="15"/>
      <c r="PCP97" s="15"/>
      <c r="PCQ97" s="15"/>
      <c r="PCR97" s="15"/>
      <c r="PCS97" s="15"/>
      <c r="PCT97" s="15"/>
      <c r="PCU97" s="15"/>
      <c r="PCV97" s="15"/>
      <c r="PCW97" s="15"/>
      <c r="PCX97" s="15"/>
      <c r="PCY97" s="15"/>
      <c r="PCZ97" s="15"/>
      <c r="PDA97" s="15"/>
      <c r="PDB97" s="15"/>
      <c r="PDC97" s="15"/>
      <c r="PDD97" s="15"/>
      <c r="PDE97" s="15"/>
      <c r="PDF97" s="15"/>
      <c r="PDG97" s="15"/>
      <c r="PDH97" s="15"/>
      <c r="PDI97" s="15"/>
      <c r="PDJ97" s="15"/>
      <c r="PDK97" s="15"/>
      <c r="PDL97" s="15"/>
      <c r="PDM97" s="15"/>
      <c r="PDN97" s="15"/>
      <c r="PDO97" s="15"/>
      <c r="PDP97" s="15"/>
      <c r="PDQ97" s="15"/>
      <c r="PDR97" s="15"/>
      <c r="PDS97" s="15"/>
      <c r="PDT97" s="15"/>
      <c r="PDU97" s="15"/>
      <c r="PDV97" s="15"/>
      <c r="PDW97" s="15"/>
      <c r="PDX97" s="15"/>
      <c r="PDY97" s="15"/>
      <c r="PDZ97" s="15"/>
      <c r="PEA97" s="15"/>
      <c r="PEB97" s="15"/>
      <c r="PEC97" s="15"/>
      <c r="PED97" s="15"/>
      <c r="PEE97" s="15"/>
      <c r="PEF97" s="15"/>
      <c r="PEG97" s="15"/>
      <c r="PEH97" s="15"/>
      <c r="PEI97" s="15"/>
      <c r="PEJ97" s="15"/>
      <c r="PEK97" s="15"/>
      <c r="PEL97" s="15"/>
      <c r="PEM97" s="15"/>
      <c r="PEN97" s="15"/>
      <c r="PEO97" s="15"/>
      <c r="PEP97" s="15"/>
      <c r="PEQ97" s="15"/>
      <c r="PER97" s="15"/>
      <c r="PES97" s="15"/>
      <c r="PET97" s="15"/>
      <c r="PEU97" s="15"/>
      <c r="PEV97" s="15"/>
      <c r="PEW97" s="15"/>
      <c r="PEX97" s="15"/>
      <c r="PEY97" s="15"/>
      <c r="PEZ97" s="15"/>
      <c r="PFA97" s="15"/>
      <c r="PFB97" s="15"/>
      <c r="PFC97" s="15"/>
      <c r="PFD97" s="15"/>
      <c r="PFE97" s="15"/>
      <c r="PFF97" s="15"/>
      <c r="PFG97" s="15"/>
      <c r="PFH97" s="15"/>
      <c r="PFI97" s="15"/>
      <c r="PFJ97" s="15"/>
      <c r="PFK97" s="15"/>
      <c r="PFL97" s="15"/>
      <c r="PFM97" s="15"/>
      <c r="PFN97" s="15"/>
      <c r="PFO97" s="15"/>
      <c r="PFP97" s="15"/>
      <c r="PFQ97" s="15"/>
      <c r="PFR97" s="15"/>
      <c r="PFS97" s="15"/>
      <c r="PFT97" s="15"/>
      <c r="PFU97" s="15"/>
      <c r="PFV97" s="15"/>
      <c r="PFW97" s="15"/>
      <c r="PFX97" s="15"/>
      <c r="PFY97" s="15"/>
      <c r="PFZ97" s="15"/>
      <c r="PGA97" s="15"/>
      <c r="PGB97" s="15"/>
      <c r="PGC97" s="15"/>
      <c r="PGD97" s="15"/>
      <c r="PGE97" s="15"/>
      <c r="PGF97" s="15"/>
      <c r="PGG97" s="15"/>
      <c r="PGH97" s="15"/>
      <c r="PGI97" s="15"/>
      <c r="PGJ97" s="15"/>
      <c r="PGK97" s="15"/>
      <c r="PGL97" s="15"/>
      <c r="PGM97" s="15"/>
      <c r="PGN97" s="15"/>
      <c r="PGO97" s="15"/>
      <c r="PGP97" s="15"/>
      <c r="PGQ97" s="15"/>
      <c r="PGR97" s="15"/>
      <c r="PGS97" s="15"/>
      <c r="PGT97" s="15"/>
      <c r="PGU97" s="15"/>
      <c r="PGV97" s="15"/>
      <c r="PGW97" s="15"/>
      <c r="PGX97" s="15"/>
      <c r="PGY97" s="15"/>
      <c r="PGZ97" s="15"/>
      <c r="PHA97" s="15"/>
      <c r="PHB97" s="15"/>
      <c r="PHC97" s="15"/>
      <c r="PHD97" s="15"/>
      <c r="PHE97" s="15"/>
      <c r="PHF97" s="15"/>
      <c r="PHG97" s="15"/>
      <c r="PHH97" s="15"/>
      <c r="PHI97" s="15"/>
      <c r="PHJ97" s="15"/>
      <c r="PHK97" s="15"/>
      <c r="PHL97" s="15"/>
      <c r="PHM97" s="15"/>
      <c r="PHN97" s="15"/>
      <c r="PHO97" s="15"/>
      <c r="PHP97" s="15"/>
      <c r="PHQ97" s="15"/>
      <c r="PHR97" s="15"/>
      <c r="PHS97" s="15"/>
      <c r="PHT97" s="15"/>
      <c r="PHU97" s="15"/>
      <c r="PHV97" s="15"/>
      <c r="PHW97" s="15"/>
      <c r="PHX97" s="15"/>
      <c r="PHY97" s="15"/>
      <c r="PHZ97" s="15"/>
      <c r="PIA97" s="15"/>
      <c r="PIB97" s="15"/>
      <c r="PIC97" s="15"/>
      <c r="PID97" s="15"/>
      <c r="PIE97" s="15"/>
      <c r="PIF97" s="15"/>
      <c r="PIG97" s="15"/>
      <c r="PIH97" s="15"/>
      <c r="PII97" s="15"/>
      <c r="PIJ97" s="15"/>
      <c r="PIK97" s="15"/>
      <c r="PIL97" s="15"/>
      <c r="PIM97" s="15"/>
      <c r="PIN97" s="15"/>
      <c r="PIO97" s="15"/>
      <c r="PIP97" s="15"/>
      <c r="PIQ97" s="15"/>
      <c r="PIR97" s="15"/>
      <c r="PIS97" s="15"/>
      <c r="PIT97" s="15"/>
      <c r="PIU97" s="15"/>
      <c r="PIV97" s="15"/>
      <c r="PIW97" s="15"/>
      <c r="PIX97" s="15"/>
      <c r="PIY97" s="15"/>
      <c r="PIZ97" s="15"/>
      <c r="PJA97" s="15"/>
      <c r="PJB97" s="15"/>
      <c r="PJC97" s="15"/>
      <c r="PJD97" s="15"/>
      <c r="PJE97" s="15"/>
      <c r="PJF97" s="15"/>
      <c r="PJG97" s="15"/>
      <c r="PJH97" s="15"/>
      <c r="PJI97" s="15"/>
      <c r="PJJ97" s="15"/>
      <c r="PJK97" s="15"/>
      <c r="PJL97" s="15"/>
      <c r="PJM97" s="15"/>
      <c r="PJN97" s="15"/>
      <c r="PJO97" s="15"/>
      <c r="PJP97" s="15"/>
      <c r="PJQ97" s="15"/>
      <c r="PJR97" s="15"/>
      <c r="PJS97" s="15"/>
      <c r="PJT97" s="15"/>
      <c r="PJU97" s="15"/>
      <c r="PJV97" s="15"/>
      <c r="PJW97" s="15"/>
      <c r="PJX97" s="15"/>
      <c r="PJY97" s="15"/>
      <c r="PJZ97" s="15"/>
      <c r="PKA97" s="15"/>
      <c r="PKB97" s="15"/>
      <c r="PKC97" s="15"/>
      <c r="PKD97" s="15"/>
      <c r="PKE97" s="15"/>
      <c r="PKF97" s="15"/>
      <c r="PKG97" s="15"/>
      <c r="PKH97" s="15"/>
      <c r="PKI97" s="15"/>
      <c r="PKJ97" s="15"/>
      <c r="PKK97" s="15"/>
      <c r="PKL97" s="15"/>
      <c r="PKM97" s="15"/>
      <c r="PKN97" s="15"/>
      <c r="PKO97" s="15"/>
      <c r="PKP97" s="15"/>
      <c r="PKQ97" s="15"/>
      <c r="PKR97" s="15"/>
      <c r="PKS97" s="15"/>
      <c r="PKT97" s="15"/>
      <c r="PKU97" s="15"/>
      <c r="PKV97" s="15"/>
      <c r="PKW97" s="15"/>
      <c r="PKX97" s="15"/>
      <c r="PKY97" s="15"/>
      <c r="PKZ97" s="15"/>
      <c r="PLA97" s="15"/>
      <c r="PLB97" s="15"/>
      <c r="PLC97" s="15"/>
      <c r="PLD97" s="15"/>
      <c r="PLE97" s="15"/>
      <c r="PLF97" s="15"/>
      <c r="PLG97" s="15"/>
      <c r="PLH97" s="15"/>
      <c r="PLI97" s="15"/>
      <c r="PLJ97" s="15"/>
      <c r="PLK97" s="15"/>
      <c r="PLL97" s="15"/>
      <c r="PLM97" s="15"/>
      <c r="PLN97" s="15"/>
      <c r="PLO97" s="15"/>
      <c r="PLP97" s="15"/>
      <c r="PLQ97" s="15"/>
      <c r="PLR97" s="15"/>
      <c r="PLS97" s="15"/>
      <c r="PLT97" s="15"/>
      <c r="PLU97" s="15"/>
      <c r="PLV97" s="15"/>
      <c r="PLW97" s="15"/>
      <c r="PLX97" s="15"/>
      <c r="PLY97" s="15"/>
      <c r="PLZ97" s="15"/>
      <c r="PMA97" s="15"/>
      <c r="PMB97" s="15"/>
      <c r="PMC97" s="15"/>
      <c r="PMD97" s="15"/>
      <c r="PME97" s="15"/>
      <c r="PMF97" s="15"/>
      <c r="PMG97" s="15"/>
      <c r="PMH97" s="15"/>
      <c r="PMI97" s="15"/>
      <c r="PMJ97" s="15"/>
      <c r="PMK97" s="15"/>
      <c r="PML97" s="15"/>
      <c r="PMM97" s="15"/>
      <c r="PMN97" s="15"/>
      <c r="PMO97" s="15"/>
      <c r="PMP97" s="15"/>
      <c r="PMQ97" s="15"/>
      <c r="PMR97" s="15"/>
      <c r="PMS97" s="15"/>
      <c r="PMT97" s="15"/>
      <c r="PMU97" s="15"/>
      <c r="PMV97" s="15"/>
      <c r="PMW97" s="15"/>
      <c r="PMX97" s="15"/>
      <c r="PMY97" s="15"/>
      <c r="PMZ97" s="15"/>
      <c r="PNA97" s="15"/>
      <c r="PNB97" s="15"/>
      <c r="PNC97" s="15"/>
      <c r="PND97" s="15"/>
      <c r="PNE97" s="15"/>
      <c r="PNF97" s="15"/>
      <c r="PNG97" s="15"/>
      <c r="PNH97" s="15"/>
      <c r="PNI97" s="15"/>
      <c r="PNJ97" s="15"/>
      <c r="PNK97" s="15"/>
      <c r="PNL97" s="15"/>
      <c r="PNM97" s="15"/>
      <c r="PNN97" s="15"/>
      <c r="PNO97" s="15"/>
      <c r="PNP97" s="15"/>
      <c r="PNQ97" s="15"/>
      <c r="PNR97" s="15"/>
      <c r="PNS97" s="15"/>
      <c r="PNT97" s="15"/>
      <c r="PNU97" s="15"/>
      <c r="PNV97" s="15"/>
      <c r="PNW97" s="15"/>
      <c r="PNX97" s="15"/>
      <c r="PNY97" s="15"/>
      <c r="PNZ97" s="15"/>
      <c r="POA97" s="15"/>
      <c r="POB97" s="15"/>
      <c r="POC97" s="15"/>
      <c r="POD97" s="15"/>
      <c r="POE97" s="15"/>
      <c r="POF97" s="15"/>
      <c r="POG97" s="15"/>
      <c r="POH97" s="15"/>
      <c r="POI97" s="15"/>
      <c r="POJ97" s="15"/>
      <c r="POK97" s="15"/>
      <c r="POL97" s="15"/>
      <c r="POM97" s="15"/>
      <c r="PON97" s="15"/>
      <c r="POO97" s="15"/>
      <c r="POP97" s="15"/>
      <c r="POQ97" s="15"/>
      <c r="POR97" s="15"/>
      <c r="POS97" s="15"/>
      <c r="POT97" s="15"/>
      <c r="POU97" s="15"/>
      <c r="POV97" s="15"/>
      <c r="POW97" s="15"/>
      <c r="POX97" s="15"/>
      <c r="POY97" s="15"/>
      <c r="POZ97" s="15"/>
      <c r="PPA97" s="15"/>
      <c r="PPB97" s="15"/>
      <c r="PPC97" s="15"/>
      <c r="PPD97" s="15"/>
      <c r="PPE97" s="15"/>
      <c r="PPF97" s="15"/>
      <c r="PPG97" s="15"/>
      <c r="PPH97" s="15"/>
      <c r="PPI97" s="15"/>
      <c r="PPJ97" s="15"/>
      <c r="PPK97" s="15"/>
      <c r="PPL97" s="15"/>
      <c r="PPM97" s="15"/>
      <c r="PPN97" s="15"/>
      <c r="PPO97" s="15"/>
      <c r="PPP97" s="15"/>
      <c r="PPQ97" s="15"/>
      <c r="PPR97" s="15"/>
      <c r="PPS97" s="15"/>
      <c r="PPT97" s="15"/>
      <c r="PPU97" s="15"/>
      <c r="PPV97" s="15"/>
      <c r="PPW97" s="15"/>
      <c r="PPX97" s="15"/>
      <c r="PPY97" s="15"/>
      <c r="PPZ97" s="15"/>
      <c r="PQA97" s="15"/>
      <c r="PQB97" s="15"/>
      <c r="PQC97" s="15"/>
      <c r="PQD97" s="15"/>
      <c r="PQE97" s="15"/>
      <c r="PQF97" s="15"/>
      <c r="PQG97" s="15"/>
      <c r="PQH97" s="15"/>
      <c r="PQI97" s="15"/>
      <c r="PQJ97" s="15"/>
      <c r="PQK97" s="15"/>
      <c r="PQL97" s="15"/>
      <c r="PQM97" s="15"/>
      <c r="PQN97" s="15"/>
      <c r="PQO97" s="15"/>
      <c r="PQP97" s="15"/>
      <c r="PQQ97" s="15"/>
      <c r="PQR97" s="15"/>
      <c r="PQS97" s="15"/>
      <c r="PQT97" s="15"/>
      <c r="PQU97" s="15"/>
      <c r="PQV97" s="15"/>
      <c r="PQW97" s="15"/>
      <c r="PQX97" s="15"/>
      <c r="PQY97" s="15"/>
      <c r="PQZ97" s="15"/>
      <c r="PRA97" s="15"/>
      <c r="PRB97" s="15"/>
      <c r="PRC97" s="15"/>
      <c r="PRD97" s="15"/>
      <c r="PRE97" s="15"/>
      <c r="PRF97" s="15"/>
      <c r="PRG97" s="15"/>
      <c r="PRH97" s="15"/>
      <c r="PRI97" s="15"/>
      <c r="PRJ97" s="15"/>
      <c r="PRK97" s="15"/>
      <c r="PRL97" s="15"/>
      <c r="PRM97" s="15"/>
      <c r="PRN97" s="15"/>
      <c r="PRO97" s="15"/>
      <c r="PRP97" s="15"/>
      <c r="PRQ97" s="15"/>
      <c r="PRR97" s="15"/>
      <c r="PRS97" s="15"/>
      <c r="PRT97" s="15"/>
      <c r="PRU97" s="15"/>
      <c r="PRV97" s="15"/>
      <c r="PRW97" s="15"/>
      <c r="PRX97" s="15"/>
      <c r="PRY97" s="15"/>
      <c r="PRZ97" s="15"/>
      <c r="PSA97" s="15"/>
      <c r="PSB97" s="15"/>
      <c r="PSC97" s="15"/>
      <c r="PSD97" s="15"/>
      <c r="PSE97" s="15"/>
      <c r="PSF97" s="15"/>
      <c r="PSG97" s="15"/>
      <c r="PSH97" s="15"/>
      <c r="PSI97" s="15"/>
      <c r="PSJ97" s="15"/>
      <c r="PSK97" s="15"/>
      <c r="PSL97" s="15"/>
      <c r="PSM97" s="15"/>
      <c r="PSN97" s="15"/>
      <c r="PSO97" s="15"/>
      <c r="PSP97" s="15"/>
      <c r="PSQ97" s="15"/>
      <c r="PSR97" s="15"/>
      <c r="PSS97" s="15"/>
      <c r="PST97" s="15"/>
      <c r="PSU97" s="15"/>
      <c r="PSV97" s="15"/>
      <c r="PSW97" s="15"/>
      <c r="PSX97" s="15"/>
      <c r="PSY97" s="15"/>
      <c r="PSZ97" s="15"/>
      <c r="PTA97" s="15"/>
      <c r="PTB97" s="15"/>
      <c r="PTC97" s="15"/>
      <c r="PTD97" s="15"/>
      <c r="PTE97" s="15"/>
      <c r="PTF97" s="15"/>
      <c r="PTG97" s="15"/>
      <c r="PTH97" s="15"/>
      <c r="PTI97" s="15"/>
      <c r="PTJ97" s="15"/>
      <c r="PTK97" s="15"/>
      <c r="PTL97" s="15"/>
      <c r="PTM97" s="15"/>
      <c r="PTN97" s="15"/>
      <c r="PTO97" s="15"/>
      <c r="PTP97" s="15"/>
      <c r="PTQ97" s="15"/>
      <c r="PTR97" s="15"/>
      <c r="PTS97" s="15"/>
      <c r="PTT97" s="15"/>
      <c r="PTU97" s="15"/>
      <c r="PTV97" s="15"/>
      <c r="PTW97" s="15"/>
      <c r="PTX97" s="15"/>
      <c r="PTY97" s="15"/>
      <c r="PTZ97" s="15"/>
      <c r="PUA97" s="15"/>
      <c r="PUB97" s="15"/>
      <c r="PUC97" s="15"/>
      <c r="PUD97" s="15"/>
      <c r="PUE97" s="15"/>
      <c r="PUF97" s="15"/>
      <c r="PUG97" s="15"/>
      <c r="PUH97" s="15"/>
      <c r="PUI97" s="15"/>
      <c r="PUJ97" s="15"/>
      <c r="PUK97" s="15"/>
      <c r="PUL97" s="15"/>
      <c r="PUM97" s="15"/>
      <c r="PUN97" s="15"/>
      <c r="PUO97" s="15"/>
      <c r="PUP97" s="15"/>
      <c r="PUQ97" s="15"/>
      <c r="PUR97" s="15"/>
      <c r="PUS97" s="15"/>
      <c r="PUT97" s="15"/>
      <c r="PUU97" s="15"/>
      <c r="PUV97" s="15"/>
      <c r="PUW97" s="15"/>
      <c r="PUX97" s="15"/>
      <c r="PUY97" s="15"/>
      <c r="PUZ97" s="15"/>
      <c r="PVA97" s="15"/>
      <c r="PVB97" s="15"/>
      <c r="PVC97" s="15"/>
      <c r="PVD97" s="15"/>
      <c r="PVE97" s="15"/>
      <c r="PVF97" s="15"/>
      <c r="PVG97" s="15"/>
      <c r="PVH97" s="15"/>
      <c r="PVI97" s="15"/>
      <c r="PVJ97" s="15"/>
      <c r="PVK97" s="15"/>
      <c r="PVL97" s="15"/>
      <c r="PVM97" s="15"/>
      <c r="PVN97" s="15"/>
      <c r="PVO97" s="15"/>
      <c r="PVP97" s="15"/>
      <c r="PVQ97" s="15"/>
      <c r="PVR97" s="15"/>
      <c r="PVS97" s="15"/>
      <c r="PVT97" s="15"/>
      <c r="PVU97" s="15"/>
      <c r="PVV97" s="15"/>
      <c r="PVW97" s="15"/>
      <c r="PVX97" s="15"/>
      <c r="PVY97" s="15"/>
      <c r="PVZ97" s="15"/>
      <c r="PWA97" s="15"/>
      <c r="PWB97" s="15"/>
      <c r="PWC97" s="15"/>
      <c r="PWD97" s="15"/>
      <c r="PWE97" s="15"/>
      <c r="PWF97" s="15"/>
      <c r="PWG97" s="15"/>
      <c r="PWH97" s="15"/>
      <c r="PWI97" s="15"/>
      <c r="PWJ97" s="15"/>
      <c r="PWK97" s="15"/>
      <c r="PWL97" s="15"/>
      <c r="PWM97" s="15"/>
      <c r="PWN97" s="15"/>
      <c r="PWO97" s="15"/>
      <c r="PWP97" s="15"/>
      <c r="PWQ97" s="15"/>
      <c r="PWR97" s="15"/>
      <c r="PWS97" s="15"/>
      <c r="PWT97" s="15"/>
      <c r="PWU97" s="15"/>
      <c r="PWV97" s="15"/>
      <c r="PWW97" s="15"/>
      <c r="PWX97" s="15"/>
      <c r="PWY97" s="15"/>
      <c r="PWZ97" s="15"/>
      <c r="PXA97" s="15"/>
      <c r="PXB97" s="15"/>
      <c r="PXC97" s="15"/>
      <c r="PXD97" s="15"/>
      <c r="PXE97" s="15"/>
      <c r="PXF97" s="15"/>
      <c r="PXG97" s="15"/>
      <c r="PXH97" s="15"/>
      <c r="PXI97" s="15"/>
      <c r="PXJ97" s="15"/>
      <c r="PXK97" s="15"/>
      <c r="PXL97" s="15"/>
      <c r="PXM97" s="15"/>
      <c r="PXN97" s="15"/>
      <c r="PXO97" s="15"/>
      <c r="PXP97" s="15"/>
      <c r="PXQ97" s="15"/>
      <c r="PXR97" s="15"/>
      <c r="PXS97" s="15"/>
      <c r="PXT97" s="15"/>
      <c r="PXU97" s="15"/>
      <c r="PXV97" s="15"/>
      <c r="PXW97" s="15"/>
      <c r="PXX97" s="15"/>
      <c r="PXY97" s="15"/>
      <c r="PXZ97" s="15"/>
      <c r="PYA97" s="15"/>
      <c r="PYB97" s="15"/>
      <c r="PYC97" s="15"/>
      <c r="PYD97" s="15"/>
      <c r="PYE97" s="15"/>
      <c r="PYF97" s="15"/>
      <c r="PYG97" s="15"/>
      <c r="PYH97" s="15"/>
      <c r="PYI97" s="15"/>
      <c r="PYJ97" s="15"/>
      <c r="PYK97" s="15"/>
      <c r="PYL97" s="15"/>
      <c r="PYM97" s="15"/>
      <c r="PYN97" s="15"/>
      <c r="PYO97" s="15"/>
      <c r="PYP97" s="15"/>
      <c r="PYQ97" s="15"/>
      <c r="PYR97" s="15"/>
      <c r="PYS97" s="15"/>
      <c r="PYT97" s="15"/>
      <c r="PYU97" s="15"/>
      <c r="PYV97" s="15"/>
      <c r="PYW97" s="15"/>
      <c r="PYX97" s="15"/>
      <c r="PYY97" s="15"/>
      <c r="PYZ97" s="15"/>
      <c r="PZA97" s="15"/>
      <c r="PZB97" s="15"/>
      <c r="PZC97" s="15"/>
      <c r="PZD97" s="15"/>
      <c r="PZE97" s="15"/>
      <c r="PZF97" s="15"/>
      <c r="PZG97" s="15"/>
      <c r="PZH97" s="15"/>
      <c r="PZI97" s="15"/>
      <c r="PZJ97" s="15"/>
      <c r="PZK97" s="15"/>
      <c r="PZL97" s="15"/>
      <c r="PZM97" s="15"/>
      <c r="PZN97" s="15"/>
      <c r="PZO97" s="15"/>
      <c r="PZP97" s="15"/>
      <c r="PZQ97" s="15"/>
      <c r="PZR97" s="15"/>
      <c r="PZS97" s="15"/>
      <c r="PZT97" s="15"/>
      <c r="PZU97" s="15"/>
      <c r="PZV97" s="15"/>
      <c r="PZW97" s="15"/>
      <c r="PZX97" s="15"/>
      <c r="PZY97" s="15"/>
      <c r="PZZ97" s="15"/>
      <c r="QAA97" s="15"/>
      <c r="QAB97" s="15"/>
      <c r="QAC97" s="15"/>
      <c r="QAD97" s="15"/>
      <c r="QAE97" s="15"/>
      <c r="QAF97" s="15"/>
      <c r="QAG97" s="15"/>
      <c r="QAH97" s="15"/>
      <c r="QAI97" s="15"/>
      <c r="QAJ97" s="15"/>
      <c r="QAK97" s="15"/>
      <c r="QAL97" s="15"/>
      <c r="QAM97" s="15"/>
      <c r="QAN97" s="15"/>
      <c r="QAO97" s="15"/>
      <c r="QAP97" s="15"/>
      <c r="QAQ97" s="15"/>
      <c r="QAR97" s="15"/>
      <c r="QAS97" s="15"/>
      <c r="QAT97" s="15"/>
      <c r="QAU97" s="15"/>
      <c r="QAV97" s="15"/>
      <c r="QAW97" s="15"/>
      <c r="QAX97" s="15"/>
      <c r="QAY97" s="15"/>
      <c r="QAZ97" s="15"/>
      <c r="QBA97" s="15"/>
      <c r="QBB97" s="15"/>
      <c r="QBC97" s="15"/>
      <c r="QBD97" s="15"/>
      <c r="QBE97" s="15"/>
      <c r="QBF97" s="15"/>
      <c r="QBG97" s="15"/>
      <c r="QBH97" s="15"/>
      <c r="QBI97" s="15"/>
      <c r="QBJ97" s="15"/>
      <c r="QBK97" s="15"/>
      <c r="QBL97" s="15"/>
      <c r="QBM97" s="15"/>
      <c r="QBN97" s="15"/>
      <c r="QBO97" s="15"/>
      <c r="QBP97" s="15"/>
      <c r="QBQ97" s="15"/>
      <c r="QBR97" s="15"/>
      <c r="QBS97" s="15"/>
      <c r="QBT97" s="15"/>
      <c r="QBU97" s="15"/>
      <c r="QBV97" s="15"/>
      <c r="QBW97" s="15"/>
      <c r="QBX97" s="15"/>
      <c r="QBY97" s="15"/>
      <c r="QBZ97" s="15"/>
      <c r="QCA97" s="15"/>
      <c r="QCB97" s="15"/>
      <c r="QCC97" s="15"/>
      <c r="QCD97" s="15"/>
      <c r="QCE97" s="15"/>
      <c r="QCF97" s="15"/>
      <c r="QCG97" s="15"/>
      <c r="QCH97" s="15"/>
      <c r="QCI97" s="15"/>
      <c r="QCJ97" s="15"/>
      <c r="QCK97" s="15"/>
      <c r="QCL97" s="15"/>
      <c r="QCM97" s="15"/>
      <c r="QCN97" s="15"/>
      <c r="QCO97" s="15"/>
      <c r="QCP97" s="15"/>
      <c r="QCQ97" s="15"/>
      <c r="QCR97" s="15"/>
      <c r="QCS97" s="15"/>
      <c r="QCT97" s="15"/>
      <c r="QCU97" s="15"/>
      <c r="QCV97" s="15"/>
      <c r="QCW97" s="15"/>
      <c r="QCX97" s="15"/>
      <c r="QCY97" s="15"/>
      <c r="QCZ97" s="15"/>
      <c r="QDA97" s="15"/>
      <c r="QDB97" s="15"/>
      <c r="QDC97" s="15"/>
      <c r="QDD97" s="15"/>
      <c r="QDE97" s="15"/>
      <c r="QDF97" s="15"/>
      <c r="QDG97" s="15"/>
      <c r="QDH97" s="15"/>
      <c r="QDI97" s="15"/>
      <c r="QDJ97" s="15"/>
      <c r="QDK97" s="15"/>
      <c r="QDL97" s="15"/>
      <c r="QDM97" s="15"/>
      <c r="QDN97" s="15"/>
      <c r="QDO97" s="15"/>
      <c r="QDP97" s="15"/>
      <c r="QDQ97" s="15"/>
      <c r="QDR97" s="15"/>
      <c r="QDS97" s="15"/>
      <c r="QDT97" s="15"/>
      <c r="QDU97" s="15"/>
      <c r="QDV97" s="15"/>
      <c r="QDW97" s="15"/>
      <c r="QDX97" s="15"/>
      <c r="QDY97" s="15"/>
      <c r="QDZ97" s="15"/>
      <c r="QEA97" s="15"/>
      <c r="QEB97" s="15"/>
      <c r="QEC97" s="15"/>
      <c r="QED97" s="15"/>
      <c r="QEE97" s="15"/>
      <c r="QEF97" s="15"/>
      <c r="QEG97" s="15"/>
      <c r="QEH97" s="15"/>
      <c r="QEI97" s="15"/>
      <c r="QEJ97" s="15"/>
      <c r="QEK97" s="15"/>
      <c r="QEL97" s="15"/>
      <c r="QEM97" s="15"/>
      <c r="QEN97" s="15"/>
      <c r="QEO97" s="15"/>
      <c r="QEP97" s="15"/>
      <c r="QEQ97" s="15"/>
      <c r="QER97" s="15"/>
      <c r="QES97" s="15"/>
      <c r="QET97" s="15"/>
      <c r="QEU97" s="15"/>
      <c r="QEV97" s="15"/>
      <c r="QEW97" s="15"/>
      <c r="QEX97" s="15"/>
      <c r="QEY97" s="15"/>
      <c r="QEZ97" s="15"/>
      <c r="QFA97" s="15"/>
      <c r="QFB97" s="15"/>
      <c r="QFC97" s="15"/>
      <c r="QFD97" s="15"/>
      <c r="QFE97" s="15"/>
      <c r="QFF97" s="15"/>
      <c r="QFG97" s="15"/>
      <c r="QFH97" s="15"/>
      <c r="QFI97" s="15"/>
      <c r="QFJ97" s="15"/>
      <c r="QFK97" s="15"/>
      <c r="QFL97" s="15"/>
      <c r="QFM97" s="15"/>
      <c r="QFN97" s="15"/>
      <c r="QFO97" s="15"/>
      <c r="QFP97" s="15"/>
      <c r="QFQ97" s="15"/>
      <c r="QFR97" s="15"/>
      <c r="QFS97" s="15"/>
      <c r="QFT97" s="15"/>
      <c r="QFU97" s="15"/>
      <c r="QFV97" s="15"/>
      <c r="QFW97" s="15"/>
      <c r="QFX97" s="15"/>
      <c r="QFY97" s="15"/>
      <c r="QFZ97" s="15"/>
      <c r="QGA97" s="15"/>
      <c r="QGB97" s="15"/>
      <c r="QGC97" s="15"/>
      <c r="QGD97" s="15"/>
      <c r="QGE97" s="15"/>
      <c r="QGF97" s="15"/>
      <c r="QGG97" s="15"/>
      <c r="QGH97" s="15"/>
      <c r="QGI97" s="15"/>
      <c r="QGJ97" s="15"/>
      <c r="QGK97" s="15"/>
      <c r="QGL97" s="15"/>
      <c r="QGM97" s="15"/>
      <c r="QGN97" s="15"/>
      <c r="QGO97" s="15"/>
      <c r="QGP97" s="15"/>
      <c r="QGQ97" s="15"/>
      <c r="QGR97" s="15"/>
      <c r="QGS97" s="15"/>
      <c r="QGT97" s="15"/>
      <c r="QGU97" s="15"/>
      <c r="QGV97" s="15"/>
      <c r="QGW97" s="15"/>
      <c r="QGX97" s="15"/>
      <c r="QGY97" s="15"/>
      <c r="QGZ97" s="15"/>
      <c r="QHA97" s="15"/>
      <c r="QHB97" s="15"/>
      <c r="QHC97" s="15"/>
      <c r="QHD97" s="15"/>
      <c r="QHE97" s="15"/>
      <c r="QHF97" s="15"/>
      <c r="QHG97" s="15"/>
      <c r="QHH97" s="15"/>
      <c r="QHI97" s="15"/>
      <c r="QHJ97" s="15"/>
      <c r="QHK97" s="15"/>
      <c r="QHL97" s="15"/>
      <c r="QHM97" s="15"/>
      <c r="QHN97" s="15"/>
      <c r="QHO97" s="15"/>
      <c r="QHP97" s="15"/>
      <c r="QHQ97" s="15"/>
      <c r="QHR97" s="15"/>
      <c r="QHS97" s="15"/>
      <c r="QHT97" s="15"/>
      <c r="QHU97" s="15"/>
      <c r="QHV97" s="15"/>
      <c r="QHW97" s="15"/>
      <c r="QHX97" s="15"/>
      <c r="QHY97" s="15"/>
      <c r="QHZ97" s="15"/>
      <c r="QIA97" s="15"/>
      <c r="QIB97" s="15"/>
      <c r="QIC97" s="15"/>
      <c r="QID97" s="15"/>
      <c r="QIE97" s="15"/>
      <c r="QIF97" s="15"/>
      <c r="QIG97" s="15"/>
      <c r="QIH97" s="15"/>
      <c r="QII97" s="15"/>
      <c r="QIJ97" s="15"/>
      <c r="QIK97" s="15"/>
      <c r="QIL97" s="15"/>
      <c r="QIM97" s="15"/>
      <c r="QIN97" s="15"/>
      <c r="QIO97" s="15"/>
      <c r="QIP97" s="15"/>
      <c r="QIQ97" s="15"/>
      <c r="QIR97" s="15"/>
      <c r="QIS97" s="15"/>
      <c r="QIT97" s="15"/>
      <c r="QIU97" s="15"/>
      <c r="QIV97" s="15"/>
      <c r="QIW97" s="15"/>
      <c r="QIX97" s="15"/>
      <c r="QIY97" s="15"/>
      <c r="QIZ97" s="15"/>
      <c r="QJA97" s="15"/>
      <c r="QJB97" s="15"/>
      <c r="QJC97" s="15"/>
      <c r="QJD97" s="15"/>
      <c r="QJE97" s="15"/>
      <c r="QJF97" s="15"/>
      <c r="QJG97" s="15"/>
      <c r="QJH97" s="15"/>
      <c r="QJI97" s="15"/>
      <c r="QJJ97" s="15"/>
      <c r="QJK97" s="15"/>
      <c r="QJL97" s="15"/>
      <c r="QJM97" s="15"/>
      <c r="QJN97" s="15"/>
      <c r="QJO97" s="15"/>
      <c r="QJP97" s="15"/>
      <c r="QJQ97" s="15"/>
      <c r="QJR97" s="15"/>
      <c r="QJS97" s="15"/>
      <c r="QJT97" s="15"/>
      <c r="QJU97" s="15"/>
      <c r="QJV97" s="15"/>
      <c r="QJW97" s="15"/>
      <c r="QJX97" s="15"/>
      <c r="QJY97" s="15"/>
      <c r="QJZ97" s="15"/>
      <c r="QKA97" s="15"/>
      <c r="QKB97" s="15"/>
      <c r="QKC97" s="15"/>
      <c r="QKD97" s="15"/>
      <c r="QKE97" s="15"/>
      <c r="QKF97" s="15"/>
      <c r="QKG97" s="15"/>
      <c r="QKH97" s="15"/>
      <c r="QKI97" s="15"/>
      <c r="QKJ97" s="15"/>
      <c r="QKK97" s="15"/>
      <c r="QKL97" s="15"/>
      <c r="QKM97" s="15"/>
      <c r="QKN97" s="15"/>
      <c r="QKO97" s="15"/>
      <c r="QKP97" s="15"/>
      <c r="QKQ97" s="15"/>
      <c r="QKR97" s="15"/>
      <c r="QKS97" s="15"/>
      <c r="QKT97" s="15"/>
      <c r="QKU97" s="15"/>
      <c r="QKV97" s="15"/>
      <c r="QKW97" s="15"/>
      <c r="QKX97" s="15"/>
      <c r="QKY97" s="15"/>
      <c r="QKZ97" s="15"/>
      <c r="QLA97" s="15"/>
      <c r="QLB97" s="15"/>
      <c r="QLC97" s="15"/>
      <c r="QLD97" s="15"/>
      <c r="QLE97" s="15"/>
      <c r="QLF97" s="15"/>
      <c r="QLG97" s="15"/>
      <c r="QLH97" s="15"/>
      <c r="QLI97" s="15"/>
      <c r="QLJ97" s="15"/>
      <c r="QLK97" s="15"/>
      <c r="QLL97" s="15"/>
      <c r="QLM97" s="15"/>
      <c r="QLN97" s="15"/>
      <c r="QLO97" s="15"/>
      <c r="QLP97" s="15"/>
      <c r="QLQ97" s="15"/>
      <c r="QLR97" s="15"/>
      <c r="QLS97" s="15"/>
      <c r="QLT97" s="15"/>
      <c r="QLU97" s="15"/>
      <c r="QLV97" s="15"/>
      <c r="QLW97" s="15"/>
      <c r="QLX97" s="15"/>
      <c r="QLY97" s="15"/>
      <c r="QLZ97" s="15"/>
      <c r="QMA97" s="15"/>
      <c r="QMB97" s="15"/>
      <c r="QMC97" s="15"/>
      <c r="QMD97" s="15"/>
      <c r="QME97" s="15"/>
      <c r="QMF97" s="15"/>
      <c r="QMG97" s="15"/>
      <c r="QMH97" s="15"/>
      <c r="QMI97" s="15"/>
      <c r="QMJ97" s="15"/>
      <c r="QMK97" s="15"/>
      <c r="QML97" s="15"/>
      <c r="QMM97" s="15"/>
      <c r="QMN97" s="15"/>
      <c r="QMO97" s="15"/>
      <c r="QMP97" s="15"/>
      <c r="QMQ97" s="15"/>
      <c r="QMR97" s="15"/>
      <c r="QMS97" s="15"/>
      <c r="QMT97" s="15"/>
      <c r="QMU97" s="15"/>
      <c r="QMV97" s="15"/>
      <c r="QMW97" s="15"/>
      <c r="QMX97" s="15"/>
      <c r="QMY97" s="15"/>
      <c r="QMZ97" s="15"/>
      <c r="QNA97" s="15"/>
      <c r="QNB97" s="15"/>
      <c r="QNC97" s="15"/>
      <c r="QND97" s="15"/>
      <c r="QNE97" s="15"/>
      <c r="QNF97" s="15"/>
      <c r="QNG97" s="15"/>
      <c r="QNH97" s="15"/>
      <c r="QNI97" s="15"/>
      <c r="QNJ97" s="15"/>
      <c r="QNK97" s="15"/>
      <c r="QNL97" s="15"/>
      <c r="QNM97" s="15"/>
      <c r="QNN97" s="15"/>
      <c r="QNO97" s="15"/>
      <c r="QNP97" s="15"/>
      <c r="QNQ97" s="15"/>
      <c r="QNR97" s="15"/>
      <c r="QNS97" s="15"/>
      <c r="QNT97" s="15"/>
      <c r="QNU97" s="15"/>
      <c r="QNV97" s="15"/>
      <c r="QNW97" s="15"/>
      <c r="QNX97" s="15"/>
      <c r="QNY97" s="15"/>
      <c r="QNZ97" s="15"/>
      <c r="QOA97" s="15"/>
      <c r="QOB97" s="15"/>
      <c r="QOC97" s="15"/>
      <c r="QOD97" s="15"/>
      <c r="QOE97" s="15"/>
      <c r="QOF97" s="15"/>
      <c r="QOG97" s="15"/>
      <c r="QOH97" s="15"/>
      <c r="QOI97" s="15"/>
      <c r="QOJ97" s="15"/>
      <c r="QOK97" s="15"/>
      <c r="QOL97" s="15"/>
      <c r="QOM97" s="15"/>
      <c r="QON97" s="15"/>
      <c r="QOO97" s="15"/>
      <c r="QOP97" s="15"/>
      <c r="QOQ97" s="15"/>
      <c r="QOR97" s="15"/>
      <c r="QOS97" s="15"/>
      <c r="QOT97" s="15"/>
      <c r="QOU97" s="15"/>
      <c r="QOV97" s="15"/>
      <c r="QOW97" s="15"/>
      <c r="QOX97" s="15"/>
      <c r="QOY97" s="15"/>
      <c r="QOZ97" s="15"/>
      <c r="QPA97" s="15"/>
      <c r="QPB97" s="15"/>
      <c r="QPC97" s="15"/>
      <c r="QPD97" s="15"/>
      <c r="QPE97" s="15"/>
      <c r="QPF97" s="15"/>
      <c r="QPG97" s="15"/>
      <c r="QPH97" s="15"/>
      <c r="QPI97" s="15"/>
      <c r="QPJ97" s="15"/>
      <c r="QPK97" s="15"/>
      <c r="QPL97" s="15"/>
      <c r="QPM97" s="15"/>
      <c r="QPN97" s="15"/>
      <c r="QPO97" s="15"/>
      <c r="QPP97" s="15"/>
      <c r="QPQ97" s="15"/>
      <c r="QPR97" s="15"/>
      <c r="QPS97" s="15"/>
      <c r="QPT97" s="15"/>
      <c r="QPU97" s="15"/>
      <c r="QPV97" s="15"/>
      <c r="QPW97" s="15"/>
      <c r="QPX97" s="15"/>
      <c r="QPY97" s="15"/>
      <c r="QPZ97" s="15"/>
      <c r="QQA97" s="15"/>
      <c r="QQB97" s="15"/>
      <c r="QQC97" s="15"/>
      <c r="QQD97" s="15"/>
      <c r="QQE97" s="15"/>
      <c r="QQF97" s="15"/>
      <c r="QQG97" s="15"/>
      <c r="QQH97" s="15"/>
      <c r="QQI97" s="15"/>
      <c r="QQJ97" s="15"/>
      <c r="QQK97" s="15"/>
      <c r="QQL97" s="15"/>
      <c r="QQM97" s="15"/>
      <c r="QQN97" s="15"/>
      <c r="QQO97" s="15"/>
      <c r="QQP97" s="15"/>
      <c r="QQQ97" s="15"/>
      <c r="QQR97" s="15"/>
      <c r="QQS97" s="15"/>
      <c r="QQT97" s="15"/>
      <c r="QQU97" s="15"/>
      <c r="QQV97" s="15"/>
      <c r="QQW97" s="15"/>
      <c r="QQX97" s="15"/>
      <c r="QQY97" s="15"/>
      <c r="QQZ97" s="15"/>
      <c r="QRA97" s="15"/>
      <c r="QRB97" s="15"/>
      <c r="QRC97" s="15"/>
      <c r="QRD97" s="15"/>
      <c r="QRE97" s="15"/>
      <c r="QRF97" s="15"/>
      <c r="QRG97" s="15"/>
      <c r="QRH97" s="15"/>
      <c r="QRI97" s="15"/>
      <c r="QRJ97" s="15"/>
      <c r="QRK97" s="15"/>
      <c r="QRL97" s="15"/>
      <c r="QRM97" s="15"/>
      <c r="QRN97" s="15"/>
      <c r="QRO97" s="15"/>
      <c r="QRP97" s="15"/>
      <c r="QRQ97" s="15"/>
      <c r="QRR97" s="15"/>
      <c r="QRS97" s="15"/>
      <c r="QRT97" s="15"/>
      <c r="QRU97" s="15"/>
      <c r="QRV97" s="15"/>
      <c r="QRW97" s="15"/>
      <c r="QRX97" s="15"/>
      <c r="QRY97" s="15"/>
      <c r="QRZ97" s="15"/>
      <c r="QSA97" s="15"/>
      <c r="QSB97" s="15"/>
      <c r="QSC97" s="15"/>
      <c r="QSD97" s="15"/>
      <c r="QSE97" s="15"/>
      <c r="QSF97" s="15"/>
      <c r="QSG97" s="15"/>
      <c r="QSH97" s="15"/>
      <c r="QSI97" s="15"/>
      <c r="QSJ97" s="15"/>
      <c r="QSK97" s="15"/>
      <c r="QSL97" s="15"/>
      <c r="QSM97" s="15"/>
      <c r="QSN97" s="15"/>
      <c r="QSO97" s="15"/>
      <c r="QSP97" s="15"/>
      <c r="QSQ97" s="15"/>
      <c r="QSR97" s="15"/>
      <c r="QSS97" s="15"/>
      <c r="QST97" s="15"/>
      <c r="QSU97" s="15"/>
      <c r="QSV97" s="15"/>
      <c r="QSW97" s="15"/>
      <c r="QSX97" s="15"/>
      <c r="QSY97" s="15"/>
      <c r="QSZ97" s="15"/>
      <c r="QTA97" s="15"/>
      <c r="QTB97" s="15"/>
      <c r="QTC97" s="15"/>
      <c r="QTD97" s="15"/>
      <c r="QTE97" s="15"/>
      <c r="QTF97" s="15"/>
      <c r="QTG97" s="15"/>
      <c r="QTH97" s="15"/>
      <c r="QTI97" s="15"/>
      <c r="QTJ97" s="15"/>
      <c r="QTK97" s="15"/>
      <c r="QTL97" s="15"/>
      <c r="QTM97" s="15"/>
      <c r="QTN97" s="15"/>
      <c r="QTO97" s="15"/>
      <c r="QTP97" s="15"/>
      <c r="QTQ97" s="15"/>
      <c r="QTR97" s="15"/>
      <c r="QTS97" s="15"/>
      <c r="QTT97" s="15"/>
      <c r="QTU97" s="15"/>
      <c r="QTV97" s="15"/>
      <c r="QTW97" s="15"/>
      <c r="QTX97" s="15"/>
      <c r="QTY97" s="15"/>
      <c r="QTZ97" s="15"/>
      <c r="QUA97" s="15"/>
      <c r="QUB97" s="15"/>
      <c r="QUC97" s="15"/>
      <c r="QUD97" s="15"/>
      <c r="QUE97" s="15"/>
      <c r="QUF97" s="15"/>
      <c r="QUG97" s="15"/>
      <c r="QUH97" s="15"/>
      <c r="QUI97" s="15"/>
      <c r="QUJ97" s="15"/>
      <c r="QUK97" s="15"/>
      <c r="QUL97" s="15"/>
      <c r="QUM97" s="15"/>
      <c r="QUN97" s="15"/>
      <c r="QUO97" s="15"/>
      <c r="QUP97" s="15"/>
      <c r="QUQ97" s="15"/>
      <c r="QUR97" s="15"/>
      <c r="QUS97" s="15"/>
      <c r="QUT97" s="15"/>
      <c r="QUU97" s="15"/>
      <c r="QUV97" s="15"/>
      <c r="QUW97" s="15"/>
      <c r="QUX97" s="15"/>
      <c r="QUY97" s="15"/>
      <c r="QUZ97" s="15"/>
      <c r="QVA97" s="15"/>
      <c r="QVB97" s="15"/>
      <c r="QVC97" s="15"/>
      <c r="QVD97" s="15"/>
      <c r="QVE97" s="15"/>
      <c r="QVF97" s="15"/>
      <c r="QVG97" s="15"/>
      <c r="QVH97" s="15"/>
      <c r="QVI97" s="15"/>
      <c r="QVJ97" s="15"/>
      <c r="QVK97" s="15"/>
      <c r="QVL97" s="15"/>
      <c r="QVM97" s="15"/>
      <c r="QVN97" s="15"/>
      <c r="QVO97" s="15"/>
      <c r="QVP97" s="15"/>
      <c r="QVQ97" s="15"/>
      <c r="QVR97" s="15"/>
      <c r="QVS97" s="15"/>
      <c r="QVT97" s="15"/>
      <c r="QVU97" s="15"/>
      <c r="QVV97" s="15"/>
      <c r="QVW97" s="15"/>
      <c r="QVX97" s="15"/>
      <c r="QVY97" s="15"/>
      <c r="QVZ97" s="15"/>
      <c r="QWA97" s="15"/>
      <c r="QWB97" s="15"/>
      <c r="QWC97" s="15"/>
      <c r="QWD97" s="15"/>
      <c r="QWE97" s="15"/>
      <c r="QWF97" s="15"/>
      <c r="QWG97" s="15"/>
      <c r="QWH97" s="15"/>
      <c r="QWI97" s="15"/>
      <c r="QWJ97" s="15"/>
      <c r="QWK97" s="15"/>
      <c r="QWL97" s="15"/>
      <c r="QWM97" s="15"/>
      <c r="QWN97" s="15"/>
      <c r="QWO97" s="15"/>
      <c r="QWP97" s="15"/>
      <c r="QWQ97" s="15"/>
      <c r="QWR97" s="15"/>
      <c r="QWS97" s="15"/>
      <c r="QWT97" s="15"/>
      <c r="QWU97" s="15"/>
      <c r="QWV97" s="15"/>
      <c r="QWW97" s="15"/>
      <c r="QWX97" s="15"/>
      <c r="QWY97" s="15"/>
      <c r="QWZ97" s="15"/>
      <c r="QXA97" s="15"/>
      <c r="QXB97" s="15"/>
      <c r="QXC97" s="15"/>
      <c r="QXD97" s="15"/>
      <c r="QXE97" s="15"/>
      <c r="QXF97" s="15"/>
      <c r="QXG97" s="15"/>
      <c r="QXH97" s="15"/>
      <c r="QXI97" s="15"/>
      <c r="QXJ97" s="15"/>
      <c r="QXK97" s="15"/>
      <c r="QXL97" s="15"/>
      <c r="QXM97" s="15"/>
      <c r="QXN97" s="15"/>
      <c r="QXO97" s="15"/>
      <c r="QXP97" s="15"/>
      <c r="QXQ97" s="15"/>
      <c r="QXR97" s="15"/>
      <c r="QXS97" s="15"/>
      <c r="QXT97" s="15"/>
      <c r="QXU97" s="15"/>
      <c r="QXV97" s="15"/>
      <c r="QXW97" s="15"/>
      <c r="QXX97" s="15"/>
      <c r="QXY97" s="15"/>
      <c r="QXZ97" s="15"/>
      <c r="QYA97" s="15"/>
      <c r="QYB97" s="15"/>
      <c r="QYC97" s="15"/>
      <c r="QYD97" s="15"/>
      <c r="QYE97" s="15"/>
      <c r="QYF97" s="15"/>
      <c r="QYG97" s="15"/>
      <c r="QYH97" s="15"/>
      <c r="QYI97" s="15"/>
      <c r="QYJ97" s="15"/>
      <c r="QYK97" s="15"/>
      <c r="QYL97" s="15"/>
      <c r="QYM97" s="15"/>
      <c r="QYN97" s="15"/>
      <c r="QYO97" s="15"/>
      <c r="QYP97" s="15"/>
      <c r="QYQ97" s="15"/>
      <c r="QYR97" s="15"/>
      <c r="QYS97" s="15"/>
      <c r="QYT97" s="15"/>
      <c r="QYU97" s="15"/>
      <c r="QYV97" s="15"/>
      <c r="QYW97" s="15"/>
      <c r="QYX97" s="15"/>
      <c r="QYY97" s="15"/>
      <c r="QYZ97" s="15"/>
      <c r="QZA97" s="15"/>
      <c r="QZB97" s="15"/>
      <c r="QZC97" s="15"/>
      <c r="QZD97" s="15"/>
      <c r="QZE97" s="15"/>
      <c r="QZF97" s="15"/>
      <c r="QZG97" s="15"/>
      <c r="QZH97" s="15"/>
      <c r="QZI97" s="15"/>
      <c r="QZJ97" s="15"/>
      <c r="QZK97" s="15"/>
      <c r="QZL97" s="15"/>
      <c r="QZM97" s="15"/>
      <c r="QZN97" s="15"/>
      <c r="QZO97" s="15"/>
      <c r="QZP97" s="15"/>
      <c r="QZQ97" s="15"/>
      <c r="QZR97" s="15"/>
      <c r="QZS97" s="15"/>
      <c r="QZT97" s="15"/>
      <c r="QZU97" s="15"/>
      <c r="QZV97" s="15"/>
      <c r="QZW97" s="15"/>
      <c r="QZX97" s="15"/>
      <c r="QZY97" s="15"/>
      <c r="QZZ97" s="15"/>
      <c r="RAA97" s="15"/>
      <c r="RAB97" s="15"/>
      <c r="RAC97" s="15"/>
      <c r="RAD97" s="15"/>
      <c r="RAE97" s="15"/>
      <c r="RAF97" s="15"/>
      <c r="RAG97" s="15"/>
      <c r="RAH97" s="15"/>
      <c r="RAI97" s="15"/>
      <c r="RAJ97" s="15"/>
      <c r="RAK97" s="15"/>
      <c r="RAL97" s="15"/>
      <c r="RAM97" s="15"/>
      <c r="RAN97" s="15"/>
      <c r="RAO97" s="15"/>
      <c r="RAP97" s="15"/>
      <c r="RAQ97" s="15"/>
      <c r="RAR97" s="15"/>
      <c r="RAS97" s="15"/>
      <c r="RAT97" s="15"/>
      <c r="RAU97" s="15"/>
      <c r="RAV97" s="15"/>
      <c r="RAW97" s="15"/>
      <c r="RAX97" s="15"/>
      <c r="RAY97" s="15"/>
      <c r="RAZ97" s="15"/>
      <c r="RBA97" s="15"/>
      <c r="RBB97" s="15"/>
      <c r="RBC97" s="15"/>
      <c r="RBD97" s="15"/>
      <c r="RBE97" s="15"/>
      <c r="RBF97" s="15"/>
      <c r="RBG97" s="15"/>
      <c r="RBH97" s="15"/>
      <c r="RBI97" s="15"/>
      <c r="RBJ97" s="15"/>
      <c r="RBK97" s="15"/>
      <c r="RBL97" s="15"/>
      <c r="RBM97" s="15"/>
      <c r="RBN97" s="15"/>
      <c r="RBO97" s="15"/>
      <c r="RBP97" s="15"/>
      <c r="RBQ97" s="15"/>
      <c r="RBR97" s="15"/>
      <c r="RBS97" s="15"/>
      <c r="RBT97" s="15"/>
      <c r="RBU97" s="15"/>
      <c r="RBV97" s="15"/>
      <c r="RBW97" s="15"/>
      <c r="RBX97" s="15"/>
      <c r="RBY97" s="15"/>
      <c r="RBZ97" s="15"/>
      <c r="RCA97" s="15"/>
      <c r="RCB97" s="15"/>
      <c r="RCC97" s="15"/>
      <c r="RCD97" s="15"/>
      <c r="RCE97" s="15"/>
      <c r="RCF97" s="15"/>
      <c r="RCG97" s="15"/>
      <c r="RCH97" s="15"/>
      <c r="RCI97" s="15"/>
      <c r="RCJ97" s="15"/>
      <c r="RCK97" s="15"/>
      <c r="RCL97" s="15"/>
      <c r="RCM97" s="15"/>
      <c r="RCN97" s="15"/>
      <c r="RCO97" s="15"/>
      <c r="RCP97" s="15"/>
      <c r="RCQ97" s="15"/>
      <c r="RCR97" s="15"/>
      <c r="RCS97" s="15"/>
      <c r="RCT97" s="15"/>
      <c r="RCU97" s="15"/>
      <c r="RCV97" s="15"/>
      <c r="RCW97" s="15"/>
      <c r="RCX97" s="15"/>
      <c r="RCY97" s="15"/>
      <c r="RCZ97" s="15"/>
      <c r="RDA97" s="15"/>
      <c r="RDB97" s="15"/>
      <c r="RDC97" s="15"/>
      <c r="RDD97" s="15"/>
      <c r="RDE97" s="15"/>
      <c r="RDF97" s="15"/>
      <c r="RDG97" s="15"/>
      <c r="RDH97" s="15"/>
      <c r="RDI97" s="15"/>
      <c r="RDJ97" s="15"/>
      <c r="RDK97" s="15"/>
      <c r="RDL97" s="15"/>
      <c r="RDM97" s="15"/>
      <c r="RDN97" s="15"/>
      <c r="RDO97" s="15"/>
      <c r="RDP97" s="15"/>
      <c r="RDQ97" s="15"/>
      <c r="RDR97" s="15"/>
      <c r="RDS97" s="15"/>
      <c r="RDT97" s="15"/>
      <c r="RDU97" s="15"/>
      <c r="RDV97" s="15"/>
      <c r="RDW97" s="15"/>
      <c r="RDX97" s="15"/>
      <c r="RDY97" s="15"/>
      <c r="RDZ97" s="15"/>
      <c r="REA97" s="15"/>
      <c r="REB97" s="15"/>
      <c r="REC97" s="15"/>
      <c r="RED97" s="15"/>
      <c r="REE97" s="15"/>
      <c r="REF97" s="15"/>
      <c r="REG97" s="15"/>
      <c r="REH97" s="15"/>
      <c r="REI97" s="15"/>
      <c r="REJ97" s="15"/>
      <c r="REK97" s="15"/>
      <c r="REL97" s="15"/>
      <c r="REM97" s="15"/>
      <c r="REN97" s="15"/>
      <c r="REO97" s="15"/>
      <c r="REP97" s="15"/>
      <c r="REQ97" s="15"/>
      <c r="RER97" s="15"/>
      <c r="RES97" s="15"/>
      <c r="RET97" s="15"/>
      <c r="REU97" s="15"/>
      <c r="REV97" s="15"/>
      <c r="REW97" s="15"/>
      <c r="REX97" s="15"/>
      <c r="REY97" s="15"/>
      <c r="REZ97" s="15"/>
      <c r="RFA97" s="15"/>
      <c r="RFB97" s="15"/>
      <c r="RFC97" s="15"/>
      <c r="RFD97" s="15"/>
      <c r="RFE97" s="15"/>
      <c r="RFF97" s="15"/>
      <c r="RFG97" s="15"/>
      <c r="RFH97" s="15"/>
      <c r="RFI97" s="15"/>
      <c r="RFJ97" s="15"/>
      <c r="RFK97" s="15"/>
      <c r="RFL97" s="15"/>
      <c r="RFM97" s="15"/>
      <c r="RFN97" s="15"/>
      <c r="RFO97" s="15"/>
      <c r="RFP97" s="15"/>
      <c r="RFQ97" s="15"/>
      <c r="RFR97" s="15"/>
      <c r="RFS97" s="15"/>
      <c r="RFT97" s="15"/>
      <c r="RFU97" s="15"/>
      <c r="RFV97" s="15"/>
      <c r="RFW97" s="15"/>
      <c r="RFX97" s="15"/>
      <c r="RFY97" s="15"/>
      <c r="RFZ97" s="15"/>
      <c r="RGA97" s="15"/>
      <c r="RGB97" s="15"/>
      <c r="RGC97" s="15"/>
      <c r="RGD97" s="15"/>
      <c r="RGE97" s="15"/>
      <c r="RGF97" s="15"/>
      <c r="RGG97" s="15"/>
      <c r="RGH97" s="15"/>
      <c r="RGI97" s="15"/>
      <c r="RGJ97" s="15"/>
      <c r="RGK97" s="15"/>
      <c r="RGL97" s="15"/>
      <c r="RGM97" s="15"/>
      <c r="RGN97" s="15"/>
      <c r="RGO97" s="15"/>
      <c r="RGP97" s="15"/>
      <c r="RGQ97" s="15"/>
      <c r="RGR97" s="15"/>
      <c r="RGS97" s="15"/>
      <c r="RGT97" s="15"/>
      <c r="RGU97" s="15"/>
      <c r="RGV97" s="15"/>
      <c r="RGW97" s="15"/>
      <c r="RGX97" s="15"/>
      <c r="RGY97" s="15"/>
      <c r="RGZ97" s="15"/>
      <c r="RHA97" s="15"/>
      <c r="RHB97" s="15"/>
      <c r="RHC97" s="15"/>
      <c r="RHD97" s="15"/>
      <c r="RHE97" s="15"/>
      <c r="RHF97" s="15"/>
      <c r="RHG97" s="15"/>
      <c r="RHH97" s="15"/>
      <c r="RHI97" s="15"/>
      <c r="RHJ97" s="15"/>
      <c r="RHK97" s="15"/>
      <c r="RHL97" s="15"/>
      <c r="RHM97" s="15"/>
      <c r="RHN97" s="15"/>
      <c r="RHO97" s="15"/>
      <c r="RHP97" s="15"/>
      <c r="RHQ97" s="15"/>
      <c r="RHR97" s="15"/>
      <c r="RHS97" s="15"/>
      <c r="RHT97" s="15"/>
      <c r="RHU97" s="15"/>
      <c r="RHV97" s="15"/>
      <c r="RHW97" s="15"/>
      <c r="RHX97" s="15"/>
      <c r="RHY97" s="15"/>
      <c r="RHZ97" s="15"/>
      <c r="RIA97" s="15"/>
      <c r="RIB97" s="15"/>
      <c r="RIC97" s="15"/>
      <c r="RID97" s="15"/>
      <c r="RIE97" s="15"/>
      <c r="RIF97" s="15"/>
      <c r="RIG97" s="15"/>
      <c r="RIH97" s="15"/>
      <c r="RII97" s="15"/>
      <c r="RIJ97" s="15"/>
      <c r="RIK97" s="15"/>
      <c r="RIL97" s="15"/>
      <c r="RIM97" s="15"/>
      <c r="RIN97" s="15"/>
      <c r="RIO97" s="15"/>
      <c r="RIP97" s="15"/>
      <c r="RIQ97" s="15"/>
      <c r="RIR97" s="15"/>
      <c r="RIS97" s="15"/>
      <c r="RIT97" s="15"/>
      <c r="RIU97" s="15"/>
      <c r="RIV97" s="15"/>
      <c r="RIW97" s="15"/>
      <c r="RIX97" s="15"/>
      <c r="RIY97" s="15"/>
      <c r="RIZ97" s="15"/>
      <c r="RJA97" s="15"/>
      <c r="RJB97" s="15"/>
      <c r="RJC97" s="15"/>
      <c r="RJD97" s="15"/>
      <c r="RJE97" s="15"/>
      <c r="RJF97" s="15"/>
      <c r="RJG97" s="15"/>
      <c r="RJH97" s="15"/>
      <c r="RJI97" s="15"/>
      <c r="RJJ97" s="15"/>
      <c r="RJK97" s="15"/>
      <c r="RJL97" s="15"/>
      <c r="RJM97" s="15"/>
      <c r="RJN97" s="15"/>
      <c r="RJO97" s="15"/>
      <c r="RJP97" s="15"/>
      <c r="RJQ97" s="15"/>
      <c r="RJR97" s="15"/>
      <c r="RJS97" s="15"/>
      <c r="RJT97" s="15"/>
      <c r="RJU97" s="15"/>
      <c r="RJV97" s="15"/>
      <c r="RJW97" s="15"/>
      <c r="RJX97" s="15"/>
      <c r="RJY97" s="15"/>
      <c r="RJZ97" s="15"/>
      <c r="RKA97" s="15"/>
      <c r="RKB97" s="15"/>
      <c r="RKC97" s="15"/>
      <c r="RKD97" s="15"/>
      <c r="RKE97" s="15"/>
      <c r="RKF97" s="15"/>
      <c r="RKG97" s="15"/>
      <c r="RKH97" s="15"/>
      <c r="RKI97" s="15"/>
      <c r="RKJ97" s="15"/>
      <c r="RKK97" s="15"/>
      <c r="RKL97" s="15"/>
      <c r="RKM97" s="15"/>
      <c r="RKN97" s="15"/>
      <c r="RKO97" s="15"/>
      <c r="RKP97" s="15"/>
      <c r="RKQ97" s="15"/>
      <c r="RKR97" s="15"/>
      <c r="RKS97" s="15"/>
      <c r="RKT97" s="15"/>
      <c r="RKU97" s="15"/>
      <c r="RKV97" s="15"/>
      <c r="RKW97" s="15"/>
      <c r="RKX97" s="15"/>
      <c r="RKY97" s="15"/>
      <c r="RKZ97" s="15"/>
      <c r="RLA97" s="15"/>
      <c r="RLB97" s="15"/>
      <c r="RLC97" s="15"/>
      <c r="RLD97" s="15"/>
      <c r="RLE97" s="15"/>
      <c r="RLF97" s="15"/>
      <c r="RLG97" s="15"/>
      <c r="RLH97" s="15"/>
      <c r="RLI97" s="15"/>
      <c r="RLJ97" s="15"/>
      <c r="RLK97" s="15"/>
      <c r="RLL97" s="15"/>
      <c r="RLM97" s="15"/>
      <c r="RLN97" s="15"/>
      <c r="RLO97" s="15"/>
      <c r="RLP97" s="15"/>
      <c r="RLQ97" s="15"/>
      <c r="RLR97" s="15"/>
      <c r="RLS97" s="15"/>
      <c r="RLT97" s="15"/>
      <c r="RLU97" s="15"/>
      <c r="RLV97" s="15"/>
      <c r="RLW97" s="15"/>
      <c r="RLX97" s="15"/>
      <c r="RLY97" s="15"/>
      <c r="RLZ97" s="15"/>
      <c r="RMA97" s="15"/>
      <c r="RMB97" s="15"/>
      <c r="RMC97" s="15"/>
      <c r="RMD97" s="15"/>
      <c r="RME97" s="15"/>
      <c r="RMF97" s="15"/>
      <c r="RMG97" s="15"/>
      <c r="RMH97" s="15"/>
      <c r="RMI97" s="15"/>
      <c r="RMJ97" s="15"/>
      <c r="RMK97" s="15"/>
      <c r="RML97" s="15"/>
      <c r="RMM97" s="15"/>
      <c r="RMN97" s="15"/>
      <c r="RMO97" s="15"/>
      <c r="RMP97" s="15"/>
      <c r="RMQ97" s="15"/>
      <c r="RMR97" s="15"/>
      <c r="RMS97" s="15"/>
      <c r="RMT97" s="15"/>
      <c r="RMU97" s="15"/>
      <c r="RMV97" s="15"/>
      <c r="RMW97" s="15"/>
      <c r="RMX97" s="15"/>
      <c r="RMY97" s="15"/>
      <c r="RMZ97" s="15"/>
      <c r="RNA97" s="15"/>
      <c r="RNB97" s="15"/>
      <c r="RNC97" s="15"/>
      <c r="RND97" s="15"/>
      <c r="RNE97" s="15"/>
      <c r="RNF97" s="15"/>
      <c r="RNG97" s="15"/>
      <c r="RNH97" s="15"/>
      <c r="RNI97" s="15"/>
      <c r="RNJ97" s="15"/>
      <c r="RNK97" s="15"/>
      <c r="RNL97" s="15"/>
      <c r="RNM97" s="15"/>
      <c r="RNN97" s="15"/>
      <c r="RNO97" s="15"/>
      <c r="RNP97" s="15"/>
      <c r="RNQ97" s="15"/>
      <c r="RNR97" s="15"/>
      <c r="RNS97" s="15"/>
      <c r="RNT97" s="15"/>
      <c r="RNU97" s="15"/>
      <c r="RNV97" s="15"/>
      <c r="RNW97" s="15"/>
      <c r="RNX97" s="15"/>
      <c r="RNY97" s="15"/>
      <c r="RNZ97" s="15"/>
      <c r="ROA97" s="15"/>
      <c r="ROB97" s="15"/>
      <c r="ROC97" s="15"/>
      <c r="ROD97" s="15"/>
      <c r="ROE97" s="15"/>
      <c r="ROF97" s="15"/>
      <c r="ROG97" s="15"/>
      <c r="ROH97" s="15"/>
      <c r="ROI97" s="15"/>
      <c r="ROJ97" s="15"/>
      <c r="ROK97" s="15"/>
      <c r="ROL97" s="15"/>
      <c r="ROM97" s="15"/>
      <c r="RON97" s="15"/>
      <c r="ROO97" s="15"/>
      <c r="ROP97" s="15"/>
      <c r="ROQ97" s="15"/>
      <c r="ROR97" s="15"/>
      <c r="ROS97" s="15"/>
      <c r="ROT97" s="15"/>
      <c r="ROU97" s="15"/>
      <c r="ROV97" s="15"/>
      <c r="ROW97" s="15"/>
      <c r="ROX97" s="15"/>
      <c r="ROY97" s="15"/>
      <c r="ROZ97" s="15"/>
      <c r="RPA97" s="15"/>
      <c r="RPB97" s="15"/>
      <c r="RPC97" s="15"/>
      <c r="RPD97" s="15"/>
      <c r="RPE97" s="15"/>
      <c r="RPF97" s="15"/>
      <c r="RPG97" s="15"/>
      <c r="RPH97" s="15"/>
      <c r="RPI97" s="15"/>
      <c r="RPJ97" s="15"/>
      <c r="RPK97" s="15"/>
      <c r="RPL97" s="15"/>
      <c r="RPM97" s="15"/>
      <c r="RPN97" s="15"/>
      <c r="RPO97" s="15"/>
      <c r="RPP97" s="15"/>
      <c r="RPQ97" s="15"/>
      <c r="RPR97" s="15"/>
      <c r="RPS97" s="15"/>
      <c r="RPT97" s="15"/>
      <c r="RPU97" s="15"/>
      <c r="RPV97" s="15"/>
      <c r="RPW97" s="15"/>
      <c r="RPX97" s="15"/>
      <c r="RPY97" s="15"/>
      <c r="RPZ97" s="15"/>
      <c r="RQA97" s="15"/>
      <c r="RQB97" s="15"/>
      <c r="RQC97" s="15"/>
      <c r="RQD97" s="15"/>
      <c r="RQE97" s="15"/>
      <c r="RQF97" s="15"/>
      <c r="RQG97" s="15"/>
      <c r="RQH97" s="15"/>
      <c r="RQI97" s="15"/>
      <c r="RQJ97" s="15"/>
      <c r="RQK97" s="15"/>
      <c r="RQL97" s="15"/>
      <c r="RQM97" s="15"/>
      <c r="RQN97" s="15"/>
      <c r="RQO97" s="15"/>
      <c r="RQP97" s="15"/>
      <c r="RQQ97" s="15"/>
      <c r="RQR97" s="15"/>
      <c r="RQS97" s="15"/>
      <c r="RQT97" s="15"/>
      <c r="RQU97" s="15"/>
      <c r="RQV97" s="15"/>
      <c r="RQW97" s="15"/>
      <c r="RQX97" s="15"/>
      <c r="RQY97" s="15"/>
      <c r="RQZ97" s="15"/>
      <c r="RRA97" s="15"/>
      <c r="RRB97" s="15"/>
      <c r="RRC97" s="15"/>
      <c r="RRD97" s="15"/>
      <c r="RRE97" s="15"/>
      <c r="RRF97" s="15"/>
      <c r="RRG97" s="15"/>
      <c r="RRH97" s="15"/>
      <c r="RRI97" s="15"/>
      <c r="RRJ97" s="15"/>
      <c r="RRK97" s="15"/>
      <c r="RRL97" s="15"/>
      <c r="RRM97" s="15"/>
      <c r="RRN97" s="15"/>
      <c r="RRO97" s="15"/>
      <c r="RRP97" s="15"/>
      <c r="RRQ97" s="15"/>
      <c r="RRR97" s="15"/>
      <c r="RRS97" s="15"/>
      <c r="RRT97" s="15"/>
      <c r="RRU97" s="15"/>
      <c r="RRV97" s="15"/>
      <c r="RRW97" s="15"/>
      <c r="RRX97" s="15"/>
      <c r="RRY97" s="15"/>
      <c r="RRZ97" s="15"/>
      <c r="RSA97" s="15"/>
      <c r="RSB97" s="15"/>
      <c r="RSC97" s="15"/>
      <c r="RSD97" s="15"/>
      <c r="RSE97" s="15"/>
      <c r="RSF97" s="15"/>
      <c r="RSG97" s="15"/>
      <c r="RSH97" s="15"/>
      <c r="RSI97" s="15"/>
      <c r="RSJ97" s="15"/>
      <c r="RSK97" s="15"/>
      <c r="RSL97" s="15"/>
      <c r="RSM97" s="15"/>
      <c r="RSN97" s="15"/>
      <c r="RSO97" s="15"/>
      <c r="RSP97" s="15"/>
      <c r="RSQ97" s="15"/>
      <c r="RSR97" s="15"/>
      <c r="RSS97" s="15"/>
      <c r="RST97" s="15"/>
      <c r="RSU97" s="15"/>
      <c r="RSV97" s="15"/>
      <c r="RSW97" s="15"/>
      <c r="RSX97" s="15"/>
      <c r="RSY97" s="15"/>
      <c r="RSZ97" s="15"/>
      <c r="RTA97" s="15"/>
      <c r="RTB97" s="15"/>
      <c r="RTC97" s="15"/>
      <c r="RTD97" s="15"/>
      <c r="RTE97" s="15"/>
      <c r="RTF97" s="15"/>
      <c r="RTG97" s="15"/>
      <c r="RTH97" s="15"/>
      <c r="RTI97" s="15"/>
      <c r="RTJ97" s="15"/>
      <c r="RTK97" s="15"/>
      <c r="RTL97" s="15"/>
      <c r="RTM97" s="15"/>
      <c r="RTN97" s="15"/>
      <c r="RTO97" s="15"/>
      <c r="RTP97" s="15"/>
      <c r="RTQ97" s="15"/>
      <c r="RTR97" s="15"/>
      <c r="RTS97" s="15"/>
      <c r="RTT97" s="15"/>
      <c r="RTU97" s="15"/>
      <c r="RTV97" s="15"/>
      <c r="RTW97" s="15"/>
      <c r="RTX97" s="15"/>
      <c r="RTY97" s="15"/>
      <c r="RTZ97" s="15"/>
      <c r="RUA97" s="15"/>
      <c r="RUB97" s="15"/>
      <c r="RUC97" s="15"/>
      <c r="RUD97" s="15"/>
      <c r="RUE97" s="15"/>
      <c r="RUF97" s="15"/>
      <c r="RUG97" s="15"/>
      <c r="RUH97" s="15"/>
      <c r="RUI97" s="15"/>
      <c r="RUJ97" s="15"/>
      <c r="RUK97" s="15"/>
      <c r="RUL97" s="15"/>
      <c r="RUM97" s="15"/>
      <c r="RUN97" s="15"/>
      <c r="RUO97" s="15"/>
      <c r="RUP97" s="15"/>
      <c r="RUQ97" s="15"/>
      <c r="RUR97" s="15"/>
      <c r="RUS97" s="15"/>
      <c r="RUT97" s="15"/>
      <c r="RUU97" s="15"/>
      <c r="RUV97" s="15"/>
      <c r="RUW97" s="15"/>
      <c r="RUX97" s="15"/>
      <c r="RUY97" s="15"/>
      <c r="RUZ97" s="15"/>
      <c r="RVA97" s="15"/>
      <c r="RVB97" s="15"/>
      <c r="RVC97" s="15"/>
      <c r="RVD97" s="15"/>
      <c r="RVE97" s="15"/>
      <c r="RVF97" s="15"/>
      <c r="RVG97" s="15"/>
      <c r="RVH97" s="15"/>
      <c r="RVI97" s="15"/>
      <c r="RVJ97" s="15"/>
      <c r="RVK97" s="15"/>
      <c r="RVL97" s="15"/>
      <c r="RVM97" s="15"/>
      <c r="RVN97" s="15"/>
      <c r="RVO97" s="15"/>
      <c r="RVP97" s="15"/>
      <c r="RVQ97" s="15"/>
      <c r="RVR97" s="15"/>
      <c r="RVS97" s="15"/>
      <c r="RVT97" s="15"/>
      <c r="RVU97" s="15"/>
      <c r="RVV97" s="15"/>
      <c r="RVW97" s="15"/>
      <c r="RVX97" s="15"/>
      <c r="RVY97" s="15"/>
      <c r="RVZ97" s="15"/>
      <c r="RWA97" s="15"/>
      <c r="RWB97" s="15"/>
      <c r="RWC97" s="15"/>
      <c r="RWD97" s="15"/>
      <c r="RWE97" s="15"/>
      <c r="RWF97" s="15"/>
      <c r="RWG97" s="15"/>
      <c r="RWH97" s="15"/>
      <c r="RWI97" s="15"/>
      <c r="RWJ97" s="15"/>
      <c r="RWK97" s="15"/>
      <c r="RWL97" s="15"/>
      <c r="RWM97" s="15"/>
      <c r="RWN97" s="15"/>
      <c r="RWO97" s="15"/>
      <c r="RWP97" s="15"/>
      <c r="RWQ97" s="15"/>
      <c r="RWR97" s="15"/>
      <c r="RWS97" s="15"/>
      <c r="RWT97" s="15"/>
      <c r="RWU97" s="15"/>
      <c r="RWV97" s="15"/>
      <c r="RWW97" s="15"/>
      <c r="RWX97" s="15"/>
      <c r="RWY97" s="15"/>
      <c r="RWZ97" s="15"/>
      <c r="RXA97" s="15"/>
      <c r="RXB97" s="15"/>
      <c r="RXC97" s="15"/>
      <c r="RXD97" s="15"/>
      <c r="RXE97" s="15"/>
      <c r="RXF97" s="15"/>
      <c r="RXG97" s="15"/>
      <c r="RXH97" s="15"/>
      <c r="RXI97" s="15"/>
      <c r="RXJ97" s="15"/>
      <c r="RXK97" s="15"/>
      <c r="RXL97" s="15"/>
      <c r="RXM97" s="15"/>
      <c r="RXN97" s="15"/>
      <c r="RXO97" s="15"/>
      <c r="RXP97" s="15"/>
      <c r="RXQ97" s="15"/>
      <c r="RXR97" s="15"/>
      <c r="RXS97" s="15"/>
      <c r="RXT97" s="15"/>
      <c r="RXU97" s="15"/>
      <c r="RXV97" s="15"/>
      <c r="RXW97" s="15"/>
      <c r="RXX97" s="15"/>
      <c r="RXY97" s="15"/>
      <c r="RXZ97" s="15"/>
      <c r="RYA97" s="15"/>
      <c r="RYB97" s="15"/>
      <c r="RYC97" s="15"/>
      <c r="RYD97" s="15"/>
      <c r="RYE97" s="15"/>
      <c r="RYF97" s="15"/>
      <c r="RYG97" s="15"/>
      <c r="RYH97" s="15"/>
      <c r="RYI97" s="15"/>
      <c r="RYJ97" s="15"/>
      <c r="RYK97" s="15"/>
      <c r="RYL97" s="15"/>
      <c r="RYM97" s="15"/>
      <c r="RYN97" s="15"/>
      <c r="RYO97" s="15"/>
      <c r="RYP97" s="15"/>
      <c r="RYQ97" s="15"/>
      <c r="RYR97" s="15"/>
      <c r="RYS97" s="15"/>
      <c r="RYT97" s="15"/>
      <c r="RYU97" s="15"/>
      <c r="RYV97" s="15"/>
      <c r="RYW97" s="15"/>
      <c r="RYX97" s="15"/>
      <c r="RYY97" s="15"/>
      <c r="RYZ97" s="15"/>
      <c r="RZA97" s="15"/>
      <c r="RZB97" s="15"/>
      <c r="RZC97" s="15"/>
      <c r="RZD97" s="15"/>
      <c r="RZE97" s="15"/>
      <c r="RZF97" s="15"/>
      <c r="RZG97" s="15"/>
      <c r="RZH97" s="15"/>
      <c r="RZI97" s="15"/>
      <c r="RZJ97" s="15"/>
      <c r="RZK97" s="15"/>
      <c r="RZL97" s="15"/>
      <c r="RZM97" s="15"/>
      <c r="RZN97" s="15"/>
      <c r="RZO97" s="15"/>
      <c r="RZP97" s="15"/>
      <c r="RZQ97" s="15"/>
      <c r="RZR97" s="15"/>
      <c r="RZS97" s="15"/>
      <c r="RZT97" s="15"/>
      <c r="RZU97" s="15"/>
      <c r="RZV97" s="15"/>
      <c r="RZW97" s="15"/>
      <c r="RZX97" s="15"/>
      <c r="RZY97" s="15"/>
      <c r="RZZ97" s="15"/>
      <c r="SAA97" s="15"/>
      <c r="SAB97" s="15"/>
      <c r="SAC97" s="15"/>
      <c r="SAD97" s="15"/>
      <c r="SAE97" s="15"/>
      <c r="SAF97" s="15"/>
      <c r="SAG97" s="15"/>
      <c r="SAH97" s="15"/>
      <c r="SAI97" s="15"/>
      <c r="SAJ97" s="15"/>
      <c r="SAK97" s="15"/>
      <c r="SAL97" s="15"/>
      <c r="SAM97" s="15"/>
      <c r="SAN97" s="15"/>
      <c r="SAO97" s="15"/>
      <c r="SAP97" s="15"/>
      <c r="SAQ97" s="15"/>
      <c r="SAR97" s="15"/>
      <c r="SAS97" s="15"/>
      <c r="SAT97" s="15"/>
      <c r="SAU97" s="15"/>
      <c r="SAV97" s="15"/>
      <c r="SAW97" s="15"/>
      <c r="SAX97" s="15"/>
      <c r="SAY97" s="15"/>
      <c r="SAZ97" s="15"/>
      <c r="SBA97" s="15"/>
      <c r="SBB97" s="15"/>
      <c r="SBC97" s="15"/>
      <c r="SBD97" s="15"/>
      <c r="SBE97" s="15"/>
      <c r="SBF97" s="15"/>
      <c r="SBG97" s="15"/>
      <c r="SBH97" s="15"/>
      <c r="SBI97" s="15"/>
      <c r="SBJ97" s="15"/>
      <c r="SBK97" s="15"/>
      <c r="SBL97" s="15"/>
      <c r="SBM97" s="15"/>
      <c r="SBN97" s="15"/>
      <c r="SBO97" s="15"/>
      <c r="SBP97" s="15"/>
      <c r="SBQ97" s="15"/>
      <c r="SBR97" s="15"/>
      <c r="SBS97" s="15"/>
      <c r="SBT97" s="15"/>
      <c r="SBU97" s="15"/>
      <c r="SBV97" s="15"/>
      <c r="SBW97" s="15"/>
      <c r="SBX97" s="15"/>
      <c r="SBY97" s="15"/>
      <c r="SBZ97" s="15"/>
      <c r="SCA97" s="15"/>
      <c r="SCB97" s="15"/>
      <c r="SCC97" s="15"/>
      <c r="SCD97" s="15"/>
      <c r="SCE97" s="15"/>
      <c r="SCF97" s="15"/>
      <c r="SCG97" s="15"/>
      <c r="SCH97" s="15"/>
      <c r="SCI97" s="15"/>
      <c r="SCJ97" s="15"/>
      <c r="SCK97" s="15"/>
      <c r="SCL97" s="15"/>
      <c r="SCM97" s="15"/>
      <c r="SCN97" s="15"/>
      <c r="SCO97" s="15"/>
      <c r="SCP97" s="15"/>
      <c r="SCQ97" s="15"/>
      <c r="SCR97" s="15"/>
      <c r="SCS97" s="15"/>
      <c r="SCT97" s="15"/>
      <c r="SCU97" s="15"/>
      <c r="SCV97" s="15"/>
      <c r="SCW97" s="15"/>
      <c r="SCX97" s="15"/>
      <c r="SCY97" s="15"/>
      <c r="SCZ97" s="15"/>
      <c r="SDA97" s="15"/>
      <c r="SDB97" s="15"/>
      <c r="SDC97" s="15"/>
      <c r="SDD97" s="15"/>
      <c r="SDE97" s="15"/>
      <c r="SDF97" s="15"/>
      <c r="SDG97" s="15"/>
      <c r="SDH97" s="15"/>
      <c r="SDI97" s="15"/>
      <c r="SDJ97" s="15"/>
      <c r="SDK97" s="15"/>
      <c r="SDL97" s="15"/>
      <c r="SDM97" s="15"/>
      <c r="SDN97" s="15"/>
      <c r="SDO97" s="15"/>
      <c r="SDP97" s="15"/>
      <c r="SDQ97" s="15"/>
      <c r="SDR97" s="15"/>
      <c r="SDS97" s="15"/>
      <c r="SDT97" s="15"/>
      <c r="SDU97" s="15"/>
      <c r="SDV97" s="15"/>
      <c r="SDW97" s="15"/>
      <c r="SDX97" s="15"/>
      <c r="SDY97" s="15"/>
      <c r="SDZ97" s="15"/>
      <c r="SEA97" s="15"/>
      <c r="SEB97" s="15"/>
      <c r="SEC97" s="15"/>
      <c r="SED97" s="15"/>
      <c r="SEE97" s="15"/>
      <c r="SEF97" s="15"/>
      <c r="SEG97" s="15"/>
      <c r="SEH97" s="15"/>
      <c r="SEI97" s="15"/>
      <c r="SEJ97" s="15"/>
      <c r="SEK97" s="15"/>
      <c r="SEL97" s="15"/>
      <c r="SEM97" s="15"/>
      <c r="SEN97" s="15"/>
      <c r="SEO97" s="15"/>
      <c r="SEP97" s="15"/>
      <c r="SEQ97" s="15"/>
      <c r="SER97" s="15"/>
      <c r="SES97" s="15"/>
      <c r="SET97" s="15"/>
      <c r="SEU97" s="15"/>
      <c r="SEV97" s="15"/>
      <c r="SEW97" s="15"/>
      <c r="SEX97" s="15"/>
      <c r="SEY97" s="15"/>
      <c r="SEZ97" s="15"/>
      <c r="SFA97" s="15"/>
      <c r="SFB97" s="15"/>
      <c r="SFC97" s="15"/>
      <c r="SFD97" s="15"/>
      <c r="SFE97" s="15"/>
      <c r="SFF97" s="15"/>
      <c r="SFG97" s="15"/>
      <c r="SFH97" s="15"/>
      <c r="SFI97" s="15"/>
      <c r="SFJ97" s="15"/>
      <c r="SFK97" s="15"/>
      <c r="SFL97" s="15"/>
      <c r="SFM97" s="15"/>
      <c r="SFN97" s="15"/>
      <c r="SFO97" s="15"/>
      <c r="SFP97" s="15"/>
      <c r="SFQ97" s="15"/>
      <c r="SFR97" s="15"/>
      <c r="SFS97" s="15"/>
      <c r="SFT97" s="15"/>
      <c r="SFU97" s="15"/>
      <c r="SFV97" s="15"/>
      <c r="SFW97" s="15"/>
      <c r="SFX97" s="15"/>
      <c r="SFY97" s="15"/>
      <c r="SFZ97" s="15"/>
      <c r="SGA97" s="15"/>
      <c r="SGB97" s="15"/>
      <c r="SGC97" s="15"/>
      <c r="SGD97" s="15"/>
      <c r="SGE97" s="15"/>
      <c r="SGF97" s="15"/>
      <c r="SGG97" s="15"/>
      <c r="SGH97" s="15"/>
      <c r="SGI97" s="15"/>
      <c r="SGJ97" s="15"/>
      <c r="SGK97" s="15"/>
      <c r="SGL97" s="15"/>
      <c r="SGM97" s="15"/>
      <c r="SGN97" s="15"/>
      <c r="SGO97" s="15"/>
      <c r="SGP97" s="15"/>
      <c r="SGQ97" s="15"/>
      <c r="SGR97" s="15"/>
      <c r="SGS97" s="15"/>
      <c r="SGT97" s="15"/>
      <c r="SGU97" s="15"/>
      <c r="SGV97" s="15"/>
      <c r="SGW97" s="15"/>
      <c r="SGX97" s="15"/>
      <c r="SGY97" s="15"/>
      <c r="SGZ97" s="15"/>
      <c r="SHA97" s="15"/>
      <c r="SHB97" s="15"/>
      <c r="SHC97" s="15"/>
      <c r="SHD97" s="15"/>
      <c r="SHE97" s="15"/>
      <c r="SHF97" s="15"/>
      <c r="SHG97" s="15"/>
      <c r="SHH97" s="15"/>
      <c r="SHI97" s="15"/>
      <c r="SHJ97" s="15"/>
      <c r="SHK97" s="15"/>
      <c r="SHL97" s="15"/>
      <c r="SHM97" s="15"/>
      <c r="SHN97" s="15"/>
      <c r="SHO97" s="15"/>
      <c r="SHP97" s="15"/>
      <c r="SHQ97" s="15"/>
      <c r="SHR97" s="15"/>
      <c r="SHS97" s="15"/>
      <c r="SHT97" s="15"/>
      <c r="SHU97" s="15"/>
      <c r="SHV97" s="15"/>
      <c r="SHW97" s="15"/>
      <c r="SHX97" s="15"/>
      <c r="SHY97" s="15"/>
      <c r="SHZ97" s="15"/>
      <c r="SIA97" s="15"/>
      <c r="SIB97" s="15"/>
      <c r="SIC97" s="15"/>
      <c r="SID97" s="15"/>
      <c r="SIE97" s="15"/>
      <c r="SIF97" s="15"/>
      <c r="SIG97" s="15"/>
      <c r="SIH97" s="15"/>
      <c r="SII97" s="15"/>
      <c r="SIJ97" s="15"/>
      <c r="SIK97" s="15"/>
      <c r="SIL97" s="15"/>
      <c r="SIM97" s="15"/>
      <c r="SIN97" s="15"/>
      <c r="SIO97" s="15"/>
      <c r="SIP97" s="15"/>
      <c r="SIQ97" s="15"/>
      <c r="SIR97" s="15"/>
      <c r="SIS97" s="15"/>
      <c r="SIT97" s="15"/>
      <c r="SIU97" s="15"/>
      <c r="SIV97" s="15"/>
      <c r="SIW97" s="15"/>
      <c r="SIX97" s="15"/>
      <c r="SIY97" s="15"/>
      <c r="SIZ97" s="15"/>
      <c r="SJA97" s="15"/>
      <c r="SJB97" s="15"/>
      <c r="SJC97" s="15"/>
      <c r="SJD97" s="15"/>
      <c r="SJE97" s="15"/>
      <c r="SJF97" s="15"/>
      <c r="SJG97" s="15"/>
      <c r="SJH97" s="15"/>
      <c r="SJI97" s="15"/>
      <c r="SJJ97" s="15"/>
      <c r="SJK97" s="15"/>
      <c r="SJL97" s="15"/>
      <c r="SJM97" s="15"/>
      <c r="SJN97" s="15"/>
      <c r="SJO97" s="15"/>
      <c r="SJP97" s="15"/>
      <c r="SJQ97" s="15"/>
      <c r="SJR97" s="15"/>
      <c r="SJS97" s="15"/>
      <c r="SJT97" s="15"/>
      <c r="SJU97" s="15"/>
      <c r="SJV97" s="15"/>
      <c r="SJW97" s="15"/>
      <c r="SJX97" s="15"/>
      <c r="SJY97" s="15"/>
      <c r="SJZ97" s="15"/>
      <c r="SKA97" s="15"/>
      <c r="SKB97" s="15"/>
      <c r="SKC97" s="15"/>
      <c r="SKD97" s="15"/>
      <c r="SKE97" s="15"/>
      <c r="SKF97" s="15"/>
      <c r="SKG97" s="15"/>
      <c r="SKH97" s="15"/>
      <c r="SKI97" s="15"/>
      <c r="SKJ97" s="15"/>
      <c r="SKK97" s="15"/>
      <c r="SKL97" s="15"/>
      <c r="SKM97" s="15"/>
      <c r="SKN97" s="15"/>
      <c r="SKO97" s="15"/>
      <c r="SKP97" s="15"/>
      <c r="SKQ97" s="15"/>
      <c r="SKR97" s="15"/>
      <c r="SKS97" s="15"/>
      <c r="SKT97" s="15"/>
      <c r="SKU97" s="15"/>
      <c r="SKV97" s="15"/>
      <c r="SKW97" s="15"/>
      <c r="SKX97" s="15"/>
      <c r="SKY97" s="15"/>
      <c r="SKZ97" s="15"/>
      <c r="SLA97" s="15"/>
      <c r="SLB97" s="15"/>
      <c r="SLC97" s="15"/>
      <c r="SLD97" s="15"/>
      <c r="SLE97" s="15"/>
      <c r="SLF97" s="15"/>
      <c r="SLG97" s="15"/>
      <c r="SLH97" s="15"/>
      <c r="SLI97" s="15"/>
      <c r="SLJ97" s="15"/>
      <c r="SLK97" s="15"/>
      <c r="SLL97" s="15"/>
      <c r="SLM97" s="15"/>
      <c r="SLN97" s="15"/>
      <c r="SLO97" s="15"/>
      <c r="SLP97" s="15"/>
      <c r="SLQ97" s="15"/>
      <c r="SLR97" s="15"/>
      <c r="SLS97" s="15"/>
      <c r="SLT97" s="15"/>
      <c r="SLU97" s="15"/>
      <c r="SLV97" s="15"/>
      <c r="SLW97" s="15"/>
      <c r="SLX97" s="15"/>
      <c r="SLY97" s="15"/>
      <c r="SLZ97" s="15"/>
      <c r="SMA97" s="15"/>
      <c r="SMB97" s="15"/>
      <c r="SMC97" s="15"/>
      <c r="SMD97" s="15"/>
      <c r="SME97" s="15"/>
      <c r="SMF97" s="15"/>
      <c r="SMG97" s="15"/>
      <c r="SMH97" s="15"/>
      <c r="SMI97" s="15"/>
      <c r="SMJ97" s="15"/>
      <c r="SMK97" s="15"/>
      <c r="SML97" s="15"/>
      <c r="SMM97" s="15"/>
      <c r="SMN97" s="15"/>
      <c r="SMO97" s="15"/>
      <c r="SMP97" s="15"/>
      <c r="SMQ97" s="15"/>
      <c r="SMR97" s="15"/>
      <c r="SMS97" s="15"/>
      <c r="SMT97" s="15"/>
      <c r="SMU97" s="15"/>
      <c r="SMV97" s="15"/>
      <c r="SMW97" s="15"/>
      <c r="SMX97" s="15"/>
      <c r="SMY97" s="15"/>
      <c r="SMZ97" s="15"/>
      <c r="SNA97" s="15"/>
      <c r="SNB97" s="15"/>
      <c r="SNC97" s="15"/>
      <c r="SND97" s="15"/>
      <c r="SNE97" s="15"/>
      <c r="SNF97" s="15"/>
      <c r="SNG97" s="15"/>
      <c r="SNH97" s="15"/>
      <c r="SNI97" s="15"/>
      <c r="SNJ97" s="15"/>
      <c r="SNK97" s="15"/>
      <c r="SNL97" s="15"/>
      <c r="SNM97" s="15"/>
      <c r="SNN97" s="15"/>
      <c r="SNO97" s="15"/>
      <c r="SNP97" s="15"/>
      <c r="SNQ97" s="15"/>
      <c r="SNR97" s="15"/>
      <c r="SNS97" s="15"/>
      <c r="SNT97" s="15"/>
      <c r="SNU97" s="15"/>
      <c r="SNV97" s="15"/>
      <c r="SNW97" s="15"/>
      <c r="SNX97" s="15"/>
      <c r="SNY97" s="15"/>
      <c r="SNZ97" s="15"/>
      <c r="SOA97" s="15"/>
      <c r="SOB97" s="15"/>
      <c r="SOC97" s="15"/>
      <c r="SOD97" s="15"/>
      <c r="SOE97" s="15"/>
      <c r="SOF97" s="15"/>
      <c r="SOG97" s="15"/>
      <c r="SOH97" s="15"/>
      <c r="SOI97" s="15"/>
      <c r="SOJ97" s="15"/>
      <c r="SOK97" s="15"/>
      <c r="SOL97" s="15"/>
      <c r="SOM97" s="15"/>
      <c r="SON97" s="15"/>
      <c r="SOO97" s="15"/>
      <c r="SOP97" s="15"/>
      <c r="SOQ97" s="15"/>
      <c r="SOR97" s="15"/>
      <c r="SOS97" s="15"/>
      <c r="SOT97" s="15"/>
      <c r="SOU97" s="15"/>
      <c r="SOV97" s="15"/>
      <c r="SOW97" s="15"/>
      <c r="SOX97" s="15"/>
      <c r="SOY97" s="15"/>
      <c r="SOZ97" s="15"/>
      <c r="SPA97" s="15"/>
      <c r="SPB97" s="15"/>
      <c r="SPC97" s="15"/>
      <c r="SPD97" s="15"/>
      <c r="SPE97" s="15"/>
      <c r="SPF97" s="15"/>
      <c r="SPG97" s="15"/>
      <c r="SPH97" s="15"/>
      <c r="SPI97" s="15"/>
      <c r="SPJ97" s="15"/>
      <c r="SPK97" s="15"/>
      <c r="SPL97" s="15"/>
      <c r="SPM97" s="15"/>
      <c r="SPN97" s="15"/>
      <c r="SPO97" s="15"/>
      <c r="SPP97" s="15"/>
      <c r="SPQ97" s="15"/>
      <c r="SPR97" s="15"/>
      <c r="SPS97" s="15"/>
      <c r="SPT97" s="15"/>
      <c r="SPU97" s="15"/>
      <c r="SPV97" s="15"/>
      <c r="SPW97" s="15"/>
      <c r="SPX97" s="15"/>
      <c r="SPY97" s="15"/>
      <c r="SPZ97" s="15"/>
      <c r="SQA97" s="15"/>
      <c r="SQB97" s="15"/>
      <c r="SQC97" s="15"/>
      <c r="SQD97" s="15"/>
      <c r="SQE97" s="15"/>
      <c r="SQF97" s="15"/>
      <c r="SQG97" s="15"/>
      <c r="SQH97" s="15"/>
      <c r="SQI97" s="15"/>
      <c r="SQJ97" s="15"/>
      <c r="SQK97" s="15"/>
      <c r="SQL97" s="15"/>
      <c r="SQM97" s="15"/>
      <c r="SQN97" s="15"/>
      <c r="SQO97" s="15"/>
      <c r="SQP97" s="15"/>
      <c r="SQQ97" s="15"/>
      <c r="SQR97" s="15"/>
      <c r="SQS97" s="15"/>
      <c r="SQT97" s="15"/>
      <c r="SQU97" s="15"/>
      <c r="SQV97" s="15"/>
      <c r="SQW97" s="15"/>
      <c r="SQX97" s="15"/>
      <c r="SQY97" s="15"/>
      <c r="SQZ97" s="15"/>
      <c r="SRA97" s="15"/>
      <c r="SRB97" s="15"/>
      <c r="SRC97" s="15"/>
      <c r="SRD97" s="15"/>
      <c r="SRE97" s="15"/>
      <c r="SRF97" s="15"/>
      <c r="SRG97" s="15"/>
      <c r="SRH97" s="15"/>
      <c r="SRI97" s="15"/>
      <c r="SRJ97" s="15"/>
      <c r="SRK97" s="15"/>
      <c r="SRL97" s="15"/>
      <c r="SRM97" s="15"/>
      <c r="SRN97" s="15"/>
      <c r="SRO97" s="15"/>
      <c r="SRP97" s="15"/>
      <c r="SRQ97" s="15"/>
      <c r="SRR97" s="15"/>
      <c r="SRS97" s="15"/>
      <c r="SRT97" s="15"/>
      <c r="SRU97" s="15"/>
      <c r="SRV97" s="15"/>
      <c r="SRW97" s="15"/>
      <c r="SRX97" s="15"/>
      <c r="SRY97" s="15"/>
      <c r="SRZ97" s="15"/>
      <c r="SSA97" s="15"/>
      <c r="SSB97" s="15"/>
      <c r="SSC97" s="15"/>
      <c r="SSD97" s="15"/>
      <c r="SSE97" s="15"/>
      <c r="SSF97" s="15"/>
      <c r="SSG97" s="15"/>
      <c r="SSH97" s="15"/>
      <c r="SSI97" s="15"/>
      <c r="SSJ97" s="15"/>
      <c r="SSK97" s="15"/>
      <c r="SSL97" s="15"/>
      <c r="SSM97" s="15"/>
      <c r="SSN97" s="15"/>
      <c r="SSO97" s="15"/>
      <c r="SSP97" s="15"/>
      <c r="SSQ97" s="15"/>
      <c r="SSR97" s="15"/>
      <c r="SSS97" s="15"/>
      <c r="SST97" s="15"/>
      <c r="SSU97" s="15"/>
      <c r="SSV97" s="15"/>
      <c r="SSW97" s="15"/>
      <c r="SSX97" s="15"/>
      <c r="SSY97" s="15"/>
      <c r="SSZ97" s="15"/>
      <c r="STA97" s="15"/>
      <c r="STB97" s="15"/>
      <c r="STC97" s="15"/>
      <c r="STD97" s="15"/>
      <c r="STE97" s="15"/>
      <c r="STF97" s="15"/>
      <c r="STG97" s="15"/>
      <c r="STH97" s="15"/>
      <c r="STI97" s="15"/>
      <c r="STJ97" s="15"/>
      <c r="STK97" s="15"/>
      <c r="STL97" s="15"/>
      <c r="STM97" s="15"/>
      <c r="STN97" s="15"/>
      <c r="STO97" s="15"/>
      <c r="STP97" s="15"/>
      <c r="STQ97" s="15"/>
      <c r="STR97" s="15"/>
      <c r="STS97" s="15"/>
      <c r="STT97" s="15"/>
      <c r="STU97" s="15"/>
      <c r="STV97" s="15"/>
      <c r="STW97" s="15"/>
      <c r="STX97" s="15"/>
      <c r="STY97" s="15"/>
      <c r="STZ97" s="15"/>
      <c r="SUA97" s="15"/>
      <c r="SUB97" s="15"/>
      <c r="SUC97" s="15"/>
      <c r="SUD97" s="15"/>
      <c r="SUE97" s="15"/>
      <c r="SUF97" s="15"/>
      <c r="SUG97" s="15"/>
      <c r="SUH97" s="15"/>
      <c r="SUI97" s="15"/>
      <c r="SUJ97" s="15"/>
      <c r="SUK97" s="15"/>
      <c r="SUL97" s="15"/>
      <c r="SUM97" s="15"/>
      <c r="SUN97" s="15"/>
      <c r="SUO97" s="15"/>
      <c r="SUP97" s="15"/>
      <c r="SUQ97" s="15"/>
      <c r="SUR97" s="15"/>
      <c r="SUS97" s="15"/>
      <c r="SUT97" s="15"/>
      <c r="SUU97" s="15"/>
      <c r="SUV97" s="15"/>
      <c r="SUW97" s="15"/>
      <c r="SUX97" s="15"/>
      <c r="SUY97" s="15"/>
      <c r="SUZ97" s="15"/>
      <c r="SVA97" s="15"/>
      <c r="SVB97" s="15"/>
      <c r="SVC97" s="15"/>
      <c r="SVD97" s="15"/>
      <c r="SVE97" s="15"/>
      <c r="SVF97" s="15"/>
      <c r="SVG97" s="15"/>
      <c r="SVH97" s="15"/>
      <c r="SVI97" s="15"/>
      <c r="SVJ97" s="15"/>
      <c r="SVK97" s="15"/>
      <c r="SVL97" s="15"/>
      <c r="SVM97" s="15"/>
      <c r="SVN97" s="15"/>
      <c r="SVO97" s="15"/>
      <c r="SVP97" s="15"/>
      <c r="SVQ97" s="15"/>
      <c r="SVR97" s="15"/>
      <c r="SVS97" s="15"/>
      <c r="SVT97" s="15"/>
      <c r="SVU97" s="15"/>
      <c r="SVV97" s="15"/>
      <c r="SVW97" s="15"/>
      <c r="SVX97" s="15"/>
      <c r="SVY97" s="15"/>
      <c r="SVZ97" s="15"/>
      <c r="SWA97" s="15"/>
      <c r="SWB97" s="15"/>
      <c r="SWC97" s="15"/>
      <c r="SWD97" s="15"/>
      <c r="SWE97" s="15"/>
      <c r="SWF97" s="15"/>
      <c r="SWG97" s="15"/>
      <c r="SWH97" s="15"/>
      <c r="SWI97" s="15"/>
      <c r="SWJ97" s="15"/>
      <c r="SWK97" s="15"/>
      <c r="SWL97" s="15"/>
      <c r="SWM97" s="15"/>
      <c r="SWN97" s="15"/>
      <c r="SWO97" s="15"/>
      <c r="SWP97" s="15"/>
      <c r="SWQ97" s="15"/>
      <c r="SWR97" s="15"/>
      <c r="SWS97" s="15"/>
      <c r="SWT97" s="15"/>
      <c r="SWU97" s="15"/>
      <c r="SWV97" s="15"/>
      <c r="SWW97" s="15"/>
      <c r="SWX97" s="15"/>
      <c r="SWY97" s="15"/>
      <c r="SWZ97" s="15"/>
      <c r="SXA97" s="15"/>
      <c r="SXB97" s="15"/>
      <c r="SXC97" s="15"/>
      <c r="SXD97" s="15"/>
      <c r="SXE97" s="15"/>
      <c r="SXF97" s="15"/>
      <c r="SXG97" s="15"/>
      <c r="SXH97" s="15"/>
      <c r="SXI97" s="15"/>
      <c r="SXJ97" s="15"/>
      <c r="SXK97" s="15"/>
      <c r="SXL97" s="15"/>
      <c r="SXM97" s="15"/>
      <c r="SXN97" s="15"/>
      <c r="SXO97" s="15"/>
      <c r="SXP97" s="15"/>
      <c r="SXQ97" s="15"/>
      <c r="SXR97" s="15"/>
      <c r="SXS97" s="15"/>
      <c r="SXT97" s="15"/>
      <c r="SXU97" s="15"/>
      <c r="SXV97" s="15"/>
      <c r="SXW97" s="15"/>
      <c r="SXX97" s="15"/>
      <c r="SXY97" s="15"/>
      <c r="SXZ97" s="15"/>
      <c r="SYA97" s="15"/>
      <c r="SYB97" s="15"/>
      <c r="SYC97" s="15"/>
      <c r="SYD97" s="15"/>
      <c r="SYE97" s="15"/>
      <c r="SYF97" s="15"/>
      <c r="SYG97" s="15"/>
      <c r="SYH97" s="15"/>
      <c r="SYI97" s="15"/>
      <c r="SYJ97" s="15"/>
      <c r="SYK97" s="15"/>
      <c r="SYL97" s="15"/>
      <c r="SYM97" s="15"/>
      <c r="SYN97" s="15"/>
      <c r="SYO97" s="15"/>
      <c r="SYP97" s="15"/>
      <c r="SYQ97" s="15"/>
      <c r="SYR97" s="15"/>
      <c r="SYS97" s="15"/>
      <c r="SYT97" s="15"/>
      <c r="SYU97" s="15"/>
      <c r="SYV97" s="15"/>
      <c r="SYW97" s="15"/>
      <c r="SYX97" s="15"/>
      <c r="SYY97" s="15"/>
      <c r="SYZ97" s="15"/>
      <c r="SZA97" s="15"/>
      <c r="SZB97" s="15"/>
      <c r="SZC97" s="15"/>
      <c r="SZD97" s="15"/>
      <c r="SZE97" s="15"/>
      <c r="SZF97" s="15"/>
      <c r="SZG97" s="15"/>
      <c r="SZH97" s="15"/>
      <c r="SZI97" s="15"/>
      <c r="SZJ97" s="15"/>
      <c r="SZK97" s="15"/>
      <c r="SZL97" s="15"/>
      <c r="SZM97" s="15"/>
      <c r="SZN97" s="15"/>
      <c r="SZO97" s="15"/>
      <c r="SZP97" s="15"/>
      <c r="SZQ97" s="15"/>
      <c r="SZR97" s="15"/>
      <c r="SZS97" s="15"/>
      <c r="SZT97" s="15"/>
      <c r="SZU97" s="15"/>
      <c r="SZV97" s="15"/>
      <c r="SZW97" s="15"/>
      <c r="SZX97" s="15"/>
      <c r="SZY97" s="15"/>
      <c r="SZZ97" s="15"/>
      <c r="TAA97" s="15"/>
      <c r="TAB97" s="15"/>
      <c r="TAC97" s="15"/>
      <c r="TAD97" s="15"/>
      <c r="TAE97" s="15"/>
      <c r="TAF97" s="15"/>
      <c r="TAG97" s="15"/>
      <c r="TAH97" s="15"/>
      <c r="TAI97" s="15"/>
      <c r="TAJ97" s="15"/>
      <c r="TAK97" s="15"/>
      <c r="TAL97" s="15"/>
      <c r="TAM97" s="15"/>
      <c r="TAN97" s="15"/>
      <c r="TAO97" s="15"/>
      <c r="TAP97" s="15"/>
      <c r="TAQ97" s="15"/>
      <c r="TAR97" s="15"/>
      <c r="TAS97" s="15"/>
      <c r="TAT97" s="15"/>
      <c r="TAU97" s="15"/>
      <c r="TAV97" s="15"/>
      <c r="TAW97" s="15"/>
      <c r="TAX97" s="15"/>
      <c r="TAY97" s="15"/>
      <c r="TAZ97" s="15"/>
      <c r="TBA97" s="15"/>
      <c r="TBB97" s="15"/>
      <c r="TBC97" s="15"/>
      <c r="TBD97" s="15"/>
      <c r="TBE97" s="15"/>
      <c r="TBF97" s="15"/>
      <c r="TBG97" s="15"/>
      <c r="TBH97" s="15"/>
      <c r="TBI97" s="15"/>
      <c r="TBJ97" s="15"/>
      <c r="TBK97" s="15"/>
      <c r="TBL97" s="15"/>
      <c r="TBM97" s="15"/>
      <c r="TBN97" s="15"/>
      <c r="TBO97" s="15"/>
      <c r="TBP97" s="15"/>
      <c r="TBQ97" s="15"/>
      <c r="TBR97" s="15"/>
      <c r="TBS97" s="15"/>
      <c r="TBT97" s="15"/>
      <c r="TBU97" s="15"/>
      <c r="TBV97" s="15"/>
      <c r="TBW97" s="15"/>
      <c r="TBX97" s="15"/>
      <c r="TBY97" s="15"/>
      <c r="TBZ97" s="15"/>
      <c r="TCA97" s="15"/>
      <c r="TCB97" s="15"/>
      <c r="TCC97" s="15"/>
      <c r="TCD97" s="15"/>
      <c r="TCE97" s="15"/>
      <c r="TCF97" s="15"/>
      <c r="TCG97" s="15"/>
      <c r="TCH97" s="15"/>
      <c r="TCI97" s="15"/>
      <c r="TCJ97" s="15"/>
      <c r="TCK97" s="15"/>
      <c r="TCL97" s="15"/>
      <c r="TCM97" s="15"/>
      <c r="TCN97" s="15"/>
      <c r="TCO97" s="15"/>
      <c r="TCP97" s="15"/>
      <c r="TCQ97" s="15"/>
      <c r="TCR97" s="15"/>
      <c r="TCS97" s="15"/>
      <c r="TCT97" s="15"/>
      <c r="TCU97" s="15"/>
      <c r="TCV97" s="15"/>
      <c r="TCW97" s="15"/>
      <c r="TCX97" s="15"/>
      <c r="TCY97" s="15"/>
      <c r="TCZ97" s="15"/>
      <c r="TDA97" s="15"/>
      <c r="TDB97" s="15"/>
      <c r="TDC97" s="15"/>
      <c r="TDD97" s="15"/>
      <c r="TDE97" s="15"/>
      <c r="TDF97" s="15"/>
      <c r="TDG97" s="15"/>
      <c r="TDH97" s="15"/>
      <c r="TDI97" s="15"/>
      <c r="TDJ97" s="15"/>
      <c r="TDK97" s="15"/>
      <c r="TDL97" s="15"/>
      <c r="TDM97" s="15"/>
      <c r="TDN97" s="15"/>
      <c r="TDO97" s="15"/>
      <c r="TDP97" s="15"/>
      <c r="TDQ97" s="15"/>
      <c r="TDR97" s="15"/>
      <c r="TDS97" s="15"/>
      <c r="TDT97" s="15"/>
      <c r="TDU97" s="15"/>
      <c r="TDV97" s="15"/>
      <c r="TDW97" s="15"/>
      <c r="TDX97" s="15"/>
      <c r="TDY97" s="15"/>
      <c r="TDZ97" s="15"/>
      <c r="TEA97" s="15"/>
      <c r="TEB97" s="15"/>
      <c r="TEC97" s="15"/>
      <c r="TED97" s="15"/>
      <c r="TEE97" s="15"/>
      <c r="TEF97" s="15"/>
      <c r="TEG97" s="15"/>
      <c r="TEH97" s="15"/>
      <c r="TEI97" s="15"/>
      <c r="TEJ97" s="15"/>
      <c r="TEK97" s="15"/>
      <c r="TEL97" s="15"/>
      <c r="TEM97" s="15"/>
      <c r="TEN97" s="15"/>
      <c r="TEO97" s="15"/>
      <c r="TEP97" s="15"/>
      <c r="TEQ97" s="15"/>
      <c r="TER97" s="15"/>
      <c r="TES97" s="15"/>
      <c r="TET97" s="15"/>
      <c r="TEU97" s="15"/>
      <c r="TEV97" s="15"/>
      <c r="TEW97" s="15"/>
      <c r="TEX97" s="15"/>
      <c r="TEY97" s="15"/>
      <c r="TEZ97" s="15"/>
      <c r="TFA97" s="15"/>
      <c r="TFB97" s="15"/>
      <c r="TFC97" s="15"/>
      <c r="TFD97" s="15"/>
      <c r="TFE97" s="15"/>
      <c r="TFF97" s="15"/>
      <c r="TFG97" s="15"/>
      <c r="TFH97" s="15"/>
      <c r="TFI97" s="15"/>
      <c r="TFJ97" s="15"/>
      <c r="TFK97" s="15"/>
      <c r="TFL97" s="15"/>
      <c r="TFM97" s="15"/>
      <c r="TFN97" s="15"/>
      <c r="TFO97" s="15"/>
      <c r="TFP97" s="15"/>
      <c r="TFQ97" s="15"/>
      <c r="TFR97" s="15"/>
      <c r="TFS97" s="15"/>
      <c r="TFT97" s="15"/>
      <c r="TFU97" s="15"/>
      <c r="TFV97" s="15"/>
      <c r="TFW97" s="15"/>
      <c r="TFX97" s="15"/>
      <c r="TFY97" s="15"/>
      <c r="TFZ97" s="15"/>
      <c r="TGA97" s="15"/>
      <c r="TGB97" s="15"/>
      <c r="TGC97" s="15"/>
      <c r="TGD97" s="15"/>
      <c r="TGE97" s="15"/>
      <c r="TGF97" s="15"/>
      <c r="TGG97" s="15"/>
      <c r="TGH97" s="15"/>
      <c r="TGI97" s="15"/>
      <c r="TGJ97" s="15"/>
      <c r="TGK97" s="15"/>
      <c r="TGL97" s="15"/>
      <c r="TGM97" s="15"/>
      <c r="TGN97" s="15"/>
      <c r="TGO97" s="15"/>
      <c r="TGP97" s="15"/>
      <c r="TGQ97" s="15"/>
      <c r="TGR97" s="15"/>
      <c r="TGS97" s="15"/>
      <c r="TGT97" s="15"/>
      <c r="TGU97" s="15"/>
      <c r="TGV97" s="15"/>
      <c r="TGW97" s="15"/>
      <c r="TGX97" s="15"/>
      <c r="TGY97" s="15"/>
      <c r="TGZ97" s="15"/>
      <c r="THA97" s="15"/>
      <c r="THB97" s="15"/>
      <c r="THC97" s="15"/>
      <c r="THD97" s="15"/>
      <c r="THE97" s="15"/>
      <c r="THF97" s="15"/>
      <c r="THG97" s="15"/>
      <c r="THH97" s="15"/>
      <c r="THI97" s="15"/>
      <c r="THJ97" s="15"/>
      <c r="THK97" s="15"/>
      <c r="THL97" s="15"/>
      <c r="THM97" s="15"/>
      <c r="THN97" s="15"/>
      <c r="THO97" s="15"/>
      <c r="THP97" s="15"/>
      <c r="THQ97" s="15"/>
      <c r="THR97" s="15"/>
      <c r="THS97" s="15"/>
      <c r="THT97" s="15"/>
      <c r="THU97" s="15"/>
      <c r="THV97" s="15"/>
      <c r="THW97" s="15"/>
      <c r="THX97" s="15"/>
      <c r="THY97" s="15"/>
      <c r="THZ97" s="15"/>
      <c r="TIA97" s="15"/>
      <c r="TIB97" s="15"/>
      <c r="TIC97" s="15"/>
      <c r="TID97" s="15"/>
      <c r="TIE97" s="15"/>
      <c r="TIF97" s="15"/>
      <c r="TIG97" s="15"/>
      <c r="TIH97" s="15"/>
      <c r="TII97" s="15"/>
      <c r="TIJ97" s="15"/>
      <c r="TIK97" s="15"/>
      <c r="TIL97" s="15"/>
      <c r="TIM97" s="15"/>
      <c r="TIN97" s="15"/>
      <c r="TIO97" s="15"/>
      <c r="TIP97" s="15"/>
      <c r="TIQ97" s="15"/>
      <c r="TIR97" s="15"/>
      <c r="TIS97" s="15"/>
      <c r="TIT97" s="15"/>
      <c r="TIU97" s="15"/>
      <c r="TIV97" s="15"/>
      <c r="TIW97" s="15"/>
      <c r="TIX97" s="15"/>
      <c r="TIY97" s="15"/>
      <c r="TIZ97" s="15"/>
      <c r="TJA97" s="15"/>
      <c r="TJB97" s="15"/>
      <c r="TJC97" s="15"/>
      <c r="TJD97" s="15"/>
      <c r="TJE97" s="15"/>
      <c r="TJF97" s="15"/>
      <c r="TJG97" s="15"/>
      <c r="TJH97" s="15"/>
      <c r="TJI97" s="15"/>
      <c r="TJJ97" s="15"/>
      <c r="TJK97" s="15"/>
      <c r="TJL97" s="15"/>
      <c r="TJM97" s="15"/>
      <c r="TJN97" s="15"/>
      <c r="TJO97" s="15"/>
      <c r="TJP97" s="15"/>
      <c r="TJQ97" s="15"/>
      <c r="TJR97" s="15"/>
      <c r="TJS97" s="15"/>
      <c r="TJT97" s="15"/>
      <c r="TJU97" s="15"/>
      <c r="TJV97" s="15"/>
      <c r="TJW97" s="15"/>
      <c r="TJX97" s="15"/>
      <c r="TJY97" s="15"/>
      <c r="TJZ97" s="15"/>
      <c r="TKA97" s="15"/>
      <c r="TKB97" s="15"/>
      <c r="TKC97" s="15"/>
      <c r="TKD97" s="15"/>
      <c r="TKE97" s="15"/>
      <c r="TKF97" s="15"/>
      <c r="TKG97" s="15"/>
      <c r="TKH97" s="15"/>
      <c r="TKI97" s="15"/>
      <c r="TKJ97" s="15"/>
      <c r="TKK97" s="15"/>
      <c r="TKL97" s="15"/>
      <c r="TKM97" s="15"/>
      <c r="TKN97" s="15"/>
      <c r="TKO97" s="15"/>
      <c r="TKP97" s="15"/>
      <c r="TKQ97" s="15"/>
      <c r="TKR97" s="15"/>
      <c r="TKS97" s="15"/>
      <c r="TKT97" s="15"/>
      <c r="TKU97" s="15"/>
      <c r="TKV97" s="15"/>
      <c r="TKW97" s="15"/>
      <c r="TKX97" s="15"/>
      <c r="TKY97" s="15"/>
      <c r="TKZ97" s="15"/>
      <c r="TLA97" s="15"/>
      <c r="TLB97" s="15"/>
      <c r="TLC97" s="15"/>
      <c r="TLD97" s="15"/>
      <c r="TLE97" s="15"/>
      <c r="TLF97" s="15"/>
      <c r="TLG97" s="15"/>
      <c r="TLH97" s="15"/>
      <c r="TLI97" s="15"/>
      <c r="TLJ97" s="15"/>
      <c r="TLK97" s="15"/>
      <c r="TLL97" s="15"/>
      <c r="TLM97" s="15"/>
      <c r="TLN97" s="15"/>
      <c r="TLO97" s="15"/>
      <c r="TLP97" s="15"/>
      <c r="TLQ97" s="15"/>
      <c r="TLR97" s="15"/>
      <c r="TLS97" s="15"/>
      <c r="TLT97" s="15"/>
      <c r="TLU97" s="15"/>
      <c r="TLV97" s="15"/>
      <c r="TLW97" s="15"/>
      <c r="TLX97" s="15"/>
      <c r="TLY97" s="15"/>
      <c r="TLZ97" s="15"/>
      <c r="TMA97" s="15"/>
      <c r="TMB97" s="15"/>
      <c r="TMC97" s="15"/>
      <c r="TMD97" s="15"/>
      <c r="TME97" s="15"/>
      <c r="TMF97" s="15"/>
      <c r="TMG97" s="15"/>
      <c r="TMH97" s="15"/>
      <c r="TMI97" s="15"/>
      <c r="TMJ97" s="15"/>
      <c r="TMK97" s="15"/>
      <c r="TML97" s="15"/>
      <c r="TMM97" s="15"/>
      <c r="TMN97" s="15"/>
      <c r="TMO97" s="15"/>
      <c r="TMP97" s="15"/>
      <c r="TMQ97" s="15"/>
      <c r="TMR97" s="15"/>
      <c r="TMS97" s="15"/>
      <c r="TMT97" s="15"/>
      <c r="TMU97" s="15"/>
      <c r="TMV97" s="15"/>
      <c r="TMW97" s="15"/>
      <c r="TMX97" s="15"/>
      <c r="TMY97" s="15"/>
      <c r="TMZ97" s="15"/>
      <c r="TNA97" s="15"/>
      <c r="TNB97" s="15"/>
      <c r="TNC97" s="15"/>
      <c r="TND97" s="15"/>
      <c r="TNE97" s="15"/>
      <c r="TNF97" s="15"/>
      <c r="TNG97" s="15"/>
      <c r="TNH97" s="15"/>
      <c r="TNI97" s="15"/>
      <c r="TNJ97" s="15"/>
      <c r="TNK97" s="15"/>
      <c r="TNL97" s="15"/>
      <c r="TNM97" s="15"/>
      <c r="TNN97" s="15"/>
      <c r="TNO97" s="15"/>
      <c r="TNP97" s="15"/>
      <c r="TNQ97" s="15"/>
      <c r="TNR97" s="15"/>
      <c r="TNS97" s="15"/>
      <c r="TNT97" s="15"/>
      <c r="TNU97" s="15"/>
      <c r="TNV97" s="15"/>
      <c r="TNW97" s="15"/>
      <c r="TNX97" s="15"/>
      <c r="TNY97" s="15"/>
      <c r="TNZ97" s="15"/>
      <c r="TOA97" s="15"/>
      <c r="TOB97" s="15"/>
      <c r="TOC97" s="15"/>
      <c r="TOD97" s="15"/>
      <c r="TOE97" s="15"/>
      <c r="TOF97" s="15"/>
      <c r="TOG97" s="15"/>
      <c r="TOH97" s="15"/>
      <c r="TOI97" s="15"/>
      <c r="TOJ97" s="15"/>
      <c r="TOK97" s="15"/>
      <c r="TOL97" s="15"/>
      <c r="TOM97" s="15"/>
      <c r="TON97" s="15"/>
      <c r="TOO97" s="15"/>
      <c r="TOP97" s="15"/>
      <c r="TOQ97" s="15"/>
      <c r="TOR97" s="15"/>
      <c r="TOS97" s="15"/>
      <c r="TOT97" s="15"/>
      <c r="TOU97" s="15"/>
      <c r="TOV97" s="15"/>
      <c r="TOW97" s="15"/>
      <c r="TOX97" s="15"/>
      <c r="TOY97" s="15"/>
      <c r="TOZ97" s="15"/>
      <c r="TPA97" s="15"/>
      <c r="TPB97" s="15"/>
      <c r="TPC97" s="15"/>
      <c r="TPD97" s="15"/>
      <c r="TPE97" s="15"/>
      <c r="TPF97" s="15"/>
      <c r="TPG97" s="15"/>
      <c r="TPH97" s="15"/>
      <c r="TPI97" s="15"/>
      <c r="TPJ97" s="15"/>
      <c r="TPK97" s="15"/>
      <c r="TPL97" s="15"/>
      <c r="TPM97" s="15"/>
      <c r="TPN97" s="15"/>
      <c r="TPO97" s="15"/>
      <c r="TPP97" s="15"/>
      <c r="TPQ97" s="15"/>
      <c r="TPR97" s="15"/>
      <c r="TPS97" s="15"/>
      <c r="TPT97" s="15"/>
      <c r="TPU97" s="15"/>
      <c r="TPV97" s="15"/>
      <c r="TPW97" s="15"/>
      <c r="TPX97" s="15"/>
      <c r="TPY97" s="15"/>
      <c r="TPZ97" s="15"/>
      <c r="TQA97" s="15"/>
      <c r="TQB97" s="15"/>
      <c r="TQC97" s="15"/>
      <c r="TQD97" s="15"/>
      <c r="TQE97" s="15"/>
      <c r="TQF97" s="15"/>
      <c r="TQG97" s="15"/>
      <c r="TQH97" s="15"/>
      <c r="TQI97" s="15"/>
      <c r="TQJ97" s="15"/>
      <c r="TQK97" s="15"/>
      <c r="TQL97" s="15"/>
      <c r="TQM97" s="15"/>
      <c r="TQN97" s="15"/>
      <c r="TQO97" s="15"/>
      <c r="TQP97" s="15"/>
      <c r="TQQ97" s="15"/>
      <c r="TQR97" s="15"/>
      <c r="TQS97" s="15"/>
      <c r="TQT97" s="15"/>
      <c r="TQU97" s="15"/>
      <c r="TQV97" s="15"/>
      <c r="TQW97" s="15"/>
      <c r="TQX97" s="15"/>
      <c r="TQY97" s="15"/>
      <c r="TQZ97" s="15"/>
      <c r="TRA97" s="15"/>
      <c r="TRB97" s="15"/>
      <c r="TRC97" s="15"/>
      <c r="TRD97" s="15"/>
      <c r="TRE97" s="15"/>
      <c r="TRF97" s="15"/>
      <c r="TRG97" s="15"/>
      <c r="TRH97" s="15"/>
      <c r="TRI97" s="15"/>
      <c r="TRJ97" s="15"/>
      <c r="TRK97" s="15"/>
      <c r="TRL97" s="15"/>
      <c r="TRM97" s="15"/>
      <c r="TRN97" s="15"/>
      <c r="TRO97" s="15"/>
      <c r="TRP97" s="15"/>
      <c r="TRQ97" s="15"/>
      <c r="TRR97" s="15"/>
      <c r="TRS97" s="15"/>
      <c r="TRT97" s="15"/>
      <c r="TRU97" s="15"/>
      <c r="TRV97" s="15"/>
      <c r="TRW97" s="15"/>
      <c r="TRX97" s="15"/>
      <c r="TRY97" s="15"/>
      <c r="TRZ97" s="15"/>
      <c r="TSA97" s="15"/>
      <c r="TSB97" s="15"/>
      <c r="TSC97" s="15"/>
      <c r="TSD97" s="15"/>
      <c r="TSE97" s="15"/>
      <c r="TSF97" s="15"/>
      <c r="TSG97" s="15"/>
      <c r="TSH97" s="15"/>
      <c r="TSI97" s="15"/>
      <c r="TSJ97" s="15"/>
      <c r="TSK97" s="15"/>
      <c r="TSL97" s="15"/>
      <c r="TSM97" s="15"/>
      <c r="TSN97" s="15"/>
      <c r="TSO97" s="15"/>
      <c r="TSP97" s="15"/>
      <c r="TSQ97" s="15"/>
      <c r="TSR97" s="15"/>
      <c r="TSS97" s="15"/>
      <c r="TST97" s="15"/>
      <c r="TSU97" s="15"/>
      <c r="TSV97" s="15"/>
      <c r="TSW97" s="15"/>
      <c r="TSX97" s="15"/>
      <c r="TSY97" s="15"/>
      <c r="TSZ97" s="15"/>
      <c r="TTA97" s="15"/>
      <c r="TTB97" s="15"/>
      <c r="TTC97" s="15"/>
      <c r="TTD97" s="15"/>
      <c r="TTE97" s="15"/>
      <c r="TTF97" s="15"/>
      <c r="TTG97" s="15"/>
      <c r="TTH97" s="15"/>
      <c r="TTI97" s="15"/>
      <c r="TTJ97" s="15"/>
      <c r="TTK97" s="15"/>
      <c r="TTL97" s="15"/>
      <c r="TTM97" s="15"/>
      <c r="TTN97" s="15"/>
      <c r="TTO97" s="15"/>
      <c r="TTP97" s="15"/>
      <c r="TTQ97" s="15"/>
      <c r="TTR97" s="15"/>
      <c r="TTS97" s="15"/>
      <c r="TTT97" s="15"/>
      <c r="TTU97" s="15"/>
      <c r="TTV97" s="15"/>
      <c r="TTW97" s="15"/>
      <c r="TTX97" s="15"/>
      <c r="TTY97" s="15"/>
      <c r="TTZ97" s="15"/>
      <c r="TUA97" s="15"/>
      <c r="TUB97" s="15"/>
      <c r="TUC97" s="15"/>
      <c r="TUD97" s="15"/>
      <c r="TUE97" s="15"/>
      <c r="TUF97" s="15"/>
      <c r="TUG97" s="15"/>
      <c r="TUH97" s="15"/>
      <c r="TUI97" s="15"/>
      <c r="TUJ97" s="15"/>
      <c r="TUK97" s="15"/>
      <c r="TUL97" s="15"/>
      <c r="TUM97" s="15"/>
      <c r="TUN97" s="15"/>
      <c r="TUO97" s="15"/>
      <c r="TUP97" s="15"/>
      <c r="TUQ97" s="15"/>
      <c r="TUR97" s="15"/>
      <c r="TUS97" s="15"/>
      <c r="TUT97" s="15"/>
      <c r="TUU97" s="15"/>
      <c r="TUV97" s="15"/>
      <c r="TUW97" s="15"/>
      <c r="TUX97" s="15"/>
      <c r="TUY97" s="15"/>
      <c r="TUZ97" s="15"/>
      <c r="TVA97" s="15"/>
      <c r="TVB97" s="15"/>
      <c r="TVC97" s="15"/>
      <c r="TVD97" s="15"/>
      <c r="TVE97" s="15"/>
      <c r="TVF97" s="15"/>
      <c r="TVG97" s="15"/>
      <c r="TVH97" s="15"/>
      <c r="TVI97" s="15"/>
      <c r="TVJ97" s="15"/>
      <c r="TVK97" s="15"/>
      <c r="TVL97" s="15"/>
      <c r="TVM97" s="15"/>
      <c r="TVN97" s="15"/>
      <c r="TVO97" s="15"/>
      <c r="TVP97" s="15"/>
      <c r="TVQ97" s="15"/>
      <c r="TVR97" s="15"/>
      <c r="TVS97" s="15"/>
      <c r="TVT97" s="15"/>
      <c r="TVU97" s="15"/>
      <c r="TVV97" s="15"/>
      <c r="TVW97" s="15"/>
      <c r="TVX97" s="15"/>
      <c r="TVY97" s="15"/>
      <c r="TVZ97" s="15"/>
      <c r="TWA97" s="15"/>
      <c r="TWB97" s="15"/>
      <c r="TWC97" s="15"/>
      <c r="TWD97" s="15"/>
      <c r="TWE97" s="15"/>
      <c r="TWF97" s="15"/>
      <c r="TWG97" s="15"/>
      <c r="TWH97" s="15"/>
      <c r="TWI97" s="15"/>
      <c r="TWJ97" s="15"/>
      <c r="TWK97" s="15"/>
      <c r="TWL97" s="15"/>
      <c r="TWM97" s="15"/>
      <c r="TWN97" s="15"/>
      <c r="TWO97" s="15"/>
      <c r="TWP97" s="15"/>
      <c r="TWQ97" s="15"/>
      <c r="TWR97" s="15"/>
      <c r="TWS97" s="15"/>
      <c r="TWT97" s="15"/>
      <c r="TWU97" s="15"/>
      <c r="TWV97" s="15"/>
      <c r="TWW97" s="15"/>
      <c r="TWX97" s="15"/>
      <c r="TWY97" s="15"/>
      <c r="TWZ97" s="15"/>
      <c r="TXA97" s="15"/>
      <c r="TXB97" s="15"/>
      <c r="TXC97" s="15"/>
      <c r="TXD97" s="15"/>
      <c r="TXE97" s="15"/>
      <c r="TXF97" s="15"/>
      <c r="TXG97" s="15"/>
      <c r="TXH97" s="15"/>
      <c r="TXI97" s="15"/>
      <c r="TXJ97" s="15"/>
      <c r="TXK97" s="15"/>
      <c r="TXL97" s="15"/>
      <c r="TXM97" s="15"/>
      <c r="TXN97" s="15"/>
      <c r="TXO97" s="15"/>
      <c r="TXP97" s="15"/>
      <c r="TXQ97" s="15"/>
      <c r="TXR97" s="15"/>
      <c r="TXS97" s="15"/>
      <c r="TXT97" s="15"/>
      <c r="TXU97" s="15"/>
      <c r="TXV97" s="15"/>
      <c r="TXW97" s="15"/>
      <c r="TXX97" s="15"/>
      <c r="TXY97" s="15"/>
      <c r="TXZ97" s="15"/>
      <c r="TYA97" s="15"/>
      <c r="TYB97" s="15"/>
      <c r="TYC97" s="15"/>
      <c r="TYD97" s="15"/>
      <c r="TYE97" s="15"/>
      <c r="TYF97" s="15"/>
      <c r="TYG97" s="15"/>
      <c r="TYH97" s="15"/>
      <c r="TYI97" s="15"/>
      <c r="TYJ97" s="15"/>
      <c r="TYK97" s="15"/>
      <c r="TYL97" s="15"/>
      <c r="TYM97" s="15"/>
      <c r="TYN97" s="15"/>
      <c r="TYO97" s="15"/>
      <c r="TYP97" s="15"/>
      <c r="TYQ97" s="15"/>
      <c r="TYR97" s="15"/>
      <c r="TYS97" s="15"/>
      <c r="TYT97" s="15"/>
      <c r="TYU97" s="15"/>
      <c r="TYV97" s="15"/>
      <c r="TYW97" s="15"/>
      <c r="TYX97" s="15"/>
      <c r="TYY97" s="15"/>
      <c r="TYZ97" s="15"/>
      <c r="TZA97" s="15"/>
      <c r="TZB97" s="15"/>
      <c r="TZC97" s="15"/>
      <c r="TZD97" s="15"/>
      <c r="TZE97" s="15"/>
      <c r="TZF97" s="15"/>
      <c r="TZG97" s="15"/>
      <c r="TZH97" s="15"/>
      <c r="TZI97" s="15"/>
      <c r="TZJ97" s="15"/>
      <c r="TZK97" s="15"/>
      <c r="TZL97" s="15"/>
      <c r="TZM97" s="15"/>
      <c r="TZN97" s="15"/>
      <c r="TZO97" s="15"/>
      <c r="TZP97" s="15"/>
      <c r="TZQ97" s="15"/>
      <c r="TZR97" s="15"/>
      <c r="TZS97" s="15"/>
      <c r="TZT97" s="15"/>
      <c r="TZU97" s="15"/>
      <c r="TZV97" s="15"/>
      <c r="TZW97" s="15"/>
      <c r="TZX97" s="15"/>
      <c r="TZY97" s="15"/>
      <c r="TZZ97" s="15"/>
      <c r="UAA97" s="15"/>
      <c r="UAB97" s="15"/>
      <c r="UAC97" s="15"/>
      <c r="UAD97" s="15"/>
      <c r="UAE97" s="15"/>
      <c r="UAF97" s="15"/>
      <c r="UAG97" s="15"/>
      <c r="UAH97" s="15"/>
      <c r="UAI97" s="15"/>
      <c r="UAJ97" s="15"/>
      <c r="UAK97" s="15"/>
      <c r="UAL97" s="15"/>
      <c r="UAM97" s="15"/>
      <c r="UAN97" s="15"/>
      <c r="UAO97" s="15"/>
      <c r="UAP97" s="15"/>
      <c r="UAQ97" s="15"/>
      <c r="UAR97" s="15"/>
      <c r="UAS97" s="15"/>
      <c r="UAT97" s="15"/>
      <c r="UAU97" s="15"/>
      <c r="UAV97" s="15"/>
      <c r="UAW97" s="15"/>
      <c r="UAX97" s="15"/>
      <c r="UAY97" s="15"/>
      <c r="UAZ97" s="15"/>
      <c r="UBA97" s="15"/>
      <c r="UBB97" s="15"/>
      <c r="UBC97" s="15"/>
      <c r="UBD97" s="15"/>
      <c r="UBE97" s="15"/>
      <c r="UBF97" s="15"/>
      <c r="UBG97" s="15"/>
      <c r="UBH97" s="15"/>
      <c r="UBI97" s="15"/>
      <c r="UBJ97" s="15"/>
      <c r="UBK97" s="15"/>
      <c r="UBL97" s="15"/>
      <c r="UBM97" s="15"/>
      <c r="UBN97" s="15"/>
      <c r="UBO97" s="15"/>
      <c r="UBP97" s="15"/>
      <c r="UBQ97" s="15"/>
      <c r="UBR97" s="15"/>
      <c r="UBS97" s="15"/>
      <c r="UBT97" s="15"/>
      <c r="UBU97" s="15"/>
      <c r="UBV97" s="15"/>
      <c r="UBW97" s="15"/>
      <c r="UBX97" s="15"/>
      <c r="UBY97" s="15"/>
      <c r="UBZ97" s="15"/>
      <c r="UCA97" s="15"/>
      <c r="UCB97" s="15"/>
      <c r="UCC97" s="15"/>
      <c r="UCD97" s="15"/>
      <c r="UCE97" s="15"/>
      <c r="UCF97" s="15"/>
      <c r="UCG97" s="15"/>
      <c r="UCH97" s="15"/>
      <c r="UCI97" s="15"/>
      <c r="UCJ97" s="15"/>
      <c r="UCK97" s="15"/>
      <c r="UCL97" s="15"/>
      <c r="UCM97" s="15"/>
      <c r="UCN97" s="15"/>
      <c r="UCO97" s="15"/>
      <c r="UCP97" s="15"/>
      <c r="UCQ97" s="15"/>
      <c r="UCR97" s="15"/>
      <c r="UCS97" s="15"/>
      <c r="UCT97" s="15"/>
      <c r="UCU97" s="15"/>
      <c r="UCV97" s="15"/>
      <c r="UCW97" s="15"/>
      <c r="UCX97" s="15"/>
      <c r="UCY97" s="15"/>
      <c r="UCZ97" s="15"/>
      <c r="UDA97" s="15"/>
      <c r="UDB97" s="15"/>
      <c r="UDC97" s="15"/>
      <c r="UDD97" s="15"/>
      <c r="UDE97" s="15"/>
      <c r="UDF97" s="15"/>
      <c r="UDG97" s="15"/>
      <c r="UDH97" s="15"/>
      <c r="UDI97" s="15"/>
      <c r="UDJ97" s="15"/>
      <c r="UDK97" s="15"/>
      <c r="UDL97" s="15"/>
      <c r="UDM97" s="15"/>
      <c r="UDN97" s="15"/>
      <c r="UDO97" s="15"/>
      <c r="UDP97" s="15"/>
      <c r="UDQ97" s="15"/>
      <c r="UDR97" s="15"/>
      <c r="UDS97" s="15"/>
      <c r="UDT97" s="15"/>
      <c r="UDU97" s="15"/>
      <c r="UDV97" s="15"/>
      <c r="UDW97" s="15"/>
      <c r="UDX97" s="15"/>
      <c r="UDY97" s="15"/>
      <c r="UDZ97" s="15"/>
      <c r="UEA97" s="15"/>
      <c r="UEB97" s="15"/>
      <c r="UEC97" s="15"/>
      <c r="UED97" s="15"/>
      <c r="UEE97" s="15"/>
      <c r="UEF97" s="15"/>
      <c r="UEG97" s="15"/>
      <c r="UEH97" s="15"/>
      <c r="UEI97" s="15"/>
      <c r="UEJ97" s="15"/>
      <c r="UEK97" s="15"/>
      <c r="UEL97" s="15"/>
      <c r="UEM97" s="15"/>
      <c r="UEN97" s="15"/>
      <c r="UEO97" s="15"/>
      <c r="UEP97" s="15"/>
      <c r="UEQ97" s="15"/>
      <c r="UER97" s="15"/>
      <c r="UES97" s="15"/>
      <c r="UET97" s="15"/>
      <c r="UEU97" s="15"/>
      <c r="UEV97" s="15"/>
      <c r="UEW97" s="15"/>
      <c r="UEX97" s="15"/>
      <c r="UEY97" s="15"/>
      <c r="UEZ97" s="15"/>
      <c r="UFA97" s="15"/>
      <c r="UFB97" s="15"/>
      <c r="UFC97" s="15"/>
      <c r="UFD97" s="15"/>
      <c r="UFE97" s="15"/>
      <c r="UFF97" s="15"/>
      <c r="UFG97" s="15"/>
      <c r="UFH97" s="15"/>
      <c r="UFI97" s="15"/>
      <c r="UFJ97" s="15"/>
      <c r="UFK97" s="15"/>
      <c r="UFL97" s="15"/>
      <c r="UFM97" s="15"/>
      <c r="UFN97" s="15"/>
      <c r="UFO97" s="15"/>
      <c r="UFP97" s="15"/>
      <c r="UFQ97" s="15"/>
      <c r="UFR97" s="15"/>
      <c r="UFS97" s="15"/>
      <c r="UFT97" s="15"/>
      <c r="UFU97" s="15"/>
      <c r="UFV97" s="15"/>
      <c r="UFW97" s="15"/>
      <c r="UFX97" s="15"/>
      <c r="UFY97" s="15"/>
      <c r="UFZ97" s="15"/>
      <c r="UGA97" s="15"/>
      <c r="UGB97" s="15"/>
      <c r="UGC97" s="15"/>
      <c r="UGD97" s="15"/>
      <c r="UGE97" s="15"/>
      <c r="UGF97" s="15"/>
      <c r="UGG97" s="15"/>
      <c r="UGH97" s="15"/>
      <c r="UGI97" s="15"/>
      <c r="UGJ97" s="15"/>
      <c r="UGK97" s="15"/>
      <c r="UGL97" s="15"/>
      <c r="UGM97" s="15"/>
      <c r="UGN97" s="15"/>
      <c r="UGO97" s="15"/>
      <c r="UGP97" s="15"/>
      <c r="UGQ97" s="15"/>
      <c r="UGR97" s="15"/>
      <c r="UGS97" s="15"/>
      <c r="UGT97" s="15"/>
      <c r="UGU97" s="15"/>
      <c r="UGV97" s="15"/>
      <c r="UGW97" s="15"/>
      <c r="UGX97" s="15"/>
      <c r="UGY97" s="15"/>
      <c r="UGZ97" s="15"/>
      <c r="UHA97" s="15"/>
      <c r="UHB97" s="15"/>
      <c r="UHC97" s="15"/>
      <c r="UHD97" s="15"/>
      <c r="UHE97" s="15"/>
      <c r="UHF97" s="15"/>
      <c r="UHG97" s="15"/>
      <c r="UHH97" s="15"/>
      <c r="UHI97" s="15"/>
      <c r="UHJ97" s="15"/>
      <c r="UHK97" s="15"/>
      <c r="UHL97" s="15"/>
      <c r="UHM97" s="15"/>
      <c r="UHN97" s="15"/>
      <c r="UHO97" s="15"/>
      <c r="UHP97" s="15"/>
      <c r="UHQ97" s="15"/>
      <c r="UHR97" s="15"/>
      <c r="UHS97" s="15"/>
      <c r="UHT97" s="15"/>
      <c r="UHU97" s="15"/>
      <c r="UHV97" s="15"/>
      <c r="UHW97" s="15"/>
      <c r="UHX97" s="15"/>
      <c r="UHY97" s="15"/>
      <c r="UHZ97" s="15"/>
      <c r="UIA97" s="15"/>
      <c r="UIB97" s="15"/>
      <c r="UIC97" s="15"/>
      <c r="UID97" s="15"/>
      <c r="UIE97" s="15"/>
      <c r="UIF97" s="15"/>
      <c r="UIG97" s="15"/>
      <c r="UIH97" s="15"/>
      <c r="UII97" s="15"/>
      <c r="UIJ97" s="15"/>
      <c r="UIK97" s="15"/>
      <c r="UIL97" s="15"/>
      <c r="UIM97" s="15"/>
      <c r="UIN97" s="15"/>
      <c r="UIO97" s="15"/>
      <c r="UIP97" s="15"/>
      <c r="UIQ97" s="15"/>
      <c r="UIR97" s="15"/>
      <c r="UIS97" s="15"/>
      <c r="UIT97" s="15"/>
      <c r="UIU97" s="15"/>
      <c r="UIV97" s="15"/>
      <c r="UIW97" s="15"/>
      <c r="UIX97" s="15"/>
      <c r="UIY97" s="15"/>
      <c r="UIZ97" s="15"/>
      <c r="UJA97" s="15"/>
      <c r="UJB97" s="15"/>
      <c r="UJC97" s="15"/>
      <c r="UJD97" s="15"/>
      <c r="UJE97" s="15"/>
      <c r="UJF97" s="15"/>
      <c r="UJG97" s="15"/>
      <c r="UJH97" s="15"/>
      <c r="UJI97" s="15"/>
      <c r="UJJ97" s="15"/>
      <c r="UJK97" s="15"/>
      <c r="UJL97" s="15"/>
      <c r="UJM97" s="15"/>
      <c r="UJN97" s="15"/>
      <c r="UJO97" s="15"/>
      <c r="UJP97" s="15"/>
      <c r="UJQ97" s="15"/>
      <c r="UJR97" s="15"/>
      <c r="UJS97" s="15"/>
      <c r="UJT97" s="15"/>
      <c r="UJU97" s="15"/>
      <c r="UJV97" s="15"/>
      <c r="UJW97" s="15"/>
      <c r="UJX97" s="15"/>
      <c r="UJY97" s="15"/>
      <c r="UJZ97" s="15"/>
      <c r="UKA97" s="15"/>
      <c r="UKB97" s="15"/>
      <c r="UKC97" s="15"/>
      <c r="UKD97" s="15"/>
      <c r="UKE97" s="15"/>
      <c r="UKF97" s="15"/>
      <c r="UKG97" s="15"/>
      <c r="UKH97" s="15"/>
      <c r="UKI97" s="15"/>
      <c r="UKJ97" s="15"/>
      <c r="UKK97" s="15"/>
      <c r="UKL97" s="15"/>
      <c r="UKM97" s="15"/>
      <c r="UKN97" s="15"/>
      <c r="UKO97" s="15"/>
      <c r="UKP97" s="15"/>
      <c r="UKQ97" s="15"/>
      <c r="UKR97" s="15"/>
      <c r="UKS97" s="15"/>
      <c r="UKT97" s="15"/>
      <c r="UKU97" s="15"/>
      <c r="UKV97" s="15"/>
      <c r="UKW97" s="15"/>
      <c r="UKX97" s="15"/>
      <c r="UKY97" s="15"/>
      <c r="UKZ97" s="15"/>
      <c r="ULA97" s="15"/>
      <c r="ULB97" s="15"/>
      <c r="ULC97" s="15"/>
      <c r="ULD97" s="15"/>
      <c r="ULE97" s="15"/>
      <c r="ULF97" s="15"/>
      <c r="ULG97" s="15"/>
      <c r="ULH97" s="15"/>
      <c r="ULI97" s="15"/>
      <c r="ULJ97" s="15"/>
      <c r="ULK97" s="15"/>
      <c r="ULL97" s="15"/>
      <c r="ULM97" s="15"/>
      <c r="ULN97" s="15"/>
      <c r="ULO97" s="15"/>
      <c r="ULP97" s="15"/>
      <c r="ULQ97" s="15"/>
      <c r="ULR97" s="15"/>
      <c r="ULS97" s="15"/>
      <c r="ULT97" s="15"/>
      <c r="ULU97" s="15"/>
      <c r="ULV97" s="15"/>
      <c r="ULW97" s="15"/>
      <c r="ULX97" s="15"/>
      <c r="ULY97" s="15"/>
      <c r="ULZ97" s="15"/>
      <c r="UMA97" s="15"/>
      <c r="UMB97" s="15"/>
      <c r="UMC97" s="15"/>
      <c r="UMD97" s="15"/>
      <c r="UME97" s="15"/>
      <c r="UMF97" s="15"/>
      <c r="UMG97" s="15"/>
      <c r="UMH97" s="15"/>
      <c r="UMI97" s="15"/>
      <c r="UMJ97" s="15"/>
      <c r="UMK97" s="15"/>
      <c r="UML97" s="15"/>
      <c r="UMM97" s="15"/>
      <c r="UMN97" s="15"/>
      <c r="UMO97" s="15"/>
      <c r="UMP97" s="15"/>
      <c r="UMQ97" s="15"/>
      <c r="UMR97" s="15"/>
      <c r="UMS97" s="15"/>
      <c r="UMT97" s="15"/>
      <c r="UMU97" s="15"/>
      <c r="UMV97" s="15"/>
      <c r="UMW97" s="15"/>
      <c r="UMX97" s="15"/>
      <c r="UMY97" s="15"/>
      <c r="UMZ97" s="15"/>
      <c r="UNA97" s="15"/>
      <c r="UNB97" s="15"/>
      <c r="UNC97" s="15"/>
      <c r="UND97" s="15"/>
      <c r="UNE97" s="15"/>
      <c r="UNF97" s="15"/>
      <c r="UNG97" s="15"/>
      <c r="UNH97" s="15"/>
      <c r="UNI97" s="15"/>
      <c r="UNJ97" s="15"/>
      <c r="UNK97" s="15"/>
      <c r="UNL97" s="15"/>
      <c r="UNM97" s="15"/>
      <c r="UNN97" s="15"/>
      <c r="UNO97" s="15"/>
      <c r="UNP97" s="15"/>
      <c r="UNQ97" s="15"/>
      <c r="UNR97" s="15"/>
      <c r="UNS97" s="15"/>
      <c r="UNT97" s="15"/>
      <c r="UNU97" s="15"/>
      <c r="UNV97" s="15"/>
      <c r="UNW97" s="15"/>
      <c r="UNX97" s="15"/>
      <c r="UNY97" s="15"/>
      <c r="UNZ97" s="15"/>
      <c r="UOA97" s="15"/>
      <c r="UOB97" s="15"/>
      <c r="UOC97" s="15"/>
      <c r="UOD97" s="15"/>
      <c r="UOE97" s="15"/>
      <c r="UOF97" s="15"/>
      <c r="UOG97" s="15"/>
      <c r="UOH97" s="15"/>
      <c r="UOI97" s="15"/>
      <c r="UOJ97" s="15"/>
      <c r="UOK97" s="15"/>
      <c r="UOL97" s="15"/>
      <c r="UOM97" s="15"/>
      <c r="UON97" s="15"/>
      <c r="UOO97" s="15"/>
      <c r="UOP97" s="15"/>
      <c r="UOQ97" s="15"/>
      <c r="UOR97" s="15"/>
      <c r="UOS97" s="15"/>
      <c r="UOT97" s="15"/>
      <c r="UOU97" s="15"/>
      <c r="UOV97" s="15"/>
      <c r="UOW97" s="15"/>
      <c r="UOX97" s="15"/>
      <c r="UOY97" s="15"/>
      <c r="UOZ97" s="15"/>
      <c r="UPA97" s="15"/>
      <c r="UPB97" s="15"/>
      <c r="UPC97" s="15"/>
      <c r="UPD97" s="15"/>
      <c r="UPE97" s="15"/>
      <c r="UPF97" s="15"/>
      <c r="UPG97" s="15"/>
      <c r="UPH97" s="15"/>
      <c r="UPI97" s="15"/>
      <c r="UPJ97" s="15"/>
      <c r="UPK97" s="15"/>
      <c r="UPL97" s="15"/>
      <c r="UPM97" s="15"/>
      <c r="UPN97" s="15"/>
      <c r="UPO97" s="15"/>
      <c r="UPP97" s="15"/>
      <c r="UPQ97" s="15"/>
      <c r="UPR97" s="15"/>
      <c r="UPS97" s="15"/>
      <c r="UPT97" s="15"/>
      <c r="UPU97" s="15"/>
      <c r="UPV97" s="15"/>
      <c r="UPW97" s="15"/>
      <c r="UPX97" s="15"/>
      <c r="UPY97" s="15"/>
      <c r="UPZ97" s="15"/>
      <c r="UQA97" s="15"/>
      <c r="UQB97" s="15"/>
      <c r="UQC97" s="15"/>
      <c r="UQD97" s="15"/>
      <c r="UQE97" s="15"/>
      <c r="UQF97" s="15"/>
      <c r="UQG97" s="15"/>
      <c r="UQH97" s="15"/>
      <c r="UQI97" s="15"/>
      <c r="UQJ97" s="15"/>
      <c r="UQK97" s="15"/>
      <c r="UQL97" s="15"/>
      <c r="UQM97" s="15"/>
      <c r="UQN97" s="15"/>
      <c r="UQO97" s="15"/>
      <c r="UQP97" s="15"/>
      <c r="UQQ97" s="15"/>
      <c r="UQR97" s="15"/>
      <c r="UQS97" s="15"/>
      <c r="UQT97" s="15"/>
      <c r="UQU97" s="15"/>
      <c r="UQV97" s="15"/>
      <c r="UQW97" s="15"/>
      <c r="UQX97" s="15"/>
      <c r="UQY97" s="15"/>
      <c r="UQZ97" s="15"/>
      <c r="URA97" s="15"/>
      <c r="URB97" s="15"/>
      <c r="URC97" s="15"/>
      <c r="URD97" s="15"/>
      <c r="URE97" s="15"/>
      <c r="URF97" s="15"/>
      <c r="URG97" s="15"/>
      <c r="URH97" s="15"/>
      <c r="URI97" s="15"/>
      <c r="URJ97" s="15"/>
      <c r="URK97" s="15"/>
      <c r="URL97" s="15"/>
      <c r="URM97" s="15"/>
      <c r="URN97" s="15"/>
      <c r="URO97" s="15"/>
      <c r="URP97" s="15"/>
      <c r="URQ97" s="15"/>
      <c r="URR97" s="15"/>
      <c r="URS97" s="15"/>
      <c r="URT97" s="15"/>
      <c r="URU97" s="15"/>
      <c r="URV97" s="15"/>
      <c r="URW97" s="15"/>
      <c r="URX97" s="15"/>
      <c r="URY97" s="15"/>
      <c r="URZ97" s="15"/>
      <c r="USA97" s="15"/>
      <c r="USB97" s="15"/>
      <c r="USC97" s="15"/>
      <c r="USD97" s="15"/>
      <c r="USE97" s="15"/>
      <c r="USF97" s="15"/>
      <c r="USG97" s="15"/>
      <c r="USH97" s="15"/>
      <c r="USI97" s="15"/>
      <c r="USJ97" s="15"/>
      <c r="USK97" s="15"/>
      <c r="USL97" s="15"/>
      <c r="USM97" s="15"/>
      <c r="USN97" s="15"/>
      <c r="USO97" s="15"/>
      <c r="USP97" s="15"/>
      <c r="USQ97" s="15"/>
      <c r="USR97" s="15"/>
      <c r="USS97" s="15"/>
      <c r="UST97" s="15"/>
      <c r="USU97" s="15"/>
      <c r="USV97" s="15"/>
      <c r="USW97" s="15"/>
      <c r="USX97" s="15"/>
      <c r="USY97" s="15"/>
      <c r="USZ97" s="15"/>
      <c r="UTA97" s="15"/>
      <c r="UTB97" s="15"/>
      <c r="UTC97" s="15"/>
      <c r="UTD97" s="15"/>
      <c r="UTE97" s="15"/>
      <c r="UTF97" s="15"/>
      <c r="UTG97" s="15"/>
      <c r="UTH97" s="15"/>
      <c r="UTI97" s="15"/>
      <c r="UTJ97" s="15"/>
      <c r="UTK97" s="15"/>
      <c r="UTL97" s="15"/>
      <c r="UTM97" s="15"/>
      <c r="UTN97" s="15"/>
      <c r="UTO97" s="15"/>
      <c r="UTP97" s="15"/>
      <c r="UTQ97" s="15"/>
      <c r="UTR97" s="15"/>
      <c r="UTS97" s="15"/>
      <c r="UTT97" s="15"/>
      <c r="UTU97" s="15"/>
      <c r="UTV97" s="15"/>
      <c r="UTW97" s="15"/>
      <c r="UTX97" s="15"/>
      <c r="UTY97" s="15"/>
      <c r="UTZ97" s="15"/>
      <c r="UUA97" s="15"/>
      <c r="UUB97" s="15"/>
      <c r="UUC97" s="15"/>
      <c r="UUD97" s="15"/>
      <c r="UUE97" s="15"/>
      <c r="UUF97" s="15"/>
      <c r="UUG97" s="15"/>
      <c r="UUH97" s="15"/>
      <c r="UUI97" s="15"/>
      <c r="UUJ97" s="15"/>
      <c r="UUK97" s="15"/>
      <c r="UUL97" s="15"/>
      <c r="UUM97" s="15"/>
      <c r="UUN97" s="15"/>
      <c r="UUO97" s="15"/>
      <c r="UUP97" s="15"/>
      <c r="UUQ97" s="15"/>
      <c r="UUR97" s="15"/>
      <c r="UUS97" s="15"/>
      <c r="UUT97" s="15"/>
      <c r="UUU97" s="15"/>
      <c r="UUV97" s="15"/>
      <c r="UUW97" s="15"/>
      <c r="UUX97" s="15"/>
      <c r="UUY97" s="15"/>
      <c r="UUZ97" s="15"/>
      <c r="UVA97" s="15"/>
      <c r="UVB97" s="15"/>
      <c r="UVC97" s="15"/>
      <c r="UVD97" s="15"/>
      <c r="UVE97" s="15"/>
      <c r="UVF97" s="15"/>
      <c r="UVG97" s="15"/>
      <c r="UVH97" s="15"/>
      <c r="UVI97" s="15"/>
      <c r="UVJ97" s="15"/>
      <c r="UVK97" s="15"/>
      <c r="UVL97" s="15"/>
      <c r="UVM97" s="15"/>
      <c r="UVN97" s="15"/>
      <c r="UVO97" s="15"/>
      <c r="UVP97" s="15"/>
      <c r="UVQ97" s="15"/>
      <c r="UVR97" s="15"/>
      <c r="UVS97" s="15"/>
      <c r="UVT97" s="15"/>
      <c r="UVU97" s="15"/>
      <c r="UVV97" s="15"/>
      <c r="UVW97" s="15"/>
      <c r="UVX97" s="15"/>
      <c r="UVY97" s="15"/>
      <c r="UVZ97" s="15"/>
      <c r="UWA97" s="15"/>
      <c r="UWB97" s="15"/>
      <c r="UWC97" s="15"/>
      <c r="UWD97" s="15"/>
      <c r="UWE97" s="15"/>
      <c r="UWF97" s="15"/>
      <c r="UWG97" s="15"/>
      <c r="UWH97" s="15"/>
      <c r="UWI97" s="15"/>
      <c r="UWJ97" s="15"/>
      <c r="UWK97" s="15"/>
      <c r="UWL97" s="15"/>
      <c r="UWM97" s="15"/>
      <c r="UWN97" s="15"/>
      <c r="UWO97" s="15"/>
      <c r="UWP97" s="15"/>
      <c r="UWQ97" s="15"/>
      <c r="UWR97" s="15"/>
      <c r="UWS97" s="15"/>
      <c r="UWT97" s="15"/>
      <c r="UWU97" s="15"/>
      <c r="UWV97" s="15"/>
      <c r="UWW97" s="15"/>
      <c r="UWX97" s="15"/>
      <c r="UWY97" s="15"/>
      <c r="UWZ97" s="15"/>
      <c r="UXA97" s="15"/>
      <c r="UXB97" s="15"/>
      <c r="UXC97" s="15"/>
      <c r="UXD97" s="15"/>
      <c r="UXE97" s="15"/>
      <c r="UXF97" s="15"/>
      <c r="UXG97" s="15"/>
      <c r="UXH97" s="15"/>
      <c r="UXI97" s="15"/>
      <c r="UXJ97" s="15"/>
      <c r="UXK97" s="15"/>
      <c r="UXL97" s="15"/>
      <c r="UXM97" s="15"/>
      <c r="UXN97" s="15"/>
      <c r="UXO97" s="15"/>
      <c r="UXP97" s="15"/>
      <c r="UXQ97" s="15"/>
      <c r="UXR97" s="15"/>
      <c r="UXS97" s="15"/>
      <c r="UXT97" s="15"/>
      <c r="UXU97" s="15"/>
      <c r="UXV97" s="15"/>
      <c r="UXW97" s="15"/>
      <c r="UXX97" s="15"/>
      <c r="UXY97" s="15"/>
      <c r="UXZ97" s="15"/>
      <c r="UYA97" s="15"/>
      <c r="UYB97" s="15"/>
      <c r="UYC97" s="15"/>
      <c r="UYD97" s="15"/>
      <c r="UYE97" s="15"/>
      <c r="UYF97" s="15"/>
      <c r="UYG97" s="15"/>
      <c r="UYH97" s="15"/>
      <c r="UYI97" s="15"/>
      <c r="UYJ97" s="15"/>
      <c r="UYK97" s="15"/>
      <c r="UYL97" s="15"/>
      <c r="UYM97" s="15"/>
      <c r="UYN97" s="15"/>
      <c r="UYO97" s="15"/>
      <c r="UYP97" s="15"/>
      <c r="UYQ97" s="15"/>
      <c r="UYR97" s="15"/>
      <c r="UYS97" s="15"/>
      <c r="UYT97" s="15"/>
      <c r="UYU97" s="15"/>
      <c r="UYV97" s="15"/>
      <c r="UYW97" s="15"/>
      <c r="UYX97" s="15"/>
      <c r="UYY97" s="15"/>
      <c r="UYZ97" s="15"/>
      <c r="UZA97" s="15"/>
      <c r="UZB97" s="15"/>
      <c r="UZC97" s="15"/>
      <c r="UZD97" s="15"/>
      <c r="UZE97" s="15"/>
      <c r="UZF97" s="15"/>
      <c r="UZG97" s="15"/>
      <c r="UZH97" s="15"/>
      <c r="UZI97" s="15"/>
      <c r="UZJ97" s="15"/>
      <c r="UZK97" s="15"/>
      <c r="UZL97" s="15"/>
      <c r="UZM97" s="15"/>
      <c r="UZN97" s="15"/>
      <c r="UZO97" s="15"/>
      <c r="UZP97" s="15"/>
      <c r="UZQ97" s="15"/>
      <c r="UZR97" s="15"/>
      <c r="UZS97" s="15"/>
      <c r="UZT97" s="15"/>
      <c r="UZU97" s="15"/>
      <c r="UZV97" s="15"/>
      <c r="UZW97" s="15"/>
      <c r="UZX97" s="15"/>
      <c r="UZY97" s="15"/>
      <c r="UZZ97" s="15"/>
      <c r="VAA97" s="15"/>
      <c r="VAB97" s="15"/>
      <c r="VAC97" s="15"/>
      <c r="VAD97" s="15"/>
      <c r="VAE97" s="15"/>
      <c r="VAF97" s="15"/>
      <c r="VAG97" s="15"/>
      <c r="VAH97" s="15"/>
      <c r="VAI97" s="15"/>
      <c r="VAJ97" s="15"/>
      <c r="VAK97" s="15"/>
      <c r="VAL97" s="15"/>
      <c r="VAM97" s="15"/>
      <c r="VAN97" s="15"/>
      <c r="VAO97" s="15"/>
      <c r="VAP97" s="15"/>
      <c r="VAQ97" s="15"/>
      <c r="VAR97" s="15"/>
      <c r="VAS97" s="15"/>
      <c r="VAT97" s="15"/>
      <c r="VAU97" s="15"/>
      <c r="VAV97" s="15"/>
      <c r="VAW97" s="15"/>
      <c r="VAX97" s="15"/>
      <c r="VAY97" s="15"/>
      <c r="VAZ97" s="15"/>
      <c r="VBA97" s="15"/>
      <c r="VBB97" s="15"/>
      <c r="VBC97" s="15"/>
      <c r="VBD97" s="15"/>
      <c r="VBE97" s="15"/>
      <c r="VBF97" s="15"/>
      <c r="VBG97" s="15"/>
      <c r="VBH97" s="15"/>
      <c r="VBI97" s="15"/>
      <c r="VBJ97" s="15"/>
      <c r="VBK97" s="15"/>
      <c r="VBL97" s="15"/>
      <c r="VBM97" s="15"/>
      <c r="VBN97" s="15"/>
      <c r="VBO97" s="15"/>
      <c r="VBP97" s="15"/>
      <c r="VBQ97" s="15"/>
      <c r="VBR97" s="15"/>
      <c r="VBS97" s="15"/>
      <c r="VBT97" s="15"/>
      <c r="VBU97" s="15"/>
      <c r="VBV97" s="15"/>
      <c r="VBW97" s="15"/>
      <c r="VBX97" s="15"/>
      <c r="VBY97" s="15"/>
      <c r="VBZ97" s="15"/>
      <c r="VCA97" s="15"/>
      <c r="VCB97" s="15"/>
      <c r="VCC97" s="15"/>
      <c r="VCD97" s="15"/>
      <c r="VCE97" s="15"/>
      <c r="VCF97" s="15"/>
      <c r="VCG97" s="15"/>
      <c r="VCH97" s="15"/>
      <c r="VCI97" s="15"/>
      <c r="VCJ97" s="15"/>
      <c r="VCK97" s="15"/>
      <c r="VCL97" s="15"/>
      <c r="VCM97" s="15"/>
      <c r="VCN97" s="15"/>
      <c r="VCO97" s="15"/>
      <c r="VCP97" s="15"/>
      <c r="VCQ97" s="15"/>
      <c r="VCR97" s="15"/>
      <c r="VCS97" s="15"/>
      <c r="VCT97" s="15"/>
      <c r="VCU97" s="15"/>
      <c r="VCV97" s="15"/>
      <c r="VCW97" s="15"/>
      <c r="VCX97" s="15"/>
      <c r="VCY97" s="15"/>
      <c r="VCZ97" s="15"/>
      <c r="VDA97" s="15"/>
      <c r="VDB97" s="15"/>
      <c r="VDC97" s="15"/>
      <c r="VDD97" s="15"/>
      <c r="VDE97" s="15"/>
      <c r="VDF97" s="15"/>
      <c r="VDG97" s="15"/>
      <c r="VDH97" s="15"/>
      <c r="VDI97" s="15"/>
      <c r="VDJ97" s="15"/>
      <c r="VDK97" s="15"/>
      <c r="VDL97" s="15"/>
      <c r="VDM97" s="15"/>
      <c r="VDN97" s="15"/>
      <c r="VDO97" s="15"/>
      <c r="VDP97" s="15"/>
      <c r="VDQ97" s="15"/>
      <c r="VDR97" s="15"/>
      <c r="VDS97" s="15"/>
      <c r="VDT97" s="15"/>
      <c r="VDU97" s="15"/>
      <c r="VDV97" s="15"/>
      <c r="VDW97" s="15"/>
      <c r="VDX97" s="15"/>
      <c r="VDY97" s="15"/>
      <c r="VDZ97" s="15"/>
      <c r="VEA97" s="15"/>
      <c r="VEB97" s="15"/>
      <c r="VEC97" s="15"/>
      <c r="VED97" s="15"/>
      <c r="VEE97" s="15"/>
      <c r="VEF97" s="15"/>
      <c r="VEG97" s="15"/>
      <c r="VEH97" s="15"/>
      <c r="VEI97" s="15"/>
      <c r="VEJ97" s="15"/>
      <c r="VEK97" s="15"/>
      <c r="VEL97" s="15"/>
      <c r="VEM97" s="15"/>
      <c r="VEN97" s="15"/>
      <c r="VEO97" s="15"/>
      <c r="VEP97" s="15"/>
      <c r="VEQ97" s="15"/>
      <c r="VER97" s="15"/>
      <c r="VES97" s="15"/>
      <c r="VET97" s="15"/>
      <c r="VEU97" s="15"/>
      <c r="VEV97" s="15"/>
      <c r="VEW97" s="15"/>
      <c r="VEX97" s="15"/>
      <c r="VEY97" s="15"/>
      <c r="VEZ97" s="15"/>
      <c r="VFA97" s="15"/>
      <c r="VFB97" s="15"/>
      <c r="VFC97" s="15"/>
      <c r="VFD97" s="15"/>
      <c r="VFE97" s="15"/>
      <c r="VFF97" s="15"/>
      <c r="VFG97" s="15"/>
      <c r="VFH97" s="15"/>
      <c r="VFI97" s="15"/>
      <c r="VFJ97" s="15"/>
      <c r="VFK97" s="15"/>
      <c r="VFL97" s="15"/>
      <c r="VFM97" s="15"/>
      <c r="VFN97" s="15"/>
      <c r="VFO97" s="15"/>
      <c r="VFP97" s="15"/>
      <c r="VFQ97" s="15"/>
      <c r="VFR97" s="15"/>
      <c r="VFS97" s="15"/>
      <c r="VFT97" s="15"/>
      <c r="VFU97" s="15"/>
      <c r="VFV97" s="15"/>
      <c r="VFW97" s="15"/>
      <c r="VFX97" s="15"/>
      <c r="VFY97" s="15"/>
      <c r="VFZ97" s="15"/>
      <c r="VGA97" s="15"/>
      <c r="VGB97" s="15"/>
      <c r="VGC97" s="15"/>
      <c r="VGD97" s="15"/>
      <c r="VGE97" s="15"/>
      <c r="VGF97" s="15"/>
      <c r="VGG97" s="15"/>
      <c r="VGH97" s="15"/>
      <c r="VGI97" s="15"/>
      <c r="VGJ97" s="15"/>
      <c r="VGK97" s="15"/>
      <c r="VGL97" s="15"/>
      <c r="VGM97" s="15"/>
      <c r="VGN97" s="15"/>
      <c r="VGO97" s="15"/>
      <c r="VGP97" s="15"/>
      <c r="VGQ97" s="15"/>
      <c r="VGR97" s="15"/>
      <c r="VGS97" s="15"/>
      <c r="VGT97" s="15"/>
      <c r="VGU97" s="15"/>
      <c r="VGV97" s="15"/>
      <c r="VGW97" s="15"/>
      <c r="VGX97" s="15"/>
      <c r="VGY97" s="15"/>
      <c r="VGZ97" s="15"/>
      <c r="VHA97" s="15"/>
      <c r="VHB97" s="15"/>
      <c r="VHC97" s="15"/>
      <c r="VHD97" s="15"/>
      <c r="VHE97" s="15"/>
      <c r="VHF97" s="15"/>
      <c r="VHG97" s="15"/>
      <c r="VHH97" s="15"/>
      <c r="VHI97" s="15"/>
      <c r="VHJ97" s="15"/>
      <c r="VHK97" s="15"/>
      <c r="VHL97" s="15"/>
      <c r="VHM97" s="15"/>
      <c r="VHN97" s="15"/>
      <c r="VHO97" s="15"/>
      <c r="VHP97" s="15"/>
      <c r="VHQ97" s="15"/>
      <c r="VHR97" s="15"/>
      <c r="VHS97" s="15"/>
      <c r="VHT97" s="15"/>
      <c r="VHU97" s="15"/>
      <c r="VHV97" s="15"/>
      <c r="VHW97" s="15"/>
      <c r="VHX97" s="15"/>
      <c r="VHY97" s="15"/>
      <c r="VHZ97" s="15"/>
      <c r="VIA97" s="15"/>
      <c r="VIB97" s="15"/>
      <c r="VIC97" s="15"/>
      <c r="VID97" s="15"/>
      <c r="VIE97" s="15"/>
      <c r="VIF97" s="15"/>
      <c r="VIG97" s="15"/>
      <c r="VIH97" s="15"/>
      <c r="VII97" s="15"/>
      <c r="VIJ97" s="15"/>
      <c r="VIK97" s="15"/>
      <c r="VIL97" s="15"/>
      <c r="VIM97" s="15"/>
      <c r="VIN97" s="15"/>
      <c r="VIO97" s="15"/>
      <c r="VIP97" s="15"/>
      <c r="VIQ97" s="15"/>
      <c r="VIR97" s="15"/>
      <c r="VIS97" s="15"/>
      <c r="VIT97" s="15"/>
      <c r="VIU97" s="15"/>
      <c r="VIV97" s="15"/>
      <c r="VIW97" s="15"/>
      <c r="VIX97" s="15"/>
      <c r="VIY97" s="15"/>
      <c r="VIZ97" s="15"/>
      <c r="VJA97" s="15"/>
      <c r="VJB97" s="15"/>
      <c r="VJC97" s="15"/>
      <c r="VJD97" s="15"/>
      <c r="VJE97" s="15"/>
      <c r="VJF97" s="15"/>
      <c r="VJG97" s="15"/>
      <c r="VJH97" s="15"/>
      <c r="VJI97" s="15"/>
      <c r="VJJ97" s="15"/>
      <c r="VJK97" s="15"/>
      <c r="VJL97" s="15"/>
      <c r="VJM97" s="15"/>
      <c r="VJN97" s="15"/>
      <c r="VJO97" s="15"/>
      <c r="VJP97" s="15"/>
      <c r="VJQ97" s="15"/>
      <c r="VJR97" s="15"/>
      <c r="VJS97" s="15"/>
      <c r="VJT97" s="15"/>
      <c r="VJU97" s="15"/>
      <c r="VJV97" s="15"/>
      <c r="VJW97" s="15"/>
      <c r="VJX97" s="15"/>
      <c r="VJY97" s="15"/>
      <c r="VJZ97" s="15"/>
      <c r="VKA97" s="15"/>
      <c r="VKB97" s="15"/>
      <c r="VKC97" s="15"/>
      <c r="VKD97" s="15"/>
      <c r="VKE97" s="15"/>
      <c r="VKF97" s="15"/>
      <c r="VKG97" s="15"/>
      <c r="VKH97" s="15"/>
      <c r="VKI97" s="15"/>
      <c r="VKJ97" s="15"/>
      <c r="VKK97" s="15"/>
      <c r="VKL97" s="15"/>
      <c r="VKM97" s="15"/>
      <c r="VKN97" s="15"/>
      <c r="VKO97" s="15"/>
      <c r="VKP97" s="15"/>
      <c r="VKQ97" s="15"/>
      <c r="VKR97" s="15"/>
      <c r="VKS97" s="15"/>
      <c r="VKT97" s="15"/>
      <c r="VKU97" s="15"/>
      <c r="VKV97" s="15"/>
      <c r="VKW97" s="15"/>
      <c r="VKX97" s="15"/>
      <c r="VKY97" s="15"/>
      <c r="VKZ97" s="15"/>
      <c r="VLA97" s="15"/>
      <c r="VLB97" s="15"/>
      <c r="VLC97" s="15"/>
      <c r="VLD97" s="15"/>
      <c r="VLE97" s="15"/>
      <c r="VLF97" s="15"/>
      <c r="VLG97" s="15"/>
      <c r="VLH97" s="15"/>
      <c r="VLI97" s="15"/>
      <c r="VLJ97" s="15"/>
      <c r="VLK97" s="15"/>
      <c r="VLL97" s="15"/>
      <c r="VLM97" s="15"/>
      <c r="VLN97" s="15"/>
      <c r="VLO97" s="15"/>
      <c r="VLP97" s="15"/>
      <c r="VLQ97" s="15"/>
      <c r="VLR97" s="15"/>
      <c r="VLS97" s="15"/>
      <c r="VLT97" s="15"/>
      <c r="VLU97" s="15"/>
      <c r="VLV97" s="15"/>
      <c r="VLW97" s="15"/>
      <c r="VLX97" s="15"/>
      <c r="VLY97" s="15"/>
      <c r="VLZ97" s="15"/>
      <c r="VMA97" s="15"/>
      <c r="VMB97" s="15"/>
      <c r="VMC97" s="15"/>
      <c r="VMD97" s="15"/>
      <c r="VME97" s="15"/>
      <c r="VMF97" s="15"/>
      <c r="VMG97" s="15"/>
      <c r="VMH97" s="15"/>
      <c r="VMI97" s="15"/>
      <c r="VMJ97" s="15"/>
      <c r="VMK97" s="15"/>
      <c r="VML97" s="15"/>
      <c r="VMM97" s="15"/>
      <c r="VMN97" s="15"/>
      <c r="VMO97" s="15"/>
      <c r="VMP97" s="15"/>
      <c r="VMQ97" s="15"/>
      <c r="VMR97" s="15"/>
      <c r="VMS97" s="15"/>
      <c r="VMT97" s="15"/>
      <c r="VMU97" s="15"/>
      <c r="VMV97" s="15"/>
      <c r="VMW97" s="15"/>
      <c r="VMX97" s="15"/>
      <c r="VMY97" s="15"/>
      <c r="VMZ97" s="15"/>
      <c r="VNA97" s="15"/>
      <c r="VNB97" s="15"/>
      <c r="VNC97" s="15"/>
      <c r="VND97" s="15"/>
      <c r="VNE97" s="15"/>
      <c r="VNF97" s="15"/>
      <c r="VNG97" s="15"/>
      <c r="VNH97" s="15"/>
      <c r="VNI97" s="15"/>
      <c r="VNJ97" s="15"/>
      <c r="VNK97" s="15"/>
      <c r="VNL97" s="15"/>
      <c r="VNM97" s="15"/>
      <c r="VNN97" s="15"/>
      <c r="VNO97" s="15"/>
      <c r="VNP97" s="15"/>
      <c r="VNQ97" s="15"/>
      <c r="VNR97" s="15"/>
      <c r="VNS97" s="15"/>
      <c r="VNT97" s="15"/>
      <c r="VNU97" s="15"/>
      <c r="VNV97" s="15"/>
      <c r="VNW97" s="15"/>
      <c r="VNX97" s="15"/>
      <c r="VNY97" s="15"/>
      <c r="VNZ97" s="15"/>
      <c r="VOA97" s="15"/>
      <c r="VOB97" s="15"/>
      <c r="VOC97" s="15"/>
      <c r="VOD97" s="15"/>
      <c r="VOE97" s="15"/>
      <c r="VOF97" s="15"/>
      <c r="VOG97" s="15"/>
      <c r="VOH97" s="15"/>
      <c r="VOI97" s="15"/>
      <c r="VOJ97" s="15"/>
      <c r="VOK97" s="15"/>
      <c r="VOL97" s="15"/>
      <c r="VOM97" s="15"/>
      <c r="VON97" s="15"/>
      <c r="VOO97" s="15"/>
      <c r="VOP97" s="15"/>
      <c r="VOQ97" s="15"/>
      <c r="VOR97" s="15"/>
      <c r="VOS97" s="15"/>
      <c r="VOT97" s="15"/>
      <c r="VOU97" s="15"/>
      <c r="VOV97" s="15"/>
      <c r="VOW97" s="15"/>
      <c r="VOX97" s="15"/>
      <c r="VOY97" s="15"/>
      <c r="VOZ97" s="15"/>
      <c r="VPA97" s="15"/>
      <c r="VPB97" s="15"/>
      <c r="VPC97" s="15"/>
      <c r="VPD97" s="15"/>
      <c r="VPE97" s="15"/>
      <c r="VPF97" s="15"/>
      <c r="VPG97" s="15"/>
      <c r="VPH97" s="15"/>
      <c r="VPI97" s="15"/>
      <c r="VPJ97" s="15"/>
      <c r="VPK97" s="15"/>
      <c r="VPL97" s="15"/>
      <c r="VPM97" s="15"/>
      <c r="VPN97" s="15"/>
      <c r="VPO97" s="15"/>
      <c r="VPP97" s="15"/>
      <c r="VPQ97" s="15"/>
      <c r="VPR97" s="15"/>
      <c r="VPS97" s="15"/>
      <c r="VPT97" s="15"/>
      <c r="VPU97" s="15"/>
      <c r="VPV97" s="15"/>
      <c r="VPW97" s="15"/>
      <c r="VPX97" s="15"/>
      <c r="VPY97" s="15"/>
      <c r="VPZ97" s="15"/>
      <c r="VQA97" s="15"/>
      <c r="VQB97" s="15"/>
      <c r="VQC97" s="15"/>
      <c r="VQD97" s="15"/>
      <c r="VQE97" s="15"/>
      <c r="VQF97" s="15"/>
      <c r="VQG97" s="15"/>
      <c r="VQH97" s="15"/>
      <c r="VQI97" s="15"/>
      <c r="VQJ97" s="15"/>
      <c r="VQK97" s="15"/>
      <c r="VQL97" s="15"/>
      <c r="VQM97" s="15"/>
      <c r="VQN97" s="15"/>
      <c r="VQO97" s="15"/>
      <c r="VQP97" s="15"/>
      <c r="VQQ97" s="15"/>
      <c r="VQR97" s="15"/>
      <c r="VQS97" s="15"/>
      <c r="VQT97" s="15"/>
      <c r="VQU97" s="15"/>
      <c r="VQV97" s="15"/>
      <c r="VQW97" s="15"/>
      <c r="VQX97" s="15"/>
      <c r="VQY97" s="15"/>
      <c r="VQZ97" s="15"/>
      <c r="VRA97" s="15"/>
      <c r="VRB97" s="15"/>
      <c r="VRC97" s="15"/>
      <c r="VRD97" s="15"/>
      <c r="VRE97" s="15"/>
      <c r="VRF97" s="15"/>
      <c r="VRG97" s="15"/>
      <c r="VRH97" s="15"/>
      <c r="VRI97" s="15"/>
      <c r="VRJ97" s="15"/>
      <c r="VRK97" s="15"/>
      <c r="VRL97" s="15"/>
      <c r="VRM97" s="15"/>
      <c r="VRN97" s="15"/>
      <c r="VRO97" s="15"/>
      <c r="VRP97" s="15"/>
      <c r="VRQ97" s="15"/>
      <c r="VRR97" s="15"/>
      <c r="VRS97" s="15"/>
      <c r="VRT97" s="15"/>
      <c r="VRU97" s="15"/>
      <c r="VRV97" s="15"/>
      <c r="VRW97" s="15"/>
      <c r="VRX97" s="15"/>
      <c r="VRY97" s="15"/>
      <c r="VRZ97" s="15"/>
      <c r="VSA97" s="15"/>
      <c r="VSB97" s="15"/>
      <c r="VSC97" s="15"/>
      <c r="VSD97" s="15"/>
      <c r="VSE97" s="15"/>
      <c r="VSF97" s="15"/>
      <c r="VSG97" s="15"/>
      <c r="VSH97" s="15"/>
      <c r="VSI97" s="15"/>
      <c r="VSJ97" s="15"/>
      <c r="VSK97" s="15"/>
      <c r="VSL97" s="15"/>
      <c r="VSM97" s="15"/>
      <c r="VSN97" s="15"/>
      <c r="VSO97" s="15"/>
      <c r="VSP97" s="15"/>
      <c r="VSQ97" s="15"/>
      <c r="VSR97" s="15"/>
      <c r="VSS97" s="15"/>
      <c r="VST97" s="15"/>
      <c r="VSU97" s="15"/>
      <c r="VSV97" s="15"/>
      <c r="VSW97" s="15"/>
      <c r="VSX97" s="15"/>
      <c r="VSY97" s="15"/>
      <c r="VSZ97" s="15"/>
      <c r="VTA97" s="15"/>
      <c r="VTB97" s="15"/>
      <c r="VTC97" s="15"/>
      <c r="VTD97" s="15"/>
      <c r="VTE97" s="15"/>
      <c r="VTF97" s="15"/>
      <c r="VTG97" s="15"/>
      <c r="VTH97" s="15"/>
      <c r="VTI97" s="15"/>
      <c r="VTJ97" s="15"/>
      <c r="VTK97" s="15"/>
      <c r="VTL97" s="15"/>
      <c r="VTM97" s="15"/>
      <c r="VTN97" s="15"/>
      <c r="VTO97" s="15"/>
      <c r="VTP97" s="15"/>
      <c r="VTQ97" s="15"/>
      <c r="VTR97" s="15"/>
      <c r="VTS97" s="15"/>
      <c r="VTT97" s="15"/>
      <c r="VTU97" s="15"/>
      <c r="VTV97" s="15"/>
      <c r="VTW97" s="15"/>
      <c r="VTX97" s="15"/>
      <c r="VTY97" s="15"/>
      <c r="VTZ97" s="15"/>
      <c r="VUA97" s="15"/>
      <c r="VUB97" s="15"/>
      <c r="VUC97" s="15"/>
      <c r="VUD97" s="15"/>
      <c r="VUE97" s="15"/>
      <c r="VUF97" s="15"/>
      <c r="VUG97" s="15"/>
      <c r="VUH97" s="15"/>
      <c r="VUI97" s="15"/>
      <c r="VUJ97" s="15"/>
      <c r="VUK97" s="15"/>
      <c r="VUL97" s="15"/>
      <c r="VUM97" s="15"/>
      <c r="VUN97" s="15"/>
      <c r="VUO97" s="15"/>
      <c r="VUP97" s="15"/>
      <c r="VUQ97" s="15"/>
      <c r="VUR97" s="15"/>
      <c r="VUS97" s="15"/>
      <c r="VUT97" s="15"/>
      <c r="VUU97" s="15"/>
      <c r="VUV97" s="15"/>
      <c r="VUW97" s="15"/>
      <c r="VUX97" s="15"/>
      <c r="VUY97" s="15"/>
      <c r="VUZ97" s="15"/>
      <c r="VVA97" s="15"/>
      <c r="VVB97" s="15"/>
      <c r="VVC97" s="15"/>
      <c r="VVD97" s="15"/>
      <c r="VVE97" s="15"/>
      <c r="VVF97" s="15"/>
      <c r="VVG97" s="15"/>
      <c r="VVH97" s="15"/>
      <c r="VVI97" s="15"/>
      <c r="VVJ97" s="15"/>
      <c r="VVK97" s="15"/>
      <c r="VVL97" s="15"/>
      <c r="VVM97" s="15"/>
      <c r="VVN97" s="15"/>
      <c r="VVO97" s="15"/>
      <c r="VVP97" s="15"/>
      <c r="VVQ97" s="15"/>
      <c r="VVR97" s="15"/>
      <c r="VVS97" s="15"/>
      <c r="VVT97" s="15"/>
      <c r="VVU97" s="15"/>
      <c r="VVV97" s="15"/>
      <c r="VVW97" s="15"/>
      <c r="VVX97" s="15"/>
      <c r="VVY97" s="15"/>
      <c r="VVZ97" s="15"/>
      <c r="VWA97" s="15"/>
      <c r="VWB97" s="15"/>
      <c r="VWC97" s="15"/>
      <c r="VWD97" s="15"/>
      <c r="VWE97" s="15"/>
      <c r="VWF97" s="15"/>
      <c r="VWG97" s="15"/>
      <c r="VWH97" s="15"/>
      <c r="VWI97" s="15"/>
      <c r="VWJ97" s="15"/>
      <c r="VWK97" s="15"/>
      <c r="VWL97" s="15"/>
      <c r="VWM97" s="15"/>
      <c r="VWN97" s="15"/>
      <c r="VWO97" s="15"/>
      <c r="VWP97" s="15"/>
      <c r="VWQ97" s="15"/>
      <c r="VWR97" s="15"/>
      <c r="VWS97" s="15"/>
      <c r="VWT97" s="15"/>
      <c r="VWU97" s="15"/>
      <c r="VWV97" s="15"/>
      <c r="VWW97" s="15"/>
      <c r="VWX97" s="15"/>
      <c r="VWY97" s="15"/>
      <c r="VWZ97" s="15"/>
      <c r="VXA97" s="15"/>
      <c r="VXB97" s="15"/>
      <c r="VXC97" s="15"/>
      <c r="VXD97" s="15"/>
      <c r="VXE97" s="15"/>
      <c r="VXF97" s="15"/>
      <c r="VXG97" s="15"/>
      <c r="VXH97" s="15"/>
      <c r="VXI97" s="15"/>
      <c r="VXJ97" s="15"/>
      <c r="VXK97" s="15"/>
      <c r="VXL97" s="15"/>
      <c r="VXM97" s="15"/>
      <c r="VXN97" s="15"/>
      <c r="VXO97" s="15"/>
      <c r="VXP97" s="15"/>
      <c r="VXQ97" s="15"/>
      <c r="VXR97" s="15"/>
      <c r="VXS97" s="15"/>
      <c r="VXT97" s="15"/>
      <c r="VXU97" s="15"/>
      <c r="VXV97" s="15"/>
      <c r="VXW97" s="15"/>
      <c r="VXX97" s="15"/>
      <c r="VXY97" s="15"/>
      <c r="VXZ97" s="15"/>
      <c r="VYA97" s="15"/>
      <c r="VYB97" s="15"/>
      <c r="VYC97" s="15"/>
      <c r="VYD97" s="15"/>
      <c r="VYE97" s="15"/>
      <c r="VYF97" s="15"/>
      <c r="VYG97" s="15"/>
      <c r="VYH97" s="15"/>
      <c r="VYI97" s="15"/>
      <c r="VYJ97" s="15"/>
      <c r="VYK97" s="15"/>
      <c r="VYL97" s="15"/>
      <c r="VYM97" s="15"/>
      <c r="VYN97" s="15"/>
      <c r="VYO97" s="15"/>
      <c r="VYP97" s="15"/>
      <c r="VYQ97" s="15"/>
      <c r="VYR97" s="15"/>
      <c r="VYS97" s="15"/>
      <c r="VYT97" s="15"/>
      <c r="VYU97" s="15"/>
      <c r="VYV97" s="15"/>
      <c r="VYW97" s="15"/>
      <c r="VYX97" s="15"/>
      <c r="VYY97" s="15"/>
      <c r="VYZ97" s="15"/>
      <c r="VZA97" s="15"/>
      <c r="VZB97" s="15"/>
      <c r="VZC97" s="15"/>
      <c r="VZD97" s="15"/>
      <c r="VZE97" s="15"/>
      <c r="VZF97" s="15"/>
      <c r="VZG97" s="15"/>
      <c r="VZH97" s="15"/>
      <c r="VZI97" s="15"/>
      <c r="VZJ97" s="15"/>
      <c r="VZK97" s="15"/>
      <c r="VZL97" s="15"/>
      <c r="VZM97" s="15"/>
      <c r="VZN97" s="15"/>
      <c r="VZO97" s="15"/>
      <c r="VZP97" s="15"/>
      <c r="VZQ97" s="15"/>
      <c r="VZR97" s="15"/>
      <c r="VZS97" s="15"/>
      <c r="VZT97" s="15"/>
      <c r="VZU97" s="15"/>
      <c r="VZV97" s="15"/>
      <c r="VZW97" s="15"/>
      <c r="VZX97" s="15"/>
      <c r="VZY97" s="15"/>
      <c r="VZZ97" s="15"/>
      <c r="WAA97" s="15"/>
      <c r="WAB97" s="15"/>
      <c r="WAC97" s="15"/>
      <c r="WAD97" s="15"/>
      <c r="WAE97" s="15"/>
      <c r="WAF97" s="15"/>
      <c r="WAG97" s="15"/>
      <c r="WAH97" s="15"/>
      <c r="WAI97" s="15"/>
      <c r="WAJ97" s="15"/>
      <c r="WAK97" s="15"/>
      <c r="WAL97" s="15"/>
      <c r="WAM97" s="15"/>
      <c r="WAN97" s="15"/>
      <c r="WAO97" s="15"/>
      <c r="WAP97" s="15"/>
      <c r="WAQ97" s="15"/>
      <c r="WAR97" s="15"/>
      <c r="WAS97" s="15"/>
      <c r="WAT97" s="15"/>
      <c r="WAU97" s="15"/>
      <c r="WAV97" s="15"/>
      <c r="WAW97" s="15"/>
      <c r="WAX97" s="15"/>
      <c r="WAY97" s="15"/>
      <c r="WAZ97" s="15"/>
      <c r="WBA97" s="15"/>
      <c r="WBB97" s="15"/>
      <c r="WBC97" s="15"/>
      <c r="WBD97" s="15"/>
      <c r="WBE97" s="15"/>
      <c r="WBF97" s="15"/>
      <c r="WBG97" s="15"/>
      <c r="WBH97" s="15"/>
      <c r="WBI97" s="15"/>
      <c r="WBJ97" s="15"/>
      <c r="WBK97" s="15"/>
      <c r="WBL97" s="15"/>
      <c r="WBM97" s="15"/>
      <c r="WBN97" s="15"/>
      <c r="WBO97" s="15"/>
      <c r="WBP97" s="15"/>
      <c r="WBQ97" s="15"/>
      <c r="WBR97" s="15"/>
      <c r="WBS97" s="15"/>
      <c r="WBT97" s="15"/>
      <c r="WBU97" s="15"/>
      <c r="WBV97" s="15"/>
      <c r="WBW97" s="15"/>
      <c r="WBX97" s="15"/>
      <c r="WBY97" s="15"/>
      <c r="WBZ97" s="15"/>
      <c r="WCA97" s="15"/>
      <c r="WCB97" s="15"/>
      <c r="WCC97" s="15"/>
      <c r="WCD97" s="15"/>
      <c r="WCE97" s="15"/>
      <c r="WCF97" s="15"/>
      <c r="WCG97" s="15"/>
      <c r="WCH97" s="15"/>
      <c r="WCI97" s="15"/>
      <c r="WCJ97" s="15"/>
      <c r="WCK97" s="15"/>
      <c r="WCL97" s="15"/>
      <c r="WCM97" s="15"/>
      <c r="WCN97" s="15"/>
      <c r="WCO97" s="15"/>
      <c r="WCP97" s="15"/>
      <c r="WCQ97" s="15"/>
      <c r="WCR97" s="15"/>
      <c r="WCS97" s="15"/>
      <c r="WCT97" s="15"/>
      <c r="WCU97" s="15"/>
      <c r="WCV97" s="15"/>
      <c r="WCW97" s="15"/>
      <c r="WCX97" s="15"/>
      <c r="WCY97" s="15"/>
      <c r="WCZ97" s="15"/>
      <c r="WDA97" s="15"/>
      <c r="WDB97" s="15"/>
      <c r="WDC97" s="15"/>
      <c r="WDD97" s="15"/>
      <c r="WDE97" s="15"/>
      <c r="WDF97" s="15"/>
      <c r="WDG97" s="15"/>
      <c r="WDH97" s="15"/>
      <c r="WDI97" s="15"/>
      <c r="WDJ97" s="15"/>
      <c r="WDK97" s="15"/>
      <c r="WDL97" s="15"/>
      <c r="WDM97" s="15"/>
      <c r="WDN97" s="15"/>
      <c r="WDO97" s="15"/>
      <c r="WDP97" s="15"/>
      <c r="WDQ97" s="15"/>
      <c r="WDR97" s="15"/>
      <c r="WDS97" s="15"/>
      <c r="WDT97" s="15"/>
      <c r="WDU97" s="15"/>
      <c r="WDV97" s="15"/>
      <c r="WDW97" s="15"/>
      <c r="WDX97" s="15"/>
      <c r="WDY97" s="15"/>
      <c r="WDZ97" s="15"/>
      <c r="WEA97" s="15"/>
      <c r="WEB97" s="15"/>
      <c r="WEC97" s="15"/>
      <c r="WED97" s="15"/>
      <c r="WEE97" s="15"/>
      <c r="WEF97" s="15"/>
      <c r="WEG97" s="15"/>
      <c r="WEH97" s="15"/>
      <c r="WEI97" s="15"/>
      <c r="WEJ97" s="15"/>
      <c r="WEK97" s="15"/>
      <c r="WEL97" s="15"/>
      <c r="WEM97" s="15"/>
      <c r="WEN97" s="15"/>
      <c r="WEO97" s="15"/>
      <c r="WEP97" s="15"/>
      <c r="WEQ97" s="15"/>
      <c r="WER97" s="15"/>
      <c r="WES97" s="15"/>
      <c r="WET97" s="15"/>
      <c r="WEU97" s="15"/>
      <c r="WEV97" s="15"/>
      <c r="WEW97" s="15"/>
      <c r="WEX97" s="15"/>
      <c r="WEY97" s="15"/>
      <c r="WEZ97" s="15"/>
      <c r="WFA97" s="15"/>
      <c r="WFB97" s="15"/>
      <c r="WFC97" s="15"/>
      <c r="WFD97" s="15"/>
      <c r="WFE97" s="15"/>
      <c r="WFF97" s="15"/>
      <c r="WFG97" s="15"/>
      <c r="WFH97" s="15"/>
      <c r="WFI97" s="15"/>
      <c r="WFJ97" s="15"/>
      <c r="WFK97" s="15"/>
      <c r="WFL97" s="15"/>
      <c r="WFM97" s="15"/>
      <c r="WFN97" s="15"/>
      <c r="WFO97" s="15"/>
      <c r="WFP97" s="15"/>
      <c r="WFQ97" s="15"/>
      <c r="WFR97" s="15"/>
      <c r="WFS97" s="15"/>
      <c r="WFT97" s="15"/>
      <c r="WFU97" s="15"/>
      <c r="WFV97" s="15"/>
      <c r="WFW97" s="15"/>
      <c r="WFX97" s="15"/>
      <c r="WFY97" s="15"/>
      <c r="WFZ97" s="15"/>
      <c r="WGA97" s="15"/>
      <c r="WGB97" s="15"/>
      <c r="WGC97" s="15"/>
      <c r="WGD97" s="15"/>
      <c r="WGE97" s="15"/>
      <c r="WGF97" s="15"/>
      <c r="WGG97" s="15"/>
      <c r="WGH97" s="15"/>
      <c r="WGI97" s="15"/>
      <c r="WGJ97" s="15"/>
      <c r="WGK97" s="15"/>
      <c r="WGL97" s="15"/>
      <c r="WGM97" s="15"/>
      <c r="WGN97" s="15"/>
      <c r="WGO97" s="15"/>
      <c r="WGP97" s="15"/>
      <c r="WGQ97" s="15"/>
      <c r="WGR97" s="15"/>
      <c r="WGS97" s="15"/>
      <c r="WGT97" s="15"/>
      <c r="WGU97" s="15"/>
      <c r="WGV97" s="15"/>
      <c r="WGW97" s="15"/>
      <c r="WGX97" s="15"/>
      <c r="WGY97" s="15"/>
      <c r="WGZ97" s="15"/>
      <c r="WHA97" s="15"/>
      <c r="WHB97" s="15"/>
      <c r="WHC97" s="15"/>
      <c r="WHD97" s="15"/>
      <c r="WHE97" s="15"/>
      <c r="WHF97" s="15"/>
      <c r="WHG97" s="15"/>
      <c r="WHH97" s="15"/>
      <c r="WHI97" s="15"/>
      <c r="WHJ97" s="15"/>
      <c r="WHK97" s="15"/>
      <c r="WHL97" s="15"/>
      <c r="WHM97" s="15"/>
      <c r="WHN97" s="15"/>
      <c r="WHO97" s="15"/>
      <c r="WHP97" s="15"/>
      <c r="WHQ97" s="15"/>
      <c r="WHR97" s="15"/>
      <c r="WHS97" s="15"/>
      <c r="WHT97" s="15"/>
      <c r="WHU97" s="15"/>
      <c r="WHV97" s="15"/>
      <c r="WHW97" s="15"/>
      <c r="WHX97" s="15"/>
      <c r="WHY97" s="15"/>
      <c r="WHZ97" s="15"/>
      <c r="WIA97" s="15"/>
      <c r="WIB97" s="15"/>
      <c r="WIC97" s="15"/>
      <c r="WID97" s="15"/>
      <c r="WIE97" s="15"/>
      <c r="WIF97" s="15"/>
      <c r="WIG97" s="15"/>
      <c r="WIH97" s="15"/>
      <c r="WII97" s="15"/>
      <c r="WIJ97" s="15"/>
      <c r="WIK97" s="15"/>
      <c r="WIL97" s="15"/>
      <c r="WIM97" s="15"/>
      <c r="WIN97" s="15"/>
      <c r="WIO97" s="15"/>
      <c r="WIP97" s="15"/>
      <c r="WIQ97" s="15"/>
      <c r="WIR97" s="15"/>
      <c r="WIS97" s="15"/>
      <c r="WIT97" s="15"/>
      <c r="WIU97" s="15"/>
      <c r="WIV97" s="15"/>
      <c r="WIW97" s="15"/>
      <c r="WIX97" s="15"/>
      <c r="WIY97" s="15"/>
      <c r="WIZ97" s="15"/>
      <c r="WJA97" s="15"/>
      <c r="WJB97" s="15"/>
      <c r="WJC97" s="15"/>
      <c r="WJD97" s="15"/>
      <c r="WJE97" s="15"/>
      <c r="WJF97" s="15"/>
      <c r="WJG97" s="15"/>
      <c r="WJH97" s="15"/>
      <c r="WJI97" s="15"/>
      <c r="WJJ97" s="15"/>
      <c r="WJK97" s="15"/>
      <c r="WJL97" s="15"/>
      <c r="WJM97" s="15"/>
      <c r="WJN97" s="15"/>
      <c r="WJO97" s="15"/>
      <c r="WJP97" s="15"/>
      <c r="WJQ97" s="15"/>
      <c r="WJR97" s="15"/>
      <c r="WJS97" s="15"/>
      <c r="WJT97" s="15"/>
      <c r="WJU97" s="15"/>
      <c r="WJV97" s="15"/>
      <c r="WJW97" s="15"/>
      <c r="WJX97" s="15"/>
      <c r="WJY97" s="15"/>
      <c r="WJZ97" s="15"/>
      <c r="WKA97" s="15"/>
      <c r="WKB97" s="15"/>
      <c r="WKC97" s="15"/>
      <c r="WKD97" s="15"/>
      <c r="WKE97" s="15"/>
      <c r="WKF97" s="15"/>
      <c r="WKG97" s="15"/>
      <c r="WKH97" s="15"/>
      <c r="WKI97" s="15"/>
      <c r="WKJ97" s="15"/>
      <c r="WKK97" s="15"/>
      <c r="WKL97" s="15"/>
      <c r="WKM97" s="15"/>
      <c r="WKN97" s="15"/>
      <c r="WKO97" s="15"/>
      <c r="WKP97" s="15"/>
      <c r="WKQ97" s="15"/>
      <c r="WKR97" s="15"/>
      <c r="WKS97" s="15"/>
      <c r="WKT97" s="15"/>
      <c r="WKU97" s="15"/>
      <c r="WKV97" s="15"/>
      <c r="WKW97" s="15"/>
      <c r="WKX97" s="15"/>
      <c r="WKY97" s="15"/>
      <c r="WKZ97" s="15"/>
      <c r="WLA97" s="15"/>
      <c r="WLB97" s="15"/>
      <c r="WLC97" s="15"/>
      <c r="WLD97" s="15"/>
      <c r="WLE97" s="15"/>
      <c r="WLF97" s="15"/>
      <c r="WLG97" s="15"/>
      <c r="WLH97" s="15"/>
      <c r="WLI97" s="15"/>
      <c r="WLJ97" s="15"/>
      <c r="WLK97" s="15"/>
      <c r="WLL97" s="15"/>
      <c r="WLM97" s="15"/>
      <c r="WLN97" s="15"/>
      <c r="WLO97" s="15"/>
      <c r="WLP97" s="15"/>
      <c r="WLQ97" s="15"/>
      <c r="WLR97" s="15"/>
      <c r="WLS97" s="15"/>
      <c r="WLT97" s="15"/>
      <c r="WLU97" s="15"/>
      <c r="WLV97" s="15"/>
      <c r="WLW97" s="15"/>
      <c r="WLX97" s="15"/>
      <c r="WLY97" s="15"/>
      <c r="WLZ97" s="15"/>
      <c r="WMA97" s="15"/>
      <c r="WMB97" s="15"/>
      <c r="WMC97" s="15"/>
      <c r="WMD97" s="15"/>
      <c r="WME97" s="15"/>
      <c r="WMF97" s="15"/>
      <c r="WMG97" s="15"/>
      <c r="WMH97" s="15"/>
      <c r="WMI97" s="15"/>
      <c r="WMJ97" s="15"/>
      <c r="WMK97" s="15"/>
      <c r="WML97" s="15"/>
      <c r="WMM97" s="15"/>
      <c r="WMN97" s="15"/>
      <c r="WMO97" s="15"/>
      <c r="WMP97" s="15"/>
      <c r="WMQ97" s="15"/>
      <c r="WMR97" s="15"/>
      <c r="WMS97" s="15"/>
      <c r="WMT97" s="15"/>
      <c r="WMU97" s="15"/>
      <c r="WMV97" s="15"/>
      <c r="WMW97" s="15"/>
      <c r="WMX97" s="15"/>
      <c r="WMY97" s="15"/>
      <c r="WMZ97" s="15"/>
      <c r="WNA97" s="15"/>
      <c r="WNB97" s="15"/>
      <c r="WNC97" s="15"/>
      <c r="WND97" s="15"/>
      <c r="WNE97" s="15"/>
      <c r="WNF97" s="15"/>
      <c r="WNG97" s="15"/>
      <c r="WNH97" s="15"/>
      <c r="WNI97" s="15"/>
      <c r="WNJ97" s="15"/>
      <c r="WNK97" s="15"/>
      <c r="WNL97" s="15"/>
      <c r="WNM97" s="15"/>
      <c r="WNN97" s="15"/>
      <c r="WNO97" s="15"/>
      <c r="WNP97" s="15"/>
      <c r="WNQ97" s="15"/>
      <c r="WNR97" s="15"/>
      <c r="WNS97" s="15"/>
      <c r="WNT97" s="15"/>
      <c r="WNU97" s="15"/>
      <c r="WNV97" s="15"/>
      <c r="WNW97" s="15"/>
      <c r="WNX97" s="15"/>
      <c r="WNY97" s="15"/>
      <c r="WNZ97" s="15"/>
      <c r="WOA97" s="15"/>
      <c r="WOB97" s="15"/>
      <c r="WOC97" s="15"/>
      <c r="WOD97" s="15"/>
      <c r="WOE97" s="15"/>
      <c r="WOF97" s="15"/>
      <c r="WOG97" s="15"/>
      <c r="WOH97" s="15"/>
      <c r="WOI97" s="15"/>
      <c r="WOJ97" s="15"/>
      <c r="WOK97" s="15"/>
      <c r="WOL97" s="15"/>
      <c r="WOM97" s="15"/>
      <c r="WON97" s="15"/>
      <c r="WOO97" s="15"/>
      <c r="WOP97" s="15"/>
      <c r="WOQ97" s="15"/>
      <c r="WOR97" s="15"/>
      <c r="WOS97" s="15"/>
      <c r="WOT97" s="15"/>
      <c r="WOU97" s="15"/>
      <c r="WOV97" s="15"/>
      <c r="WOW97" s="15"/>
      <c r="WOX97" s="15"/>
      <c r="WOY97" s="15"/>
      <c r="WOZ97" s="15"/>
      <c r="WPA97" s="15"/>
      <c r="WPB97" s="15"/>
      <c r="WPC97" s="15"/>
      <c r="WPD97" s="15"/>
      <c r="WPE97" s="15"/>
      <c r="WPF97" s="15"/>
      <c r="WPG97" s="15"/>
      <c r="WPH97" s="15"/>
      <c r="WPI97" s="15"/>
      <c r="WPJ97" s="15"/>
      <c r="WPK97" s="15"/>
      <c r="WPL97" s="15"/>
      <c r="WPM97" s="15"/>
      <c r="WPN97" s="15"/>
      <c r="WPO97" s="15"/>
      <c r="WPP97" s="15"/>
      <c r="WPQ97" s="15"/>
      <c r="WPR97" s="15"/>
      <c r="WPS97" s="15"/>
      <c r="WPT97" s="15"/>
      <c r="WPU97" s="15"/>
      <c r="WPV97" s="15"/>
      <c r="WPW97" s="15"/>
      <c r="WPX97" s="15"/>
      <c r="WPY97" s="15"/>
      <c r="WPZ97" s="15"/>
      <c r="WQA97" s="15"/>
      <c r="WQB97" s="15"/>
      <c r="WQC97" s="15"/>
      <c r="WQD97" s="15"/>
      <c r="WQE97" s="15"/>
      <c r="WQF97" s="15"/>
      <c r="WQG97" s="15"/>
      <c r="WQH97" s="15"/>
      <c r="WQI97" s="15"/>
      <c r="WQJ97" s="15"/>
      <c r="WQK97" s="15"/>
      <c r="WQL97" s="15"/>
      <c r="WQM97" s="15"/>
      <c r="WQN97" s="15"/>
      <c r="WQO97" s="15"/>
      <c r="WQP97" s="15"/>
      <c r="WQQ97" s="15"/>
      <c r="WQR97" s="15"/>
      <c r="WQS97" s="15"/>
      <c r="WQT97" s="15"/>
      <c r="WQU97" s="15"/>
      <c r="WQV97" s="15"/>
      <c r="WQW97" s="15"/>
      <c r="WQX97" s="15"/>
      <c r="WQY97" s="15"/>
      <c r="WQZ97" s="15"/>
      <c r="WRA97" s="15"/>
      <c r="WRB97" s="15"/>
      <c r="WRC97" s="15"/>
      <c r="WRD97" s="15"/>
      <c r="WRE97" s="15"/>
      <c r="WRF97" s="15"/>
      <c r="WRG97" s="15"/>
      <c r="WRH97" s="15"/>
      <c r="WRI97" s="15"/>
      <c r="WRJ97" s="15"/>
      <c r="WRK97" s="15"/>
      <c r="WRL97" s="15"/>
      <c r="WRM97" s="15"/>
      <c r="WRN97" s="15"/>
      <c r="WRO97" s="15"/>
      <c r="WRP97" s="15"/>
      <c r="WRQ97" s="15"/>
      <c r="WRR97" s="15"/>
      <c r="WRS97" s="15"/>
      <c r="WRT97" s="15"/>
      <c r="WRU97" s="15"/>
      <c r="WRV97" s="15"/>
      <c r="WRW97" s="15"/>
      <c r="WRX97" s="15"/>
      <c r="WRY97" s="15"/>
      <c r="WRZ97" s="15"/>
      <c r="WSA97" s="15"/>
      <c r="WSB97" s="15"/>
      <c r="WSC97" s="15"/>
      <c r="WSD97" s="15"/>
      <c r="WSE97" s="15"/>
      <c r="WSF97" s="15"/>
      <c r="WSG97" s="15"/>
      <c r="WSH97" s="15"/>
      <c r="WSI97" s="15"/>
      <c r="WSJ97" s="15"/>
      <c r="WSK97" s="15"/>
      <c r="WSL97" s="15"/>
      <c r="WSM97" s="15"/>
      <c r="WSN97" s="15"/>
      <c r="WSO97" s="15"/>
      <c r="WSP97" s="15"/>
      <c r="WSQ97" s="15"/>
      <c r="WSR97" s="15"/>
      <c r="WSS97" s="15"/>
      <c r="WST97" s="15"/>
      <c r="WSU97" s="15"/>
      <c r="WSV97" s="15"/>
      <c r="WSW97" s="15"/>
      <c r="WSX97" s="15"/>
      <c r="WSY97" s="15"/>
      <c r="WSZ97" s="15"/>
      <c r="WTA97" s="15"/>
      <c r="WTB97" s="15"/>
      <c r="WTC97" s="15"/>
      <c r="WTD97" s="15"/>
      <c r="WTE97" s="15"/>
      <c r="WTF97" s="15"/>
      <c r="WTG97" s="15"/>
      <c r="WTH97" s="15"/>
      <c r="WTI97" s="15"/>
      <c r="WTJ97" s="15"/>
      <c r="WTK97" s="15"/>
      <c r="WTL97" s="15"/>
      <c r="WTM97" s="15"/>
      <c r="WTN97" s="15"/>
      <c r="WTO97" s="15"/>
      <c r="WTP97" s="15"/>
      <c r="WTQ97" s="15"/>
      <c r="WTR97" s="15"/>
      <c r="WTS97" s="15"/>
      <c r="WTT97" s="15"/>
      <c r="WTU97" s="15"/>
      <c r="WTV97" s="15"/>
      <c r="WTW97" s="15"/>
      <c r="WTX97" s="15"/>
      <c r="WTY97" s="15"/>
      <c r="WTZ97" s="15"/>
      <c r="WUA97" s="15"/>
      <c r="WUB97" s="15"/>
      <c r="WUC97" s="15"/>
      <c r="WUD97" s="15"/>
      <c r="WUE97" s="15"/>
      <c r="WUF97" s="15"/>
      <c r="WUG97" s="15"/>
      <c r="WUH97" s="15"/>
      <c r="WUI97" s="15"/>
      <c r="WUJ97" s="15"/>
      <c r="WUK97" s="15"/>
      <c r="WUL97" s="15"/>
      <c r="WUM97" s="15"/>
      <c r="WUN97" s="15"/>
      <c r="WUO97" s="15"/>
      <c r="WUP97" s="15"/>
      <c r="WUQ97" s="15"/>
      <c r="WUR97" s="15"/>
      <c r="WUS97" s="15"/>
      <c r="WUT97" s="15"/>
      <c r="WUU97" s="15"/>
      <c r="WUV97" s="15"/>
      <c r="WUW97" s="15"/>
      <c r="WUX97" s="15"/>
      <c r="WUY97" s="15"/>
      <c r="WUZ97" s="15"/>
      <c r="WVA97" s="15"/>
      <c r="WVB97" s="15"/>
      <c r="WVC97" s="15"/>
      <c r="WVD97" s="15"/>
      <c r="WVE97" s="15"/>
      <c r="WVF97" s="15"/>
      <c r="WVG97" s="15"/>
      <c r="WVH97" s="15"/>
      <c r="WVI97" s="15"/>
      <c r="WVJ97" s="15"/>
      <c r="WVK97" s="15"/>
      <c r="WVL97" s="15"/>
      <c r="WVM97" s="15"/>
      <c r="WVN97" s="15"/>
      <c r="WVO97" s="15"/>
      <c r="WVP97" s="15"/>
      <c r="WVQ97" s="15"/>
      <c r="WVR97" s="15"/>
      <c r="WVS97" s="15"/>
      <c r="WVT97" s="15"/>
      <c r="WVU97" s="15"/>
      <c r="WVV97" s="15"/>
      <c r="WVW97" s="15"/>
      <c r="WVX97" s="15"/>
      <c r="WVY97" s="15"/>
      <c r="WVZ97" s="15"/>
      <c r="WWA97" s="15"/>
      <c r="WWB97" s="15"/>
      <c r="WWC97" s="15"/>
      <c r="WWD97" s="15"/>
      <c r="WWE97" s="15"/>
      <c r="WWF97" s="15"/>
      <c r="WWG97" s="15"/>
      <c r="WWH97" s="15"/>
      <c r="WWI97" s="15"/>
      <c r="WWJ97" s="15"/>
      <c r="WWK97" s="15"/>
      <c r="WWL97" s="15"/>
      <c r="WWM97" s="15"/>
      <c r="WWN97" s="15"/>
      <c r="WWO97" s="15"/>
      <c r="WWP97" s="15"/>
      <c r="WWQ97" s="15"/>
      <c r="WWR97" s="15"/>
      <c r="WWS97" s="15"/>
      <c r="WWT97" s="15"/>
      <c r="WWU97" s="15"/>
      <c r="WWV97" s="15"/>
      <c r="WWW97" s="15"/>
      <c r="WWX97" s="15"/>
      <c r="WWY97" s="15"/>
      <c r="WWZ97" s="15"/>
      <c r="WXA97" s="15"/>
      <c r="WXB97" s="15"/>
      <c r="WXC97" s="15"/>
      <c r="WXD97" s="15"/>
      <c r="WXE97" s="15"/>
      <c r="WXF97" s="15"/>
      <c r="WXG97" s="15"/>
      <c r="WXH97" s="15"/>
      <c r="WXI97" s="15"/>
      <c r="WXJ97" s="15"/>
      <c r="WXK97" s="15"/>
      <c r="WXL97" s="15"/>
      <c r="WXM97" s="15"/>
      <c r="WXN97" s="15"/>
      <c r="WXO97" s="15"/>
      <c r="WXP97" s="15"/>
      <c r="WXQ97" s="15"/>
      <c r="WXR97" s="15"/>
      <c r="WXS97" s="15"/>
      <c r="WXT97" s="15"/>
      <c r="WXU97" s="15"/>
      <c r="WXV97" s="15"/>
      <c r="WXW97" s="15"/>
      <c r="WXX97" s="15"/>
      <c r="WXY97" s="15"/>
      <c r="WXZ97" s="15"/>
      <c r="WYA97" s="15"/>
      <c r="WYB97" s="15"/>
      <c r="WYC97" s="15"/>
      <c r="WYD97" s="15"/>
      <c r="WYE97" s="15"/>
      <c r="WYF97" s="15"/>
      <c r="WYG97" s="15"/>
      <c r="WYH97" s="15"/>
      <c r="WYI97" s="15"/>
      <c r="WYJ97" s="15"/>
      <c r="WYK97" s="15"/>
      <c r="WYL97" s="15"/>
      <c r="WYM97" s="15"/>
      <c r="WYN97" s="15"/>
      <c r="WYO97" s="15"/>
      <c r="WYP97" s="15"/>
      <c r="WYQ97" s="15"/>
      <c r="WYR97" s="15"/>
      <c r="WYS97" s="15"/>
      <c r="WYT97" s="15"/>
      <c r="WYU97" s="15"/>
      <c r="WYV97" s="15"/>
      <c r="WYW97" s="15"/>
      <c r="WYX97" s="15"/>
      <c r="WYY97" s="15"/>
      <c r="WYZ97" s="15"/>
      <c r="WZA97" s="15"/>
      <c r="WZB97" s="15"/>
      <c r="WZC97" s="15"/>
      <c r="WZD97" s="15"/>
      <c r="WZE97" s="15"/>
      <c r="WZF97" s="15"/>
      <c r="WZG97" s="15"/>
      <c r="WZH97" s="15"/>
      <c r="WZI97" s="15"/>
      <c r="WZJ97" s="15"/>
      <c r="WZK97" s="15"/>
      <c r="WZL97" s="15"/>
      <c r="WZM97" s="15"/>
      <c r="WZN97" s="15"/>
      <c r="WZO97" s="15"/>
      <c r="WZP97" s="15"/>
      <c r="WZQ97" s="15"/>
      <c r="WZR97" s="15"/>
      <c r="WZS97" s="15"/>
      <c r="WZT97" s="15"/>
      <c r="WZU97" s="15"/>
      <c r="WZV97" s="15"/>
      <c r="WZW97" s="15"/>
      <c r="WZX97" s="15"/>
      <c r="WZY97" s="15"/>
      <c r="WZZ97" s="15"/>
      <c r="XAA97" s="15"/>
      <c r="XAB97" s="15"/>
      <c r="XAC97" s="15"/>
      <c r="XAD97" s="15"/>
      <c r="XAE97" s="15"/>
      <c r="XAF97" s="15"/>
      <c r="XAG97" s="15"/>
      <c r="XAH97" s="15"/>
      <c r="XAI97" s="15"/>
      <c r="XAJ97" s="15"/>
      <c r="XAK97" s="15"/>
      <c r="XAL97" s="15"/>
      <c r="XAM97" s="15"/>
      <c r="XAN97" s="15"/>
      <c r="XAO97" s="15"/>
      <c r="XAP97" s="15"/>
      <c r="XAQ97" s="15"/>
      <c r="XAR97" s="15"/>
      <c r="XAS97" s="15"/>
      <c r="XAT97" s="15"/>
      <c r="XAU97" s="15"/>
      <c r="XAV97" s="15"/>
      <c r="XAW97" s="15"/>
      <c r="XAX97" s="15"/>
      <c r="XAY97" s="15"/>
      <c r="XAZ97" s="15"/>
      <c r="XBA97" s="15"/>
      <c r="XBB97" s="15"/>
      <c r="XBC97" s="15"/>
      <c r="XBD97" s="15"/>
      <c r="XBE97" s="15"/>
      <c r="XBF97" s="15"/>
      <c r="XBG97" s="15"/>
      <c r="XBH97" s="15"/>
      <c r="XBI97" s="15"/>
      <c r="XBJ97" s="15"/>
      <c r="XBK97" s="15"/>
      <c r="XBL97" s="15"/>
      <c r="XBM97" s="15"/>
      <c r="XBN97" s="15"/>
      <c r="XBO97" s="15"/>
      <c r="XBP97" s="15"/>
      <c r="XBQ97" s="15"/>
      <c r="XBR97" s="15"/>
      <c r="XBS97" s="15"/>
      <c r="XBT97" s="15"/>
      <c r="XBU97" s="15"/>
      <c r="XBV97" s="15"/>
      <c r="XBW97" s="15"/>
      <c r="XBX97" s="15"/>
      <c r="XBY97" s="15"/>
      <c r="XBZ97" s="15"/>
      <c r="XCA97" s="15"/>
      <c r="XCB97" s="15"/>
      <c r="XCC97" s="15"/>
      <c r="XCD97" s="15"/>
      <c r="XCE97" s="15"/>
      <c r="XCF97" s="15"/>
      <c r="XCG97" s="15"/>
      <c r="XCH97" s="15"/>
      <c r="XCI97" s="15"/>
      <c r="XCJ97" s="15"/>
      <c r="XCK97" s="15"/>
      <c r="XCL97" s="15"/>
      <c r="XCM97" s="15"/>
      <c r="XCN97" s="15"/>
      <c r="XCO97" s="15"/>
      <c r="XCP97" s="15"/>
      <c r="XCQ97" s="15"/>
      <c r="XCR97" s="15"/>
      <c r="XCS97" s="15"/>
      <c r="XCT97" s="15"/>
      <c r="XCU97" s="15"/>
      <c r="XCV97" s="15"/>
      <c r="XCW97" s="15"/>
      <c r="XCX97" s="15"/>
      <c r="XCY97" s="15"/>
      <c r="XCZ97" s="15"/>
      <c r="XDA97" s="15"/>
      <c r="XDB97" s="15"/>
      <c r="XDC97" s="15"/>
      <c r="XDD97" s="15"/>
      <c r="XDE97" s="15"/>
      <c r="XDF97" s="15"/>
      <c r="XDG97" s="15"/>
      <c r="XDH97" s="15"/>
      <c r="XDI97" s="15"/>
      <c r="XDJ97" s="15"/>
      <c r="XDK97" s="15"/>
      <c r="XDL97" s="15"/>
      <c r="XDM97" s="15"/>
      <c r="XDN97" s="15"/>
      <c r="XDO97" s="15"/>
      <c r="XDP97" s="15"/>
      <c r="XDQ97" s="15"/>
      <c r="XDR97" s="15"/>
      <c r="XDS97" s="15"/>
      <c r="XDT97" s="15"/>
      <c r="XDU97" s="15"/>
      <c r="XDV97" s="15"/>
      <c r="XDW97" s="15"/>
      <c r="XDX97" s="15"/>
      <c r="XDY97" s="15"/>
      <c r="XDZ97" s="15"/>
      <c r="XEA97" s="15"/>
      <c r="XEB97" s="15"/>
      <c r="XEC97" s="15"/>
      <c r="XED97" s="15"/>
      <c r="XEE97" s="15"/>
      <c r="XEF97" s="15"/>
      <c r="XEG97" s="15"/>
      <c r="XEH97" s="15"/>
      <c r="XEI97" s="15"/>
      <c r="XEJ97" s="15"/>
      <c r="XEK97" s="15"/>
      <c r="XEL97" s="15"/>
      <c r="XEM97" s="15"/>
      <c r="XEN97" s="15"/>
      <c r="XEO97" s="15"/>
      <c r="XEP97" s="15"/>
      <c r="XEQ97" s="15"/>
      <c r="XER97" s="15"/>
      <c r="XES97" s="15"/>
      <c r="XET97" s="15"/>
      <c r="XEU97" s="15"/>
      <c r="XEV97" s="15"/>
      <c r="XEW97" s="15"/>
      <c r="XEX97" s="15"/>
      <c r="XEY97" s="15"/>
      <c r="XEZ97" s="15"/>
      <c r="XFA97" s="15"/>
      <c r="XFB97" s="15"/>
      <c r="XFC97" s="15"/>
      <c r="XFD97" s="15"/>
    </row>
    <row r="98" spans="2:125 1104:16384" ht="15" x14ac:dyDescent="0.25">
      <c r="B98" s="514" t="s">
        <v>634</v>
      </c>
      <c r="C98" s="3"/>
      <c r="D98" s="3"/>
      <c r="E98" s="406"/>
      <c r="F98" s="406"/>
      <c r="G98" s="406"/>
      <c r="H98" s="406"/>
      <c r="I98" s="406"/>
      <c r="J98" s="406"/>
      <c r="K98" s="406"/>
      <c r="L98" s="406"/>
      <c r="M98" s="406"/>
      <c r="N98" s="406"/>
      <c r="O98" s="406"/>
      <c r="P98" s="488"/>
      <c r="Q98" s="344"/>
      <c r="R98" s="108"/>
      <c r="S98" s="108"/>
      <c r="T98" s="108"/>
      <c r="U98" s="108"/>
      <c r="V98" s="108"/>
      <c r="W98" s="108"/>
      <c r="X98" s="108">
        <f>[3]Batch4!D93</f>
        <v>0</v>
      </c>
      <c r="Y98" s="108">
        <f>[3]Batch4!E93</f>
        <v>0</v>
      </c>
      <c r="Z98" s="108">
        <f>[3]Batch4!F93</f>
        <v>0</v>
      </c>
      <c r="AA98" s="108">
        <f>[3]Batch4!G93</f>
        <v>0</v>
      </c>
      <c r="AB98" s="110">
        <f>[3]Batch4!H93</f>
        <v>0</v>
      </c>
      <c r="AC98" s="109">
        <f>[3]Batch4!I93</f>
        <v>0</v>
      </c>
      <c r="AD98" s="108">
        <f>[3]Batch4!J93</f>
        <v>0</v>
      </c>
      <c r="AE98" s="108">
        <f>[3]Batch4!K93</f>
        <v>0</v>
      </c>
      <c r="AF98" s="108">
        <f>[3]Batch4!L93</f>
        <v>0</v>
      </c>
      <c r="AG98" s="108">
        <f>[3]Batch4!M93</f>
        <v>0</v>
      </c>
      <c r="AH98" s="108">
        <f t="shared" si="83"/>
        <v>0</v>
      </c>
      <c r="AI98" s="108">
        <f t="shared" si="81"/>
        <v>0</v>
      </c>
      <c r="AJ98" s="108">
        <f t="shared" si="81"/>
        <v>0</v>
      </c>
      <c r="AK98" s="108">
        <f t="shared" si="81"/>
        <v>0</v>
      </c>
      <c r="AL98" s="108">
        <f t="shared" si="81"/>
        <v>0</v>
      </c>
      <c r="AM98" s="108">
        <f t="shared" si="81"/>
        <v>0</v>
      </c>
      <c r="AN98" s="110">
        <f t="shared" si="81"/>
        <v>0</v>
      </c>
      <c r="AO98" s="109">
        <f t="shared" si="81"/>
        <v>0</v>
      </c>
      <c r="AP98" s="108">
        <f t="shared" si="81"/>
        <v>0</v>
      </c>
      <c r="AQ98" s="108">
        <f t="shared" si="81"/>
        <v>0</v>
      </c>
      <c r="AR98" s="108">
        <f t="shared" si="81"/>
        <v>0</v>
      </c>
      <c r="AS98" s="108">
        <f t="shared" si="81"/>
        <v>0</v>
      </c>
      <c r="AT98" s="108">
        <f t="shared" si="81"/>
        <v>0</v>
      </c>
      <c r="AU98" s="108">
        <f t="shared" si="81"/>
        <v>0</v>
      </c>
      <c r="AV98" s="108">
        <f t="shared" si="81"/>
        <v>0</v>
      </c>
      <c r="AW98" s="108">
        <f t="shared" si="81"/>
        <v>0</v>
      </c>
      <c r="AX98" s="108">
        <f t="shared" si="81"/>
        <v>0</v>
      </c>
      <c r="AY98" s="108">
        <f t="shared" si="81"/>
        <v>0</v>
      </c>
      <c r="AZ98" s="110">
        <f t="shared" si="81"/>
        <v>0</v>
      </c>
      <c r="BA98" s="109">
        <f t="shared" si="81"/>
        <v>0</v>
      </c>
      <c r="BB98" s="108">
        <f t="shared" si="81"/>
        <v>0</v>
      </c>
      <c r="BC98" s="108">
        <f t="shared" si="81"/>
        <v>0</v>
      </c>
      <c r="BD98" s="108">
        <f t="shared" si="81"/>
        <v>0</v>
      </c>
      <c r="BE98" s="108">
        <f t="shared" si="81"/>
        <v>0</v>
      </c>
      <c r="BF98" s="108">
        <f t="shared" si="81"/>
        <v>24.999999999999996</v>
      </c>
      <c r="BG98" s="108">
        <f t="shared" si="81"/>
        <v>36.937499999999993</v>
      </c>
      <c r="BH98" s="108">
        <f t="shared" si="81"/>
        <v>60.639062499999994</v>
      </c>
      <c r="BI98" s="108">
        <f t="shared" si="81"/>
        <v>119.45895312499998</v>
      </c>
      <c r="BJ98" s="108">
        <f t="shared" si="81"/>
        <v>188.26731012499999</v>
      </c>
      <c r="BK98" s="108">
        <f t="shared" si="81"/>
        <v>278.1649507096875</v>
      </c>
      <c r="BL98" s="110">
        <f t="shared" si="81"/>
        <v>399.57236148818646</v>
      </c>
      <c r="BM98" s="109">
        <f t="shared" si="81"/>
        <v>539.76517860461308</v>
      </c>
      <c r="BN98" s="108">
        <f t="shared" si="81"/>
        <v>3647.8380313502589</v>
      </c>
      <c r="BO98" s="108">
        <f t="shared" si="81"/>
        <v>656.25108102043055</v>
      </c>
      <c r="BP98" s="108">
        <f t="shared" si="81"/>
        <v>722.86409397562284</v>
      </c>
      <c r="BQ98" s="108">
        <f t="shared" si="81"/>
        <v>524.88737336595295</v>
      </c>
      <c r="BR98" s="108">
        <f t="shared" si="81"/>
        <v>299.09883871796393</v>
      </c>
      <c r="BS98" s="108">
        <f t="shared" si="81"/>
        <v>328.24358602559818</v>
      </c>
      <c r="BT98" s="108">
        <f t="shared" si="81"/>
        <v>399.95218481888264</v>
      </c>
      <c r="BU98" s="108">
        <f t="shared" si="81"/>
        <v>0</v>
      </c>
      <c r="BV98" s="108">
        <f t="shared" si="81"/>
        <v>0</v>
      </c>
      <c r="BW98" s="108">
        <f t="shared" si="81"/>
        <v>0</v>
      </c>
      <c r="BX98" s="110">
        <f t="shared" si="81"/>
        <v>0</v>
      </c>
      <c r="BY98" s="109">
        <f t="shared" si="81"/>
        <v>0</v>
      </c>
      <c r="BZ98" s="108">
        <f t="shared" si="81"/>
        <v>0</v>
      </c>
      <c r="CA98" s="108">
        <f t="shared" si="81"/>
        <v>0</v>
      </c>
      <c r="CB98" s="108">
        <f t="shared" si="81"/>
        <v>0</v>
      </c>
      <c r="CC98" s="108">
        <f t="shared" si="81"/>
        <v>0</v>
      </c>
      <c r="CD98" s="108">
        <f t="shared" si="81"/>
        <v>0</v>
      </c>
      <c r="CE98" s="108">
        <f t="shared" si="81"/>
        <v>0</v>
      </c>
      <c r="CF98" s="108">
        <f t="shared" si="81"/>
        <v>0</v>
      </c>
      <c r="CG98" s="108">
        <f t="shared" si="81"/>
        <v>0</v>
      </c>
      <c r="CH98" s="108">
        <f t="shared" si="81"/>
        <v>0</v>
      </c>
      <c r="CI98" s="108">
        <f t="shared" si="81"/>
        <v>0</v>
      </c>
      <c r="CJ98" s="110">
        <f t="shared" si="81"/>
        <v>0</v>
      </c>
      <c r="CK98" s="109">
        <f t="shared" si="81"/>
        <v>0</v>
      </c>
      <c r="CL98" s="108">
        <f t="shared" si="81"/>
        <v>0</v>
      </c>
      <c r="CM98" s="108">
        <f t="shared" si="81"/>
        <v>0</v>
      </c>
      <c r="CN98" s="108">
        <f t="shared" si="81"/>
        <v>0</v>
      </c>
      <c r="CO98" s="108">
        <f t="shared" si="81"/>
        <v>0</v>
      </c>
      <c r="CP98" s="108">
        <f t="shared" si="81"/>
        <v>0</v>
      </c>
      <c r="CQ98" s="108">
        <f t="shared" si="81"/>
        <v>0</v>
      </c>
      <c r="CR98" s="108">
        <f t="shared" si="81"/>
        <v>0</v>
      </c>
      <c r="CS98" s="108">
        <f t="shared" si="81"/>
        <v>0</v>
      </c>
      <c r="CT98" s="108">
        <f t="shared" si="81"/>
        <v>0</v>
      </c>
      <c r="CU98" s="108">
        <f t="shared" si="82"/>
        <v>0</v>
      </c>
      <c r="CV98" s="110">
        <f t="shared" si="82"/>
        <v>0</v>
      </c>
      <c r="CW98" s="109">
        <f t="shared" si="82"/>
        <v>0</v>
      </c>
      <c r="CX98" s="108">
        <f t="shared" si="82"/>
        <v>0</v>
      </c>
      <c r="CY98" s="108">
        <f t="shared" si="82"/>
        <v>0</v>
      </c>
      <c r="CZ98" s="108">
        <f t="shared" si="82"/>
        <v>0</v>
      </c>
      <c r="DA98" s="108">
        <f t="shared" si="82"/>
        <v>0</v>
      </c>
      <c r="DB98" s="108">
        <f t="shared" si="82"/>
        <v>0</v>
      </c>
      <c r="DC98" s="108">
        <f t="shared" si="82"/>
        <v>0</v>
      </c>
      <c r="DD98" s="108">
        <f t="shared" si="82"/>
        <v>0</v>
      </c>
      <c r="DE98" s="108">
        <f t="shared" si="82"/>
        <v>0</v>
      </c>
      <c r="DF98" s="108">
        <f t="shared" si="82"/>
        <v>0</v>
      </c>
      <c r="DG98" s="108">
        <f t="shared" si="82"/>
        <v>0</v>
      </c>
      <c r="DH98" s="110">
        <f t="shared" si="82"/>
        <v>0</v>
      </c>
      <c r="DI98" s="109">
        <f t="shared" si="82"/>
        <v>0</v>
      </c>
      <c r="DJ98" s="108">
        <f t="shared" si="82"/>
        <v>0</v>
      </c>
      <c r="DK98" s="108">
        <f t="shared" si="82"/>
        <v>0</v>
      </c>
      <c r="DL98" s="108">
        <f t="shared" si="82"/>
        <v>0</v>
      </c>
      <c r="DM98" s="108">
        <f t="shared" si="82"/>
        <v>0</v>
      </c>
      <c r="DN98" s="108">
        <f t="shared" si="82"/>
        <v>0</v>
      </c>
      <c r="DO98" s="108">
        <f t="shared" si="82"/>
        <v>0</v>
      </c>
      <c r="DP98" s="108">
        <f t="shared" si="82"/>
        <v>0</v>
      </c>
      <c r="DQ98" s="108">
        <f t="shared" si="82"/>
        <v>0</v>
      </c>
      <c r="DR98" s="108">
        <f t="shared" si="82"/>
        <v>0</v>
      </c>
      <c r="DS98" s="108">
        <f t="shared" si="82"/>
        <v>0</v>
      </c>
      <c r="DT98" s="110">
        <f t="shared" si="82"/>
        <v>0</v>
      </c>
      <c r="DU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  <c r="XEW98" s="3"/>
      <c r="XEX98" s="3"/>
      <c r="XEY98" s="3"/>
      <c r="XEZ98" s="3"/>
      <c r="XFA98" s="3"/>
      <c r="XFB98" s="3"/>
      <c r="XFC98" s="3"/>
      <c r="XFD98" s="3"/>
    </row>
    <row r="99" spans="2:125 1104:16384" ht="15" x14ac:dyDescent="0.25">
      <c r="B99" s="514" t="s">
        <v>635</v>
      </c>
      <c r="C99" s="3"/>
      <c r="D99" s="3"/>
      <c r="E99" s="403"/>
      <c r="F99" s="403"/>
      <c r="G99" s="403"/>
      <c r="H99" s="403"/>
      <c r="I99" s="403"/>
      <c r="J99" s="403"/>
      <c r="K99" s="403"/>
      <c r="L99" s="403"/>
      <c r="M99" s="403"/>
      <c r="N99" s="403"/>
      <c r="O99" s="403">
        <f>SUM(O95:O98)</f>
        <v>0</v>
      </c>
      <c r="P99" s="486">
        <f t="shared" ref="P99:U99" si="84">SUM(P95:P98)</f>
        <v>0</v>
      </c>
      <c r="Q99" s="344">
        <f t="shared" si="84"/>
        <v>0</v>
      </c>
      <c r="R99" s="109">
        <f t="shared" si="84"/>
        <v>0</v>
      </c>
      <c r="S99" s="109">
        <f t="shared" si="84"/>
        <v>0</v>
      </c>
      <c r="T99" s="109">
        <f t="shared" si="84"/>
        <v>0</v>
      </c>
      <c r="U99" s="109">
        <f t="shared" si="84"/>
        <v>0</v>
      </c>
      <c r="V99" s="109"/>
      <c r="W99" s="109"/>
      <c r="X99" s="109"/>
      <c r="Y99" s="109"/>
      <c r="Z99" s="109"/>
      <c r="AA99" s="109"/>
      <c r="AB99" s="695"/>
      <c r="AC99" s="109"/>
      <c r="AD99" s="109"/>
      <c r="AE99" s="109"/>
      <c r="AF99" s="109"/>
      <c r="AG99" s="109"/>
      <c r="AH99" s="108">
        <f t="shared" si="83"/>
        <v>0</v>
      </c>
      <c r="AI99" s="108">
        <f t="shared" si="81"/>
        <v>0</v>
      </c>
      <c r="AJ99" s="108">
        <f t="shared" si="81"/>
        <v>0</v>
      </c>
      <c r="AK99" s="108">
        <f t="shared" si="81"/>
        <v>0</v>
      </c>
      <c r="AL99" s="108">
        <f t="shared" si="81"/>
        <v>0</v>
      </c>
      <c r="AM99" s="108">
        <f t="shared" si="81"/>
        <v>0</v>
      </c>
      <c r="AN99" s="110">
        <f t="shared" si="81"/>
        <v>0</v>
      </c>
      <c r="AO99" s="109">
        <f t="shared" si="81"/>
        <v>0</v>
      </c>
      <c r="AP99" s="108">
        <f t="shared" si="81"/>
        <v>0</v>
      </c>
      <c r="AQ99" s="108">
        <f t="shared" si="81"/>
        <v>0</v>
      </c>
      <c r="AR99" s="108">
        <f t="shared" si="81"/>
        <v>0</v>
      </c>
      <c r="AS99" s="108">
        <f t="shared" si="81"/>
        <v>0</v>
      </c>
      <c r="AT99" s="108">
        <f t="shared" si="81"/>
        <v>0</v>
      </c>
      <c r="AU99" s="108">
        <f t="shared" si="81"/>
        <v>0</v>
      </c>
      <c r="AV99" s="108">
        <f t="shared" si="81"/>
        <v>0</v>
      </c>
      <c r="AW99" s="108">
        <f t="shared" si="81"/>
        <v>0</v>
      </c>
      <c r="AX99" s="108">
        <f t="shared" si="81"/>
        <v>0</v>
      </c>
      <c r="AY99" s="108">
        <f t="shared" si="81"/>
        <v>0</v>
      </c>
      <c r="AZ99" s="110">
        <f t="shared" si="81"/>
        <v>0</v>
      </c>
      <c r="BA99" s="109">
        <f t="shared" si="81"/>
        <v>0</v>
      </c>
      <c r="BB99" s="108">
        <f t="shared" si="81"/>
        <v>0</v>
      </c>
      <c r="BC99" s="108">
        <f t="shared" si="81"/>
        <v>0</v>
      </c>
      <c r="BD99" s="108">
        <f t="shared" si="81"/>
        <v>0</v>
      </c>
      <c r="BE99" s="108">
        <f t="shared" si="81"/>
        <v>0</v>
      </c>
      <c r="BF99" s="108">
        <f t="shared" si="81"/>
        <v>0</v>
      </c>
      <c r="BG99" s="108">
        <f t="shared" si="81"/>
        <v>0</v>
      </c>
      <c r="BH99" s="108">
        <f t="shared" si="81"/>
        <v>0</v>
      </c>
      <c r="BI99" s="108">
        <f t="shared" si="81"/>
        <v>0</v>
      </c>
      <c r="BJ99" s="108">
        <f t="shared" si="81"/>
        <v>0</v>
      </c>
      <c r="BK99" s="108">
        <f t="shared" si="81"/>
        <v>0</v>
      </c>
      <c r="BL99" s="110">
        <f t="shared" si="81"/>
        <v>0</v>
      </c>
      <c r="BM99" s="109">
        <f t="shared" si="81"/>
        <v>0</v>
      </c>
      <c r="BN99" s="108">
        <f t="shared" si="81"/>
        <v>0</v>
      </c>
      <c r="BO99" s="108">
        <f t="shared" si="81"/>
        <v>0</v>
      </c>
      <c r="BP99" s="108">
        <f t="shared" si="81"/>
        <v>0</v>
      </c>
      <c r="BQ99" s="108">
        <f t="shared" si="81"/>
        <v>0</v>
      </c>
      <c r="BR99" s="108">
        <f t="shared" si="81"/>
        <v>24.999999999999996</v>
      </c>
      <c r="BS99" s="108">
        <f t="shared" si="81"/>
        <v>36.937499999999993</v>
      </c>
      <c r="BT99" s="108">
        <f t="shared" si="81"/>
        <v>60.639062499999994</v>
      </c>
      <c r="BU99" s="108">
        <f t="shared" si="81"/>
        <v>119.45895312499998</v>
      </c>
      <c r="BV99" s="108">
        <f t="shared" si="81"/>
        <v>188.26731012499999</v>
      </c>
      <c r="BW99" s="108">
        <f t="shared" si="81"/>
        <v>278.1649507096875</v>
      </c>
      <c r="BX99" s="110">
        <f t="shared" si="81"/>
        <v>399.57236148818646</v>
      </c>
      <c r="BY99" s="109">
        <f t="shared" si="81"/>
        <v>539.76517860461308</v>
      </c>
      <c r="BZ99" s="108">
        <f t="shared" si="81"/>
        <v>3647.8380313502589</v>
      </c>
      <c r="CA99" s="108">
        <f t="shared" si="81"/>
        <v>656.25108102043055</v>
      </c>
      <c r="CB99" s="108">
        <f t="shared" si="81"/>
        <v>722.86409397562284</v>
      </c>
      <c r="CC99" s="108">
        <f t="shared" si="81"/>
        <v>524.88737336595295</v>
      </c>
      <c r="CD99" s="108">
        <f t="shared" si="81"/>
        <v>299.09883871796393</v>
      </c>
      <c r="CE99" s="108">
        <f t="shared" si="81"/>
        <v>328.24358602559818</v>
      </c>
      <c r="CF99" s="108">
        <f t="shared" si="81"/>
        <v>399.95218481888264</v>
      </c>
      <c r="CG99" s="108">
        <f t="shared" si="81"/>
        <v>0</v>
      </c>
      <c r="CH99" s="108">
        <f t="shared" si="81"/>
        <v>0</v>
      </c>
      <c r="CI99" s="108">
        <f t="shared" si="81"/>
        <v>0</v>
      </c>
      <c r="CJ99" s="110">
        <f t="shared" si="81"/>
        <v>0</v>
      </c>
      <c r="CK99" s="109">
        <f t="shared" si="81"/>
        <v>0</v>
      </c>
      <c r="CL99" s="108">
        <f t="shared" si="81"/>
        <v>0</v>
      </c>
      <c r="CM99" s="108">
        <f t="shared" si="81"/>
        <v>0</v>
      </c>
      <c r="CN99" s="108">
        <f t="shared" si="81"/>
        <v>0</v>
      </c>
      <c r="CO99" s="108">
        <f t="shared" si="81"/>
        <v>0</v>
      </c>
      <c r="CP99" s="108">
        <f t="shared" si="81"/>
        <v>0</v>
      </c>
      <c r="CQ99" s="108">
        <f t="shared" si="81"/>
        <v>0</v>
      </c>
      <c r="CR99" s="108">
        <f t="shared" si="81"/>
        <v>0</v>
      </c>
      <c r="CS99" s="108">
        <f t="shared" si="81"/>
        <v>0</v>
      </c>
      <c r="CT99" s="108">
        <f t="shared" ref="CT99:CT104" si="85">CH98</f>
        <v>0</v>
      </c>
      <c r="CU99" s="108">
        <f t="shared" si="82"/>
        <v>0</v>
      </c>
      <c r="CV99" s="110">
        <f t="shared" si="82"/>
        <v>0</v>
      </c>
      <c r="CW99" s="109">
        <f t="shared" si="82"/>
        <v>0</v>
      </c>
      <c r="CX99" s="108">
        <f t="shared" si="82"/>
        <v>0</v>
      </c>
      <c r="CY99" s="108">
        <f t="shared" si="82"/>
        <v>0</v>
      </c>
      <c r="CZ99" s="108">
        <f t="shared" si="82"/>
        <v>0</v>
      </c>
      <c r="DA99" s="108">
        <f t="shared" si="82"/>
        <v>0</v>
      </c>
      <c r="DB99" s="108">
        <f t="shared" si="82"/>
        <v>0</v>
      </c>
      <c r="DC99" s="108">
        <f t="shared" si="82"/>
        <v>0</v>
      </c>
      <c r="DD99" s="108">
        <f t="shared" si="82"/>
        <v>0</v>
      </c>
      <c r="DE99" s="108">
        <f t="shared" si="82"/>
        <v>0</v>
      </c>
      <c r="DF99" s="108">
        <f t="shared" si="82"/>
        <v>0</v>
      </c>
      <c r="DG99" s="108">
        <f t="shared" si="82"/>
        <v>0</v>
      </c>
      <c r="DH99" s="110">
        <f t="shared" si="82"/>
        <v>0</v>
      </c>
      <c r="DI99" s="109">
        <f t="shared" si="82"/>
        <v>0</v>
      </c>
      <c r="DJ99" s="108">
        <f t="shared" si="82"/>
        <v>0</v>
      </c>
      <c r="DK99" s="108">
        <f t="shared" si="82"/>
        <v>0</v>
      </c>
      <c r="DL99" s="108">
        <f t="shared" si="82"/>
        <v>0</v>
      </c>
      <c r="DM99" s="108">
        <f t="shared" si="82"/>
        <v>0</v>
      </c>
      <c r="DN99" s="108">
        <f t="shared" si="82"/>
        <v>0</v>
      </c>
      <c r="DO99" s="108">
        <f t="shared" si="82"/>
        <v>0</v>
      </c>
      <c r="DP99" s="108">
        <f t="shared" si="82"/>
        <v>0</v>
      </c>
      <c r="DQ99" s="108">
        <f t="shared" si="82"/>
        <v>0</v>
      </c>
      <c r="DR99" s="108">
        <f t="shared" si="82"/>
        <v>0</v>
      </c>
      <c r="DS99" s="108">
        <f t="shared" si="82"/>
        <v>0</v>
      </c>
      <c r="DT99" s="110">
        <f t="shared" si="82"/>
        <v>0</v>
      </c>
      <c r="DU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  <c r="XDG99" s="3"/>
      <c r="XDH99" s="3"/>
      <c r="XDI99" s="3"/>
      <c r="XDJ99" s="3"/>
      <c r="XDK99" s="3"/>
      <c r="XDL99" s="3"/>
      <c r="XDM99" s="3"/>
      <c r="XDN99" s="3"/>
      <c r="XDO99" s="3"/>
      <c r="XDP99" s="3"/>
      <c r="XDQ99" s="3"/>
      <c r="XDR99" s="3"/>
      <c r="XDS99" s="3"/>
      <c r="XDT99" s="3"/>
      <c r="XDU99" s="3"/>
      <c r="XDV99" s="3"/>
      <c r="XDW99" s="3"/>
      <c r="XDX99" s="3"/>
      <c r="XDY99" s="3"/>
      <c r="XDZ99" s="3"/>
      <c r="XEA99" s="3"/>
      <c r="XEB99" s="3"/>
      <c r="XEC99" s="3"/>
      <c r="XED99" s="3"/>
      <c r="XEE99" s="3"/>
      <c r="XEF99" s="3"/>
      <c r="XEG99" s="3"/>
      <c r="XEH99" s="3"/>
      <c r="XEI99" s="3"/>
      <c r="XEJ99" s="3"/>
      <c r="XEK99" s="3"/>
      <c r="XEL99" s="3"/>
      <c r="XEM99" s="3"/>
      <c r="XEN99" s="3"/>
      <c r="XEO99" s="3"/>
      <c r="XEP99" s="3"/>
      <c r="XEQ99" s="3"/>
      <c r="XER99" s="3"/>
      <c r="XES99" s="3"/>
      <c r="XET99" s="3"/>
      <c r="XEU99" s="3"/>
      <c r="XEV99" s="3"/>
      <c r="XEW99" s="3"/>
      <c r="XEX99" s="3"/>
      <c r="XEY99" s="3"/>
      <c r="XEZ99" s="3"/>
      <c r="XFA99" s="3"/>
      <c r="XFB99" s="3"/>
      <c r="XFC99" s="3"/>
      <c r="XFD99" s="3"/>
    </row>
    <row r="100" spans="2:125 1104:16384" ht="15" x14ac:dyDescent="0.25">
      <c r="B100" s="514" t="s">
        <v>636</v>
      </c>
      <c r="C100" s="3">
        <v>1</v>
      </c>
      <c r="D100" s="3"/>
      <c r="E100" s="403"/>
      <c r="F100" s="403"/>
      <c r="G100" s="403"/>
      <c r="H100" s="403"/>
      <c r="I100" s="403"/>
      <c r="J100" s="403"/>
      <c r="K100" s="403"/>
      <c r="L100" s="403"/>
      <c r="M100" s="403"/>
      <c r="N100" s="403"/>
      <c r="O100" s="403"/>
      <c r="P100" s="486"/>
      <c r="Q100" s="344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>
        <f>O99</f>
        <v>0</v>
      </c>
      <c r="AB100" s="110">
        <f t="shared" ref="AB100:AG100" si="86">P99</f>
        <v>0</v>
      </c>
      <c r="AC100" s="109">
        <f t="shared" si="86"/>
        <v>0</v>
      </c>
      <c r="AD100" s="108">
        <f t="shared" si="86"/>
        <v>0</v>
      </c>
      <c r="AE100" s="108">
        <f t="shared" si="86"/>
        <v>0</v>
      </c>
      <c r="AF100" s="108">
        <f t="shared" si="86"/>
        <v>0</v>
      </c>
      <c r="AG100" s="108">
        <f t="shared" si="86"/>
        <v>0</v>
      </c>
      <c r="AH100" s="108">
        <f t="shared" si="83"/>
        <v>0</v>
      </c>
      <c r="AI100" s="108">
        <f t="shared" ref="AI100:AR104" si="87">W99</f>
        <v>0</v>
      </c>
      <c r="AJ100" s="108">
        <f t="shared" si="87"/>
        <v>0</v>
      </c>
      <c r="AK100" s="108">
        <f t="shared" si="87"/>
        <v>0</v>
      </c>
      <c r="AL100" s="108">
        <f t="shared" si="87"/>
        <v>0</v>
      </c>
      <c r="AM100" s="108">
        <f t="shared" si="87"/>
        <v>0</v>
      </c>
      <c r="AN100" s="110">
        <f t="shared" si="87"/>
        <v>0</v>
      </c>
      <c r="AO100" s="109">
        <f t="shared" si="87"/>
        <v>0</v>
      </c>
      <c r="AP100" s="108">
        <f t="shared" si="87"/>
        <v>0</v>
      </c>
      <c r="AQ100" s="108">
        <f t="shared" si="87"/>
        <v>0</v>
      </c>
      <c r="AR100" s="108">
        <f t="shared" si="87"/>
        <v>0</v>
      </c>
      <c r="AS100" s="108">
        <f t="shared" ref="AS100:BB104" si="88">AG99</f>
        <v>0</v>
      </c>
      <c r="AT100" s="108">
        <f t="shared" si="88"/>
        <v>0</v>
      </c>
      <c r="AU100" s="108">
        <f t="shared" si="88"/>
        <v>0</v>
      </c>
      <c r="AV100" s="108">
        <f t="shared" si="88"/>
        <v>0</v>
      </c>
      <c r="AW100" s="108">
        <f t="shared" si="88"/>
        <v>0</v>
      </c>
      <c r="AX100" s="108">
        <f t="shared" si="88"/>
        <v>0</v>
      </c>
      <c r="AY100" s="108">
        <f t="shared" si="88"/>
        <v>0</v>
      </c>
      <c r="AZ100" s="110">
        <f t="shared" si="88"/>
        <v>0</v>
      </c>
      <c r="BA100" s="109">
        <f t="shared" si="88"/>
        <v>0</v>
      </c>
      <c r="BB100" s="108">
        <f t="shared" si="88"/>
        <v>0</v>
      </c>
      <c r="BC100" s="108">
        <f t="shared" ref="BC100:BL104" si="89">AQ99</f>
        <v>0</v>
      </c>
      <c r="BD100" s="108">
        <f t="shared" si="89"/>
        <v>0</v>
      </c>
      <c r="BE100" s="108">
        <f t="shared" si="89"/>
        <v>0</v>
      </c>
      <c r="BF100" s="108">
        <f t="shared" si="89"/>
        <v>0</v>
      </c>
      <c r="BG100" s="108">
        <f t="shared" si="89"/>
        <v>0</v>
      </c>
      <c r="BH100" s="108">
        <f t="shared" si="89"/>
        <v>0</v>
      </c>
      <c r="BI100" s="108">
        <f t="shared" si="89"/>
        <v>0</v>
      </c>
      <c r="BJ100" s="108">
        <f t="shared" si="89"/>
        <v>0</v>
      </c>
      <c r="BK100" s="108">
        <f t="shared" si="89"/>
        <v>0</v>
      </c>
      <c r="BL100" s="110">
        <f t="shared" si="89"/>
        <v>0</v>
      </c>
      <c r="BM100" s="109">
        <f t="shared" ref="BM100:BV104" si="90">BA99</f>
        <v>0</v>
      </c>
      <c r="BN100" s="108">
        <f t="shared" si="90"/>
        <v>0</v>
      </c>
      <c r="BO100" s="108">
        <f t="shared" si="90"/>
        <v>0</v>
      </c>
      <c r="BP100" s="108">
        <f t="shared" si="90"/>
        <v>0</v>
      </c>
      <c r="BQ100" s="108">
        <f t="shared" si="90"/>
        <v>0</v>
      </c>
      <c r="BR100" s="108">
        <f t="shared" si="90"/>
        <v>0</v>
      </c>
      <c r="BS100" s="108">
        <f t="shared" si="90"/>
        <v>0</v>
      </c>
      <c r="BT100" s="108">
        <f t="shared" si="90"/>
        <v>0</v>
      </c>
      <c r="BU100" s="108">
        <f t="shared" si="90"/>
        <v>0</v>
      </c>
      <c r="BV100" s="108">
        <f t="shared" si="90"/>
        <v>0</v>
      </c>
      <c r="BW100" s="108">
        <f t="shared" ref="BW100:CF104" si="91">BK99</f>
        <v>0</v>
      </c>
      <c r="BX100" s="110">
        <f t="shared" si="91"/>
        <v>0</v>
      </c>
      <c r="BY100" s="109">
        <f t="shared" si="91"/>
        <v>0</v>
      </c>
      <c r="BZ100" s="108">
        <f t="shared" si="91"/>
        <v>0</v>
      </c>
      <c r="CA100" s="108">
        <f t="shared" si="91"/>
        <v>0</v>
      </c>
      <c r="CB100" s="108">
        <f t="shared" si="91"/>
        <v>0</v>
      </c>
      <c r="CC100" s="108">
        <f t="shared" si="91"/>
        <v>0</v>
      </c>
      <c r="CD100" s="108">
        <f t="shared" si="91"/>
        <v>24.999999999999996</v>
      </c>
      <c r="CE100" s="108">
        <f t="shared" si="91"/>
        <v>36.937499999999993</v>
      </c>
      <c r="CF100" s="108">
        <f t="shared" si="91"/>
        <v>60.639062499999994</v>
      </c>
      <c r="CG100" s="108">
        <f t="shared" ref="CG100:CP104" si="92">BU99</f>
        <v>119.45895312499998</v>
      </c>
      <c r="CH100" s="108">
        <f t="shared" si="92"/>
        <v>188.26731012499999</v>
      </c>
      <c r="CI100" s="108">
        <f t="shared" si="92"/>
        <v>278.1649507096875</v>
      </c>
      <c r="CJ100" s="110">
        <f t="shared" si="92"/>
        <v>399.57236148818646</v>
      </c>
      <c r="CK100" s="109">
        <f t="shared" si="92"/>
        <v>539.76517860461308</v>
      </c>
      <c r="CL100" s="108">
        <f t="shared" si="92"/>
        <v>3647.8380313502589</v>
      </c>
      <c r="CM100" s="108">
        <f t="shared" si="92"/>
        <v>656.25108102043055</v>
      </c>
      <c r="CN100" s="108">
        <f t="shared" si="92"/>
        <v>722.86409397562284</v>
      </c>
      <c r="CO100" s="108">
        <f t="shared" si="92"/>
        <v>524.88737336595295</v>
      </c>
      <c r="CP100" s="108">
        <f t="shared" si="92"/>
        <v>299.09883871796393</v>
      </c>
      <c r="CQ100" s="108">
        <f t="shared" ref="CQ100:CS104" si="93">CE99</f>
        <v>328.24358602559818</v>
      </c>
      <c r="CR100" s="108">
        <f t="shared" si="93"/>
        <v>399.95218481888264</v>
      </c>
      <c r="CS100" s="108">
        <f t="shared" si="93"/>
        <v>0</v>
      </c>
      <c r="CT100" s="108">
        <f t="shared" si="85"/>
        <v>0</v>
      </c>
      <c r="CU100" s="108">
        <f t="shared" si="82"/>
        <v>0</v>
      </c>
      <c r="CV100" s="110">
        <f t="shared" si="82"/>
        <v>0</v>
      </c>
      <c r="CW100" s="109">
        <f t="shared" si="82"/>
        <v>0</v>
      </c>
      <c r="CX100" s="108">
        <f t="shared" si="82"/>
        <v>0</v>
      </c>
      <c r="CY100" s="108">
        <f t="shared" si="82"/>
        <v>0</v>
      </c>
      <c r="CZ100" s="108">
        <f t="shared" si="82"/>
        <v>0</v>
      </c>
      <c r="DA100" s="108">
        <f t="shared" si="82"/>
        <v>0</v>
      </c>
      <c r="DB100" s="108">
        <f t="shared" si="82"/>
        <v>0</v>
      </c>
      <c r="DC100" s="108">
        <f t="shared" si="82"/>
        <v>0</v>
      </c>
      <c r="DD100" s="108">
        <f t="shared" si="82"/>
        <v>0</v>
      </c>
      <c r="DE100" s="108">
        <f t="shared" si="82"/>
        <v>0</v>
      </c>
      <c r="DF100" s="108">
        <f t="shared" si="82"/>
        <v>0</v>
      </c>
      <c r="DG100" s="108">
        <f t="shared" si="82"/>
        <v>0</v>
      </c>
      <c r="DH100" s="110">
        <f t="shared" si="82"/>
        <v>0</v>
      </c>
      <c r="DI100" s="109">
        <f t="shared" si="82"/>
        <v>0</v>
      </c>
      <c r="DJ100" s="108">
        <f t="shared" si="82"/>
        <v>0</v>
      </c>
      <c r="DK100" s="108">
        <f t="shared" si="82"/>
        <v>0</v>
      </c>
      <c r="DL100" s="108">
        <f t="shared" si="82"/>
        <v>0</v>
      </c>
      <c r="DM100" s="108">
        <f t="shared" si="82"/>
        <v>0</v>
      </c>
      <c r="DN100" s="108">
        <f t="shared" si="82"/>
        <v>0</v>
      </c>
      <c r="DO100" s="108">
        <f t="shared" si="82"/>
        <v>0</v>
      </c>
      <c r="DP100" s="108">
        <f t="shared" si="82"/>
        <v>0</v>
      </c>
      <c r="DQ100" s="108">
        <f t="shared" si="82"/>
        <v>0</v>
      </c>
      <c r="DR100" s="108">
        <f t="shared" si="82"/>
        <v>0</v>
      </c>
      <c r="DS100" s="108">
        <f t="shared" si="82"/>
        <v>0</v>
      </c>
      <c r="DT100" s="110">
        <f t="shared" si="82"/>
        <v>0</v>
      </c>
      <c r="DU100" s="3"/>
      <c r="APL100" s="16"/>
      <c r="APM100" s="16"/>
      <c r="APN100" s="16"/>
      <c r="APO100" s="16"/>
      <c r="APP100" s="16"/>
      <c r="APQ100" s="16"/>
      <c r="APR100" s="16"/>
      <c r="APS100" s="16"/>
      <c r="APT100" s="16"/>
      <c r="APU100" s="16"/>
      <c r="APV100" s="16"/>
      <c r="APW100" s="16"/>
      <c r="APX100" s="16"/>
      <c r="APY100" s="16"/>
      <c r="APZ100" s="16"/>
      <c r="AQA100" s="16"/>
      <c r="AQB100" s="16"/>
      <c r="AQC100" s="16"/>
      <c r="AQD100" s="16"/>
      <c r="AQE100" s="16"/>
      <c r="AQF100" s="16"/>
      <c r="AQG100" s="16"/>
      <c r="AQH100" s="16"/>
      <c r="AQI100" s="16"/>
      <c r="AQJ100" s="16"/>
      <c r="AQK100" s="16"/>
      <c r="AQL100" s="16"/>
      <c r="AQM100" s="16"/>
      <c r="AQN100" s="16"/>
      <c r="AQO100" s="16"/>
      <c r="AQP100" s="16"/>
      <c r="AQQ100" s="16"/>
      <c r="AQR100" s="16"/>
      <c r="AQS100" s="16"/>
      <c r="AQT100" s="16"/>
      <c r="AQU100" s="16"/>
      <c r="AQV100" s="16"/>
      <c r="AQW100" s="16"/>
      <c r="AQX100" s="16"/>
      <c r="AQY100" s="16"/>
      <c r="AQZ100" s="16"/>
      <c r="ARA100" s="16"/>
      <c r="ARB100" s="16"/>
      <c r="ARC100" s="16"/>
      <c r="ARD100" s="16"/>
      <c r="ARE100" s="16"/>
      <c r="ARF100" s="16"/>
      <c r="ARG100" s="16"/>
      <c r="ARH100" s="16"/>
      <c r="ARI100" s="16"/>
      <c r="ARJ100" s="16"/>
      <c r="ARK100" s="16"/>
      <c r="ARL100" s="16"/>
      <c r="ARM100" s="16"/>
      <c r="ARN100" s="16"/>
      <c r="ARO100" s="16"/>
      <c r="ARP100" s="16"/>
      <c r="ARQ100" s="16"/>
      <c r="ARR100" s="16"/>
      <c r="ARS100" s="16"/>
      <c r="ART100" s="16"/>
      <c r="ARU100" s="16"/>
      <c r="ARV100" s="16"/>
      <c r="ARW100" s="16"/>
      <c r="ARX100" s="16"/>
      <c r="ARY100" s="16"/>
      <c r="ARZ100" s="16"/>
      <c r="ASA100" s="16"/>
      <c r="ASB100" s="16"/>
      <c r="ASC100" s="16"/>
      <c r="ASD100" s="16"/>
      <c r="ASE100" s="16"/>
      <c r="ASF100" s="16"/>
      <c r="ASG100" s="16"/>
      <c r="ASH100" s="16"/>
      <c r="ASI100" s="16"/>
      <c r="ASJ100" s="16"/>
      <c r="ASK100" s="16"/>
      <c r="ASL100" s="16"/>
      <c r="ASM100" s="16"/>
      <c r="ASN100" s="16"/>
      <c r="ASO100" s="16"/>
      <c r="ASP100" s="16"/>
      <c r="ASQ100" s="16"/>
      <c r="ASR100" s="16"/>
      <c r="ASS100" s="16"/>
      <c r="AST100" s="16"/>
      <c r="ASU100" s="16"/>
      <c r="ASV100" s="16"/>
      <c r="ASW100" s="16"/>
      <c r="ASX100" s="16"/>
      <c r="ASY100" s="16"/>
      <c r="ASZ100" s="16"/>
      <c r="ATA100" s="16"/>
      <c r="ATB100" s="16"/>
      <c r="ATC100" s="16"/>
      <c r="ATD100" s="16"/>
      <c r="ATE100" s="16"/>
      <c r="ATF100" s="16"/>
      <c r="ATG100" s="16"/>
      <c r="ATH100" s="16"/>
      <c r="ATI100" s="16"/>
      <c r="ATJ100" s="16"/>
      <c r="ATK100" s="16"/>
      <c r="ATL100" s="16"/>
      <c r="ATM100" s="16"/>
      <c r="ATN100" s="16"/>
      <c r="ATO100" s="16"/>
      <c r="ATP100" s="16"/>
      <c r="ATQ100" s="16"/>
      <c r="ATR100" s="16"/>
      <c r="ATS100" s="16"/>
      <c r="ATT100" s="16"/>
      <c r="ATU100" s="16"/>
      <c r="ATV100" s="16"/>
      <c r="ATW100" s="16"/>
      <c r="ATX100" s="16"/>
      <c r="ATY100" s="16"/>
      <c r="ATZ100" s="16"/>
      <c r="AUA100" s="16"/>
      <c r="AUB100" s="16"/>
      <c r="AUC100" s="16"/>
      <c r="AUD100" s="16"/>
      <c r="AUE100" s="16"/>
      <c r="AUF100" s="16"/>
      <c r="AUG100" s="16"/>
      <c r="AUH100" s="16"/>
      <c r="AUI100" s="16"/>
      <c r="AUJ100" s="16"/>
      <c r="AUK100" s="16"/>
      <c r="AUL100" s="16"/>
      <c r="AUM100" s="16"/>
      <c r="AUN100" s="16"/>
      <c r="AUO100" s="16"/>
      <c r="AUP100" s="16"/>
      <c r="AUQ100" s="16"/>
      <c r="AUR100" s="16"/>
      <c r="AUS100" s="16"/>
      <c r="AUT100" s="16"/>
      <c r="AUU100" s="16"/>
      <c r="AUV100" s="16"/>
      <c r="AUW100" s="16"/>
      <c r="AUX100" s="16"/>
      <c r="AUY100" s="16"/>
      <c r="AUZ100" s="16"/>
      <c r="AVA100" s="16"/>
      <c r="AVB100" s="16"/>
      <c r="AVC100" s="16"/>
      <c r="AVD100" s="16"/>
      <c r="AVE100" s="16"/>
      <c r="AVF100" s="16"/>
      <c r="AVG100" s="16"/>
      <c r="AVH100" s="16"/>
      <c r="AVI100" s="16"/>
      <c r="AVJ100" s="16"/>
      <c r="AVK100" s="16"/>
      <c r="AVL100" s="16"/>
      <c r="AVM100" s="16"/>
      <c r="AVN100" s="16"/>
      <c r="AVO100" s="16"/>
      <c r="AVP100" s="16"/>
      <c r="AVQ100" s="16"/>
      <c r="AVR100" s="16"/>
      <c r="AVS100" s="16"/>
      <c r="AVT100" s="16"/>
      <c r="AVU100" s="16"/>
      <c r="AVV100" s="16"/>
      <c r="AVW100" s="16"/>
      <c r="AVX100" s="16"/>
      <c r="AVY100" s="16"/>
      <c r="AVZ100" s="16"/>
      <c r="AWA100" s="16"/>
      <c r="AWB100" s="16"/>
      <c r="AWC100" s="16"/>
      <c r="AWD100" s="16"/>
      <c r="AWE100" s="16"/>
      <c r="AWF100" s="16"/>
      <c r="AWG100" s="16"/>
      <c r="AWH100" s="16"/>
      <c r="AWI100" s="16"/>
      <c r="AWJ100" s="16"/>
      <c r="AWK100" s="16"/>
      <c r="AWL100" s="16"/>
      <c r="AWM100" s="16"/>
      <c r="AWN100" s="16"/>
      <c r="AWO100" s="16"/>
      <c r="AWP100" s="16"/>
      <c r="AWQ100" s="16"/>
      <c r="AWR100" s="16"/>
      <c r="AWS100" s="16"/>
      <c r="AWT100" s="16"/>
      <c r="AWU100" s="16"/>
      <c r="AWV100" s="16"/>
      <c r="AWW100" s="16"/>
      <c r="AWX100" s="16"/>
      <c r="AWY100" s="16"/>
      <c r="AWZ100" s="16"/>
      <c r="AXA100" s="16"/>
      <c r="AXB100" s="16"/>
      <c r="AXC100" s="16"/>
      <c r="AXD100" s="16"/>
      <c r="AXE100" s="16"/>
      <c r="AXF100" s="16"/>
      <c r="AXG100" s="16"/>
      <c r="AXH100" s="16"/>
      <c r="AXI100" s="16"/>
      <c r="AXJ100" s="16"/>
      <c r="AXK100" s="16"/>
      <c r="AXL100" s="16"/>
      <c r="AXM100" s="16"/>
      <c r="AXN100" s="16"/>
      <c r="AXO100" s="16"/>
      <c r="AXP100" s="16"/>
      <c r="AXQ100" s="16"/>
      <c r="AXR100" s="16"/>
      <c r="AXS100" s="16"/>
      <c r="AXT100" s="16"/>
      <c r="AXU100" s="16"/>
      <c r="AXV100" s="16"/>
      <c r="AXW100" s="16"/>
      <c r="AXX100" s="16"/>
      <c r="AXY100" s="16"/>
      <c r="AXZ100" s="16"/>
      <c r="AYA100" s="16"/>
      <c r="AYB100" s="16"/>
      <c r="AYC100" s="16"/>
      <c r="AYD100" s="16"/>
      <c r="AYE100" s="16"/>
      <c r="AYF100" s="16"/>
      <c r="AYG100" s="16"/>
      <c r="AYH100" s="16"/>
      <c r="AYI100" s="16"/>
      <c r="AYJ100" s="16"/>
      <c r="AYK100" s="16"/>
      <c r="AYL100" s="16"/>
      <c r="AYM100" s="16"/>
      <c r="AYN100" s="16"/>
      <c r="AYO100" s="16"/>
      <c r="AYP100" s="16"/>
      <c r="AYQ100" s="16"/>
      <c r="AYR100" s="16"/>
      <c r="AYS100" s="16"/>
      <c r="AYT100" s="16"/>
      <c r="AYU100" s="16"/>
      <c r="AYV100" s="16"/>
      <c r="AYW100" s="16"/>
      <c r="AYX100" s="16"/>
      <c r="AYY100" s="16"/>
      <c r="AYZ100" s="16"/>
      <c r="AZA100" s="16"/>
      <c r="AZB100" s="16"/>
      <c r="AZC100" s="16"/>
      <c r="AZD100" s="16"/>
      <c r="AZE100" s="16"/>
      <c r="AZF100" s="16"/>
      <c r="AZG100" s="16"/>
      <c r="AZH100" s="16"/>
      <c r="AZI100" s="16"/>
      <c r="AZJ100" s="16"/>
      <c r="AZK100" s="16"/>
      <c r="AZL100" s="16"/>
      <c r="AZM100" s="16"/>
      <c r="AZN100" s="16"/>
      <c r="AZO100" s="16"/>
      <c r="AZP100" s="16"/>
      <c r="AZQ100" s="16"/>
      <c r="AZR100" s="16"/>
      <c r="AZS100" s="16"/>
      <c r="AZT100" s="16"/>
      <c r="AZU100" s="16"/>
      <c r="AZV100" s="16"/>
      <c r="AZW100" s="16"/>
      <c r="AZX100" s="16"/>
      <c r="AZY100" s="16"/>
      <c r="AZZ100" s="16"/>
      <c r="BAA100" s="16"/>
      <c r="BAB100" s="16"/>
      <c r="BAC100" s="16"/>
      <c r="BAD100" s="16"/>
      <c r="BAE100" s="16"/>
      <c r="BAF100" s="16"/>
      <c r="BAG100" s="16"/>
      <c r="BAH100" s="16"/>
      <c r="BAI100" s="16"/>
      <c r="BAJ100" s="16"/>
      <c r="BAK100" s="16"/>
      <c r="BAL100" s="16"/>
      <c r="BAM100" s="16"/>
      <c r="BAN100" s="16"/>
      <c r="BAO100" s="16"/>
      <c r="BAP100" s="16"/>
      <c r="BAQ100" s="16"/>
      <c r="BAR100" s="16"/>
      <c r="BAS100" s="16"/>
      <c r="BAT100" s="16"/>
      <c r="BAU100" s="16"/>
      <c r="BAV100" s="16"/>
      <c r="BAW100" s="16"/>
      <c r="BAX100" s="16"/>
      <c r="BAY100" s="16"/>
      <c r="BAZ100" s="16"/>
      <c r="BBA100" s="16"/>
      <c r="BBB100" s="16"/>
      <c r="BBC100" s="16"/>
      <c r="BBD100" s="16"/>
      <c r="BBE100" s="16"/>
      <c r="BBF100" s="16"/>
      <c r="BBG100" s="16"/>
      <c r="BBH100" s="16"/>
      <c r="BBI100" s="16"/>
      <c r="BBJ100" s="16"/>
      <c r="BBK100" s="16"/>
      <c r="BBL100" s="16"/>
      <c r="BBM100" s="16"/>
      <c r="BBN100" s="16"/>
      <c r="BBO100" s="16"/>
      <c r="BBP100" s="16"/>
      <c r="BBQ100" s="16"/>
      <c r="BBR100" s="16"/>
      <c r="BBS100" s="16"/>
      <c r="BBT100" s="16"/>
      <c r="BBU100" s="16"/>
      <c r="BBV100" s="16"/>
      <c r="BBW100" s="16"/>
      <c r="BBX100" s="16"/>
      <c r="BBY100" s="16"/>
      <c r="BBZ100" s="16"/>
      <c r="BCA100" s="16"/>
      <c r="BCB100" s="16"/>
      <c r="BCC100" s="16"/>
      <c r="BCD100" s="16"/>
      <c r="BCE100" s="16"/>
      <c r="BCF100" s="16"/>
      <c r="BCG100" s="16"/>
      <c r="BCH100" s="16"/>
      <c r="BCI100" s="16"/>
      <c r="BCJ100" s="16"/>
      <c r="BCK100" s="16"/>
      <c r="BCL100" s="16"/>
      <c r="BCM100" s="16"/>
      <c r="BCN100" s="16"/>
      <c r="BCO100" s="16"/>
      <c r="BCP100" s="16"/>
      <c r="BCQ100" s="16"/>
      <c r="BCR100" s="16"/>
      <c r="BCS100" s="16"/>
      <c r="BCT100" s="16"/>
      <c r="BCU100" s="16"/>
      <c r="BCV100" s="16"/>
      <c r="BCW100" s="16"/>
      <c r="BCX100" s="16"/>
      <c r="BCY100" s="16"/>
      <c r="BCZ100" s="16"/>
      <c r="BDA100" s="16"/>
      <c r="BDB100" s="16"/>
      <c r="BDC100" s="16"/>
      <c r="BDD100" s="16"/>
      <c r="BDE100" s="16"/>
      <c r="BDF100" s="16"/>
      <c r="BDG100" s="16"/>
      <c r="BDH100" s="16"/>
      <c r="BDI100" s="16"/>
      <c r="BDJ100" s="16"/>
      <c r="BDK100" s="16"/>
      <c r="BDL100" s="16"/>
      <c r="BDM100" s="16"/>
      <c r="BDN100" s="16"/>
      <c r="BDO100" s="16"/>
      <c r="BDP100" s="16"/>
      <c r="BDQ100" s="16"/>
      <c r="BDR100" s="16"/>
      <c r="BDS100" s="16"/>
      <c r="BDT100" s="16"/>
      <c r="BDU100" s="16"/>
      <c r="BDV100" s="16"/>
      <c r="BDW100" s="16"/>
      <c r="BDX100" s="16"/>
      <c r="BDY100" s="16"/>
      <c r="BDZ100" s="16"/>
      <c r="BEA100" s="16"/>
      <c r="BEB100" s="16"/>
      <c r="BEC100" s="16"/>
      <c r="BED100" s="16"/>
      <c r="BEE100" s="16"/>
      <c r="BEF100" s="16"/>
      <c r="BEG100" s="16"/>
      <c r="BEH100" s="16"/>
      <c r="BEI100" s="16"/>
      <c r="BEJ100" s="16"/>
      <c r="BEK100" s="16"/>
      <c r="BEL100" s="16"/>
      <c r="BEM100" s="16"/>
      <c r="BEN100" s="16"/>
      <c r="BEO100" s="16"/>
      <c r="BEP100" s="16"/>
      <c r="BEQ100" s="16"/>
      <c r="BER100" s="16"/>
      <c r="BES100" s="16"/>
      <c r="BET100" s="16"/>
      <c r="BEU100" s="16"/>
      <c r="BEV100" s="16"/>
      <c r="BEW100" s="16"/>
      <c r="BEX100" s="16"/>
      <c r="BEY100" s="16"/>
      <c r="BEZ100" s="16"/>
      <c r="BFA100" s="16"/>
      <c r="BFB100" s="16"/>
      <c r="BFC100" s="16"/>
      <c r="BFD100" s="16"/>
      <c r="BFE100" s="16"/>
      <c r="BFF100" s="16"/>
      <c r="BFG100" s="16"/>
      <c r="BFH100" s="16"/>
      <c r="BFI100" s="16"/>
      <c r="BFJ100" s="16"/>
      <c r="BFK100" s="16"/>
      <c r="BFL100" s="16"/>
      <c r="BFM100" s="16"/>
      <c r="BFN100" s="16"/>
      <c r="BFO100" s="16"/>
      <c r="BFP100" s="16"/>
      <c r="BFQ100" s="16"/>
      <c r="BFR100" s="16"/>
      <c r="BFS100" s="16"/>
      <c r="BFT100" s="16"/>
      <c r="BFU100" s="16"/>
      <c r="BFV100" s="16"/>
      <c r="BFW100" s="16"/>
      <c r="BFX100" s="16"/>
      <c r="BFY100" s="16"/>
      <c r="BFZ100" s="16"/>
      <c r="BGA100" s="16"/>
      <c r="BGB100" s="16"/>
      <c r="BGC100" s="16"/>
      <c r="BGD100" s="16"/>
      <c r="BGE100" s="16"/>
      <c r="BGF100" s="16"/>
      <c r="BGG100" s="16"/>
      <c r="BGH100" s="16"/>
      <c r="BGI100" s="16"/>
      <c r="BGJ100" s="16"/>
      <c r="BGK100" s="16"/>
      <c r="BGL100" s="16"/>
      <c r="BGM100" s="16"/>
      <c r="BGN100" s="16"/>
      <c r="BGO100" s="16"/>
      <c r="BGP100" s="16"/>
      <c r="BGQ100" s="16"/>
      <c r="BGR100" s="16"/>
      <c r="BGS100" s="16"/>
      <c r="BGT100" s="16"/>
      <c r="BGU100" s="16"/>
      <c r="BGV100" s="16"/>
      <c r="BGW100" s="16"/>
      <c r="BGX100" s="16"/>
      <c r="BGY100" s="16"/>
      <c r="BGZ100" s="16"/>
      <c r="BHA100" s="16"/>
      <c r="BHB100" s="16"/>
      <c r="BHC100" s="16"/>
      <c r="BHD100" s="16"/>
      <c r="BHE100" s="16"/>
      <c r="BHF100" s="16"/>
      <c r="BHG100" s="16"/>
      <c r="BHH100" s="16"/>
      <c r="BHI100" s="16"/>
      <c r="BHJ100" s="16"/>
      <c r="BHK100" s="16"/>
      <c r="BHL100" s="16"/>
      <c r="BHM100" s="16"/>
      <c r="BHN100" s="16"/>
      <c r="BHO100" s="16"/>
      <c r="BHP100" s="16"/>
      <c r="BHQ100" s="16"/>
      <c r="BHR100" s="16"/>
      <c r="BHS100" s="16"/>
      <c r="BHT100" s="16"/>
      <c r="BHU100" s="16"/>
      <c r="BHV100" s="16"/>
      <c r="BHW100" s="16"/>
      <c r="BHX100" s="16"/>
      <c r="BHY100" s="16"/>
      <c r="BHZ100" s="16"/>
      <c r="BIA100" s="16"/>
      <c r="BIB100" s="16"/>
      <c r="BIC100" s="16"/>
      <c r="BID100" s="16"/>
      <c r="BIE100" s="16"/>
      <c r="BIF100" s="16"/>
      <c r="BIG100" s="16"/>
      <c r="BIH100" s="16"/>
      <c r="BII100" s="16"/>
      <c r="BIJ100" s="16"/>
      <c r="BIK100" s="16"/>
      <c r="BIL100" s="16"/>
      <c r="BIM100" s="16"/>
      <c r="BIN100" s="16"/>
      <c r="BIO100" s="16"/>
      <c r="BIP100" s="16"/>
      <c r="BIQ100" s="16"/>
      <c r="BIR100" s="16"/>
      <c r="BIS100" s="16"/>
      <c r="BIT100" s="16"/>
      <c r="BIU100" s="16"/>
      <c r="BIV100" s="16"/>
      <c r="BIW100" s="16"/>
      <c r="BIX100" s="16"/>
      <c r="BIY100" s="16"/>
      <c r="BIZ100" s="16"/>
      <c r="BJA100" s="16"/>
      <c r="BJB100" s="16"/>
      <c r="BJC100" s="16"/>
      <c r="BJD100" s="16"/>
      <c r="BJE100" s="16"/>
      <c r="BJF100" s="16"/>
      <c r="BJG100" s="16"/>
      <c r="BJH100" s="16"/>
      <c r="BJI100" s="16"/>
      <c r="BJJ100" s="16"/>
      <c r="BJK100" s="16"/>
      <c r="BJL100" s="16"/>
      <c r="BJM100" s="16"/>
      <c r="BJN100" s="16"/>
      <c r="BJO100" s="16"/>
      <c r="BJP100" s="16"/>
      <c r="BJQ100" s="16"/>
      <c r="BJR100" s="16"/>
      <c r="BJS100" s="16"/>
      <c r="BJT100" s="16"/>
      <c r="BJU100" s="16"/>
      <c r="BJV100" s="16"/>
      <c r="BJW100" s="16"/>
      <c r="BJX100" s="16"/>
      <c r="BJY100" s="16"/>
      <c r="BJZ100" s="16"/>
      <c r="BKA100" s="16"/>
      <c r="BKB100" s="16"/>
      <c r="BKC100" s="16"/>
      <c r="BKD100" s="16"/>
      <c r="BKE100" s="16"/>
      <c r="BKF100" s="16"/>
      <c r="BKG100" s="16"/>
      <c r="BKH100" s="16"/>
      <c r="BKI100" s="16"/>
      <c r="BKJ100" s="16"/>
      <c r="BKK100" s="16"/>
      <c r="BKL100" s="16"/>
      <c r="BKM100" s="16"/>
      <c r="BKN100" s="16"/>
      <c r="BKO100" s="16"/>
      <c r="BKP100" s="16"/>
      <c r="BKQ100" s="16"/>
      <c r="BKR100" s="16"/>
      <c r="BKS100" s="16"/>
      <c r="BKT100" s="16"/>
      <c r="BKU100" s="16"/>
      <c r="BKV100" s="16"/>
      <c r="BKW100" s="16"/>
      <c r="BKX100" s="16"/>
      <c r="BKY100" s="16"/>
      <c r="BKZ100" s="16"/>
      <c r="BLA100" s="16"/>
      <c r="BLB100" s="16"/>
      <c r="BLC100" s="16"/>
      <c r="BLD100" s="16"/>
      <c r="BLE100" s="16"/>
      <c r="BLF100" s="16"/>
      <c r="BLG100" s="16"/>
      <c r="BLH100" s="16"/>
      <c r="BLI100" s="16"/>
      <c r="BLJ100" s="16"/>
      <c r="BLK100" s="16"/>
      <c r="BLL100" s="16"/>
      <c r="BLM100" s="16"/>
      <c r="BLN100" s="16"/>
      <c r="BLO100" s="16"/>
      <c r="BLP100" s="16"/>
      <c r="BLQ100" s="16"/>
      <c r="BLR100" s="16"/>
      <c r="BLS100" s="16"/>
      <c r="BLT100" s="16"/>
      <c r="BLU100" s="16"/>
      <c r="BLV100" s="16"/>
      <c r="BLW100" s="16"/>
      <c r="BLX100" s="16"/>
      <c r="BLY100" s="16"/>
      <c r="BLZ100" s="16"/>
      <c r="BMA100" s="16"/>
      <c r="BMB100" s="16"/>
      <c r="BMC100" s="16"/>
      <c r="BMD100" s="16"/>
      <c r="BME100" s="16"/>
      <c r="BMF100" s="16"/>
      <c r="BMG100" s="16"/>
      <c r="BMH100" s="16"/>
      <c r="BMI100" s="16"/>
      <c r="BMJ100" s="16"/>
      <c r="BMK100" s="16"/>
      <c r="BML100" s="16"/>
      <c r="BMM100" s="16"/>
      <c r="BMN100" s="16"/>
      <c r="BMO100" s="16"/>
      <c r="BMP100" s="16"/>
      <c r="BMQ100" s="16"/>
      <c r="BMR100" s="16"/>
      <c r="BMS100" s="16"/>
      <c r="BMT100" s="16"/>
      <c r="BMU100" s="16"/>
      <c r="BMV100" s="16"/>
      <c r="BMW100" s="16"/>
      <c r="BMX100" s="16"/>
      <c r="BMY100" s="16"/>
      <c r="BMZ100" s="16"/>
      <c r="BNA100" s="16"/>
      <c r="BNB100" s="16"/>
      <c r="BNC100" s="16"/>
      <c r="BND100" s="16"/>
      <c r="BNE100" s="16"/>
      <c r="BNF100" s="16"/>
      <c r="BNG100" s="16"/>
      <c r="BNH100" s="16"/>
      <c r="BNI100" s="16"/>
      <c r="BNJ100" s="16"/>
      <c r="BNK100" s="16"/>
      <c r="BNL100" s="16"/>
      <c r="BNM100" s="16"/>
      <c r="BNN100" s="16"/>
      <c r="BNO100" s="16"/>
      <c r="BNP100" s="16"/>
      <c r="BNQ100" s="16"/>
      <c r="BNR100" s="16"/>
      <c r="BNS100" s="16"/>
      <c r="BNT100" s="16"/>
      <c r="BNU100" s="16"/>
      <c r="BNV100" s="16"/>
      <c r="BNW100" s="16"/>
      <c r="BNX100" s="16"/>
      <c r="BNY100" s="16"/>
      <c r="BNZ100" s="16"/>
      <c r="BOA100" s="16"/>
      <c r="BOB100" s="16"/>
      <c r="BOC100" s="16"/>
      <c r="BOD100" s="16"/>
      <c r="BOE100" s="16"/>
      <c r="BOF100" s="16"/>
      <c r="BOG100" s="16"/>
      <c r="BOH100" s="16"/>
      <c r="BOI100" s="16"/>
      <c r="BOJ100" s="16"/>
      <c r="BOK100" s="16"/>
      <c r="BOL100" s="16"/>
      <c r="BOM100" s="16"/>
      <c r="BON100" s="16"/>
      <c r="BOO100" s="16"/>
      <c r="BOP100" s="16"/>
      <c r="BOQ100" s="16"/>
      <c r="BOR100" s="16"/>
      <c r="BOS100" s="16"/>
      <c r="BOT100" s="16"/>
      <c r="BOU100" s="16"/>
      <c r="BOV100" s="16"/>
      <c r="BOW100" s="16"/>
      <c r="BOX100" s="16"/>
      <c r="BOY100" s="16"/>
      <c r="BOZ100" s="16"/>
      <c r="BPA100" s="16"/>
      <c r="BPB100" s="16"/>
      <c r="BPC100" s="16"/>
      <c r="BPD100" s="16"/>
      <c r="BPE100" s="16"/>
      <c r="BPF100" s="16"/>
      <c r="BPG100" s="16"/>
      <c r="BPH100" s="16"/>
      <c r="BPI100" s="16"/>
      <c r="BPJ100" s="16"/>
      <c r="BPK100" s="16"/>
      <c r="BPL100" s="16"/>
      <c r="BPM100" s="16"/>
      <c r="BPN100" s="16"/>
      <c r="BPO100" s="16"/>
      <c r="BPP100" s="16"/>
      <c r="BPQ100" s="16"/>
      <c r="BPR100" s="16"/>
      <c r="BPS100" s="16"/>
      <c r="BPT100" s="16"/>
      <c r="BPU100" s="16"/>
      <c r="BPV100" s="16"/>
      <c r="BPW100" s="16"/>
      <c r="BPX100" s="16"/>
      <c r="BPY100" s="16"/>
      <c r="BPZ100" s="16"/>
      <c r="BQA100" s="16"/>
      <c r="BQB100" s="16"/>
      <c r="BQC100" s="16"/>
      <c r="BQD100" s="16"/>
      <c r="BQE100" s="16"/>
      <c r="BQF100" s="16"/>
      <c r="BQG100" s="16"/>
      <c r="BQH100" s="16"/>
      <c r="BQI100" s="16"/>
      <c r="BQJ100" s="16"/>
      <c r="BQK100" s="16"/>
      <c r="BQL100" s="16"/>
      <c r="BQM100" s="16"/>
      <c r="BQN100" s="16"/>
      <c r="BQO100" s="16"/>
      <c r="BQP100" s="16"/>
      <c r="BQQ100" s="16"/>
      <c r="BQR100" s="16"/>
      <c r="BQS100" s="16"/>
      <c r="BQT100" s="16"/>
      <c r="BQU100" s="16"/>
      <c r="BQV100" s="16"/>
      <c r="BQW100" s="16"/>
      <c r="BQX100" s="16"/>
      <c r="BQY100" s="16"/>
      <c r="BQZ100" s="16"/>
      <c r="BRA100" s="16"/>
      <c r="BRB100" s="16"/>
      <c r="BRC100" s="16"/>
      <c r="BRD100" s="16"/>
      <c r="BRE100" s="16"/>
      <c r="BRF100" s="16"/>
      <c r="BRG100" s="16"/>
      <c r="BRH100" s="16"/>
      <c r="BRI100" s="16"/>
      <c r="BRJ100" s="16"/>
      <c r="BRK100" s="16"/>
      <c r="BRL100" s="16"/>
      <c r="BRM100" s="16"/>
      <c r="BRN100" s="16"/>
      <c r="BRO100" s="16"/>
      <c r="BRP100" s="16"/>
      <c r="BRQ100" s="16"/>
      <c r="BRR100" s="16"/>
      <c r="BRS100" s="16"/>
      <c r="BRT100" s="16"/>
      <c r="BRU100" s="16"/>
      <c r="BRV100" s="16"/>
      <c r="BRW100" s="16"/>
      <c r="BRX100" s="16"/>
      <c r="BRY100" s="16"/>
      <c r="BRZ100" s="16"/>
      <c r="BSA100" s="16"/>
      <c r="BSB100" s="16"/>
      <c r="BSC100" s="16"/>
      <c r="BSD100" s="16"/>
      <c r="BSE100" s="16"/>
      <c r="BSF100" s="16"/>
      <c r="BSG100" s="16"/>
      <c r="BSH100" s="16"/>
      <c r="BSI100" s="16"/>
      <c r="BSJ100" s="16"/>
      <c r="BSK100" s="16"/>
      <c r="BSL100" s="16"/>
      <c r="BSM100" s="16"/>
      <c r="BSN100" s="16"/>
      <c r="BSO100" s="16"/>
      <c r="BSP100" s="16"/>
      <c r="BSQ100" s="16"/>
      <c r="BSR100" s="16"/>
      <c r="BSS100" s="16"/>
      <c r="BST100" s="16"/>
      <c r="BSU100" s="16"/>
      <c r="BSV100" s="16"/>
      <c r="BSW100" s="16"/>
      <c r="BSX100" s="16"/>
      <c r="BSY100" s="16"/>
      <c r="BSZ100" s="16"/>
      <c r="BTA100" s="16"/>
      <c r="BTB100" s="16"/>
      <c r="BTC100" s="16"/>
      <c r="BTD100" s="16"/>
      <c r="BTE100" s="16"/>
      <c r="BTF100" s="16"/>
      <c r="BTG100" s="16"/>
      <c r="BTH100" s="16"/>
      <c r="BTI100" s="16"/>
      <c r="BTJ100" s="16"/>
      <c r="BTK100" s="16"/>
      <c r="BTL100" s="16"/>
      <c r="BTM100" s="16"/>
      <c r="BTN100" s="16"/>
      <c r="BTO100" s="16"/>
      <c r="BTP100" s="16"/>
      <c r="BTQ100" s="16"/>
      <c r="BTR100" s="16"/>
      <c r="BTS100" s="16"/>
      <c r="BTT100" s="16"/>
      <c r="BTU100" s="16"/>
      <c r="BTV100" s="16"/>
      <c r="BTW100" s="16"/>
      <c r="BTX100" s="16"/>
      <c r="BTY100" s="16"/>
      <c r="BTZ100" s="16"/>
      <c r="BUA100" s="16"/>
      <c r="BUB100" s="16"/>
      <c r="BUC100" s="16"/>
      <c r="BUD100" s="16"/>
      <c r="BUE100" s="16"/>
      <c r="BUF100" s="16"/>
      <c r="BUG100" s="16"/>
      <c r="BUH100" s="16"/>
      <c r="BUI100" s="16"/>
      <c r="BUJ100" s="16"/>
      <c r="BUK100" s="16"/>
      <c r="BUL100" s="16"/>
      <c r="BUM100" s="16"/>
      <c r="BUN100" s="16"/>
      <c r="BUO100" s="16"/>
      <c r="BUP100" s="16"/>
      <c r="BUQ100" s="16"/>
      <c r="BUR100" s="16"/>
      <c r="BUS100" s="16"/>
      <c r="BUT100" s="16"/>
      <c r="BUU100" s="16"/>
      <c r="BUV100" s="16"/>
      <c r="BUW100" s="16"/>
      <c r="BUX100" s="16"/>
      <c r="BUY100" s="16"/>
      <c r="BUZ100" s="16"/>
      <c r="BVA100" s="16"/>
      <c r="BVB100" s="16"/>
      <c r="BVC100" s="16"/>
      <c r="BVD100" s="16"/>
      <c r="BVE100" s="16"/>
      <c r="BVF100" s="16"/>
      <c r="BVG100" s="16"/>
      <c r="BVH100" s="16"/>
      <c r="BVI100" s="16"/>
      <c r="BVJ100" s="16"/>
      <c r="BVK100" s="16"/>
      <c r="BVL100" s="16"/>
      <c r="BVM100" s="16"/>
      <c r="BVN100" s="16"/>
      <c r="BVO100" s="16"/>
      <c r="BVP100" s="16"/>
      <c r="BVQ100" s="16"/>
      <c r="BVR100" s="16"/>
      <c r="BVS100" s="16"/>
      <c r="BVT100" s="16"/>
      <c r="BVU100" s="16"/>
      <c r="BVV100" s="16"/>
      <c r="BVW100" s="16"/>
      <c r="BVX100" s="16"/>
      <c r="BVY100" s="16"/>
      <c r="BVZ100" s="16"/>
      <c r="BWA100" s="16"/>
      <c r="BWB100" s="16"/>
      <c r="BWC100" s="16"/>
      <c r="BWD100" s="16"/>
      <c r="BWE100" s="16"/>
      <c r="BWF100" s="16"/>
      <c r="BWG100" s="16"/>
      <c r="BWH100" s="16"/>
      <c r="BWI100" s="16"/>
      <c r="BWJ100" s="16"/>
      <c r="BWK100" s="16"/>
      <c r="BWL100" s="16"/>
      <c r="BWM100" s="16"/>
      <c r="BWN100" s="16"/>
      <c r="BWO100" s="16"/>
      <c r="BWP100" s="16"/>
      <c r="BWQ100" s="16"/>
      <c r="BWR100" s="16"/>
      <c r="BWS100" s="16"/>
      <c r="BWT100" s="16"/>
      <c r="BWU100" s="16"/>
      <c r="BWV100" s="16"/>
      <c r="BWW100" s="16"/>
      <c r="BWX100" s="16"/>
      <c r="BWY100" s="16"/>
      <c r="BWZ100" s="16"/>
      <c r="BXA100" s="16"/>
      <c r="BXB100" s="16"/>
      <c r="BXC100" s="16"/>
      <c r="BXD100" s="16"/>
      <c r="BXE100" s="16"/>
      <c r="BXF100" s="16"/>
      <c r="BXG100" s="16"/>
      <c r="BXH100" s="16"/>
      <c r="BXI100" s="16"/>
      <c r="BXJ100" s="16"/>
      <c r="BXK100" s="16"/>
      <c r="BXL100" s="16"/>
      <c r="BXM100" s="16"/>
      <c r="BXN100" s="16"/>
      <c r="BXO100" s="16"/>
      <c r="BXP100" s="16"/>
      <c r="BXQ100" s="16"/>
      <c r="BXR100" s="16"/>
      <c r="BXS100" s="16"/>
      <c r="BXT100" s="16"/>
      <c r="BXU100" s="16"/>
      <c r="BXV100" s="16"/>
      <c r="BXW100" s="16"/>
      <c r="BXX100" s="16"/>
      <c r="BXY100" s="16"/>
      <c r="BXZ100" s="16"/>
      <c r="BYA100" s="16"/>
      <c r="BYB100" s="16"/>
      <c r="BYC100" s="16"/>
      <c r="BYD100" s="16"/>
      <c r="BYE100" s="16"/>
      <c r="BYF100" s="16"/>
      <c r="BYG100" s="16"/>
      <c r="BYH100" s="16"/>
      <c r="BYI100" s="16"/>
      <c r="BYJ100" s="16"/>
      <c r="BYK100" s="16"/>
      <c r="BYL100" s="16"/>
      <c r="BYM100" s="16"/>
      <c r="BYN100" s="16"/>
      <c r="BYO100" s="16"/>
      <c r="BYP100" s="16"/>
      <c r="BYQ100" s="16"/>
      <c r="BYR100" s="16"/>
      <c r="BYS100" s="16"/>
      <c r="BYT100" s="16"/>
      <c r="BYU100" s="16"/>
      <c r="BYV100" s="16"/>
      <c r="BYW100" s="16"/>
      <c r="BYX100" s="16"/>
      <c r="BYY100" s="16"/>
      <c r="BYZ100" s="16"/>
      <c r="BZA100" s="16"/>
      <c r="BZB100" s="16"/>
      <c r="BZC100" s="16"/>
      <c r="BZD100" s="16"/>
      <c r="BZE100" s="16"/>
      <c r="BZF100" s="16"/>
      <c r="BZG100" s="16"/>
      <c r="BZH100" s="16"/>
      <c r="BZI100" s="16"/>
      <c r="BZJ100" s="16"/>
      <c r="BZK100" s="16"/>
      <c r="BZL100" s="16"/>
      <c r="BZM100" s="16"/>
      <c r="BZN100" s="16"/>
      <c r="BZO100" s="16"/>
      <c r="BZP100" s="16"/>
      <c r="BZQ100" s="16"/>
      <c r="BZR100" s="16"/>
      <c r="BZS100" s="16"/>
      <c r="BZT100" s="16"/>
      <c r="BZU100" s="16"/>
      <c r="BZV100" s="16"/>
      <c r="BZW100" s="16"/>
      <c r="BZX100" s="16"/>
      <c r="BZY100" s="16"/>
      <c r="BZZ100" s="16"/>
      <c r="CAA100" s="16"/>
      <c r="CAB100" s="16"/>
      <c r="CAC100" s="16"/>
      <c r="CAD100" s="16"/>
      <c r="CAE100" s="16"/>
      <c r="CAF100" s="16"/>
      <c r="CAG100" s="16"/>
      <c r="CAH100" s="16"/>
      <c r="CAI100" s="16"/>
      <c r="CAJ100" s="16"/>
      <c r="CAK100" s="16"/>
      <c r="CAL100" s="16"/>
      <c r="CAM100" s="16"/>
      <c r="CAN100" s="16"/>
      <c r="CAO100" s="16"/>
      <c r="CAP100" s="16"/>
      <c r="CAQ100" s="16"/>
      <c r="CAR100" s="16"/>
      <c r="CAS100" s="16"/>
      <c r="CAT100" s="16"/>
      <c r="CAU100" s="16"/>
      <c r="CAV100" s="16"/>
      <c r="CAW100" s="16"/>
      <c r="CAX100" s="16"/>
      <c r="CAY100" s="16"/>
      <c r="CAZ100" s="16"/>
      <c r="CBA100" s="16"/>
      <c r="CBB100" s="16"/>
      <c r="CBC100" s="16"/>
      <c r="CBD100" s="16"/>
      <c r="CBE100" s="16"/>
      <c r="CBF100" s="16"/>
      <c r="CBG100" s="16"/>
      <c r="CBH100" s="16"/>
      <c r="CBI100" s="16"/>
      <c r="CBJ100" s="16"/>
      <c r="CBK100" s="16"/>
      <c r="CBL100" s="16"/>
      <c r="CBM100" s="16"/>
      <c r="CBN100" s="16"/>
      <c r="CBO100" s="16"/>
      <c r="CBP100" s="16"/>
      <c r="CBQ100" s="16"/>
      <c r="CBR100" s="16"/>
      <c r="CBS100" s="16"/>
      <c r="CBT100" s="16"/>
      <c r="CBU100" s="16"/>
      <c r="CBV100" s="16"/>
      <c r="CBW100" s="16"/>
      <c r="CBX100" s="16"/>
      <c r="CBY100" s="16"/>
      <c r="CBZ100" s="16"/>
      <c r="CCA100" s="16"/>
      <c r="CCB100" s="16"/>
      <c r="CCC100" s="16"/>
      <c r="CCD100" s="16"/>
      <c r="CCE100" s="16"/>
      <c r="CCF100" s="16"/>
      <c r="CCG100" s="16"/>
      <c r="CCH100" s="16"/>
      <c r="CCI100" s="16"/>
      <c r="CCJ100" s="16"/>
      <c r="CCK100" s="16"/>
      <c r="CCL100" s="16"/>
      <c r="CCM100" s="16"/>
      <c r="CCN100" s="16"/>
      <c r="CCO100" s="16"/>
      <c r="CCP100" s="16"/>
      <c r="CCQ100" s="16"/>
      <c r="CCR100" s="16"/>
      <c r="CCS100" s="16"/>
      <c r="CCT100" s="16"/>
      <c r="CCU100" s="16"/>
      <c r="CCV100" s="16"/>
      <c r="CCW100" s="16"/>
      <c r="CCX100" s="16"/>
      <c r="CCY100" s="16"/>
      <c r="CCZ100" s="16"/>
      <c r="CDA100" s="16"/>
      <c r="CDB100" s="16"/>
      <c r="CDC100" s="16"/>
      <c r="CDD100" s="16"/>
      <c r="CDE100" s="16"/>
      <c r="CDF100" s="16"/>
      <c r="CDG100" s="16"/>
      <c r="CDH100" s="16"/>
      <c r="CDI100" s="16"/>
      <c r="CDJ100" s="16"/>
      <c r="CDK100" s="16"/>
      <c r="CDL100" s="16"/>
      <c r="CDM100" s="16"/>
      <c r="CDN100" s="16"/>
      <c r="CDO100" s="16"/>
      <c r="CDP100" s="16"/>
      <c r="CDQ100" s="16"/>
      <c r="CDR100" s="16"/>
      <c r="CDS100" s="16"/>
      <c r="CDT100" s="16"/>
      <c r="CDU100" s="16"/>
      <c r="CDV100" s="16"/>
      <c r="CDW100" s="16"/>
      <c r="CDX100" s="16"/>
      <c r="CDY100" s="16"/>
      <c r="CDZ100" s="16"/>
      <c r="CEA100" s="16"/>
      <c r="CEB100" s="16"/>
      <c r="CEC100" s="16"/>
      <c r="CED100" s="16"/>
      <c r="CEE100" s="16"/>
      <c r="CEF100" s="16"/>
      <c r="CEG100" s="16"/>
      <c r="CEH100" s="16"/>
      <c r="CEI100" s="16"/>
      <c r="CEJ100" s="16"/>
      <c r="CEK100" s="16"/>
      <c r="CEL100" s="16"/>
      <c r="CEM100" s="16"/>
      <c r="CEN100" s="16"/>
      <c r="CEO100" s="16"/>
      <c r="CEP100" s="16"/>
      <c r="CEQ100" s="16"/>
      <c r="CER100" s="16"/>
      <c r="CES100" s="16"/>
      <c r="CET100" s="16"/>
      <c r="CEU100" s="16"/>
      <c r="CEV100" s="16"/>
      <c r="CEW100" s="16"/>
      <c r="CEX100" s="16"/>
      <c r="CEY100" s="16"/>
      <c r="CEZ100" s="16"/>
      <c r="CFA100" s="16"/>
      <c r="CFB100" s="16"/>
      <c r="CFC100" s="16"/>
      <c r="CFD100" s="16"/>
      <c r="CFE100" s="16"/>
      <c r="CFF100" s="16"/>
      <c r="CFG100" s="16"/>
      <c r="CFH100" s="16"/>
      <c r="CFI100" s="16"/>
      <c r="CFJ100" s="16"/>
      <c r="CFK100" s="16"/>
      <c r="CFL100" s="16"/>
      <c r="CFM100" s="16"/>
      <c r="CFN100" s="16"/>
      <c r="CFO100" s="16"/>
      <c r="CFP100" s="16"/>
      <c r="CFQ100" s="16"/>
      <c r="CFR100" s="16"/>
      <c r="CFS100" s="16"/>
      <c r="CFT100" s="16"/>
      <c r="CFU100" s="16"/>
      <c r="CFV100" s="16"/>
      <c r="CFW100" s="16"/>
      <c r="CFX100" s="16"/>
      <c r="CFY100" s="16"/>
      <c r="CFZ100" s="16"/>
      <c r="CGA100" s="16"/>
      <c r="CGB100" s="16"/>
      <c r="CGC100" s="16"/>
      <c r="CGD100" s="16"/>
      <c r="CGE100" s="16"/>
      <c r="CGF100" s="16"/>
      <c r="CGG100" s="16"/>
      <c r="CGH100" s="16"/>
      <c r="CGI100" s="16"/>
      <c r="CGJ100" s="16"/>
      <c r="CGK100" s="16"/>
      <c r="CGL100" s="16"/>
      <c r="CGM100" s="16"/>
      <c r="CGN100" s="16"/>
      <c r="CGO100" s="16"/>
      <c r="CGP100" s="16"/>
      <c r="CGQ100" s="16"/>
      <c r="CGR100" s="16"/>
      <c r="CGS100" s="16"/>
      <c r="CGT100" s="16"/>
      <c r="CGU100" s="16"/>
      <c r="CGV100" s="16"/>
      <c r="CGW100" s="16"/>
      <c r="CGX100" s="16"/>
      <c r="CGY100" s="16"/>
      <c r="CGZ100" s="16"/>
      <c r="CHA100" s="16"/>
      <c r="CHB100" s="16"/>
      <c r="CHC100" s="16"/>
      <c r="CHD100" s="16"/>
      <c r="CHE100" s="16"/>
      <c r="CHF100" s="16"/>
      <c r="CHG100" s="16"/>
      <c r="CHH100" s="16"/>
      <c r="CHI100" s="16"/>
      <c r="CHJ100" s="16"/>
      <c r="CHK100" s="16"/>
      <c r="CHL100" s="16"/>
      <c r="CHM100" s="16"/>
      <c r="CHN100" s="16"/>
      <c r="CHO100" s="16"/>
      <c r="CHP100" s="16"/>
      <c r="CHQ100" s="16"/>
      <c r="CHR100" s="16"/>
      <c r="CHS100" s="16"/>
      <c r="CHT100" s="16"/>
      <c r="CHU100" s="16"/>
      <c r="CHV100" s="16"/>
      <c r="CHW100" s="16"/>
      <c r="CHX100" s="16"/>
      <c r="CHY100" s="16"/>
      <c r="CHZ100" s="16"/>
      <c r="CIA100" s="16"/>
      <c r="CIB100" s="16"/>
      <c r="CIC100" s="16"/>
      <c r="CID100" s="16"/>
      <c r="CIE100" s="16"/>
      <c r="CIF100" s="16"/>
      <c r="CIG100" s="16"/>
      <c r="CIH100" s="16"/>
      <c r="CII100" s="16"/>
      <c r="CIJ100" s="16"/>
      <c r="CIK100" s="16"/>
      <c r="CIL100" s="16"/>
      <c r="CIM100" s="16"/>
      <c r="CIN100" s="16"/>
      <c r="CIO100" s="16"/>
      <c r="CIP100" s="16"/>
      <c r="CIQ100" s="16"/>
      <c r="CIR100" s="16"/>
      <c r="CIS100" s="16"/>
      <c r="CIT100" s="16"/>
      <c r="CIU100" s="16"/>
      <c r="CIV100" s="16"/>
      <c r="CIW100" s="16"/>
      <c r="CIX100" s="16"/>
      <c r="CIY100" s="16"/>
      <c r="CIZ100" s="16"/>
      <c r="CJA100" s="16"/>
      <c r="CJB100" s="16"/>
      <c r="CJC100" s="16"/>
      <c r="CJD100" s="16"/>
      <c r="CJE100" s="16"/>
      <c r="CJF100" s="16"/>
      <c r="CJG100" s="16"/>
      <c r="CJH100" s="16"/>
      <c r="CJI100" s="16"/>
      <c r="CJJ100" s="16"/>
      <c r="CJK100" s="16"/>
      <c r="CJL100" s="16"/>
      <c r="CJM100" s="16"/>
      <c r="CJN100" s="16"/>
      <c r="CJO100" s="16"/>
      <c r="CJP100" s="16"/>
      <c r="CJQ100" s="16"/>
      <c r="CJR100" s="16"/>
      <c r="CJS100" s="16"/>
      <c r="CJT100" s="16"/>
      <c r="CJU100" s="16"/>
      <c r="CJV100" s="16"/>
      <c r="CJW100" s="16"/>
      <c r="CJX100" s="16"/>
      <c r="CJY100" s="16"/>
      <c r="CJZ100" s="16"/>
      <c r="CKA100" s="16"/>
      <c r="CKB100" s="16"/>
      <c r="CKC100" s="16"/>
      <c r="CKD100" s="16"/>
      <c r="CKE100" s="16"/>
      <c r="CKF100" s="16"/>
      <c r="CKG100" s="16"/>
      <c r="CKH100" s="16"/>
      <c r="CKI100" s="16"/>
      <c r="CKJ100" s="16"/>
      <c r="CKK100" s="16"/>
      <c r="CKL100" s="16"/>
      <c r="CKM100" s="16"/>
      <c r="CKN100" s="16"/>
      <c r="CKO100" s="16"/>
      <c r="CKP100" s="16"/>
      <c r="CKQ100" s="16"/>
      <c r="CKR100" s="16"/>
      <c r="CKS100" s="16"/>
      <c r="CKT100" s="16"/>
      <c r="CKU100" s="16"/>
      <c r="CKV100" s="16"/>
      <c r="CKW100" s="16"/>
      <c r="CKX100" s="16"/>
      <c r="CKY100" s="16"/>
      <c r="CKZ100" s="16"/>
      <c r="CLA100" s="16"/>
      <c r="CLB100" s="16"/>
      <c r="CLC100" s="16"/>
      <c r="CLD100" s="16"/>
      <c r="CLE100" s="16"/>
      <c r="CLF100" s="16"/>
      <c r="CLG100" s="16"/>
      <c r="CLH100" s="16"/>
      <c r="CLI100" s="16"/>
      <c r="CLJ100" s="16"/>
      <c r="CLK100" s="16"/>
      <c r="CLL100" s="16"/>
      <c r="CLM100" s="16"/>
      <c r="CLN100" s="16"/>
      <c r="CLO100" s="16"/>
      <c r="CLP100" s="16"/>
      <c r="CLQ100" s="16"/>
      <c r="CLR100" s="16"/>
      <c r="CLS100" s="16"/>
      <c r="CLT100" s="16"/>
      <c r="CLU100" s="16"/>
      <c r="CLV100" s="16"/>
      <c r="CLW100" s="16"/>
      <c r="CLX100" s="16"/>
      <c r="CLY100" s="16"/>
      <c r="CLZ100" s="16"/>
      <c r="CMA100" s="16"/>
      <c r="CMB100" s="16"/>
      <c r="CMC100" s="16"/>
      <c r="CMD100" s="16"/>
      <c r="CME100" s="16"/>
      <c r="CMF100" s="16"/>
      <c r="CMG100" s="16"/>
      <c r="CMH100" s="16"/>
      <c r="CMI100" s="16"/>
      <c r="CMJ100" s="16"/>
      <c r="CMK100" s="16"/>
      <c r="CML100" s="16"/>
      <c r="CMM100" s="16"/>
      <c r="CMN100" s="16"/>
      <c r="CMO100" s="16"/>
      <c r="CMP100" s="16"/>
      <c r="CMQ100" s="16"/>
      <c r="CMR100" s="16"/>
      <c r="CMS100" s="16"/>
      <c r="CMT100" s="16"/>
      <c r="CMU100" s="16"/>
      <c r="CMV100" s="16"/>
      <c r="CMW100" s="16"/>
      <c r="CMX100" s="16"/>
      <c r="CMY100" s="16"/>
      <c r="CMZ100" s="16"/>
      <c r="CNA100" s="16"/>
      <c r="CNB100" s="16"/>
      <c r="CNC100" s="16"/>
      <c r="CND100" s="16"/>
      <c r="CNE100" s="16"/>
      <c r="CNF100" s="16"/>
      <c r="CNG100" s="16"/>
      <c r="CNH100" s="16"/>
      <c r="CNI100" s="16"/>
      <c r="CNJ100" s="16"/>
      <c r="CNK100" s="16"/>
      <c r="CNL100" s="16"/>
      <c r="CNM100" s="16"/>
      <c r="CNN100" s="16"/>
      <c r="CNO100" s="16"/>
      <c r="CNP100" s="16"/>
      <c r="CNQ100" s="16"/>
      <c r="CNR100" s="16"/>
      <c r="CNS100" s="16"/>
      <c r="CNT100" s="16"/>
      <c r="CNU100" s="16"/>
      <c r="CNV100" s="16"/>
      <c r="CNW100" s="16"/>
      <c r="CNX100" s="16"/>
      <c r="CNY100" s="16"/>
      <c r="CNZ100" s="16"/>
      <c r="COA100" s="16"/>
      <c r="COB100" s="16"/>
      <c r="COC100" s="16"/>
      <c r="COD100" s="16"/>
      <c r="COE100" s="16"/>
      <c r="COF100" s="16"/>
      <c r="COG100" s="16"/>
      <c r="COH100" s="16"/>
      <c r="COI100" s="16"/>
      <c r="COJ100" s="16"/>
      <c r="COK100" s="16"/>
      <c r="COL100" s="16"/>
      <c r="COM100" s="16"/>
      <c r="CON100" s="16"/>
      <c r="COO100" s="16"/>
      <c r="COP100" s="16"/>
      <c r="COQ100" s="16"/>
      <c r="COR100" s="16"/>
      <c r="COS100" s="16"/>
      <c r="COT100" s="16"/>
      <c r="COU100" s="16"/>
      <c r="COV100" s="16"/>
      <c r="COW100" s="16"/>
      <c r="COX100" s="16"/>
      <c r="COY100" s="16"/>
      <c r="COZ100" s="16"/>
      <c r="CPA100" s="16"/>
      <c r="CPB100" s="16"/>
      <c r="CPC100" s="16"/>
      <c r="CPD100" s="16"/>
      <c r="CPE100" s="16"/>
      <c r="CPF100" s="16"/>
      <c r="CPG100" s="16"/>
      <c r="CPH100" s="16"/>
      <c r="CPI100" s="16"/>
      <c r="CPJ100" s="16"/>
      <c r="CPK100" s="16"/>
      <c r="CPL100" s="16"/>
      <c r="CPM100" s="16"/>
      <c r="CPN100" s="16"/>
      <c r="CPO100" s="16"/>
      <c r="CPP100" s="16"/>
      <c r="CPQ100" s="16"/>
      <c r="CPR100" s="16"/>
      <c r="CPS100" s="16"/>
      <c r="CPT100" s="16"/>
      <c r="CPU100" s="16"/>
      <c r="CPV100" s="16"/>
      <c r="CPW100" s="16"/>
      <c r="CPX100" s="16"/>
      <c r="CPY100" s="16"/>
      <c r="CPZ100" s="16"/>
      <c r="CQA100" s="16"/>
      <c r="CQB100" s="16"/>
      <c r="CQC100" s="16"/>
      <c r="CQD100" s="16"/>
      <c r="CQE100" s="16"/>
      <c r="CQF100" s="16"/>
      <c r="CQG100" s="16"/>
      <c r="CQH100" s="16"/>
      <c r="CQI100" s="16"/>
      <c r="CQJ100" s="16"/>
      <c r="CQK100" s="16"/>
      <c r="CQL100" s="16"/>
      <c r="CQM100" s="16"/>
      <c r="CQN100" s="16"/>
      <c r="CQO100" s="16"/>
      <c r="CQP100" s="16"/>
      <c r="CQQ100" s="16"/>
      <c r="CQR100" s="16"/>
      <c r="CQS100" s="16"/>
      <c r="CQT100" s="16"/>
      <c r="CQU100" s="16"/>
      <c r="CQV100" s="16"/>
      <c r="CQW100" s="16"/>
      <c r="CQX100" s="16"/>
      <c r="CQY100" s="16"/>
      <c r="CQZ100" s="16"/>
      <c r="CRA100" s="16"/>
      <c r="CRB100" s="16"/>
      <c r="CRC100" s="16"/>
      <c r="CRD100" s="16"/>
      <c r="CRE100" s="16"/>
      <c r="CRF100" s="16"/>
      <c r="CRG100" s="16"/>
      <c r="CRH100" s="16"/>
      <c r="CRI100" s="16"/>
      <c r="CRJ100" s="16"/>
      <c r="CRK100" s="16"/>
      <c r="CRL100" s="16"/>
      <c r="CRM100" s="16"/>
      <c r="CRN100" s="16"/>
      <c r="CRO100" s="16"/>
      <c r="CRP100" s="16"/>
      <c r="CRQ100" s="16"/>
      <c r="CRR100" s="16"/>
      <c r="CRS100" s="16"/>
      <c r="CRT100" s="16"/>
      <c r="CRU100" s="16"/>
      <c r="CRV100" s="16"/>
      <c r="CRW100" s="16"/>
      <c r="CRX100" s="16"/>
      <c r="CRY100" s="16"/>
      <c r="CRZ100" s="16"/>
      <c r="CSA100" s="16"/>
      <c r="CSB100" s="16"/>
      <c r="CSC100" s="16"/>
      <c r="CSD100" s="16"/>
      <c r="CSE100" s="16"/>
      <c r="CSF100" s="16"/>
      <c r="CSG100" s="16"/>
      <c r="CSH100" s="16"/>
      <c r="CSI100" s="16"/>
      <c r="CSJ100" s="16"/>
      <c r="CSK100" s="16"/>
      <c r="CSL100" s="16"/>
      <c r="CSM100" s="16"/>
      <c r="CSN100" s="16"/>
      <c r="CSO100" s="16"/>
      <c r="CSP100" s="16"/>
      <c r="CSQ100" s="16"/>
      <c r="CSR100" s="16"/>
      <c r="CSS100" s="16"/>
      <c r="CST100" s="16"/>
      <c r="CSU100" s="16"/>
      <c r="CSV100" s="16"/>
      <c r="CSW100" s="16"/>
      <c r="CSX100" s="16"/>
      <c r="CSY100" s="16"/>
      <c r="CSZ100" s="16"/>
      <c r="CTA100" s="16"/>
      <c r="CTB100" s="16"/>
      <c r="CTC100" s="16"/>
      <c r="CTD100" s="16"/>
      <c r="CTE100" s="16"/>
      <c r="CTF100" s="16"/>
      <c r="CTG100" s="16"/>
      <c r="CTH100" s="16"/>
      <c r="CTI100" s="16"/>
      <c r="CTJ100" s="16"/>
      <c r="CTK100" s="16"/>
      <c r="CTL100" s="16"/>
      <c r="CTM100" s="16"/>
      <c r="CTN100" s="16"/>
      <c r="CTO100" s="16"/>
      <c r="CTP100" s="16"/>
      <c r="CTQ100" s="16"/>
      <c r="CTR100" s="16"/>
      <c r="CTS100" s="16"/>
      <c r="CTT100" s="16"/>
      <c r="CTU100" s="16"/>
      <c r="CTV100" s="16"/>
      <c r="CTW100" s="16"/>
      <c r="CTX100" s="16"/>
      <c r="CTY100" s="16"/>
      <c r="CTZ100" s="16"/>
      <c r="CUA100" s="16"/>
      <c r="CUB100" s="16"/>
      <c r="CUC100" s="16"/>
      <c r="CUD100" s="16"/>
      <c r="CUE100" s="16"/>
      <c r="CUF100" s="16"/>
      <c r="CUG100" s="16"/>
      <c r="CUH100" s="16"/>
      <c r="CUI100" s="16"/>
      <c r="CUJ100" s="16"/>
      <c r="CUK100" s="16"/>
      <c r="CUL100" s="16"/>
      <c r="CUM100" s="16"/>
      <c r="CUN100" s="16"/>
      <c r="CUO100" s="16"/>
      <c r="CUP100" s="16"/>
      <c r="CUQ100" s="16"/>
      <c r="CUR100" s="16"/>
      <c r="CUS100" s="16"/>
      <c r="CUT100" s="16"/>
      <c r="CUU100" s="16"/>
      <c r="CUV100" s="16"/>
      <c r="CUW100" s="16"/>
      <c r="CUX100" s="16"/>
      <c r="CUY100" s="16"/>
      <c r="CUZ100" s="16"/>
      <c r="CVA100" s="16"/>
      <c r="CVB100" s="16"/>
      <c r="CVC100" s="16"/>
      <c r="CVD100" s="16"/>
      <c r="CVE100" s="16"/>
      <c r="CVF100" s="16"/>
      <c r="CVG100" s="16"/>
      <c r="CVH100" s="16"/>
      <c r="CVI100" s="16"/>
      <c r="CVJ100" s="16"/>
      <c r="CVK100" s="16"/>
      <c r="CVL100" s="16"/>
      <c r="CVM100" s="16"/>
      <c r="CVN100" s="16"/>
      <c r="CVO100" s="16"/>
      <c r="CVP100" s="16"/>
      <c r="CVQ100" s="16"/>
      <c r="CVR100" s="16"/>
      <c r="CVS100" s="16"/>
      <c r="CVT100" s="16"/>
      <c r="CVU100" s="16"/>
      <c r="CVV100" s="16"/>
      <c r="CVW100" s="16"/>
      <c r="CVX100" s="16"/>
      <c r="CVY100" s="16"/>
      <c r="CVZ100" s="16"/>
      <c r="CWA100" s="16"/>
      <c r="CWB100" s="16"/>
      <c r="CWC100" s="16"/>
      <c r="CWD100" s="16"/>
      <c r="CWE100" s="16"/>
      <c r="CWF100" s="16"/>
      <c r="CWG100" s="16"/>
      <c r="CWH100" s="16"/>
      <c r="CWI100" s="16"/>
      <c r="CWJ100" s="16"/>
      <c r="CWK100" s="16"/>
      <c r="CWL100" s="16"/>
      <c r="CWM100" s="16"/>
      <c r="CWN100" s="16"/>
      <c r="CWO100" s="16"/>
      <c r="CWP100" s="16"/>
      <c r="CWQ100" s="16"/>
      <c r="CWR100" s="16"/>
      <c r="CWS100" s="16"/>
      <c r="CWT100" s="16"/>
      <c r="CWU100" s="16"/>
      <c r="CWV100" s="16"/>
      <c r="CWW100" s="16"/>
      <c r="CWX100" s="16"/>
      <c r="CWY100" s="16"/>
      <c r="CWZ100" s="16"/>
      <c r="CXA100" s="16"/>
      <c r="CXB100" s="16"/>
      <c r="CXC100" s="16"/>
      <c r="CXD100" s="16"/>
      <c r="CXE100" s="16"/>
      <c r="CXF100" s="16"/>
      <c r="CXG100" s="16"/>
      <c r="CXH100" s="16"/>
      <c r="CXI100" s="16"/>
      <c r="CXJ100" s="16"/>
      <c r="CXK100" s="16"/>
      <c r="CXL100" s="16"/>
      <c r="CXM100" s="16"/>
      <c r="CXN100" s="16"/>
      <c r="CXO100" s="16"/>
      <c r="CXP100" s="16"/>
      <c r="CXQ100" s="16"/>
      <c r="CXR100" s="16"/>
      <c r="CXS100" s="16"/>
      <c r="CXT100" s="16"/>
      <c r="CXU100" s="16"/>
      <c r="CXV100" s="16"/>
      <c r="CXW100" s="16"/>
      <c r="CXX100" s="16"/>
      <c r="CXY100" s="16"/>
      <c r="CXZ100" s="16"/>
      <c r="CYA100" s="16"/>
      <c r="CYB100" s="16"/>
      <c r="CYC100" s="16"/>
      <c r="CYD100" s="16"/>
      <c r="CYE100" s="16"/>
      <c r="CYF100" s="16"/>
      <c r="CYG100" s="16"/>
      <c r="CYH100" s="16"/>
      <c r="CYI100" s="16"/>
      <c r="CYJ100" s="16"/>
      <c r="CYK100" s="16"/>
      <c r="CYL100" s="16"/>
      <c r="CYM100" s="16"/>
      <c r="CYN100" s="16"/>
      <c r="CYO100" s="16"/>
      <c r="CYP100" s="16"/>
      <c r="CYQ100" s="16"/>
      <c r="CYR100" s="16"/>
      <c r="CYS100" s="16"/>
      <c r="CYT100" s="16"/>
      <c r="CYU100" s="16"/>
      <c r="CYV100" s="16"/>
      <c r="CYW100" s="16"/>
      <c r="CYX100" s="16"/>
      <c r="CYY100" s="16"/>
      <c r="CYZ100" s="16"/>
      <c r="CZA100" s="16"/>
      <c r="CZB100" s="16"/>
      <c r="CZC100" s="16"/>
      <c r="CZD100" s="16"/>
      <c r="CZE100" s="16"/>
      <c r="CZF100" s="16"/>
      <c r="CZG100" s="16"/>
      <c r="CZH100" s="16"/>
      <c r="CZI100" s="16"/>
      <c r="CZJ100" s="16"/>
      <c r="CZK100" s="16"/>
      <c r="CZL100" s="16"/>
      <c r="CZM100" s="16"/>
      <c r="CZN100" s="16"/>
      <c r="CZO100" s="16"/>
      <c r="CZP100" s="16"/>
      <c r="CZQ100" s="16"/>
      <c r="CZR100" s="16"/>
      <c r="CZS100" s="16"/>
      <c r="CZT100" s="16"/>
      <c r="CZU100" s="16"/>
      <c r="CZV100" s="16"/>
      <c r="CZW100" s="16"/>
      <c r="CZX100" s="16"/>
      <c r="CZY100" s="16"/>
      <c r="CZZ100" s="16"/>
      <c r="DAA100" s="16"/>
      <c r="DAB100" s="16"/>
      <c r="DAC100" s="16"/>
      <c r="DAD100" s="16"/>
      <c r="DAE100" s="16"/>
      <c r="DAF100" s="16"/>
      <c r="DAG100" s="16"/>
      <c r="DAH100" s="16"/>
      <c r="DAI100" s="16"/>
      <c r="DAJ100" s="16"/>
      <c r="DAK100" s="16"/>
      <c r="DAL100" s="16"/>
      <c r="DAM100" s="16"/>
      <c r="DAN100" s="16"/>
      <c r="DAO100" s="16"/>
      <c r="DAP100" s="16"/>
      <c r="DAQ100" s="16"/>
      <c r="DAR100" s="16"/>
      <c r="DAS100" s="16"/>
      <c r="DAT100" s="16"/>
      <c r="DAU100" s="16"/>
      <c r="DAV100" s="16"/>
      <c r="DAW100" s="16"/>
      <c r="DAX100" s="16"/>
      <c r="DAY100" s="16"/>
      <c r="DAZ100" s="16"/>
      <c r="DBA100" s="16"/>
      <c r="DBB100" s="16"/>
      <c r="DBC100" s="16"/>
      <c r="DBD100" s="16"/>
      <c r="DBE100" s="16"/>
      <c r="DBF100" s="16"/>
      <c r="DBG100" s="16"/>
      <c r="DBH100" s="16"/>
      <c r="DBI100" s="16"/>
      <c r="DBJ100" s="16"/>
      <c r="DBK100" s="16"/>
      <c r="DBL100" s="16"/>
      <c r="DBM100" s="16"/>
      <c r="DBN100" s="16"/>
      <c r="DBO100" s="16"/>
      <c r="DBP100" s="16"/>
      <c r="DBQ100" s="16"/>
      <c r="DBR100" s="16"/>
      <c r="DBS100" s="16"/>
      <c r="DBT100" s="16"/>
      <c r="DBU100" s="16"/>
      <c r="DBV100" s="16"/>
      <c r="DBW100" s="16"/>
      <c r="DBX100" s="16"/>
      <c r="DBY100" s="16"/>
      <c r="DBZ100" s="16"/>
      <c r="DCA100" s="16"/>
      <c r="DCB100" s="16"/>
      <c r="DCC100" s="16"/>
      <c r="DCD100" s="16"/>
      <c r="DCE100" s="16"/>
      <c r="DCF100" s="16"/>
      <c r="DCG100" s="16"/>
      <c r="DCH100" s="16"/>
      <c r="DCI100" s="16"/>
      <c r="DCJ100" s="16"/>
      <c r="DCK100" s="16"/>
      <c r="DCL100" s="16"/>
      <c r="DCM100" s="16"/>
      <c r="DCN100" s="16"/>
      <c r="DCO100" s="16"/>
      <c r="DCP100" s="16"/>
      <c r="DCQ100" s="16"/>
      <c r="DCR100" s="16"/>
      <c r="DCS100" s="16"/>
      <c r="DCT100" s="16"/>
      <c r="DCU100" s="16"/>
      <c r="DCV100" s="16"/>
      <c r="DCW100" s="16"/>
      <c r="DCX100" s="16"/>
      <c r="DCY100" s="16"/>
      <c r="DCZ100" s="16"/>
      <c r="DDA100" s="16"/>
      <c r="DDB100" s="16"/>
      <c r="DDC100" s="16"/>
      <c r="DDD100" s="16"/>
      <c r="DDE100" s="16"/>
      <c r="DDF100" s="16"/>
      <c r="DDG100" s="16"/>
      <c r="DDH100" s="16"/>
      <c r="DDI100" s="16"/>
      <c r="DDJ100" s="16"/>
      <c r="DDK100" s="16"/>
      <c r="DDL100" s="16"/>
      <c r="DDM100" s="16"/>
      <c r="DDN100" s="16"/>
      <c r="DDO100" s="16"/>
      <c r="DDP100" s="16"/>
      <c r="DDQ100" s="16"/>
      <c r="DDR100" s="16"/>
      <c r="DDS100" s="16"/>
      <c r="DDT100" s="16"/>
      <c r="DDU100" s="16"/>
      <c r="DDV100" s="16"/>
      <c r="DDW100" s="16"/>
      <c r="DDX100" s="16"/>
      <c r="DDY100" s="16"/>
      <c r="DDZ100" s="16"/>
      <c r="DEA100" s="16"/>
      <c r="DEB100" s="16"/>
      <c r="DEC100" s="16"/>
      <c r="DED100" s="16"/>
      <c r="DEE100" s="16"/>
      <c r="DEF100" s="16"/>
      <c r="DEG100" s="16"/>
      <c r="DEH100" s="16"/>
      <c r="DEI100" s="16"/>
      <c r="DEJ100" s="16"/>
      <c r="DEK100" s="16"/>
      <c r="DEL100" s="16"/>
      <c r="DEM100" s="16"/>
      <c r="DEN100" s="16"/>
      <c r="DEO100" s="16"/>
      <c r="DEP100" s="16"/>
      <c r="DEQ100" s="16"/>
      <c r="DER100" s="16"/>
      <c r="DES100" s="16"/>
      <c r="DET100" s="16"/>
      <c r="DEU100" s="16"/>
      <c r="DEV100" s="16"/>
      <c r="DEW100" s="16"/>
      <c r="DEX100" s="16"/>
      <c r="DEY100" s="16"/>
      <c r="DEZ100" s="16"/>
      <c r="DFA100" s="16"/>
      <c r="DFB100" s="16"/>
      <c r="DFC100" s="16"/>
      <c r="DFD100" s="16"/>
      <c r="DFE100" s="16"/>
      <c r="DFF100" s="16"/>
      <c r="DFG100" s="16"/>
      <c r="DFH100" s="16"/>
      <c r="DFI100" s="16"/>
      <c r="DFJ100" s="16"/>
      <c r="DFK100" s="16"/>
      <c r="DFL100" s="16"/>
      <c r="DFM100" s="16"/>
      <c r="DFN100" s="16"/>
      <c r="DFO100" s="16"/>
      <c r="DFP100" s="16"/>
      <c r="DFQ100" s="16"/>
      <c r="DFR100" s="16"/>
      <c r="DFS100" s="16"/>
      <c r="DFT100" s="16"/>
      <c r="DFU100" s="16"/>
      <c r="DFV100" s="16"/>
      <c r="DFW100" s="16"/>
      <c r="DFX100" s="16"/>
      <c r="DFY100" s="16"/>
      <c r="DFZ100" s="16"/>
      <c r="DGA100" s="16"/>
      <c r="DGB100" s="16"/>
      <c r="DGC100" s="16"/>
      <c r="DGD100" s="16"/>
      <c r="DGE100" s="16"/>
      <c r="DGF100" s="16"/>
      <c r="DGG100" s="16"/>
      <c r="DGH100" s="16"/>
      <c r="DGI100" s="16"/>
      <c r="DGJ100" s="16"/>
      <c r="DGK100" s="16"/>
      <c r="DGL100" s="16"/>
      <c r="DGM100" s="16"/>
      <c r="DGN100" s="16"/>
      <c r="DGO100" s="16"/>
      <c r="DGP100" s="16"/>
      <c r="DGQ100" s="16"/>
      <c r="DGR100" s="16"/>
      <c r="DGS100" s="16"/>
      <c r="DGT100" s="16"/>
      <c r="DGU100" s="16"/>
      <c r="DGV100" s="16"/>
      <c r="DGW100" s="16"/>
      <c r="DGX100" s="16"/>
      <c r="DGY100" s="16"/>
      <c r="DGZ100" s="16"/>
      <c r="DHA100" s="16"/>
      <c r="DHB100" s="16"/>
      <c r="DHC100" s="16"/>
      <c r="DHD100" s="16"/>
      <c r="DHE100" s="16"/>
      <c r="DHF100" s="16"/>
      <c r="DHG100" s="16"/>
      <c r="DHH100" s="16"/>
      <c r="DHI100" s="16"/>
      <c r="DHJ100" s="16"/>
      <c r="DHK100" s="16"/>
      <c r="DHL100" s="16"/>
      <c r="DHM100" s="16"/>
      <c r="DHN100" s="16"/>
      <c r="DHO100" s="16"/>
      <c r="DHP100" s="16"/>
      <c r="DHQ100" s="16"/>
      <c r="DHR100" s="16"/>
      <c r="DHS100" s="16"/>
      <c r="DHT100" s="16"/>
      <c r="DHU100" s="16"/>
      <c r="DHV100" s="16"/>
      <c r="DHW100" s="16"/>
      <c r="DHX100" s="16"/>
      <c r="DHY100" s="16"/>
      <c r="DHZ100" s="16"/>
      <c r="DIA100" s="16"/>
      <c r="DIB100" s="16"/>
      <c r="DIC100" s="16"/>
      <c r="DID100" s="16"/>
      <c r="DIE100" s="16"/>
      <c r="DIF100" s="16"/>
      <c r="DIG100" s="16"/>
      <c r="DIH100" s="16"/>
      <c r="DII100" s="16"/>
      <c r="DIJ100" s="16"/>
      <c r="DIK100" s="16"/>
      <c r="DIL100" s="16"/>
      <c r="DIM100" s="16"/>
      <c r="DIN100" s="16"/>
      <c r="DIO100" s="16"/>
      <c r="DIP100" s="16"/>
      <c r="DIQ100" s="16"/>
      <c r="DIR100" s="16"/>
      <c r="DIS100" s="16"/>
      <c r="DIT100" s="16"/>
      <c r="DIU100" s="16"/>
      <c r="DIV100" s="16"/>
      <c r="DIW100" s="16"/>
      <c r="DIX100" s="16"/>
      <c r="DIY100" s="16"/>
      <c r="DIZ100" s="16"/>
      <c r="DJA100" s="16"/>
      <c r="DJB100" s="16"/>
      <c r="DJC100" s="16"/>
      <c r="DJD100" s="16"/>
      <c r="DJE100" s="16"/>
      <c r="DJF100" s="16"/>
      <c r="DJG100" s="16"/>
      <c r="DJH100" s="16"/>
      <c r="DJI100" s="16"/>
      <c r="DJJ100" s="16"/>
      <c r="DJK100" s="16"/>
      <c r="DJL100" s="16"/>
      <c r="DJM100" s="16"/>
      <c r="DJN100" s="16"/>
      <c r="DJO100" s="16"/>
      <c r="DJP100" s="16"/>
      <c r="DJQ100" s="16"/>
      <c r="DJR100" s="16"/>
      <c r="DJS100" s="16"/>
      <c r="DJT100" s="16"/>
      <c r="DJU100" s="16"/>
      <c r="DJV100" s="16"/>
      <c r="DJW100" s="16"/>
      <c r="DJX100" s="16"/>
      <c r="DJY100" s="16"/>
      <c r="DJZ100" s="16"/>
      <c r="DKA100" s="16"/>
      <c r="DKB100" s="16"/>
      <c r="DKC100" s="16"/>
      <c r="DKD100" s="16"/>
      <c r="DKE100" s="16"/>
      <c r="DKF100" s="16"/>
      <c r="DKG100" s="16"/>
      <c r="DKH100" s="16"/>
      <c r="DKI100" s="16"/>
      <c r="DKJ100" s="16"/>
      <c r="DKK100" s="16"/>
      <c r="DKL100" s="16"/>
      <c r="DKM100" s="16"/>
      <c r="DKN100" s="16"/>
      <c r="DKO100" s="16"/>
      <c r="DKP100" s="16"/>
      <c r="DKQ100" s="16"/>
      <c r="DKR100" s="16"/>
      <c r="DKS100" s="16"/>
      <c r="DKT100" s="16"/>
      <c r="DKU100" s="16"/>
      <c r="DKV100" s="16"/>
      <c r="DKW100" s="16"/>
      <c r="DKX100" s="16"/>
      <c r="DKY100" s="16"/>
      <c r="DKZ100" s="16"/>
      <c r="DLA100" s="16"/>
      <c r="DLB100" s="16"/>
      <c r="DLC100" s="16"/>
      <c r="DLD100" s="16"/>
      <c r="DLE100" s="16"/>
      <c r="DLF100" s="16"/>
      <c r="DLG100" s="16"/>
      <c r="DLH100" s="16"/>
      <c r="DLI100" s="16"/>
      <c r="DLJ100" s="16"/>
      <c r="DLK100" s="16"/>
      <c r="DLL100" s="16"/>
      <c r="DLM100" s="16"/>
      <c r="DLN100" s="16"/>
      <c r="DLO100" s="16"/>
      <c r="DLP100" s="16"/>
      <c r="DLQ100" s="16"/>
      <c r="DLR100" s="16"/>
      <c r="DLS100" s="16"/>
      <c r="DLT100" s="16"/>
      <c r="DLU100" s="16"/>
      <c r="DLV100" s="16"/>
      <c r="DLW100" s="16"/>
      <c r="DLX100" s="16"/>
      <c r="DLY100" s="16"/>
      <c r="DLZ100" s="16"/>
      <c r="DMA100" s="16"/>
      <c r="DMB100" s="16"/>
      <c r="DMC100" s="16"/>
      <c r="DMD100" s="16"/>
      <c r="DME100" s="16"/>
      <c r="DMF100" s="16"/>
      <c r="DMG100" s="16"/>
      <c r="DMH100" s="16"/>
      <c r="DMI100" s="16"/>
      <c r="DMJ100" s="16"/>
      <c r="DMK100" s="16"/>
      <c r="DML100" s="16"/>
      <c r="DMM100" s="16"/>
      <c r="DMN100" s="16"/>
      <c r="DMO100" s="16"/>
      <c r="DMP100" s="16"/>
      <c r="DMQ100" s="16"/>
      <c r="DMR100" s="16"/>
      <c r="DMS100" s="16"/>
      <c r="DMT100" s="16"/>
      <c r="DMU100" s="16"/>
      <c r="DMV100" s="16"/>
      <c r="DMW100" s="16"/>
      <c r="DMX100" s="16"/>
      <c r="DMY100" s="16"/>
      <c r="DMZ100" s="16"/>
      <c r="DNA100" s="16"/>
      <c r="DNB100" s="16"/>
      <c r="DNC100" s="16"/>
      <c r="DND100" s="16"/>
      <c r="DNE100" s="16"/>
      <c r="DNF100" s="16"/>
      <c r="DNG100" s="16"/>
      <c r="DNH100" s="16"/>
      <c r="DNI100" s="16"/>
      <c r="DNJ100" s="16"/>
      <c r="DNK100" s="16"/>
      <c r="DNL100" s="16"/>
      <c r="DNM100" s="16"/>
      <c r="DNN100" s="16"/>
      <c r="DNO100" s="16"/>
      <c r="DNP100" s="16"/>
      <c r="DNQ100" s="16"/>
      <c r="DNR100" s="16"/>
      <c r="DNS100" s="16"/>
      <c r="DNT100" s="16"/>
      <c r="DNU100" s="16"/>
      <c r="DNV100" s="16"/>
      <c r="DNW100" s="16"/>
      <c r="DNX100" s="16"/>
      <c r="DNY100" s="16"/>
      <c r="DNZ100" s="16"/>
      <c r="DOA100" s="16"/>
      <c r="DOB100" s="16"/>
      <c r="DOC100" s="16"/>
      <c r="DOD100" s="16"/>
      <c r="DOE100" s="16"/>
      <c r="DOF100" s="16"/>
      <c r="DOG100" s="16"/>
      <c r="DOH100" s="16"/>
      <c r="DOI100" s="16"/>
      <c r="DOJ100" s="16"/>
      <c r="DOK100" s="16"/>
      <c r="DOL100" s="16"/>
      <c r="DOM100" s="16"/>
      <c r="DON100" s="16"/>
      <c r="DOO100" s="16"/>
      <c r="DOP100" s="16"/>
      <c r="DOQ100" s="16"/>
      <c r="DOR100" s="16"/>
      <c r="DOS100" s="16"/>
      <c r="DOT100" s="16"/>
      <c r="DOU100" s="16"/>
      <c r="DOV100" s="16"/>
      <c r="DOW100" s="16"/>
      <c r="DOX100" s="16"/>
      <c r="DOY100" s="16"/>
      <c r="DOZ100" s="16"/>
      <c r="DPA100" s="16"/>
      <c r="DPB100" s="16"/>
      <c r="DPC100" s="16"/>
      <c r="DPD100" s="16"/>
      <c r="DPE100" s="16"/>
      <c r="DPF100" s="16"/>
      <c r="DPG100" s="16"/>
      <c r="DPH100" s="16"/>
      <c r="DPI100" s="16"/>
      <c r="DPJ100" s="16"/>
      <c r="DPK100" s="16"/>
      <c r="DPL100" s="16"/>
      <c r="DPM100" s="16"/>
      <c r="DPN100" s="16"/>
      <c r="DPO100" s="16"/>
      <c r="DPP100" s="16"/>
      <c r="DPQ100" s="16"/>
      <c r="DPR100" s="16"/>
      <c r="DPS100" s="16"/>
      <c r="DPT100" s="16"/>
      <c r="DPU100" s="16"/>
      <c r="DPV100" s="16"/>
      <c r="DPW100" s="16"/>
      <c r="DPX100" s="16"/>
      <c r="DPY100" s="16"/>
      <c r="DPZ100" s="16"/>
      <c r="DQA100" s="16"/>
      <c r="DQB100" s="16"/>
      <c r="DQC100" s="16"/>
      <c r="DQD100" s="16"/>
      <c r="DQE100" s="16"/>
      <c r="DQF100" s="16"/>
      <c r="DQG100" s="16"/>
      <c r="DQH100" s="16"/>
      <c r="DQI100" s="16"/>
      <c r="DQJ100" s="16"/>
      <c r="DQK100" s="16"/>
      <c r="DQL100" s="16"/>
      <c r="DQM100" s="16"/>
      <c r="DQN100" s="16"/>
      <c r="DQO100" s="16"/>
      <c r="DQP100" s="16"/>
      <c r="DQQ100" s="16"/>
      <c r="DQR100" s="16"/>
      <c r="DQS100" s="16"/>
      <c r="DQT100" s="16"/>
      <c r="DQU100" s="16"/>
      <c r="DQV100" s="16"/>
      <c r="DQW100" s="16"/>
      <c r="DQX100" s="16"/>
      <c r="DQY100" s="16"/>
      <c r="DQZ100" s="16"/>
      <c r="DRA100" s="16"/>
      <c r="DRB100" s="16"/>
      <c r="DRC100" s="16"/>
      <c r="DRD100" s="16"/>
      <c r="DRE100" s="16"/>
      <c r="DRF100" s="16"/>
      <c r="DRG100" s="16"/>
      <c r="DRH100" s="16"/>
      <c r="DRI100" s="16"/>
      <c r="DRJ100" s="16"/>
      <c r="DRK100" s="16"/>
      <c r="DRL100" s="16"/>
      <c r="DRM100" s="16"/>
      <c r="DRN100" s="16"/>
      <c r="DRO100" s="16"/>
      <c r="DRP100" s="16"/>
      <c r="DRQ100" s="16"/>
      <c r="DRR100" s="16"/>
      <c r="DRS100" s="16"/>
      <c r="DRT100" s="16"/>
      <c r="DRU100" s="16"/>
      <c r="DRV100" s="16"/>
      <c r="DRW100" s="16"/>
      <c r="DRX100" s="16"/>
      <c r="DRY100" s="16"/>
      <c r="DRZ100" s="16"/>
      <c r="DSA100" s="16"/>
      <c r="DSB100" s="16"/>
      <c r="DSC100" s="16"/>
      <c r="DSD100" s="16"/>
      <c r="DSE100" s="16"/>
      <c r="DSF100" s="16"/>
      <c r="DSG100" s="16"/>
      <c r="DSH100" s="16"/>
      <c r="DSI100" s="16"/>
      <c r="DSJ100" s="16"/>
      <c r="DSK100" s="16"/>
      <c r="DSL100" s="16"/>
      <c r="DSM100" s="16"/>
      <c r="DSN100" s="16"/>
      <c r="DSO100" s="16"/>
      <c r="DSP100" s="16"/>
      <c r="DSQ100" s="16"/>
      <c r="DSR100" s="16"/>
      <c r="DSS100" s="16"/>
      <c r="DST100" s="16"/>
      <c r="DSU100" s="16"/>
      <c r="DSV100" s="16"/>
      <c r="DSW100" s="16"/>
      <c r="DSX100" s="16"/>
      <c r="DSY100" s="16"/>
      <c r="DSZ100" s="16"/>
      <c r="DTA100" s="16"/>
      <c r="DTB100" s="16"/>
      <c r="DTC100" s="16"/>
      <c r="DTD100" s="16"/>
      <c r="DTE100" s="16"/>
      <c r="DTF100" s="16"/>
      <c r="DTG100" s="16"/>
      <c r="DTH100" s="16"/>
      <c r="DTI100" s="16"/>
      <c r="DTJ100" s="16"/>
      <c r="DTK100" s="16"/>
      <c r="DTL100" s="16"/>
      <c r="DTM100" s="16"/>
      <c r="DTN100" s="16"/>
      <c r="DTO100" s="16"/>
      <c r="DTP100" s="16"/>
      <c r="DTQ100" s="16"/>
      <c r="DTR100" s="16"/>
      <c r="DTS100" s="16"/>
      <c r="DTT100" s="16"/>
      <c r="DTU100" s="16"/>
      <c r="DTV100" s="16"/>
      <c r="DTW100" s="16"/>
      <c r="DTX100" s="16"/>
      <c r="DTY100" s="16"/>
      <c r="DTZ100" s="16"/>
      <c r="DUA100" s="16"/>
      <c r="DUB100" s="16"/>
      <c r="DUC100" s="16"/>
      <c r="DUD100" s="16"/>
      <c r="DUE100" s="16"/>
      <c r="DUF100" s="16"/>
      <c r="DUG100" s="16"/>
      <c r="DUH100" s="16"/>
      <c r="DUI100" s="16"/>
      <c r="DUJ100" s="16"/>
      <c r="DUK100" s="16"/>
      <c r="DUL100" s="16"/>
      <c r="DUM100" s="16"/>
      <c r="DUN100" s="16"/>
      <c r="DUO100" s="16"/>
      <c r="DUP100" s="16"/>
      <c r="DUQ100" s="16"/>
      <c r="DUR100" s="16"/>
      <c r="DUS100" s="16"/>
      <c r="DUT100" s="16"/>
      <c r="DUU100" s="16"/>
      <c r="DUV100" s="16"/>
      <c r="DUW100" s="16"/>
      <c r="DUX100" s="16"/>
      <c r="DUY100" s="16"/>
      <c r="DUZ100" s="16"/>
      <c r="DVA100" s="16"/>
      <c r="DVB100" s="16"/>
      <c r="DVC100" s="16"/>
      <c r="DVD100" s="16"/>
      <c r="DVE100" s="16"/>
      <c r="DVF100" s="16"/>
      <c r="DVG100" s="16"/>
      <c r="DVH100" s="16"/>
      <c r="DVI100" s="16"/>
      <c r="DVJ100" s="16"/>
      <c r="DVK100" s="16"/>
      <c r="DVL100" s="16"/>
      <c r="DVM100" s="16"/>
      <c r="DVN100" s="16"/>
      <c r="DVO100" s="16"/>
      <c r="DVP100" s="16"/>
      <c r="DVQ100" s="16"/>
      <c r="DVR100" s="16"/>
      <c r="DVS100" s="16"/>
      <c r="DVT100" s="16"/>
      <c r="DVU100" s="16"/>
      <c r="DVV100" s="16"/>
      <c r="DVW100" s="16"/>
      <c r="DVX100" s="16"/>
      <c r="DVY100" s="16"/>
      <c r="DVZ100" s="16"/>
      <c r="DWA100" s="16"/>
      <c r="DWB100" s="16"/>
      <c r="DWC100" s="16"/>
      <c r="DWD100" s="16"/>
      <c r="DWE100" s="16"/>
      <c r="DWF100" s="16"/>
      <c r="DWG100" s="16"/>
      <c r="DWH100" s="16"/>
      <c r="DWI100" s="16"/>
      <c r="DWJ100" s="16"/>
      <c r="DWK100" s="16"/>
      <c r="DWL100" s="16"/>
      <c r="DWM100" s="16"/>
      <c r="DWN100" s="16"/>
      <c r="DWO100" s="16"/>
      <c r="DWP100" s="16"/>
      <c r="DWQ100" s="16"/>
      <c r="DWR100" s="16"/>
      <c r="DWS100" s="16"/>
      <c r="DWT100" s="16"/>
      <c r="DWU100" s="16"/>
      <c r="DWV100" s="16"/>
      <c r="DWW100" s="16"/>
      <c r="DWX100" s="16"/>
      <c r="DWY100" s="16"/>
      <c r="DWZ100" s="16"/>
      <c r="DXA100" s="16"/>
      <c r="DXB100" s="16"/>
      <c r="DXC100" s="16"/>
      <c r="DXD100" s="16"/>
      <c r="DXE100" s="16"/>
      <c r="DXF100" s="16"/>
      <c r="DXG100" s="16"/>
      <c r="DXH100" s="16"/>
      <c r="DXI100" s="16"/>
      <c r="DXJ100" s="16"/>
      <c r="DXK100" s="16"/>
      <c r="DXL100" s="16"/>
      <c r="DXM100" s="16"/>
      <c r="DXN100" s="16"/>
      <c r="DXO100" s="16"/>
      <c r="DXP100" s="16"/>
      <c r="DXQ100" s="16"/>
      <c r="DXR100" s="16"/>
      <c r="DXS100" s="16"/>
      <c r="DXT100" s="16"/>
      <c r="DXU100" s="16"/>
      <c r="DXV100" s="16"/>
      <c r="DXW100" s="16"/>
      <c r="DXX100" s="16"/>
      <c r="DXY100" s="16"/>
      <c r="DXZ100" s="16"/>
      <c r="DYA100" s="16"/>
      <c r="DYB100" s="16"/>
      <c r="DYC100" s="16"/>
      <c r="DYD100" s="16"/>
      <c r="DYE100" s="16"/>
      <c r="DYF100" s="16"/>
      <c r="DYG100" s="16"/>
      <c r="DYH100" s="16"/>
      <c r="DYI100" s="16"/>
      <c r="DYJ100" s="16"/>
      <c r="DYK100" s="16"/>
      <c r="DYL100" s="16"/>
      <c r="DYM100" s="16"/>
      <c r="DYN100" s="16"/>
      <c r="DYO100" s="16"/>
      <c r="DYP100" s="16"/>
      <c r="DYQ100" s="16"/>
      <c r="DYR100" s="16"/>
      <c r="DYS100" s="16"/>
      <c r="DYT100" s="16"/>
      <c r="DYU100" s="16"/>
      <c r="DYV100" s="16"/>
      <c r="DYW100" s="16"/>
      <c r="DYX100" s="16"/>
      <c r="DYY100" s="16"/>
      <c r="DYZ100" s="16"/>
      <c r="DZA100" s="16"/>
      <c r="DZB100" s="16"/>
      <c r="DZC100" s="16"/>
      <c r="DZD100" s="16"/>
      <c r="DZE100" s="16"/>
      <c r="DZF100" s="16"/>
      <c r="DZG100" s="16"/>
      <c r="DZH100" s="16"/>
      <c r="DZI100" s="16"/>
      <c r="DZJ100" s="16"/>
      <c r="DZK100" s="16"/>
      <c r="DZL100" s="16"/>
      <c r="DZM100" s="16"/>
      <c r="DZN100" s="16"/>
      <c r="DZO100" s="16"/>
      <c r="DZP100" s="16"/>
      <c r="DZQ100" s="16"/>
      <c r="DZR100" s="16"/>
      <c r="DZS100" s="16"/>
      <c r="DZT100" s="16"/>
      <c r="DZU100" s="16"/>
      <c r="DZV100" s="16"/>
      <c r="DZW100" s="16"/>
      <c r="DZX100" s="16"/>
      <c r="DZY100" s="16"/>
      <c r="DZZ100" s="16"/>
      <c r="EAA100" s="16"/>
      <c r="EAB100" s="16"/>
      <c r="EAC100" s="16"/>
      <c r="EAD100" s="16"/>
      <c r="EAE100" s="16"/>
      <c r="EAF100" s="16"/>
      <c r="EAG100" s="16"/>
      <c r="EAH100" s="16"/>
      <c r="EAI100" s="16"/>
      <c r="EAJ100" s="16"/>
      <c r="EAK100" s="16"/>
      <c r="EAL100" s="16"/>
      <c r="EAM100" s="16"/>
      <c r="EAN100" s="16"/>
      <c r="EAO100" s="16"/>
      <c r="EAP100" s="16"/>
      <c r="EAQ100" s="16"/>
      <c r="EAR100" s="16"/>
      <c r="EAS100" s="16"/>
      <c r="EAT100" s="16"/>
      <c r="EAU100" s="16"/>
      <c r="EAV100" s="16"/>
      <c r="EAW100" s="16"/>
      <c r="EAX100" s="16"/>
      <c r="EAY100" s="16"/>
      <c r="EAZ100" s="16"/>
      <c r="EBA100" s="16"/>
      <c r="EBB100" s="16"/>
      <c r="EBC100" s="16"/>
      <c r="EBD100" s="16"/>
      <c r="EBE100" s="16"/>
      <c r="EBF100" s="16"/>
      <c r="EBG100" s="16"/>
      <c r="EBH100" s="16"/>
      <c r="EBI100" s="16"/>
      <c r="EBJ100" s="16"/>
      <c r="EBK100" s="16"/>
      <c r="EBL100" s="16"/>
      <c r="EBM100" s="16"/>
      <c r="EBN100" s="16"/>
      <c r="EBO100" s="16"/>
      <c r="EBP100" s="16"/>
      <c r="EBQ100" s="16"/>
      <c r="EBR100" s="16"/>
      <c r="EBS100" s="16"/>
      <c r="EBT100" s="16"/>
      <c r="EBU100" s="16"/>
      <c r="EBV100" s="16"/>
      <c r="EBW100" s="16"/>
      <c r="EBX100" s="16"/>
      <c r="EBY100" s="16"/>
      <c r="EBZ100" s="16"/>
      <c r="ECA100" s="16"/>
      <c r="ECB100" s="16"/>
      <c r="ECC100" s="16"/>
      <c r="ECD100" s="16"/>
      <c r="ECE100" s="16"/>
      <c r="ECF100" s="16"/>
      <c r="ECG100" s="16"/>
      <c r="ECH100" s="16"/>
      <c r="ECI100" s="16"/>
      <c r="ECJ100" s="16"/>
      <c r="ECK100" s="16"/>
      <c r="ECL100" s="16"/>
      <c r="ECM100" s="16"/>
      <c r="ECN100" s="16"/>
      <c r="ECO100" s="16"/>
      <c r="ECP100" s="16"/>
      <c r="ECQ100" s="16"/>
      <c r="ECR100" s="16"/>
      <c r="ECS100" s="16"/>
      <c r="ECT100" s="16"/>
      <c r="ECU100" s="16"/>
      <c r="ECV100" s="16"/>
      <c r="ECW100" s="16"/>
      <c r="ECX100" s="16"/>
      <c r="ECY100" s="16"/>
      <c r="ECZ100" s="16"/>
      <c r="EDA100" s="16"/>
      <c r="EDB100" s="16"/>
      <c r="EDC100" s="16"/>
      <c r="EDD100" s="16"/>
      <c r="EDE100" s="16"/>
      <c r="EDF100" s="16"/>
      <c r="EDG100" s="16"/>
      <c r="EDH100" s="16"/>
      <c r="EDI100" s="16"/>
      <c r="EDJ100" s="16"/>
      <c r="EDK100" s="16"/>
      <c r="EDL100" s="16"/>
      <c r="EDM100" s="16"/>
      <c r="EDN100" s="16"/>
      <c r="EDO100" s="16"/>
      <c r="EDP100" s="16"/>
      <c r="EDQ100" s="16"/>
      <c r="EDR100" s="16"/>
      <c r="EDS100" s="16"/>
      <c r="EDT100" s="16"/>
      <c r="EDU100" s="16"/>
      <c r="EDV100" s="16"/>
      <c r="EDW100" s="16"/>
      <c r="EDX100" s="16"/>
      <c r="EDY100" s="16"/>
      <c r="EDZ100" s="16"/>
      <c r="EEA100" s="16"/>
      <c r="EEB100" s="16"/>
      <c r="EEC100" s="16"/>
      <c r="EED100" s="16"/>
      <c r="EEE100" s="16"/>
      <c r="EEF100" s="16"/>
      <c r="EEG100" s="16"/>
      <c r="EEH100" s="16"/>
      <c r="EEI100" s="16"/>
      <c r="EEJ100" s="16"/>
      <c r="EEK100" s="16"/>
      <c r="EEL100" s="16"/>
      <c r="EEM100" s="16"/>
      <c r="EEN100" s="16"/>
      <c r="EEO100" s="16"/>
      <c r="EEP100" s="16"/>
      <c r="EEQ100" s="16"/>
      <c r="EER100" s="16"/>
      <c r="EES100" s="16"/>
      <c r="EET100" s="16"/>
      <c r="EEU100" s="16"/>
      <c r="EEV100" s="16"/>
      <c r="EEW100" s="16"/>
      <c r="EEX100" s="16"/>
      <c r="EEY100" s="16"/>
      <c r="EEZ100" s="16"/>
      <c r="EFA100" s="16"/>
      <c r="EFB100" s="16"/>
      <c r="EFC100" s="16"/>
      <c r="EFD100" s="16"/>
      <c r="EFE100" s="16"/>
      <c r="EFF100" s="16"/>
      <c r="EFG100" s="16"/>
      <c r="EFH100" s="16"/>
      <c r="EFI100" s="16"/>
      <c r="EFJ100" s="16"/>
      <c r="EFK100" s="16"/>
      <c r="EFL100" s="16"/>
      <c r="EFM100" s="16"/>
      <c r="EFN100" s="16"/>
      <c r="EFO100" s="16"/>
      <c r="EFP100" s="16"/>
      <c r="EFQ100" s="16"/>
      <c r="EFR100" s="16"/>
      <c r="EFS100" s="16"/>
      <c r="EFT100" s="16"/>
      <c r="EFU100" s="16"/>
      <c r="EFV100" s="16"/>
      <c r="EFW100" s="16"/>
      <c r="EFX100" s="16"/>
      <c r="EFY100" s="16"/>
      <c r="EFZ100" s="16"/>
      <c r="EGA100" s="16"/>
      <c r="EGB100" s="16"/>
      <c r="EGC100" s="16"/>
      <c r="EGD100" s="16"/>
      <c r="EGE100" s="16"/>
      <c r="EGF100" s="16"/>
      <c r="EGG100" s="16"/>
      <c r="EGH100" s="16"/>
      <c r="EGI100" s="16"/>
      <c r="EGJ100" s="16"/>
      <c r="EGK100" s="16"/>
      <c r="EGL100" s="16"/>
      <c r="EGM100" s="16"/>
      <c r="EGN100" s="16"/>
      <c r="EGO100" s="16"/>
      <c r="EGP100" s="16"/>
      <c r="EGQ100" s="16"/>
      <c r="EGR100" s="16"/>
      <c r="EGS100" s="16"/>
      <c r="EGT100" s="16"/>
      <c r="EGU100" s="16"/>
      <c r="EGV100" s="16"/>
      <c r="EGW100" s="16"/>
      <c r="EGX100" s="16"/>
      <c r="EGY100" s="16"/>
      <c r="EGZ100" s="16"/>
      <c r="EHA100" s="16"/>
      <c r="EHB100" s="16"/>
      <c r="EHC100" s="16"/>
      <c r="EHD100" s="16"/>
      <c r="EHE100" s="16"/>
      <c r="EHF100" s="16"/>
      <c r="EHG100" s="16"/>
      <c r="EHH100" s="16"/>
      <c r="EHI100" s="16"/>
      <c r="EHJ100" s="16"/>
      <c r="EHK100" s="16"/>
      <c r="EHL100" s="16"/>
      <c r="EHM100" s="16"/>
      <c r="EHN100" s="16"/>
      <c r="EHO100" s="16"/>
      <c r="EHP100" s="16"/>
      <c r="EHQ100" s="16"/>
      <c r="EHR100" s="16"/>
      <c r="EHS100" s="16"/>
      <c r="EHT100" s="16"/>
      <c r="EHU100" s="16"/>
      <c r="EHV100" s="16"/>
      <c r="EHW100" s="16"/>
      <c r="EHX100" s="16"/>
      <c r="EHY100" s="16"/>
      <c r="EHZ100" s="16"/>
      <c r="EIA100" s="16"/>
      <c r="EIB100" s="16"/>
      <c r="EIC100" s="16"/>
      <c r="EID100" s="16"/>
      <c r="EIE100" s="16"/>
      <c r="EIF100" s="16"/>
      <c r="EIG100" s="16"/>
      <c r="EIH100" s="16"/>
      <c r="EII100" s="16"/>
      <c r="EIJ100" s="16"/>
      <c r="EIK100" s="16"/>
      <c r="EIL100" s="16"/>
      <c r="EIM100" s="16"/>
      <c r="EIN100" s="16"/>
      <c r="EIO100" s="16"/>
      <c r="EIP100" s="16"/>
      <c r="EIQ100" s="16"/>
      <c r="EIR100" s="16"/>
      <c r="EIS100" s="16"/>
      <c r="EIT100" s="16"/>
      <c r="EIU100" s="16"/>
      <c r="EIV100" s="16"/>
      <c r="EIW100" s="16"/>
      <c r="EIX100" s="16"/>
      <c r="EIY100" s="16"/>
      <c r="EIZ100" s="16"/>
      <c r="EJA100" s="16"/>
      <c r="EJB100" s="16"/>
      <c r="EJC100" s="16"/>
      <c r="EJD100" s="16"/>
      <c r="EJE100" s="16"/>
      <c r="EJF100" s="16"/>
      <c r="EJG100" s="16"/>
      <c r="EJH100" s="16"/>
      <c r="EJI100" s="16"/>
      <c r="EJJ100" s="16"/>
      <c r="EJK100" s="16"/>
      <c r="EJL100" s="16"/>
      <c r="EJM100" s="16"/>
      <c r="EJN100" s="16"/>
      <c r="EJO100" s="16"/>
      <c r="EJP100" s="16"/>
      <c r="EJQ100" s="16"/>
      <c r="EJR100" s="16"/>
      <c r="EJS100" s="16"/>
      <c r="EJT100" s="16"/>
      <c r="EJU100" s="16"/>
      <c r="EJV100" s="16"/>
      <c r="EJW100" s="16"/>
      <c r="EJX100" s="16"/>
      <c r="EJY100" s="16"/>
      <c r="EJZ100" s="16"/>
      <c r="EKA100" s="16"/>
      <c r="EKB100" s="16"/>
      <c r="EKC100" s="16"/>
      <c r="EKD100" s="16"/>
      <c r="EKE100" s="16"/>
      <c r="EKF100" s="16"/>
      <c r="EKG100" s="16"/>
      <c r="EKH100" s="16"/>
      <c r="EKI100" s="16"/>
      <c r="EKJ100" s="16"/>
      <c r="EKK100" s="16"/>
      <c r="EKL100" s="16"/>
      <c r="EKM100" s="16"/>
      <c r="EKN100" s="16"/>
      <c r="EKO100" s="16"/>
      <c r="EKP100" s="16"/>
      <c r="EKQ100" s="16"/>
      <c r="EKR100" s="16"/>
      <c r="EKS100" s="16"/>
      <c r="EKT100" s="16"/>
      <c r="EKU100" s="16"/>
      <c r="EKV100" s="16"/>
      <c r="EKW100" s="16"/>
      <c r="EKX100" s="16"/>
      <c r="EKY100" s="16"/>
      <c r="EKZ100" s="16"/>
      <c r="ELA100" s="16"/>
      <c r="ELB100" s="16"/>
      <c r="ELC100" s="16"/>
      <c r="ELD100" s="16"/>
      <c r="ELE100" s="16"/>
      <c r="ELF100" s="16"/>
      <c r="ELG100" s="16"/>
      <c r="ELH100" s="16"/>
      <c r="ELI100" s="16"/>
      <c r="ELJ100" s="16"/>
      <c r="ELK100" s="16"/>
      <c r="ELL100" s="16"/>
      <c r="ELM100" s="16"/>
      <c r="ELN100" s="16"/>
      <c r="ELO100" s="16"/>
      <c r="ELP100" s="16"/>
      <c r="ELQ100" s="16"/>
      <c r="ELR100" s="16"/>
      <c r="ELS100" s="16"/>
      <c r="ELT100" s="16"/>
      <c r="ELU100" s="16"/>
      <c r="ELV100" s="16"/>
      <c r="ELW100" s="16"/>
      <c r="ELX100" s="16"/>
      <c r="ELY100" s="16"/>
      <c r="ELZ100" s="16"/>
      <c r="EMA100" s="16"/>
      <c r="EMB100" s="16"/>
      <c r="EMC100" s="16"/>
      <c r="EMD100" s="16"/>
      <c r="EME100" s="16"/>
      <c r="EMF100" s="16"/>
      <c r="EMG100" s="16"/>
      <c r="EMH100" s="16"/>
      <c r="EMI100" s="16"/>
      <c r="EMJ100" s="16"/>
      <c r="EMK100" s="16"/>
      <c r="EML100" s="16"/>
      <c r="EMM100" s="16"/>
      <c r="EMN100" s="16"/>
      <c r="EMO100" s="16"/>
      <c r="EMP100" s="16"/>
      <c r="EMQ100" s="16"/>
      <c r="EMR100" s="16"/>
      <c r="EMS100" s="16"/>
      <c r="EMT100" s="16"/>
      <c r="EMU100" s="16"/>
      <c r="EMV100" s="16"/>
      <c r="EMW100" s="16"/>
      <c r="EMX100" s="16"/>
      <c r="EMY100" s="16"/>
      <c r="EMZ100" s="16"/>
      <c r="ENA100" s="16"/>
      <c r="ENB100" s="16"/>
      <c r="ENC100" s="16"/>
      <c r="END100" s="16"/>
      <c r="ENE100" s="16"/>
      <c r="ENF100" s="16"/>
      <c r="ENG100" s="16"/>
      <c r="ENH100" s="16"/>
      <c r="ENI100" s="16"/>
      <c r="ENJ100" s="16"/>
      <c r="ENK100" s="16"/>
      <c r="ENL100" s="16"/>
      <c r="ENM100" s="16"/>
      <c r="ENN100" s="16"/>
      <c r="ENO100" s="16"/>
      <c r="ENP100" s="16"/>
      <c r="ENQ100" s="16"/>
      <c r="ENR100" s="16"/>
      <c r="ENS100" s="16"/>
      <c r="ENT100" s="16"/>
      <c r="ENU100" s="16"/>
      <c r="ENV100" s="16"/>
      <c r="ENW100" s="16"/>
      <c r="ENX100" s="16"/>
      <c r="ENY100" s="16"/>
      <c r="ENZ100" s="16"/>
      <c r="EOA100" s="16"/>
      <c r="EOB100" s="16"/>
      <c r="EOC100" s="16"/>
      <c r="EOD100" s="16"/>
      <c r="EOE100" s="16"/>
      <c r="EOF100" s="16"/>
      <c r="EOG100" s="16"/>
      <c r="EOH100" s="16"/>
      <c r="EOI100" s="16"/>
      <c r="EOJ100" s="16"/>
      <c r="EOK100" s="16"/>
      <c r="EOL100" s="16"/>
      <c r="EOM100" s="16"/>
      <c r="EON100" s="16"/>
      <c r="EOO100" s="16"/>
      <c r="EOP100" s="16"/>
      <c r="EOQ100" s="16"/>
      <c r="EOR100" s="16"/>
      <c r="EOS100" s="16"/>
      <c r="EOT100" s="16"/>
      <c r="EOU100" s="16"/>
      <c r="EOV100" s="16"/>
      <c r="EOW100" s="16"/>
      <c r="EOX100" s="16"/>
      <c r="EOY100" s="16"/>
      <c r="EOZ100" s="16"/>
      <c r="EPA100" s="16"/>
      <c r="EPB100" s="16"/>
      <c r="EPC100" s="16"/>
      <c r="EPD100" s="16"/>
      <c r="EPE100" s="16"/>
      <c r="EPF100" s="16"/>
      <c r="EPG100" s="16"/>
      <c r="EPH100" s="16"/>
      <c r="EPI100" s="16"/>
      <c r="EPJ100" s="16"/>
      <c r="EPK100" s="16"/>
      <c r="EPL100" s="16"/>
      <c r="EPM100" s="16"/>
      <c r="EPN100" s="16"/>
      <c r="EPO100" s="16"/>
      <c r="EPP100" s="16"/>
      <c r="EPQ100" s="16"/>
      <c r="EPR100" s="16"/>
      <c r="EPS100" s="16"/>
      <c r="EPT100" s="16"/>
      <c r="EPU100" s="16"/>
      <c r="EPV100" s="16"/>
      <c r="EPW100" s="16"/>
      <c r="EPX100" s="16"/>
      <c r="EPY100" s="16"/>
      <c r="EPZ100" s="16"/>
      <c r="EQA100" s="16"/>
      <c r="EQB100" s="16"/>
      <c r="EQC100" s="16"/>
      <c r="EQD100" s="16"/>
      <c r="EQE100" s="16"/>
      <c r="EQF100" s="16"/>
      <c r="EQG100" s="16"/>
      <c r="EQH100" s="16"/>
      <c r="EQI100" s="16"/>
      <c r="EQJ100" s="16"/>
      <c r="EQK100" s="16"/>
      <c r="EQL100" s="16"/>
      <c r="EQM100" s="16"/>
      <c r="EQN100" s="16"/>
      <c r="EQO100" s="16"/>
      <c r="EQP100" s="16"/>
      <c r="EQQ100" s="16"/>
      <c r="EQR100" s="16"/>
      <c r="EQS100" s="16"/>
      <c r="EQT100" s="16"/>
      <c r="EQU100" s="16"/>
      <c r="EQV100" s="16"/>
      <c r="EQW100" s="16"/>
      <c r="EQX100" s="16"/>
      <c r="EQY100" s="16"/>
      <c r="EQZ100" s="16"/>
      <c r="ERA100" s="16"/>
      <c r="ERB100" s="16"/>
      <c r="ERC100" s="16"/>
      <c r="ERD100" s="16"/>
      <c r="ERE100" s="16"/>
      <c r="ERF100" s="16"/>
      <c r="ERG100" s="16"/>
      <c r="ERH100" s="16"/>
      <c r="ERI100" s="16"/>
      <c r="ERJ100" s="16"/>
      <c r="ERK100" s="16"/>
      <c r="ERL100" s="16"/>
      <c r="ERM100" s="16"/>
      <c r="ERN100" s="16"/>
      <c r="ERO100" s="16"/>
      <c r="ERP100" s="16"/>
      <c r="ERQ100" s="16"/>
      <c r="ERR100" s="16"/>
      <c r="ERS100" s="16"/>
      <c r="ERT100" s="16"/>
      <c r="ERU100" s="16"/>
      <c r="ERV100" s="16"/>
      <c r="ERW100" s="16"/>
      <c r="ERX100" s="16"/>
      <c r="ERY100" s="16"/>
      <c r="ERZ100" s="16"/>
      <c r="ESA100" s="16"/>
      <c r="ESB100" s="16"/>
      <c r="ESC100" s="16"/>
      <c r="ESD100" s="16"/>
      <c r="ESE100" s="16"/>
      <c r="ESF100" s="16"/>
      <c r="ESG100" s="16"/>
      <c r="ESH100" s="16"/>
      <c r="ESI100" s="16"/>
      <c r="ESJ100" s="16"/>
      <c r="ESK100" s="16"/>
      <c r="ESL100" s="16"/>
      <c r="ESM100" s="16"/>
      <c r="ESN100" s="16"/>
      <c r="ESO100" s="16"/>
      <c r="ESP100" s="16"/>
      <c r="ESQ100" s="16"/>
      <c r="ESR100" s="16"/>
      <c r="ESS100" s="16"/>
      <c r="EST100" s="16"/>
      <c r="ESU100" s="16"/>
      <c r="ESV100" s="16"/>
      <c r="ESW100" s="16"/>
      <c r="ESX100" s="16"/>
      <c r="ESY100" s="16"/>
      <c r="ESZ100" s="16"/>
      <c r="ETA100" s="16"/>
      <c r="ETB100" s="16"/>
      <c r="ETC100" s="16"/>
      <c r="ETD100" s="16"/>
      <c r="ETE100" s="16"/>
      <c r="ETF100" s="16"/>
      <c r="ETG100" s="16"/>
      <c r="ETH100" s="16"/>
      <c r="ETI100" s="16"/>
      <c r="ETJ100" s="16"/>
      <c r="ETK100" s="16"/>
      <c r="ETL100" s="16"/>
      <c r="ETM100" s="16"/>
      <c r="ETN100" s="16"/>
      <c r="ETO100" s="16"/>
      <c r="ETP100" s="16"/>
      <c r="ETQ100" s="16"/>
      <c r="ETR100" s="16"/>
      <c r="ETS100" s="16"/>
      <c r="ETT100" s="16"/>
      <c r="ETU100" s="16"/>
      <c r="ETV100" s="16"/>
      <c r="ETW100" s="16"/>
      <c r="ETX100" s="16"/>
      <c r="ETY100" s="16"/>
      <c r="ETZ100" s="16"/>
      <c r="EUA100" s="16"/>
      <c r="EUB100" s="16"/>
      <c r="EUC100" s="16"/>
      <c r="EUD100" s="16"/>
      <c r="EUE100" s="16"/>
      <c r="EUF100" s="16"/>
      <c r="EUG100" s="16"/>
      <c r="EUH100" s="16"/>
      <c r="EUI100" s="16"/>
      <c r="EUJ100" s="16"/>
      <c r="EUK100" s="16"/>
      <c r="EUL100" s="16"/>
      <c r="EUM100" s="16"/>
      <c r="EUN100" s="16"/>
      <c r="EUO100" s="16"/>
      <c r="EUP100" s="16"/>
      <c r="EUQ100" s="16"/>
      <c r="EUR100" s="16"/>
      <c r="EUS100" s="16"/>
      <c r="EUT100" s="16"/>
      <c r="EUU100" s="16"/>
      <c r="EUV100" s="16"/>
      <c r="EUW100" s="16"/>
      <c r="EUX100" s="16"/>
      <c r="EUY100" s="16"/>
      <c r="EUZ100" s="16"/>
      <c r="EVA100" s="16"/>
      <c r="EVB100" s="16"/>
      <c r="EVC100" s="16"/>
      <c r="EVD100" s="16"/>
      <c r="EVE100" s="16"/>
      <c r="EVF100" s="16"/>
      <c r="EVG100" s="16"/>
      <c r="EVH100" s="16"/>
      <c r="EVI100" s="16"/>
      <c r="EVJ100" s="16"/>
      <c r="EVK100" s="16"/>
      <c r="EVL100" s="16"/>
      <c r="EVM100" s="16"/>
      <c r="EVN100" s="16"/>
      <c r="EVO100" s="16"/>
      <c r="EVP100" s="16"/>
      <c r="EVQ100" s="16"/>
      <c r="EVR100" s="16"/>
      <c r="EVS100" s="16"/>
      <c r="EVT100" s="16"/>
      <c r="EVU100" s="16"/>
      <c r="EVV100" s="16"/>
      <c r="EVW100" s="16"/>
      <c r="EVX100" s="16"/>
      <c r="EVY100" s="16"/>
      <c r="EVZ100" s="16"/>
      <c r="EWA100" s="16"/>
      <c r="EWB100" s="16"/>
      <c r="EWC100" s="16"/>
      <c r="EWD100" s="16"/>
      <c r="EWE100" s="16"/>
      <c r="EWF100" s="16"/>
      <c r="EWG100" s="16"/>
      <c r="EWH100" s="16"/>
      <c r="EWI100" s="16"/>
      <c r="EWJ100" s="16"/>
      <c r="EWK100" s="16"/>
      <c r="EWL100" s="16"/>
      <c r="EWM100" s="16"/>
      <c r="EWN100" s="16"/>
      <c r="EWO100" s="16"/>
      <c r="EWP100" s="16"/>
      <c r="EWQ100" s="16"/>
      <c r="EWR100" s="16"/>
      <c r="EWS100" s="16"/>
      <c r="EWT100" s="16"/>
      <c r="EWU100" s="16"/>
      <c r="EWV100" s="16"/>
      <c r="EWW100" s="16"/>
      <c r="EWX100" s="16"/>
      <c r="EWY100" s="16"/>
      <c r="EWZ100" s="16"/>
      <c r="EXA100" s="16"/>
      <c r="EXB100" s="16"/>
      <c r="EXC100" s="16"/>
      <c r="EXD100" s="16"/>
      <c r="EXE100" s="16"/>
      <c r="EXF100" s="16"/>
      <c r="EXG100" s="16"/>
      <c r="EXH100" s="16"/>
      <c r="EXI100" s="16"/>
      <c r="EXJ100" s="16"/>
      <c r="EXK100" s="16"/>
      <c r="EXL100" s="16"/>
      <c r="EXM100" s="16"/>
      <c r="EXN100" s="16"/>
      <c r="EXO100" s="16"/>
      <c r="EXP100" s="16"/>
      <c r="EXQ100" s="16"/>
      <c r="EXR100" s="16"/>
      <c r="EXS100" s="16"/>
      <c r="EXT100" s="16"/>
      <c r="EXU100" s="16"/>
      <c r="EXV100" s="16"/>
      <c r="EXW100" s="16"/>
      <c r="EXX100" s="16"/>
      <c r="EXY100" s="16"/>
      <c r="EXZ100" s="16"/>
      <c r="EYA100" s="16"/>
      <c r="EYB100" s="16"/>
      <c r="EYC100" s="16"/>
      <c r="EYD100" s="16"/>
      <c r="EYE100" s="16"/>
      <c r="EYF100" s="16"/>
      <c r="EYG100" s="16"/>
      <c r="EYH100" s="16"/>
      <c r="EYI100" s="16"/>
      <c r="EYJ100" s="16"/>
      <c r="EYK100" s="16"/>
      <c r="EYL100" s="16"/>
      <c r="EYM100" s="16"/>
      <c r="EYN100" s="16"/>
      <c r="EYO100" s="16"/>
      <c r="EYP100" s="16"/>
      <c r="EYQ100" s="16"/>
      <c r="EYR100" s="16"/>
      <c r="EYS100" s="16"/>
      <c r="EYT100" s="16"/>
      <c r="EYU100" s="16"/>
      <c r="EYV100" s="16"/>
      <c r="EYW100" s="16"/>
      <c r="EYX100" s="16"/>
      <c r="EYY100" s="16"/>
      <c r="EYZ100" s="16"/>
      <c r="EZA100" s="16"/>
      <c r="EZB100" s="16"/>
      <c r="EZC100" s="16"/>
      <c r="EZD100" s="16"/>
      <c r="EZE100" s="16"/>
      <c r="EZF100" s="16"/>
      <c r="EZG100" s="16"/>
      <c r="EZH100" s="16"/>
      <c r="EZI100" s="16"/>
      <c r="EZJ100" s="16"/>
      <c r="EZK100" s="16"/>
      <c r="EZL100" s="16"/>
      <c r="EZM100" s="16"/>
      <c r="EZN100" s="16"/>
      <c r="EZO100" s="16"/>
      <c r="EZP100" s="16"/>
      <c r="EZQ100" s="16"/>
      <c r="EZR100" s="16"/>
      <c r="EZS100" s="16"/>
      <c r="EZT100" s="16"/>
      <c r="EZU100" s="16"/>
      <c r="EZV100" s="16"/>
      <c r="EZW100" s="16"/>
      <c r="EZX100" s="16"/>
      <c r="EZY100" s="16"/>
      <c r="EZZ100" s="16"/>
      <c r="FAA100" s="16"/>
      <c r="FAB100" s="16"/>
      <c r="FAC100" s="16"/>
      <c r="FAD100" s="16"/>
      <c r="FAE100" s="16"/>
      <c r="FAF100" s="16"/>
      <c r="FAG100" s="16"/>
      <c r="FAH100" s="16"/>
      <c r="FAI100" s="16"/>
      <c r="FAJ100" s="16"/>
      <c r="FAK100" s="16"/>
      <c r="FAL100" s="16"/>
      <c r="FAM100" s="16"/>
      <c r="FAN100" s="16"/>
      <c r="FAO100" s="16"/>
      <c r="FAP100" s="16"/>
      <c r="FAQ100" s="16"/>
      <c r="FAR100" s="16"/>
      <c r="FAS100" s="16"/>
      <c r="FAT100" s="16"/>
      <c r="FAU100" s="16"/>
      <c r="FAV100" s="16"/>
      <c r="FAW100" s="16"/>
      <c r="FAX100" s="16"/>
      <c r="FAY100" s="16"/>
      <c r="FAZ100" s="16"/>
      <c r="FBA100" s="16"/>
      <c r="FBB100" s="16"/>
      <c r="FBC100" s="16"/>
      <c r="FBD100" s="16"/>
      <c r="FBE100" s="16"/>
      <c r="FBF100" s="16"/>
      <c r="FBG100" s="16"/>
      <c r="FBH100" s="16"/>
      <c r="FBI100" s="16"/>
      <c r="FBJ100" s="16"/>
      <c r="FBK100" s="16"/>
      <c r="FBL100" s="16"/>
      <c r="FBM100" s="16"/>
      <c r="FBN100" s="16"/>
      <c r="FBO100" s="16"/>
      <c r="FBP100" s="16"/>
      <c r="FBQ100" s="16"/>
      <c r="FBR100" s="16"/>
      <c r="FBS100" s="16"/>
      <c r="FBT100" s="16"/>
      <c r="FBU100" s="16"/>
      <c r="FBV100" s="16"/>
      <c r="FBW100" s="16"/>
      <c r="FBX100" s="16"/>
      <c r="FBY100" s="16"/>
      <c r="FBZ100" s="16"/>
      <c r="FCA100" s="16"/>
      <c r="FCB100" s="16"/>
      <c r="FCC100" s="16"/>
      <c r="FCD100" s="16"/>
      <c r="FCE100" s="16"/>
      <c r="FCF100" s="16"/>
      <c r="FCG100" s="16"/>
      <c r="FCH100" s="16"/>
      <c r="FCI100" s="16"/>
      <c r="FCJ100" s="16"/>
      <c r="FCK100" s="16"/>
      <c r="FCL100" s="16"/>
      <c r="FCM100" s="16"/>
      <c r="FCN100" s="16"/>
      <c r="FCO100" s="16"/>
      <c r="FCP100" s="16"/>
      <c r="FCQ100" s="16"/>
      <c r="FCR100" s="16"/>
      <c r="FCS100" s="16"/>
      <c r="FCT100" s="16"/>
      <c r="FCU100" s="16"/>
      <c r="FCV100" s="16"/>
      <c r="FCW100" s="16"/>
      <c r="FCX100" s="16"/>
      <c r="FCY100" s="16"/>
      <c r="FCZ100" s="16"/>
      <c r="FDA100" s="16"/>
      <c r="FDB100" s="16"/>
      <c r="FDC100" s="16"/>
      <c r="FDD100" s="16"/>
      <c r="FDE100" s="16"/>
      <c r="FDF100" s="16"/>
      <c r="FDG100" s="16"/>
      <c r="FDH100" s="16"/>
      <c r="FDI100" s="16"/>
      <c r="FDJ100" s="16"/>
      <c r="FDK100" s="16"/>
      <c r="FDL100" s="16"/>
      <c r="FDM100" s="16"/>
      <c r="FDN100" s="16"/>
      <c r="FDO100" s="16"/>
      <c r="FDP100" s="16"/>
      <c r="FDQ100" s="16"/>
      <c r="FDR100" s="16"/>
      <c r="FDS100" s="16"/>
      <c r="FDT100" s="16"/>
      <c r="FDU100" s="16"/>
      <c r="FDV100" s="16"/>
      <c r="FDW100" s="16"/>
      <c r="FDX100" s="16"/>
      <c r="FDY100" s="16"/>
      <c r="FDZ100" s="16"/>
      <c r="FEA100" s="16"/>
      <c r="FEB100" s="16"/>
      <c r="FEC100" s="16"/>
      <c r="FED100" s="16"/>
      <c r="FEE100" s="16"/>
      <c r="FEF100" s="16"/>
      <c r="FEG100" s="16"/>
      <c r="FEH100" s="16"/>
      <c r="FEI100" s="16"/>
      <c r="FEJ100" s="16"/>
      <c r="FEK100" s="16"/>
      <c r="FEL100" s="16"/>
      <c r="FEM100" s="16"/>
      <c r="FEN100" s="16"/>
      <c r="FEO100" s="16"/>
      <c r="FEP100" s="16"/>
      <c r="FEQ100" s="16"/>
      <c r="FER100" s="16"/>
      <c r="FES100" s="16"/>
      <c r="FET100" s="16"/>
      <c r="FEU100" s="16"/>
      <c r="FEV100" s="16"/>
      <c r="FEW100" s="16"/>
      <c r="FEX100" s="16"/>
      <c r="FEY100" s="16"/>
      <c r="FEZ100" s="16"/>
      <c r="FFA100" s="16"/>
      <c r="FFB100" s="16"/>
      <c r="FFC100" s="16"/>
      <c r="FFD100" s="16"/>
      <c r="FFE100" s="16"/>
      <c r="FFF100" s="16"/>
      <c r="FFG100" s="16"/>
      <c r="FFH100" s="16"/>
      <c r="FFI100" s="16"/>
      <c r="FFJ100" s="16"/>
      <c r="FFK100" s="16"/>
      <c r="FFL100" s="16"/>
      <c r="FFM100" s="16"/>
      <c r="FFN100" s="16"/>
      <c r="FFO100" s="16"/>
      <c r="FFP100" s="16"/>
      <c r="FFQ100" s="16"/>
      <c r="FFR100" s="16"/>
      <c r="FFS100" s="16"/>
      <c r="FFT100" s="16"/>
      <c r="FFU100" s="16"/>
      <c r="FFV100" s="16"/>
      <c r="FFW100" s="16"/>
      <c r="FFX100" s="16"/>
      <c r="FFY100" s="16"/>
      <c r="FFZ100" s="16"/>
      <c r="FGA100" s="16"/>
      <c r="FGB100" s="16"/>
      <c r="FGC100" s="16"/>
      <c r="FGD100" s="16"/>
      <c r="FGE100" s="16"/>
      <c r="FGF100" s="16"/>
      <c r="FGG100" s="16"/>
      <c r="FGH100" s="16"/>
      <c r="FGI100" s="16"/>
      <c r="FGJ100" s="16"/>
      <c r="FGK100" s="16"/>
      <c r="FGL100" s="16"/>
      <c r="FGM100" s="16"/>
      <c r="FGN100" s="16"/>
      <c r="FGO100" s="16"/>
      <c r="FGP100" s="16"/>
      <c r="FGQ100" s="16"/>
      <c r="FGR100" s="16"/>
      <c r="FGS100" s="16"/>
      <c r="FGT100" s="16"/>
      <c r="FGU100" s="16"/>
      <c r="FGV100" s="16"/>
      <c r="FGW100" s="16"/>
      <c r="FGX100" s="16"/>
      <c r="FGY100" s="16"/>
      <c r="FGZ100" s="16"/>
      <c r="FHA100" s="16"/>
      <c r="FHB100" s="16"/>
      <c r="FHC100" s="16"/>
      <c r="FHD100" s="16"/>
      <c r="FHE100" s="16"/>
      <c r="FHF100" s="16"/>
      <c r="FHG100" s="16"/>
      <c r="FHH100" s="16"/>
      <c r="FHI100" s="16"/>
      <c r="FHJ100" s="16"/>
      <c r="FHK100" s="16"/>
      <c r="FHL100" s="16"/>
      <c r="FHM100" s="16"/>
      <c r="FHN100" s="16"/>
      <c r="FHO100" s="16"/>
      <c r="FHP100" s="16"/>
      <c r="FHQ100" s="16"/>
      <c r="FHR100" s="16"/>
      <c r="FHS100" s="16"/>
      <c r="FHT100" s="16"/>
      <c r="FHU100" s="16"/>
      <c r="FHV100" s="16"/>
      <c r="FHW100" s="16"/>
      <c r="FHX100" s="16"/>
      <c r="FHY100" s="16"/>
      <c r="FHZ100" s="16"/>
      <c r="FIA100" s="16"/>
      <c r="FIB100" s="16"/>
      <c r="FIC100" s="16"/>
      <c r="FID100" s="16"/>
      <c r="FIE100" s="16"/>
      <c r="FIF100" s="16"/>
      <c r="FIG100" s="16"/>
      <c r="FIH100" s="16"/>
      <c r="FII100" s="16"/>
      <c r="FIJ100" s="16"/>
      <c r="FIK100" s="16"/>
      <c r="FIL100" s="16"/>
      <c r="FIM100" s="16"/>
      <c r="FIN100" s="16"/>
      <c r="FIO100" s="16"/>
      <c r="FIP100" s="16"/>
      <c r="FIQ100" s="16"/>
      <c r="FIR100" s="16"/>
      <c r="FIS100" s="16"/>
      <c r="FIT100" s="16"/>
      <c r="FIU100" s="16"/>
      <c r="FIV100" s="16"/>
      <c r="FIW100" s="16"/>
      <c r="FIX100" s="16"/>
      <c r="FIY100" s="16"/>
      <c r="FIZ100" s="16"/>
      <c r="FJA100" s="16"/>
      <c r="FJB100" s="16"/>
      <c r="FJC100" s="16"/>
      <c r="FJD100" s="16"/>
      <c r="FJE100" s="16"/>
      <c r="FJF100" s="16"/>
      <c r="FJG100" s="16"/>
      <c r="FJH100" s="16"/>
      <c r="FJI100" s="16"/>
      <c r="FJJ100" s="16"/>
      <c r="FJK100" s="16"/>
      <c r="FJL100" s="16"/>
      <c r="FJM100" s="16"/>
      <c r="FJN100" s="16"/>
      <c r="FJO100" s="16"/>
      <c r="FJP100" s="16"/>
      <c r="FJQ100" s="16"/>
      <c r="FJR100" s="16"/>
      <c r="FJS100" s="16"/>
      <c r="FJT100" s="16"/>
      <c r="FJU100" s="16"/>
      <c r="FJV100" s="16"/>
      <c r="FJW100" s="16"/>
      <c r="FJX100" s="16"/>
      <c r="FJY100" s="16"/>
      <c r="FJZ100" s="16"/>
      <c r="FKA100" s="16"/>
      <c r="FKB100" s="16"/>
      <c r="FKC100" s="16"/>
      <c r="FKD100" s="16"/>
      <c r="FKE100" s="16"/>
      <c r="FKF100" s="16"/>
      <c r="FKG100" s="16"/>
      <c r="FKH100" s="16"/>
      <c r="FKI100" s="16"/>
      <c r="FKJ100" s="16"/>
      <c r="FKK100" s="16"/>
      <c r="FKL100" s="16"/>
      <c r="FKM100" s="16"/>
      <c r="FKN100" s="16"/>
      <c r="FKO100" s="16"/>
      <c r="FKP100" s="16"/>
      <c r="FKQ100" s="16"/>
      <c r="FKR100" s="16"/>
      <c r="FKS100" s="16"/>
      <c r="FKT100" s="16"/>
      <c r="FKU100" s="16"/>
      <c r="FKV100" s="16"/>
      <c r="FKW100" s="16"/>
      <c r="FKX100" s="16"/>
      <c r="FKY100" s="16"/>
      <c r="FKZ100" s="16"/>
      <c r="FLA100" s="16"/>
      <c r="FLB100" s="16"/>
      <c r="FLC100" s="16"/>
      <c r="FLD100" s="16"/>
      <c r="FLE100" s="16"/>
      <c r="FLF100" s="16"/>
      <c r="FLG100" s="16"/>
      <c r="FLH100" s="16"/>
      <c r="FLI100" s="16"/>
      <c r="FLJ100" s="16"/>
      <c r="FLK100" s="16"/>
      <c r="FLL100" s="16"/>
      <c r="FLM100" s="16"/>
      <c r="FLN100" s="16"/>
      <c r="FLO100" s="16"/>
      <c r="FLP100" s="16"/>
      <c r="FLQ100" s="16"/>
      <c r="FLR100" s="16"/>
      <c r="FLS100" s="16"/>
      <c r="FLT100" s="16"/>
      <c r="FLU100" s="16"/>
      <c r="FLV100" s="16"/>
      <c r="FLW100" s="16"/>
      <c r="FLX100" s="16"/>
      <c r="FLY100" s="16"/>
      <c r="FLZ100" s="16"/>
      <c r="FMA100" s="16"/>
      <c r="FMB100" s="16"/>
      <c r="FMC100" s="16"/>
      <c r="FMD100" s="16"/>
      <c r="FME100" s="16"/>
      <c r="FMF100" s="16"/>
      <c r="FMG100" s="16"/>
      <c r="FMH100" s="16"/>
      <c r="FMI100" s="16"/>
      <c r="FMJ100" s="16"/>
      <c r="FMK100" s="16"/>
      <c r="FML100" s="16"/>
      <c r="FMM100" s="16"/>
      <c r="FMN100" s="16"/>
      <c r="FMO100" s="16"/>
      <c r="FMP100" s="16"/>
      <c r="FMQ100" s="16"/>
      <c r="FMR100" s="16"/>
      <c r="FMS100" s="16"/>
      <c r="FMT100" s="16"/>
      <c r="FMU100" s="16"/>
      <c r="FMV100" s="16"/>
      <c r="FMW100" s="16"/>
      <c r="FMX100" s="16"/>
      <c r="FMY100" s="16"/>
      <c r="FMZ100" s="16"/>
      <c r="FNA100" s="16"/>
      <c r="FNB100" s="16"/>
      <c r="FNC100" s="16"/>
      <c r="FND100" s="16"/>
      <c r="FNE100" s="16"/>
      <c r="FNF100" s="16"/>
      <c r="FNG100" s="16"/>
      <c r="FNH100" s="16"/>
      <c r="FNI100" s="16"/>
      <c r="FNJ100" s="16"/>
      <c r="FNK100" s="16"/>
      <c r="FNL100" s="16"/>
      <c r="FNM100" s="16"/>
      <c r="FNN100" s="16"/>
      <c r="FNO100" s="16"/>
      <c r="FNP100" s="16"/>
      <c r="FNQ100" s="16"/>
      <c r="FNR100" s="16"/>
      <c r="FNS100" s="16"/>
      <c r="FNT100" s="16"/>
      <c r="FNU100" s="16"/>
      <c r="FNV100" s="16"/>
      <c r="FNW100" s="16"/>
      <c r="FNX100" s="16"/>
      <c r="FNY100" s="16"/>
      <c r="FNZ100" s="16"/>
      <c r="FOA100" s="16"/>
      <c r="FOB100" s="16"/>
      <c r="FOC100" s="16"/>
      <c r="FOD100" s="16"/>
      <c r="FOE100" s="16"/>
      <c r="FOF100" s="16"/>
      <c r="FOG100" s="16"/>
      <c r="FOH100" s="16"/>
      <c r="FOI100" s="16"/>
      <c r="FOJ100" s="16"/>
      <c r="FOK100" s="16"/>
      <c r="FOL100" s="16"/>
      <c r="FOM100" s="16"/>
      <c r="FON100" s="16"/>
      <c r="FOO100" s="16"/>
      <c r="FOP100" s="16"/>
      <c r="FOQ100" s="16"/>
      <c r="FOR100" s="16"/>
      <c r="FOS100" s="16"/>
      <c r="FOT100" s="16"/>
      <c r="FOU100" s="16"/>
      <c r="FOV100" s="16"/>
      <c r="FOW100" s="16"/>
      <c r="FOX100" s="16"/>
      <c r="FOY100" s="16"/>
      <c r="FOZ100" s="16"/>
      <c r="FPA100" s="16"/>
      <c r="FPB100" s="16"/>
      <c r="FPC100" s="16"/>
      <c r="FPD100" s="16"/>
      <c r="FPE100" s="16"/>
      <c r="FPF100" s="16"/>
      <c r="FPG100" s="16"/>
      <c r="FPH100" s="16"/>
      <c r="FPI100" s="16"/>
      <c r="FPJ100" s="16"/>
      <c r="FPK100" s="16"/>
      <c r="FPL100" s="16"/>
      <c r="FPM100" s="16"/>
      <c r="FPN100" s="16"/>
      <c r="FPO100" s="16"/>
      <c r="FPP100" s="16"/>
      <c r="FPQ100" s="16"/>
      <c r="FPR100" s="16"/>
      <c r="FPS100" s="16"/>
      <c r="FPT100" s="16"/>
      <c r="FPU100" s="16"/>
      <c r="FPV100" s="16"/>
      <c r="FPW100" s="16"/>
      <c r="FPX100" s="16"/>
      <c r="FPY100" s="16"/>
      <c r="FPZ100" s="16"/>
      <c r="FQA100" s="16"/>
      <c r="FQB100" s="16"/>
      <c r="FQC100" s="16"/>
      <c r="FQD100" s="16"/>
      <c r="FQE100" s="16"/>
      <c r="FQF100" s="16"/>
      <c r="FQG100" s="16"/>
      <c r="FQH100" s="16"/>
      <c r="FQI100" s="16"/>
      <c r="FQJ100" s="16"/>
      <c r="FQK100" s="16"/>
      <c r="FQL100" s="16"/>
      <c r="FQM100" s="16"/>
      <c r="FQN100" s="16"/>
      <c r="FQO100" s="16"/>
      <c r="FQP100" s="16"/>
      <c r="FQQ100" s="16"/>
      <c r="FQR100" s="16"/>
      <c r="FQS100" s="16"/>
      <c r="FQT100" s="16"/>
      <c r="FQU100" s="16"/>
      <c r="FQV100" s="16"/>
      <c r="FQW100" s="16"/>
      <c r="FQX100" s="16"/>
      <c r="FQY100" s="16"/>
      <c r="FQZ100" s="16"/>
      <c r="FRA100" s="16"/>
      <c r="FRB100" s="16"/>
      <c r="FRC100" s="16"/>
      <c r="FRD100" s="16"/>
      <c r="FRE100" s="16"/>
      <c r="FRF100" s="16"/>
      <c r="FRG100" s="16"/>
      <c r="FRH100" s="16"/>
      <c r="FRI100" s="16"/>
      <c r="FRJ100" s="16"/>
      <c r="FRK100" s="16"/>
      <c r="FRL100" s="16"/>
      <c r="FRM100" s="16"/>
      <c r="FRN100" s="16"/>
      <c r="FRO100" s="16"/>
      <c r="FRP100" s="16"/>
      <c r="FRQ100" s="16"/>
      <c r="FRR100" s="16"/>
      <c r="FRS100" s="16"/>
      <c r="FRT100" s="16"/>
      <c r="FRU100" s="16"/>
      <c r="FRV100" s="16"/>
      <c r="FRW100" s="16"/>
      <c r="FRX100" s="16"/>
      <c r="FRY100" s="16"/>
      <c r="FRZ100" s="16"/>
      <c r="FSA100" s="16"/>
      <c r="FSB100" s="16"/>
      <c r="FSC100" s="16"/>
      <c r="FSD100" s="16"/>
      <c r="FSE100" s="16"/>
      <c r="FSF100" s="16"/>
      <c r="FSG100" s="16"/>
      <c r="FSH100" s="16"/>
      <c r="FSI100" s="16"/>
      <c r="FSJ100" s="16"/>
      <c r="FSK100" s="16"/>
      <c r="FSL100" s="16"/>
      <c r="FSM100" s="16"/>
      <c r="FSN100" s="16"/>
      <c r="FSO100" s="16"/>
      <c r="FSP100" s="16"/>
      <c r="FSQ100" s="16"/>
      <c r="FSR100" s="16"/>
      <c r="FSS100" s="16"/>
      <c r="FST100" s="16"/>
      <c r="FSU100" s="16"/>
      <c r="FSV100" s="16"/>
      <c r="FSW100" s="16"/>
      <c r="FSX100" s="16"/>
      <c r="FSY100" s="16"/>
      <c r="FSZ100" s="16"/>
      <c r="FTA100" s="16"/>
      <c r="FTB100" s="16"/>
      <c r="FTC100" s="16"/>
      <c r="FTD100" s="16"/>
      <c r="FTE100" s="16"/>
      <c r="FTF100" s="16"/>
      <c r="FTG100" s="16"/>
      <c r="FTH100" s="16"/>
      <c r="FTI100" s="16"/>
      <c r="FTJ100" s="16"/>
      <c r="FTK100" s="16"/>
      <c r="FTL100" s="16"/>
      <c r="FTM100" s="16"/>
      <c r="FTN100" s="16"/>
      <c r="FTO100" s="16"/>
      <c r="FTP100" s="16"/>
      <c r="FTQ100" s="16"/>
      <c r="FTR100" s="16"/>
      <c r="FTS100" s="16"/>
      <c r="FTT100" s="16"/>
      <c r="FTU100" s="16"/>
      <c r="FTV100" s="16"/>
      <c r="FTW100" s="16"/>
      <c r="FTX100" s="16"/>
      <c r="FTY100" s="16"/>
      <c r="FTZ100" s="16"/>
      <c r="FUA100" s="16"/>
      <c r="FUB100" s="16"/>
      <c r="FUC100" s="16"/>
      <c r="FUD100" s="16"/>
      <c r="FUE100" s="16"/>
      <c r="FUF100" s="16"/>
      <c r="FUG100" s="16"/>
      <c r="FUH100" s="16"/>
      <c r="FUI100" s="16"/>
      <c r="FUJ100" s="16"/>
      <c r="FUK100" s="16"/>
      <c r="FUL100" s="16"/>
      <c r="FUM100" s="16"/>
      <c r="FUN100" s="16"/>
      <c r="FUO100" s="16"/>
      <c r="FUP100" s="16"/>
      <c r="FUQ100" s="16"/>
      <c r="FUR100" s="16"/>
      <c r="FUS100" s="16"/>
      <c r="FUT100" s="16"/>
      <c r="FUU100" s="16"/>
      <c r="FUV100" s="16"/>
      <c r="FUW100" s="16"/>
      <c r="FUX100" s="16"/>
      <c r="FUY100" s="16"/>
      <c r="FUZ100" s="16"/>
      <c r="FVA100" s="16"/>
      <c r="FVB100" s="16"/>
      <c r="FVC100" s="16"/>
      <c r="FVD100" s="16"/>
      <c r="FVE100" s="16"/>
      <c r="FVF100" s="16"/>
      <c r="FVG100" s="16"/>
      <c r="FVH100" s="16"/>
      <c r="FVI100" s="16"/>
      <c r="FVJ100" s="16"/>
      <c r="FVK100" s="16"/>
      <c r="FVL100" s="16"/>
      <c r="FVM100" s="16"/>
      <c r="FVN100" s="16"/>
      <c r="FVO100" s="16"/>
      <c r="FVP100" s="16"/>
      <c r="FVQ100" s="16"/>
      <c r="FVR100" s="16"/>
      <c r="FVS100" s="16"/>
      <c r="FVT100" s="16"/>
      <c r="FVU100" s="16"/>
      <c r="FVV100" s="16"/>
      <c r="FVW100" s="16"/>
      <c r="FVX100" s="16"/>
      <c r="FVY100" s="16"/>
      <c r="FVZ100" s="16"/>
      <c r="FWA100" s="16"/>
      <c r="FWB100" s="16"/>
      <c r="FWC100" s="16"/>
      <c r="FWD100" s="16"/>
      <c r="FWE100" s="16"/>
      <c r="FWF100" s="16"/>
      <c r="FWG100" s="16"/>
      <c r="FWH100" s="16"/>
      <c r="FWI100" s="16"/>
      <c r="FWJ100" s="16"/>
      <c r="FWK100" s="16"/>
      <c r="FWL100" s="16"/>
      <c r="FWM100" s="16"/>
      <c r="FWN100" s="16"/>
      <c r="FWO100" s="16"/>
      <c r="FWP100" s="16"/>
      <c r="FWQ100" s="16"/>
      <c r="FWR100" s="16"/>
      <c r="FWS100" s="16"/>
      <c r="FWT100" s="16"/>
      <c r="FWU100" s="16"/>
      <c r="FWV100" s="16"/>
      <c r="FWW100" s="16"/>
      <c r="FWX100" s="16"/>
      <c r="FWY100" s="16"/>
      <c r="FWZ100" s="16"/>
      <c r="FXA100" s="16"/>
      <c r="FXB100" s="16"/>
      <c r="FXC100" s="16"/>
      <c r="FXD100" s="16"/>
      <c r="FXE100" s="16"/>
      <c r="FXF100" s="16"/>
      <c r="FXG100" s="16"/>
      <c r="FXH100" s="16"/>
      <c r="FXI100" s="16"/>
      <c r="FXJ100" s="16"/>
      <c r="FXK100" s="16"/>
      <c r="FXL100" s="16"/>
      <c r="FXM100" s="16"/>
      <c r="FXN100" s="16"/>
      <c r="FXO100" s="16"/>
      <c r="FXP100" s="16"/>
      <c r="FXQ100" s="16"/>
      <c r="FXR100" s="16"/>
      <c r="FXS100" s="16"/>
      <c r="FXT100" s="16"/>
      <c r="FXU100" s="16"/>
      <c r="FXV100" s="16"/>
      <c r="FXW100" s="16"/>
      <c r="FXX100" s="16"/>
      <c r="FXY100" s="16"/>
      <c r="FXZ100" s="16"/>
      <c r="FYA100" s="16"/>
      <c r="FYB100" s="16"/>
      <c r="FYC100" s="16"/>
      <c r="FYD100" s="16"/>
      <c r="FYE100" s="16"/>
      <c r="FYF100" s="16"/>
      <c r="FYG100" s="16"/>
      <c r="FYH100" s="16"/>
      <c r="FYI100" s="16"/>
      <c r="FYJ100" s="16"/>
      <c r="FYK100" s="16"/>
      <c r="FYL100" s="16"/>
      <c r="FYM100" s="16"/>
      <c r="FYN100" s="16"/>
      <c r="FYO100" s="16"/>
      <c r="FYP100" s="16"/>
      <c r="FYQ100" s="16"/>
      <c r="FYR100" s="16"/>
      <c r="FYS100" s="16"/>
      <c r="FYT100" s="16"/>
      <c r="FYU100" s="16"/>
      <c r="FYV100" s="16"/>
      <c r="FYW100" s="16"/>
      <c r="FYX100" s="16"/>
      <c r="FYY100" s="16"/>
      <c r="FYZ100" s="16"/>
      <c r="FZA100" s="16"/>
      <c r="FZB100" s="16"/>
      <c r="FZC100" s="16"/>
      <c r="FZD100" s="16"/>
      <c r="FZE100" s="16"/>
      <c r="FZF100" s="16"/>
      <c r="FZG100" s="16"/>
      <c r="FZH100" s="16"/>
      <c r="FZI100" s="16"/>
      <c r="FZJ100" s="16"/>
      <c r="FZK100" s="16"/>
      <c r="FZL100" s="16"/>
      <c r="FZM100" s="16"/>
      <c r="FZN100" s="16"/>
      <c r="FZO100" s="16"/>
      <c r="FZP100" s="16"/>
      <c r="FZQ100" s="16"/>
      <c r="FZR100" s="16"/>
      <c r="FZS100" s="16"/>
      <c r="FZT100" s="16"/>
      <c r="FZU100" s="16"/>
      <c r="FZV100" s="16"/>
      <c r="FZW100" s="16"/>
      <c r="FZX100" s="16"/>
      <c r="FZY100" s="16"/>
      <c r="FZZ100" s="16"/>
      <c r="GAA100" s="16"/>
      <c r="GAB100" s="16"/>
      <c r="GAC100" s="16"/>
      <c r="GAD100" s="16"/>
      <c r="GAE100" s="16"/>
      <c r="GAF100" s="16"/>
      <c r="GAG100" s="16"/>
      <c r="GAH100" s="16"/>
      <c r="GAI100" s="16"/>
      <c r="GAJ100" s="16"/>
      <c r="GAK100" s="16"/>
      <c r="GAL100" s="16"/>
      <c r="GAM100" s="16"/>
      <c r="GAN100" s="16"/>
      <c r="GAO100" s="16"/>
      <c r="GAP100" s="16"/>
      <c r="GAQ100" s="16"/>
      <c r="GAR100" s="16"/>
      <c r="GAS100" s="16"/>
      <c r="GAT100" s="16"/>
      <c r="GAU100" s="16"/>
      <c r="GAV100" s="16"/>
      <c r="GAW100" s="16"/>
      <c r="GAX100" s="16"/>
      <c r="GAY100" s="16"/>
      <c r="GAZ100" s="16"/>
      <c r="GBA100" s="16"/>
      <c r="GBB100" s="16"/>
      <c r="GBC100" s="16"/>
      <c r="GBD100" s="16"/>
      <c r="GBE100" s="16"/>
      <c r="GBF100" s="16"/>
      <c r="GBG100" s="16"/>
      <c r="GBH100" s="16"/>
      <c r="GBI100" s="16"/>
      <c r="GBJ100" s="16"/>
      <c r="GBK100" s="16"/>
      <c r="GBL100" s="16"/>
      <c r="GBM100" s="16"/>
      <c r="GBN100" s="16"/>
      <c r="GBO100" s="16"/>
      <c r="GBP100" s="16"/>
      <c r="GBQ100" s="16"/>
      <c r="GBR100" s="16"/>
      <c r="GBS100" s="16"/>
      <c r="GBT100" s="16"/>
      <c r="GBU100" s="16"/>
      <c r="GBV100" s="16"/>
      <c r="GBW100" s="16"/>
      <c r="GBX100" s="16"/>
      <c r="GBY100" s="16"/>
      <c r="GBZ100" s="16"/>
      <c r="GCA100" s="16"/>
      <c r="GCB100" s="16"/>
      <c r="GCC100" s="16"/>
      <c r="GCD100" s="16"/>
      <c r="GCE100" s="16"/>
      <c r="GCF100" s="16"/>
      <c r="GCG100" s="16"/>
      <c r="GCH100" s="16"/>
      <c r="GCI100" s="16"/>
      <c r="GCJ100" s="16"/>
      <c r="GCK100" s="16"/>
      <c r="GCL100" s="16"/>
      <c r="GCM100" s="16"/>
      <c r="GCN100" s="16"/>
      <c r="GCO100" s="16"/>
      <c r="GCP100" s="16"/>
      <c r="GCQ100" s="16"/>
      <c r="GCR100" s="16"/>
      <c r="GCS100" s="16"/>
      <c r="GCT100" s="16"/>
      <c r="GCU100" s="16"/>
      <c r="GCV100" s="16"/>
      <c r="GCW100" s="16"/>
      <c r="GCX100" s="16"/>
      <c r="GCY100" s="16"/>
      <c r="GCZ100" s="16"/>
      <c r="GDA100" s="16"/>
      <c r="GDB100" s="16"/>
      <c r="GDC100" s="16"/>
      <c r="GDD100" s="16"/>
      <c r="GDE100" s="16"/>
      <c r="GDF100" s="16"/>
      <c r="GDG100" s="16"/>
      <c r="GDH100" s="16"/>
      <c r="GDI100" s="16"/>
      <c r="GDJ100" s="16"/>
      <c r="GDK100" s="16"/>
      <c r="GDL100" s="16"/>
      <c r="GDM100" s="16"/>
      <c r="GDN100" s="16"/>
      <c r="GDO100" s="16"/>
      <c r="GDP100" s="16"/>
      <c r="GDQ100" s="16"/>
      <c r="GDR100" s="16"/>
      <c r="GDS100" s="16"/>
      <c r="GDT100" s="16"/>
      <c r="GDU100" s="16"/>
      <c r="GDV100" s="16"/>
      <c r="GDW100" s="16"/>
      <c r="GDX100" s="16"/>
      <c r="GDY100" s="16"/>
      <c r="GDZ100" s="16"/>
      <c r="GEA100" s="16"/>
      <c r="GEB100" s="16"/>
      <c r="GEC100" s="16"/>
      <c r="GED100" s="16"/>
      <c r="GEE100" s="16"/>
      <c r="GEF100" s="16"/>
      <c r="GEG100" s="16"/>
      <c r="GEH100" s="16"/>
      <c r="GEI100" s="16"/>
      <c r="GEJ100" s="16"/>
      <c r="GEK100" s="16"/>
      <c r="GEL100" s="16"/>
      <c r="GEM100" s="16"/>
      <c r="GEN100" s="16"/>
      <c r="GEO100" s="16"/>
      <c r="GEP100" s="16"/>
      <c r="GEQ100" s="16"/>
      <c r="GER100" s="16"/>
      <c r="GES100" s="16"/>
      <c r="GET100" s="16"/>
      <c r="GEU100" s="16"/>
      <c r="GEV100" s="16"/>
      <c r="GEW100" s="16"/>
      <c r="GEX100" s="16"/>
      <c r="GEY100" s="16"/>
      <c r="GEZ100" s="16"/>
      <c r="GFA100" s="16"/>
      <c r="GFB100" s="16"/>
      <c r="GFC100" s="16"/>
      <c r="GFD100" s="16"/>
      <c r="GFE100" s="16"/>
      <c r="GFF100" s="16"/>
      <c r="GFG100" s="16"/>
      <c r="GFH100" s="16"/>
      <c r="GFI100" s="16"/>
      <c r="GFJ100" s="16"/>
      <c r="GFK100" s="16"/>
      <c r="GFL100" s="16"/>
      <c r="GFM100" s="16"/>
      <c r="GFN100" s="16"/>
      <c r="GFO100" s="16"/>
      <c r="GFP100" s="16"/>
      <c r="GFQ100" s="16"/>
      <c r="GFR100" s="16"/>
      <c r="GFS100" s="16"/>
      <c r="GFT100" s="16"/>
      <c r="GFU100" s="16"/>
      <c r="GFV100" s="16"/>
      <c r="GFW100" s="16"/>
      <c r="GFX100" s="16"/>
      <c r="GFY100" s="16"/>
      <c r="GFZ100" s="16"/>
      <c r="GGA100" s="16"/>
      <c r="GGB100" s="16"/>
      <c r="GGC100" s="16"/>
      <c r="GGD100" s="16"/>
      <c r="GGE100" s="16"/>
      <c r="GGF100" s="16"/>
      <c r="GGG100" s="16"/>
      <c r="GGH100" s="16"/>
      <c r="GGI100" s="16"/>
      <c r="GGJ100" s="16"/>
      <c r="GGK100" s="16"/>
      <c r="GGL100" s="16"/>
      <c r="GGM100" s="16"/>
      <c r="GGN100" s="16"/>
      <c r="GGO100" s="16"/>
      <c r="GGP100" s="16"/>
      <c r="GGQ100" s="16"/>
      <c r="GGR100" s="16"/>
      <c r="GGS100" s="16"/>
      <c r="GGT100" s="16"/>
      <c r="GGU100" s="16"/>
      <c r="GGV100" s="16"/>
      <c r="GGW100" s="16"/>
      <c r="GGX100" s="16"/>
      <c r="GGY100" s="16"/>
      <c r="GGZ100" s="16"/>
      <c r="GHA100" s="16"/>
      <c r="GHB100" s="16"/>
      <c r="GHC100" s="16"/>
      <c r="GHD100" s="16"/>
      <c r="GHE100" s="16"/>
      <c r="GHF100" s="16"/>
      <c r="GHG100" s="16"/>
      <c r="GHH100" s="16"/>
      <c r="GHI100" s="16"/>
      <c r="GHJ100" s="16"/>
      <c r="GHK100" s="16"/>
      <c r="GHL100" s="16"/>
      <c r="GHM100" s="16"/>
      <c r="GHN100" s="16"/>
      <c r="GHO100" s="16"/>
      <c r="GHP100" s="16"/>
      <c r="GHQ100" s="16"/>
      <c r="GHR100" s="16"/>
      <c r="GHS100" s="16"/>
      <c r="GHT100" s="16"/>
      <c r="GHU100" s="16"/>
      <c r="GHV100" s="16"/>
      <c r="GHW100" s="16"/>
      <c r="GHX100" s="16"/>
      <c r="GHY100" s="16"/>
      <c r="GHZ100" s="16"/>
      <c r="GIA100" s="16"/>
      <c r="GIB100" s="16"/>
      <c r="GIC100" s="16"/>
      <c r="GID100" s="16"/>
      <c r="GIE100" s="16"/>
      <c r="GIF100" s="16"/>
      <c r="GIG100" s="16"/>
      <c r="GIH100" s="16"/>
      <c r="GII100" s="16"/>
      <c r="GIJ100" s="16"/>
      <c r="GIK100" s="16"/>
      <c r="GIL100" s="16"/>
      <c r="GIM100" s="16"/>
      <c r="GIN100" s="16"/>
      <c r="GIO100" s="16"/>
      <c r="GIP100" s="16"/>
      <c r="GIQ100" s="16"/>
      <c r="GIR100" s="16"/>
      <c r="GIS100" s="16"/>
      <c r="GIT100" s="16"/>
      <c r="GIU100" s="16"/>
      <c r="GIV100" s="16"/>
      <c r="GIW100" s="16"/>
      <c r="GIX100" s="16"/>
      <c r="GIY100" s="16"/>
      <c r="GIZ100" s="16"/>
      <c r="GJA100" s="16"/>
      <c r="GJB100" s="16"/>
      <c r="GJC100" s="16"/>
      <c r="GJD100" s="16"/>
      <c r="GJE100" s="16"/>
      <c r="GJF100" s="16"/>
      <c r="GJG100" s="16"/>
      <c r="GJH100" s="16"/>
      <c r="GJI100" s="16"/>
      <c r="GJJ100" s="16"/>
      <c r="GJK100" s="16"/>
      <c r="GJL100" s="16"/>
      <c r="GJM100" s="16"/>
      <c r="GJN100" s="16"/>
      <c r="GJO100" s="16"/>
      <c r="GJP100" s="16"/>
      <c r="GJQ100" s="16"/>
      <c r="GJR100" s="16"/>
      <c r="GJS100" s="16"/>
      <c r="GJT100" s="16"/>
      <c r="GJU100" s="16"/>
      <c r="GJV100" s="16"/>
      <c r="GJW100" s="16"/>
      <c r="GJX100" s="16"/>
      <c r="GJY100" s="16"/>
      <c r="GJZ100" s="16"/>
      <c r="GKA100" s="16"/>
      <c r="GKB100" s="16"/>
      <c r="GKC100" s="16"/>
      <c r="GKD100" s="16"/>
      <c r="GKE100" s="16"/>
      <c r="GKF100" s="16"/>
      <c r="GKG100" s="16"/>
      <c r="GKH100" s="16"/>
      <c r="GKI100" s="16"/>
      <c r="GKJ100" s="16"/>
      <c r="GKK100" s="16"/>
      <c r="GKL100" s="16"/>
      <c r="GKM100" s="16"/>
      <c r="GKN100" s="16"/>
      <c r="GKO100" s="16"/>
      <c r="GKP100" s="16"/>
      <c r="GKQ100" s="16"/>
      <c r="GKR100" s="16"/>
      <c r="GKS100" s="16"/>
      <c r="GKT100" s="16"/>
      <c r="GKU100" s="16"/>
      <c r="GKV100" s="16"/>
      <c r="GKW100" s="16"/>
      <c r="GKX100" s="16"/>
      <c r="GKY100" s="16"/>
      <c r="GKZ100" s="16"/>
      <c r="GLA100" s="16"/>
      <c r="GLB100" s="16"/>
      <c r="GLC100" s="16"/>
      <c r="GLD100" s="16"/>
      <c r="GLE100" s="16"/>
      <c r="GLF100" s="16"/>
      <c r="GLG100" s="16"/>
      <c r="GLH100" s="16"/>
      <c r="GLI100" s="16"/>
      <c r="GLJ100" s="16"/>
      <c r="GLK100" s="16"/>
      <c r="GLL100" s="16"/>
      <c r="GLM100" s="16"/>
      <c r="GLN100" s="16"/>
      <c r="GLO100" s="16"/>
      <c r="GLP100" s="16"/>
      <c r="GLQ100" s="16"/>
      <c r="GLR100" s="16"/>
      <c r="GLS100" s="16"/>
      <c r="GLT100" s="16"/>
      <c r="GLU100" s="16"/>
      <c r="GLV100" s="16"/>
      <c r="GLW100" s="16"/>
      <c r="GLX100" s="16"/>
      <c r="GLY100" s="16"/>
      <c r="GLZ100" s="16"/>
      <c r="GMA100" s="16"/>
      <c r="GMB100" s="16"/>
      <c r="GMC100" s="16"/>
      <c r="GMD100" s="16"/>
      <c r="GME100" s="16"/>
      <c r="GMF100" s="16"/>
      <c r="GMG100" s="16"/>
      <c r="GMH100" s="16"/>
      <c r="GMI100" s="16"/>
      <c r="GMJ100" s="16"/>
      <c r="GMK100" s="16"/>
      <c r="GML100" s="16"/>
      <c r="GMM100" s="16"/>
      <c r="GMN100" s="16"/>
      <c r="GMO100" s="16"/>
      <c r="GMP100" s="16"/>
      <c r="GMQ100" s="16"/>
      <c r="GMR100" s="16"/>
      <c r="GMS100" s="16"/>
      <c r="GMT100" s="16"/>
      <c r="GMU100" s="16"/>
      <c r="GMV100" s="16"/>
      <c r="GMW100" s="16"/>
      <c r="GMX100" s="16"/>
      <c r="GMY100" s="16"/>
      <c r="GMZ100" s="16"/>
      <c r="GNA100" s="16"/>
      <c r="GNB100" s="16"/>
      <c r="GNC100" s="16"/>
      <c r="GND100" s="16"/>
      <c r="GNE100" s="16"/>
      <c r="GNF100" s="16"/>
      <c r="GNG100" s="16"/>
      <c r="GNH100" s="16"/>
      <c r="GNI100" s="16"/>
      <c r="GNJ100" s="16"/>
      <c r="GNK100" s="16"/>
      <c r="GNL100" s="16"/>
      <c r="GNM100" s="16"/>
      <c r="GNN100" s="16"/>
      <c r="GNO100" s="16"/>
      <c r="GNP100" s="16"/>
      <c r="GNQ100" s="16"/>
      <c r="GNR100" s="16"/>
      <c r="GNS100" s="16"/>
      <c r="GNT100" s="16"/>
      <c r="GNU100" s="16"/>
      <c r="GNV100" s="16"/>
      <c r="GNW100" s="16"/>
      <c r="GNX100" s="16"/>
      <c r="GNY100" s="16"/>
      <c r="GNZ100" s="16"/>
      <c r="GOA100" s="16"/>
      <c r="GOB100" s="16"/>
      <c r="GOC100" s="16"/>
      <c r="GOD100" s="16"/>
      <c r="GOE100" s="16"/>
      <c r="GOF100" s="16"/>
      <c r="GOG100" s="16"/>
      <c r="GOH100" s="16"/>
      <c r="GOI100" s="16"/>
      <c r="GOJ100" s="16"/>
      <c r="GOK100" s="16"/>
      <c r="GOL100" s="16"/>
      <c r="GOM100" s="16"/>
      <c r="GON100" s="16"/>
      <c r="GOO100" s="16"/>
      <c r="GOP100" s="16"/>
      <c r="GOQ100" s="16"/>
      <c r="GOR100" s="16"/>
      <c r="GOS100" s="16"/>
      <c r="GOT100" s="16"/>
      <c r="GOU100" s="16"/>
      <c r="GOV100" s="16"/>
      <c r="GOW100" s="16"/>
      <c r="GOX100" s="16"/>
      <c r="GOY100" s="16"/>
      <c r="GOZ100" s="16"/>
      <c r="GPA100" s="16"/>
      <c r="GPB100" s="16"/>
      <c r="GPC100" s="16"/>
      <c r="GPD100" s="16"/>
      <c r="GPE100" s="16"/>
      <c r="GPF100" s="16"/>
      <c r="GPG100" s="16"/>
      <c r="GPH100" s="16"/>
      <c r="GPI100" s="16"/>
      <c r="GPJ100" s="16"/>
      <c r="GPK100" s="16"/>
      <c r="GPL100" s="16"/>
      <c r="GPM100" s="16"/>
      <c r="GPN100" s="16"/>
      <c r="GPO100" s="16"/>
      <c r="GPP100" s="16"/>
      <c r="GPQ100" s="16"/>
      <c r="GPR100" s="16"/>
      <c r="GPS100" s="16"/>
      <c r="GPT100" s="16"/>
      <c r="GPU100" s="16"/>
      <c r="GPV100" s="16"/>
      <c r="GPW100" s="16"/>
      <c r="GPX100" s="16"/>
      <c r="GPY100" s="16"/>
      <c r="GPZ100" s="16"/>
      <c r="GQA100" s="16"/>
      <c r="GQB100" s="16"/>
      <c r="GQC100" s="16"/>
      <c r="GQD100" s="16"/>
      <c r="GQE100" s="16"/>
      <c r="GQF100" s="16"/>
      <c r="GQG100" s="16"/>
      <c r="GQH100" s="16"/>
      <c r="GQI100" s="16"/>
      <c r="GQJ100" s="16"/>
      <c r="GQK100" s="16"/>
      <c r="GQL100" s="16"/>
      <c r="GQM100" s="16"/>
      <c r="GQN100" s="16"/>
      <c r="GQO100" s="16"/>
      <c r="GQP100" s="16"/>
      <c r="GQQ100" s="16"/>
      <c r="GQR100" s="16"/>
      <c r="GQS100" s="16"/>
      <c r="GQT100" s="16"/>
      <c r="GQU100" s="16"/>
      <c r="GQV100" s="16"/>
      <c r="GQW100" s="16"/>
      <c r="GQX100" s="16"/>
      <c r="GQY100" s="16"/>
      <c r="GQZ100" s="16"/>
      <c r="GRA100" s="16"/>
      <c r="GRB100" s="16"/>
      <c r="GRC100" s="16"/>
      <c r="GRD100" s="16"/>
      <c r="GRE100" s="16"/>
      <c r="GRF100" s="16"/>
      <c r="GRG100" s="16"/>
      <c r="GRH100" s="16"/>
      <c r="GRI100" s="16"/>
      <c r="GRJ100" s="16"/>
      <c r="GRK100" s="16"/>
      <c r="GRL100" s="16"/>
      <c r="GRM100" s="16"/>
      <c r="GRN100" s="16"/>
      <c r="GRO100" s="16"/>
      <c r="GRP100" s="16"/>
      <c r="GRQ100" s="16"/>
      <c r="GRR100" s="16"/>
      <c r="GRS100" s="16"/>
      <c r="GRT100" s="16"/>
      <c r="GRU100" s="16"/>
      <c r="GRV100" s="16"/>
      <c r="GRW100" s="16"/>
      <c r="GRX100" s="16"/>
      <c r="GRY100" s="16"/>
      <c r="GRZ100" s="16"/>
      <c r="GSA100" s="16"/>
      <c r="GSB100" s="16"/>
      <c r="GSC100" s="16"/>
      <c r="GSD100" s="16"/>
      <c r="GSE100" s="16"/>
      <c r="GSF100" s="16"/>
      <c r="GSG100" s="16"/>
      <c r="GSH100" s="16"/>
      <c r="GSI100" s="16"/>
      <c r="GSJ100" s="16"/>
      <c r="GSK100" s="16"/>
      <c r="GSL100" s="16"/>
      <c r="GSM100" s="16"/>
      <c r="GSN100" s="16"/>
      <c r="GSO100" s="16"/>
      <c r="GSP100" s="16"/>
      <c r="GSQ100" s="16"/>
      <c r="GSR100" s="16"/>
      <c r="GSS100" s="16"/>
      <c r="GST100" s="16"/>
      <c r="GSU100" s="16"/>
      <c r="GSV100" s="16"/>
      <c r="GSW100" s="16"/>
      <c r="GSX100" s="16"/>
      <c r="GSY100" s="16"/>
      <c r="GSZ100" s="16"/>
      <c r="GTA100" s="16"/>
      <c r="GTB100" s="16"/>
      <c r="GTC100" s="16"/>
      <c r="GTD100" s="16"/>
      <c r="GTE100" s="16"/>
      <c r="GTF100" s="16"/>
      <c r="GTG100" s="16"/>
      <c r="GTH100" s="16"/>
      <c r="GTI100" s="16"/>
      <c r="GTJ100" s="16"/>
      <c r="GTK100" s="16"/>
      <c r="GTL100" s="16"/>
      <c r="GTM100" s="16"/>
      <c r="GTN100" s="16"/>
      <c r="GTO100" s="16"/>
      <c r="GTP100" s="16"/>
      <c r="GTQ100" s="16"/>
      <c r="GTR100" s="16"/>
      <c r="GTS100" s="16"/>
      <c r="GTT100" s="16"/>
      <c r="GTU100" s="16"/>
      <c r="GTV100" s="16"/>
      <c r="GTW100" s="16"/>
      <c r="GTX100" s="16"/>
      <c r="GTY100" s="16"/>
      <c r="GTZ100" s="16"/>
      <c r="GUA100" s="16"/>
      <c r="GUB100" s="16"/>
      <c r="GUC100" s="16"/>
      <c r="GUD100" s="16"/>
      <c r="GUE100" s="16"/>
      <c r="GUF100" s="16"/>
      <c r="GUG100" s="16"/>
      <c r="GUH100" s="16"/>
      <c r="GUI100" s="16"/>
      <c r="GUJ100" s="16"/>
      <c r="GUK100" s="16"/>
      <c r="GUL100" s="16"/>
      <c r="GUM100" s="16"/>
      <c r="GUN100" s="16"/>
      <c r="GUO100" s="16"/>
      <c r="GUP100" s="16"/>
      <c r="GUQ100" s="16"/>
      <c r="GUR100" s="16"/>
      <c r="GUS100" s="16"/>
      <c r="GUT100" s="16"/>
      <c r="GUU100" s="16"/>
      <c r="GUV100" s="16"/>
      <c r="GUW100" s="16"/>
      <c r="GUX100" s="16"/>
      <c r="GUY100" s="16"/>
      <c r="GUZ100" s="16"/>
      <c r="GVA100" s="16"/>
      <c r="GVB100" s="16"/>
      <c r="GVC100" s="16"/>
      <c r="GVD100" s="16"/>
      <c r="GVE100" s="16"/>
      <c r="GVF100" s="16"/>
      <c r="GVG100" s="16"/>
      <c r="GVH100" s="16"/>
      <c r="GVI100" s="16"/>
      <c r="GVJ100" s="16"/>
      <c r="GVK100" s="16"/>
      <c r="GVL100" s="16"/>
      <c r="GVM100" s="16"/>
      <c r="GVN100" s="16"/>
      <c r="GVO100" s="16"/>
      <c r="GVP100" s="16"/>
      <c r="GVQ100" s="16"/>
      <c r="GVR100" s="16"/>
      <c r="GVS100" s="16"/>
      <c r="GVT100" s="16"/>
      <c r="GVU100" s="16"/>
      <c r="GVV100" s="16"/>
      <c r="GVW100" s="16"/>
      <c r="GVX100" s="16"/>
      <c r="GVY100" s="16"/>
      <c r="GVZ100" s="16"/>
      <c r="GWA100" s="16"/>
      <c r="GWB100" s="16"/>
      <c r="GWC100" s="16"/>
      <c r="GWD100" s="16"/>
      <c r="GWE100" s="16"/>
      <c r="GWF100" s="16"/>
      <c r="GWG100" s="16"/>
      <c r="GWH100" s="16"/>
      <c r="GWI100" s="16"/>
      <c r="GWJ100" s="16"/>
      <c r="GWK100" s="16"/>
      <c r="GWL100" s="16"/>
      <c r="GWM100" s="16"/>
      <c r="GWN100" s="16"/>
      <c r="GWO100" s="16"/>
      <c r="GWP100" s="16"/>
      <c r="GWQ100" s="16"/>
      <c r="GWR100" s="16"/>
      <c r="GWS100" s="16"/>
      <c r="GWT100" s="16"/>
      <c r="GWU100" s="16"/>
      <c r="GWV100" s="16"/>
      <c r="GWW100" s="16"/>
      <c r="GWX100" s="16"/>
      <c r="GWY100" s="16"/>
      <c r="GWZ100" s="16"/>
      <c r="GXA100" s="16"/>
      <c r="GXB100" s="16"/>
      <c r="GXC100" s="16"/>
      <c r="GXD100" s="16"/>
      <c r="GXE100" s="16"/>
      <c r="GXF100" s="16"/>
      <c r="GXG100" s="16"/>
      <c r="GXH100" s="16"/>
      <c r="GXI100" s="16"/>
      <c r="GXJ100" s="16"/>
      <c r="GXK100" s="16"/>
      <c r="GXL100" s="16"/>
      <c r="GXM100" s="16"/>
      <c r="GXN100" s="16"/>
      <c r="GXO100" s="16"/>
      <c r="GXP100" s="16"/>
      <c r="GXQ100" s="16"/>
      <c r="GXR100" s="16"/>
      <c r="GXS100" s="16"/>
      <c r="GXT100" s="16"/>
      <c r="GXU100" s="16"/>
      <c r="GXV100" s="16"/>
      <c r="GXW100" s="16"/>
      <c r="GXX100" s="16"/>
      <c r="GXY100" s="16"/>
      <c r="GXZ100" s="16"/>
      <c r="GYA100" s="16"/>
      <c r="GYB100" s="16"/>
      <c r="GYC100" s="16"/>
      <c r="GYD100" s="16"/>
      <c r="GYE100" s="16"/>
      <c r="GYF100" s="16"/>
      <c r="GYG100" s="16"/>
      <c r="GYH100" s="16"/>
      <c r="GYI100" s="16"/>
      <c r="GYJ100" s="16"/>
      <c r="GYK100" s="16"/>
      <c r="GYL100" s="16"/>
      <c r="GYM100" s="16"/>
      <c r="GYN100" s="16"/>
      <c r="GYO100" s="16"/>
      <c r="GYP100" s="16"/>
      <c r="GYQ100" s="16"/>
      <c r="GYR100" s="16"/>
      <c r="GYS100" s="16"/>
      <c r="GYT100" s="16"/>
      <c r="GYU100" s="16"/>
      <c r="GYV100" s="16"/>
      <c r="GYW100" s="16"/>
      <c r="GYX100" s="16"/>
      <c r="GYY100" s="16"/>
      <c r="GYZ100" s="16"/>
      <c r="GZA100" s="16"/>
      <c r="GZB100" s="16"/>
      <c r="GZC100" s="16"/>
      <c r="GZD100" s="16"/>
      <c r="GZE100" s="16"/>
      <c r="GZF100" s="16"/>
      <c r="GZG100" s="16"/>
      <c r="GZH100" s="16"/>
      <c r="GZI100" s="16"/>
      <c r="GZJ100" s="16"/>
      <c r="GZK100" s="16"/>
      <c r="GZL100" s="16"/>
      <c r="GZM100" s="16"/>
      <c r="GZN100" s="16"/>
      <c r="GZO100" s="16"/>
      <c r="GZP100" s="16"/>
      <c r="GZQ100" s="16"/>
      <c r="GZR100" s="16"/>
      <c r="GZS100" s="16"/>
      <c r="GZT100" s="16"/>
      <c r="GZU100" s="16"/>
      <c r="GZV100" s="16"/>
      <c r="GZW100" s="16"/>
      <c r="GZX100" s="16"/>
      <c r="GZY100" s="16"/>
      <c r="GZZ100" s="16"/>
      <c r="HAA100" s="16"/>
      <c r="HAB100" s="16"/>
      <c r="HAC100" s="16"/>
      <c r="HAD100" s="16"/>
      <c r="HAE100" s="16"/>
      <c r="HAF100" s="16"/>
      <c r="HAG100" s="16"/>
      <c r="HAH100" s="16"/>
      <c r="HAI100" s="16"/>
      <c r="HAJ100" s="16"/>
      <c r="HAK100" s="16"/>
      <c r="HAL100" s="16"/>
      <c r="HAM100" s="16"/>
      <c r="HAN100" s="16"/>
      <c r="HAO100" s="16"/>
      <c r="HAP100" s="16"/>
      <c r="HAQ100" s="16"/>
      <c r="HAR100" s="16"/>
      <c r="HAS100" s="16"/>
      <c r="HAT100" s="16"/>
      <c r="HAU100" s="16"/>
      <c r="HAV100" s="16"/>
      <c r="HAW100" s="16"/>
      <c r="HAX100" s="16"/>
      <c r="HAY100" s="16"/>
      <c r="HAZ100" s="16"/>
      <c r="HBA100" s="16"/>
      <c r="HBB100" s="16"/>
      <c r="HBC100" s="16"/>
      <c r="HBD100" s="16"/>
      <c r="HBE100" s="16"/>
      <c r="HBF100" s="16"/>
      <c r="HBG100" s="16"/>
      <c r="HBH100" s="16"/>
      <c r="HBI100" s="16"/>
      <c r="HBJ100" s="16"/>
      <c r="HBK100" s="16"/>
      <c r="HBL100" s="16"/>
      <c r="HBM100" s="16"/>
      <c r="HBN100" s="16"/>
      <c r="HBO100" s="16"/>
      <c r="HBP100" s="16"/>
      <c r="HBQ100" s="16"/>
      <c r="HBR100" s="16"/>
      <c r="HBS100" s="16"/>
      <c r="HBT100" s="16"/>
      <c r="HBU100" s="16"/>
      <c r="HBV100" s="16"/>
      <c r="HBW100" s="16"/>
      <c r="HBX100" s="16"/>
      <c r="HBY100" s="16"/>
      <c r="HBZ100" s="16"/>
      <c r="HCA100" s="16"/>
      <c r="HCB100" s="16"/>
      <c r="HCC100" s="16"/>
      <c r="HCD100" s="16"/>
      <c r="HCE100" s="16"/>
      <c r="HCF100" s="16"/>
      <c r="HCG100" s="16"/>
      <c r="HCH100" s="16"/>
      <c r="HCI100" s="16"/>
      <c r="HCJ100" s="16"/>
      <c r="HCK100" s="16"/>
      <c r="HCL100" s="16"/>
      <c r="HCM100" s="16"/>
      <c r="HCN100" s="16"/>
      <c r="HCO100" s="16"/>
      <c r="HCP100" s="16"/>
      <c r="HCQ100" s="16"/>
      <c r="HCR100" s="16"/>
      <c r="HCS100" s="16"/>
      <c r="HCT100" s="16"/>
      <c r="HCU100" s="16"/>
      <c r="HCV100" s="16"/>
      <c r="HCW100" s="16"/>
      <c r="HCX100" s="16"/>
      <c r="HCY100" s="16"/>
      <c r="HCZ100" s="16"/>
      <c r="HDA100" s="16"/>
      <c r="HDB100" s="16"/>
      <c r="HDC100" s="16"/>
      <c r="HDD100" s="16"/>
      <c r="HDE100" s="16"/>
      <c r="HDF100" s="16"/>
      <c r="HDG100" s="16"/>
      <c r="HDH100" s="16"/>
      <c r="HDI100" s="16"/>
      <c r="HDJ100" s="16"/>
      <c r="HDK100" s="16"/>
      <c r="HDL100" s="16"/>
      <c r="HDM100" s="16"/>
      <c r="HDN100" s="16"/>
      <c r="HDO100" s="16"/>
      <c r="HDP100" s="16"/>
      <c r="HDQ100" s="16"/>
      <c r="HDR100" s="16"/>
      <c r="HDS100" s="16"/>
      <c r="HDT100" s="16"/>
      <c r="HDU100" s="16"/>
      <c r="HDV100" s="16"/>
      <c r="HDW100" s="16"/>
      <c r="HDX100" s="16"/>
      <c r="HDY100" s="16"/>
      <c r="HDZ100" s="16"/>
      <c r="HEA100" s="16"/>
      <c r="HEB100" s="16"/>
      <c r="HEC100" s="16"/>
      <c r="HED100" s="16"/>
      <c r="HEE100" s="16"/>
      <c r="HEF100" s="16"/>
      <c r="HEG100" s="16"/>
      <c r="HEH100" s="16"/>
      <c r="HEI100" s="16"/>
      <c r="HEJ100" s="16"/>
      <c r="HEK100" s="16"/>
      <c r="HEL100" s="16"/>
      <c r="HEM100" s="16"/>
      <c r="HEN100" s="16"/>
      <c r="HEO100" s="16"/>
      <c r="HEP100" s="16"/>
      <c r="HEQ100" s="16"/>
      <c r="HER100" s="16"/>
      <c r="HES100" s="16"/>
      <c r="HET100" s="16"/>
      <c r="HEU100" s="16"/>
      <c r="HEV100" s="16"/>
      <c r="HEW100" s="16"/>
      <c r="HEX100" s="16"/>
      <c r="HEY100" s="16"/>
      <c r="HEZ100" s="16"/>
      <c r="HFA100" s="16"/>
      <c r="HFB100" s="16"/>
      <c r="HFC100" s="16"/>
      <c r="HFD100" s="16"/>
      <c r="HFE100" s="16"/>
      <c r="HFF100" s="16"/>
      <c r="HFG100" s="16"/>
      <c r="HFH100" s="16"/>
      <c r="HFI100" s="16"/>
      <c r="HFJ100" s="16"/>
      <c r="HFK100" s="16"/>
      <c r="HFL100" s="16"/>
      <c r="HFM100" s="16"/>
      <c r="HFN100" s="16"/>
      <c r="HFO100" s="16"/>
      <c r="HFP100" s="16"/>
      <c r="HFQ100" s="16"/>
      <c r="HFR100" s="16"/>
      <c r="HFS100" s="16"/>
      <c r="HFT100" s="16"/>
      <c r="HFU100" s="16"/>
      <c r="HFV100" s="16"/>
      <c r="HFW100" s="16"/>
      <c r="HFX100" s="16"/>
      <c r="HFY100" s="16"/>
      <c r="HFZ100" s="16"/>
      <c r="HGA100" s="16"/>
      <c r="HGB100" s="16"/>
      <c r="HGC100" s="16"/>
      <c r="HGD100" s="16"/>
      <c r="HGE100" s="16"/>
      <c r="HGF100" s="16"/>
      <c r="HGG100" s="16"/>
      <c r="HGH100" s="16"/>
      <c r="HGI100" s="16"/>
      <c r="HGJ100" s="16"/>
      <c r="HGK100" s="16"/>
      <c r="HGL100" s="16"/>
      <c r="HGM100" s="16"/>
      <c r="HGN100" s="16"/>
      <c r="HGO100" s="16"/>
      <c r="HGP100" s="16"/>
      <c r="HGQ100" s="16"/>
      <c r="HGR100" s="16"/>
      <c r="HGS100" s="16"/>
      <c r="HGT100" s="16"/>
      <c r="HGU100" s="16"/>
      <c r="HGV100" s="16"/>
      <c r="HGW100" s="16"/>
      <c r="HGX100" s="16"/>
      <c r="HGY100" s="16"/>
      <c r="HGZ100" s="16"/>
      <c r="HHA100" s="16"/>
      <c r="HHB100" s="16"/>
      <c r="HHC100" s="16"/>
      <c r="HHD100" s="16"/>
      <c r="HHE100" s="16"/>
      <c r="HHF100" s="16"/>
      <c r="HHG100" s="16"/>
      <c r="HHH100" s="16"/>
      <c r="HHI100" s="16"/>
      <c r="HHJ100" s="16"/>
      <c r="HHK100" s="16"/>
      <c r="HHL100" s="16"/>
      <c r="HHM100" s="16"/>
      <c r="HHN100" s="16"/>
      <c r="HHO100" s="16"/>
      <c r="HHP100" s="16"/>
      <c r="HHQ100" s="16"/>
      <c r="HHR100" s="16"/>
      <c r="HHS100" s="16"/>
      <c r="HHT100" s="16"/>
      <c r="HHU100" s="16"/>
      <c r="HHV100" s="16"/>
      <c r="HHW100" s="16"/>
      <c r="HHX100" s="16"/>
      <c r="HHY100" s="16"/>
      <c r="HHZ100" s="16"/>
      <c r="HIA100" s="16"/>
      <c r="HIB100" s="16"/>
      <c r="HIC100" s="16"/>
      <c r="HID100" s="16"/>
      <c r="HIE100" s="16"/>
      <c r="HIF100" s="16"/>
      <c r="HIG100" s="16"/>
      <c r="HIH100" s="16"/>
      <c r="HII100" s="16"/>
      <c r="HIJ100" s="16"/>
      <c r="HIK100" s="16"/>
      <c r="HIL100" s="16"/>
      <c r="HIM100" s="16"/>
      <c r="HIN100" s="16"/>
      <c r="HIO100" s="16"/>
      <c r="HIP100" s="16"/>
      <c r="HIQ100" s="16"/>
      <c r="HIR100" s="16"/>
      <c r="HIS100" s="16"/>
      <c r="HIT100" s="16"/>
      <c r="HIU100" s="16"/>
      <c r="HIV100" s="16"/>
      <c r="HIW100" s="16"/>
      <c r="HIX100" s="16"/>
      <c r="HIY100" s="16"/>
      <c r="HIZ100" s="16"/>
      <c r="HJA100" s="16"/>
      <c r="HJB100" s="16"/>
      <c r="HJC100" s="16"/>
      <c r="HJD100" s="16"/>
      <c r="HJE100" s="16"/>
      <c r="HJF100" s="16"/>
      <c r="HJG100" s="16"/>
      <c r="HJH100" s="16"/>
      <c r="HJI100" s="16"/>
      <c r="HJJ100" s="16"/>
      <c r="HJK100" s="16"/>
      <c r="HJL100" s="16"/>
      <c r="HJM100" s="16"/>
      <c r="HJN100" s="16"/>
      <c r="HJO100" s="16"/>
      <c r="HJP100" s="16"/>
      <c r="HJQ100" s="16"/>
      <c r="HJR100" s="16"/>
      <c r="HJS100" s="16"/>
      <c r="HJT100" s="16"/>
      <c r="HJU100" s="16"/>
      <c r="HJV100" s="16"/>
      <c r="HJW100" s="16"/>
      <c r="HJX100" s="16"/>
      <c r="HJY100" s="16"/>
      <c r="HJZ100" s="16"/>
      <c r="HKA100" s="16"/>
      <c r="HKB100" s="16"/>
      <c r="HKC100" s="16"/>
      <c r="HKD100" s="16"/>
      <c r="HKE100" s="16"/>
      <c r="HKF100" s="16"/>
      <c r="HKG100" s="16"/>
      <c r="HKH100" s="16"/>
      <c r="HKI100" s="16"/>
      <c r="HKJ100" s="16"/>
      <c r="HKK100" s="16"/>
      <c r="HKL100" s="16"/>
      <c r="HKM100" s="16"/>
      <c r="HKN100" s="16"/>
      <c r="HKO100" s="16"/>
      <c r="HKP100" s="16"/>
      <c r="HKQ100" s="16"/>
      <c r="HKR100" s="16"/>
      <c r="HKS100" s="16"/>
      <c r="HKT100" s="16"/>
      <c r="HKU100" s="16"/>
      <c r="HKV100" s="16"/>
      <c r="HKW100" s="16"/>
      <c r="HKX100" s="16"/>
      <c r="HKY100" s="16"/>
      <c r="HKZ100" s="16"/>
      <c r="HLA100" s="16"/>
      <c r="HLB100" s="16"/>
      <c r="HLC100" s="16"/>
      <c r="HLD100" s="16"/>
      <c r="HLE100" s="16"/>
      <c r="HLF100" s="16"/>
      <c r="HLG100" s="16"/>
      <c r="HLH100" s="16"/>
      <c r="HLI100" s="16"/>
      <c r="HLJ100" s="16"/>
      <c r="HLK100" s="16"/>
      <c r="HLL100" s="16"/>
      <c r="HLM100" s="16"/>
      <c r="HLN100" s="16"/>
      <c r="HLO100" s="16"/>
      <c r="HLP100" s="16"/>
      <c r="HLQ100" s="16"/>
      <c r="HLR100" s="16"/>
      <c r="HLS100" s="16"/>
      <c r="HLT100" s="16"/>
      <c r="HLU100" s="16"/>
      <c r="HLV100" s="16"/>
      <c r="HLW100" s="16"/>
      <c r="HLX100" s="16"/>
      <c r="HLY100" s="16"/>
      <c r="HLZ100" s="16"/>
      <c r="HMA100" s="16"/>
      <c r="HMB100" s="16"/>
      <c r="HMC100" s="16"/>
      <c r="HMD100" s="16"/>
      <c r="HME100" s="16"/>
      <c r="HMF100" s="16"/>
      <c r="HMG100" s="16"/>
      <c r="HMH100" s="16"/>
      <c r="HMI100" s="16"/>
      <c r="HMJ100" s="16"/>
      <c r="HMK100" s="16"/>
      <c r="HML100" s="16"/>
      <c r="HMM100" s="16"/>
      <c r="HMN100" s="16"/>
      <c r="HMO100" s="16"/>
      <c r="HMP100" s="16"/>
      <c r="HMQ100" s="16"/>
      <c r="HMR100" s="16"/>
      <c r="HMS100" s="16"/>
      <c r="HMT100" s="16"/>
      <c r="HMU100" s="16"/>
      <c r="HMV100" s="16"/>
      <c r="HMW100" s="16"/>
      <c r="HMX100" s="16"/>
      <c r="HMY100" s="16"/>
      <c r="HMZ100" s="16"/>
      <c r="HNA100" s="16"/>
      <c r="HNB100" s="16"/>
      <c r="HNC100" s="16"/>
      <c r="HND100" s="16"/>
      <c r="HNE100" s="16"/>
      <c r="HNF100" s="16"/>
      <c r="HNG100" s="16"/>
      <c r="HNH100" s="16"/>
      <c r="HNI100" s="16"/>
      <c r="HNJ100" s="16"/>
      <c r="HNK100" s="16"/>
      <c r="HNL100" s="16"/>
      <c r="HNM100" s="16"/>
      <c r="HNN100" s="16"/>
      <c r="HNO100" s="16"/>
      <c r="HNP100" s="16"/>
      <c r="HNQ100" s="16"/>
      <c r="HNR100" s="16"/>
      <c r="HNS100" s="16"/>
      <c r="HNT100" s="16"/>
      <c r="HNU100" s="16"/>
      <c r="HNV100" s="16"/>
      <c r="HNW100" s="16"/>
      <c r="HNX100" s="16"/>
      <c r="HNY100" s="16"/>
      <c r="HNZ100" s="16"/>
      <c r="HOA100" s="16"/>
      <c r="HOB100" s="16"/>
      <c r="HOC100" s="16"/>
      <c r="HOD100" s="16"/>
      <c r="HOE100" s="16"/>
      <c r="HOF100" s="16"/>
      <c r="HOG100" s="16"/>
      <c r="HOH100" s="16"/>
      <c r="HOI100" s="16"/>
      <c r="HOJ100" s="16"/>
      <c r="HOK100" s="16"/>
      <c r="HOL100" s="16"/>
      <c r="HOM100" s="16"/>
      <c r="HON100" s="16"/>
      <c r="HOO100" s="16"/>
      <c r="HOP100" s="16"/>
      <c r="HOQ100" s="16"/>
      <c r="HOR100" s="16"/>
      <c r="HOS100" s="16"/>
      <c r="HOT100" s="16"/>
      <c r="HOU100" s="16"/>
      <c r="HOV100" s="16"/>
      <c r="HOW100" s="16"/>
      <c r="HOX100" s="16"/>
      <c r="HOY100" s="16"/>
      <c r="HOZ100" s="16"/>
      <c r="HPA100" s="16"/>
      <c r="HPB100" s="16"/>
      <c r="HPC100" s="16"/>
      <c r="HPD100" s="16"/>
      <c r="HPE100" s="16"/>
      <c r="HPF100" s="16"/>
      <c r="HPG100" s="16"/>
      <c r="HPH100" s="16"/>
      <c r="HPI100" s="16"/>
      <c r="HPJ100" s="16"/>
      <c r="HPK100" s="16"/>
      <c r="HPL100" s="16"/>
      <c r="HPM100" s="16"/>
      <c r="HPN100" s="16"/>
      <c r="HPO100" s="16"/>
      <c r="HPP100" s="16"/>
      <c r="HPQ100" s="16"/>
      <c r="HPR100" s="16"/>
      <c r="HPS100" s="16"/>
      <c r="HPT100" s="16"/>
      <c r="HPU100" s="16"/>
      <c r="HPV100" s="16"/>
      <c r="HPW100" s="16"/>
      <c r="HPX100" s="16"/>
      <c r="HPY100" s="16"/>
      <c r="HPZ100" s="16"/>
      <c r="HQA100" s="16"/>
      <c r="HQB100" s="16"/>
      <c r="HQC100" s="16"/>
      <c r="HQD100" s="16"/>
      <c r="HQE100" s="16"/>
      <c r="HQF100" s="16"/>
      <c r="HQG100" s="16"/>
      <c r="HQH100" s="16"/>
      <c r="HQI100" s="16"/>
      <c r="HQJ100" s="16"/>
      <c r="HQK100" s="16"/>
      <c r="HQL100" s="16"/>
      <c r="HQM100" s="16"/>
      <c r="HQN100" s="16"/>
      <c r="HQO100" s="16"/>
      <c r="HQP100" s="16"/>
      <c r="HQQ100" s="16"/>
      <c r="HQR100" s="16"/>
      <c r="HQS100" s="16"/>
      <c r="HQT100" s="16"/>
      <c r="HQU100" s="16"/>
      <c r="HQV100" s="16"/>
      <c r="HQW100" s="16"/>
      <c r="HQX100" s="16"/>
      <c r="HQY100" s="16"/>
      <c r="HQZ100" s="16"/>
      <c r="HRA100" s="16"/>
      <c r="HRB100" s="16"/>
      <c r="HRC100" s="16"/>
      <c r="HRD100" s="16"/>
      <c r="HRE100" s="16"/>
      <c r="HRF100" s="16"/>
      <c r="HRG100" s="16"/>
      <c r="HRH100" s="16"/>
      <c r="HRI100" s="16"/>
      <c r="HRJ100" s="16"/>
      <c r="HRK100" s="16"/>
      <c r="HRL100" s="16"/>
      <c r="HRM100" s="16"/>
      <c r="HRN100" s="16"/>
      <c r="HRO100" s="16"/>
      <c r="HRP100" s="16"/>
      <c r="HRQ100" s="16"/>
      <c r="HRR100" s="16"/>
      <c r="HRS100" s="16"/>
      <c r="HRT100" s="16"/>
      <c r="HRU100" s="16"/>
      <c r="HRV100" s="16"/>
      <c r="HRW100" s="16"/>
      <c r="HRX100" s="16"/>
      <c r="HRY100" s="16"/>
      <c r="HRZ100" s="16"/>
      <c r="HSA100" s="16"/>
      <c r="HSB100" s="16"/>
      <c r="HSC100" s="16"/>
      <c r="HSD100" s="16"/>
      <c r="HSE100" s="16"/>
      <c r="HSF100" s="16"/>
      <c r="HSG100" s="16"/>
      <c r="HSH100" s="16"/>
      <c r="HSI100" s="16"/>
      <c r="HSJ100" s="16"/>
      <c r="HSK100" s="16"/>
      <c r="HSL100" s="16"/>
      <c r="HSM100" s="16"/>
      <c r="HSN100" s="16"/>
      <c r="HSO100" s="16"/>
      <c r="HSP100" s="16"/>
      <c r="HSQ100" s="16"/>
      <c r="HSR100" s="16"/>
      <c r="HSS100" s="16"/>
      <c r="HST100" s="16"/>
      <c r="HSU100" s="16"/>
      <c r="HSV100" s="16"/>
      <c r="HSW100" s="16"/>
      <c r="HSX100" s="16"/>
      <c r="HSY100" s="16"/>
      <c r="HSZ100" s="16"/>
      <c r="HTA100" s="16"/>
      <c r="HTB100" s="16"/>
      <c r="HTC100" s="16"/>
      <c r="HTD100" s="16"/>
      <c r="HTE100" s="16"/>
      <c r="HTF100" s="16"/>
      <c r="HTG100" s="16"/>
      <c r="HTH100" s="16"/>
      <c r="HTI100" s="16"/>
      <c r="HTJ100" s="16"/>
      <c r="HTK100" s="16"/>
      <c r="HTL100" s="16"/>
      <c r="HTM100" s="16"/>
      <c r="HTN100" s="16"/>
      <c r="HTO100" s="16"/>
      <c r="HTP100" s="16"/>
      <c r="HTQ100" s="16"/>
      <c r="HTR100" s="16"/>
      <c r="HTS100" s="16"/>
      <c r="HTT100" s="16"/>
      <c r="HTU100" s="16"/>
      <c r="HTV100" s="16"/>
      <c r="HTW100" s="16"/>
      <c r="HTX100" s="16"/>
      <c r="HTY100" s="16"/>
      <c r="HTZ100" s="16"/>
      <c r="HUA100" s="16"/>
      <c r="HUB100" s="16"/>
      <c r="HUC100" s="16"/>
      <c r="HUD100" s="16"/>
      <c r="HUE100" s="16"/>
      <c r="HUF100" s="16"/>
      <c r="HUG100" s="16"/>
      <c r="HUH100" s="16"/>
      <c r="HUI100" s="16"/>
      <c r="HUJ100" s="16"/>
      <c r="HUK100" s="16"/>
      <c r="HUL100" s="16"/>
      <c r="HUM100" s="16"/>
      <c r="HUN100" s="16"/>
      <c r="HUO100" s="16"/>
      <c r="HUP100" s="16"/>
      <c r="HUQ100" s="16"/>
      <c r="HUR100" s="16"/>
      <c r="HUS100" s="16"/>
      <c r="HUT100" s="16"/>
      <c r="HUU100" s="16"/>
      <c r="HUV100" s="16"/>
      <c r="HUW100" s="16"/>
      <c r="HUX100" s="16"/>
      <c r="HUY100" s="16"/>
      <c r="HUZ100" s="16"/>
      <c r="HVA100" s="16"/>
      <c r="HVB100" s="16"/>
      <c r="HVC100" s="16"/>
      <c r="HVD100" s="16"/>
      <c r="HVE100" s="16"/>
      <c r="HVF100" s="16"/>
      <c r="HVG100" s="16"/>
      <c r="HVH100" s="16"/>
      <c r="HVI100" s="16"/>
      <c r="HVJ100" s="16"/>
      <c r="HVK100" s="16"/>
      <c r="HVL100" s="16"/>
      <c r="HVM100" s="16"/>
      <c r="HVN100" s="16"/>
      <c r="HVO100" s="16"/>
      <c r="HVP100" s="16"/>
      <c r="HVQ100" s="16"/>
      <c r="HVR100" s="16"/>
      <c r="HVS100" s="16"/>
      <c r="HVT100" s="16"/>
      <c r="HVU100" s="16"/>
      <c r="HVV100" s="16"/>
      <c r="HVW100" s="16"/>
      <c r="HVX100" s="16"/>
      <c r="HVY100" s="16"/>
      <c r="HVZ100" s="16"/>
      <c r="HWA100" s="16"/>
      <c r="HWB100" s="16"/>
      <c r="HWC100" s="16"/>
      <c r="HWD100" s="16"/>
      <c r="HWE100" s="16"/>
      <c r="HWF100" s="16"/>
      <c r="HWG100" s="16"/>
      <c r="HWH100" s="16"/>
      <c r="HWI100" s="16"/>
      <c r="HWJ100" s="16"/>
      <c r="HWK100" s="16"/>
      <c r="HWL100" s="16"/>
      <c r="HWM100" s="16"/>
      <c r="HWN100" s="16"/>
      <c r="HWO100" s="16"/>
      <c r="HWP100" s="16"/>
      <c r="HWQ100" s="16"/>
      <c r="HWR100" s="16"/>
      <c r="HWS100" s="16"/>
      <c r="HWT100" s="16"/>
      <c r="HWU100" s="16"/>
      <c r="HWV100" s="16"/>
      <c r="HWW100" s="16"/>
      <c r="HWX100" s="16"/>
      <c r="HWY100" s="16"/>
      <c r="HWZ100" s="16"/>
      <c r="HXA100" s="16"/>
      <c r="HXB100" s="16"/>
      <c r="HXC100" s="16"/>
      <c r="HXD100" s="16"/>
      <c r="HXE100" s="16"/>
      <c r="HXF100" s="16"/>
      <c r="HXG100" s="16"/>
      <c r="HXH100" s="16"/>
      <c r="HXI100" s="16"/>
      <c r="HXJ100" s="16"/>
      <c r="HXK100" s="16"/>
      <c r="HXL100" s="16"/>
      <c r="HXM100" s="16"/>
      <c r="HXN100" s="16"/>
      <c r="HXO100" s="16"/>
      <c r="HXP100" s="16"/>
      <c r="HXQ100" s="16"/>
      <c r="HXR100" s="16"/>
      <c r="HXS100" s="16"/>
      <c r="HXT100" s="16"/>
      <c r="HXU100" s="16"/>
      <c r="HXV100" s="16"/>
      <c r="HXW100" s="16"/>
      <c r="HXX100" s="16"/>
      <c r="HXY100" s="16"/>
      <c r="HXZ100" s="16"/>
      <c r="HYA100" s="16"/>
      <c r="HYB100" s="16"/>
      <c r="HYC100" s="16"/>
      <c r="HYD100" s="16"/>
      <c r="HYE100" s="16"/>
      <c r="HYF100" s="16"/>
      <c r="HYG100" s="16"/>
      <c r="HYH100" s="16"/>
      <c r="HYI100" s="16"/>
      <c r="HYJ100" s="16"/>
      <c r="HYK100" s="16"/>
      <c r="HYL100" s="16"/>
      <c r="HYM100" s="16"/>
      <c r="HYN100" s="16"/>
      <c r="HYO100" s="16"/>
      <c r="HYP100" s="16"/>
      <c r="HYQ100" s="16"/>
      <c r="HYR100" s="16"/>
      <c r="HYS100" s="16"/>
      <c r="HYT100" s="16"/>
      <c r="HYU100" s="16"/>
      <c r="HYV100" s="16"/>
      <c r="HYW100" s="16"/>
      <c r="HYX100" s="16"/>
      <c r="HYY100" s="16"/>
      <c r="HYZ100" s="16"/>
      <c r="HZA100" s="16"/>
      <c r="HZB100" s="16"/>
      <c r="HZC100" s="16"/>
      <c r="HZD100" s="16"/>
      <c r="HZE100" s="16"/>
      <c r="HZF100" s="16"/>
      <c r="HZG100" s="16"/>
      <c r="HZH100" s="16"/>
      <c r="HZI100" s="16"/>
      <c r="HZJ100" s="16"/>
      <c r="HZK100" s="16"/>
      <c r="HZL100" s="16"/>
      <c r="HZM100" s="16"/>
      <c r="HZN100" s="16"/>
      <c r="HZO100" s="16"/>
      <c r="HZP100" s="16"/>
      <c r="HZQ100" s="16"/>
      <c r="HZR100" s="16"/>
      <c r="HZS100" s="16"/>
      <c r="HZT100" s="16"/>
      <c r="HZU100" s="16"/>
      <c r="HZV100" s="16"/>
      <c r="HZW100" s="16"/>
      <c r="HZX100" s="16"/>
      <c r="HZY100" s="16"/>
      <c r="HZZ100" s="16"/>
      <c r="IAA100" s="16"/>
      <c r="IAB100" s="16"/>
      <c r="IAC100" s="16"/>
      <c r="IAD100" s="16"/>
      <c r="IAE100" s="16"/>
      <c r="IAF100" s="16"/>
      <c r="IAG100" s="16"/>
      <c r="IAH100" s="16"/>
      <c r="IAI100" s="16"/>
      <c r="IAJ100" s="16"/>
      <c r="IAK100" s="16"/>
      <c r="IAL100" s="16"/>
      <c r="IAM100" s="16"/>
      <c r="IAN100" s="16"/>
      <c r="IAO100" s="16"/>
      <c r="IAP100" s="16"/>
      <c r="IAQ100" s="16"/>
      <c r="IAR100" s="16"/>
      <c r="IAS100" s="16"/>
      <c r="IAT100" s="16"/>
      <c r="IAU100" s="16"/>
      <c r="IAV100" s="16"/>
      <c r="IAW100" s="16"/>
      <c r="IAX100" s="16"/>
      <c r="IAY100" s="16"/>
      <c r="IAZ100" s="16"/>
      <c r="IBA100" s="16"/>
      <c r="IBB100" s="16"/>
      <c r="IBC100" s="16"/>
      <c r="IBD100" s="16"/>
      <c r="IBE100" s="16"/>
      <c r="IBF100" s="16"/>
      <c r="IBG100" s="16"/>
      <c r="IBH100" s="16"/>
      <c r="IBI100" s="16"/>
      <c r="IBJ100" s="16"/>
      <c r="IBK100" s="16"/>
      <c r="IBL100" s="16"/>
      <c r="IBM100" s="16"/>
      <c r="IBN100" s="16"/>
      <c r="IBO100" s="16"/>
      <c r="IBP100" s="16"/>
      <c r="IBQ100" s="16"/>
      <c r="IBR100" s="16"/>
      <c r="IBS100" s="16"/>
      <c r="IBT100" s="16"/>
      <c r="IBU100" s="16"/>
      <c r="IBV100" s="16"/>
      <c r="IBW100" s="16"/>
      <c r="IBX100" s="16"/>
      <c r="IBY100" s="16"/>
      <c r="IBZ100" s="16"/>
      <c r="ICA100" s="16"/>
      <c r="ICB100" s="16"/>
      <c r="ICC100" s="16"/>
      <c r="ICD100" s="16"/>
      <c r="ICE100" s="16"/>
      <c r="ICF100" s="16"/>
      <c r="ICG100" s="16"/>
      <c r="ICH100" s="16"/>
      <c r="ICI100" s="16"/>
      <c r="ICJ100" s="16"/>
      <c r="ICK100" s="16"/>
      <c r="ICL100" s="16"/>
      <c r="ICM100" s="16"/>
      <c r="ICN100" s="16"/>
      <c r="ICO100" s="16"/>
      <c r="ICP100" s="16"/>
      <c r="ICQ100" s="16"/>
      <c r="ICR100" s="16"/>
      <c r="ICS100" s="16"/>
      <c r="ICT100" s="16"/>
      <c r="ICU100" s="16"/>
      <c r="ICV100" s="16"/>
      <c r="ICW100" s="16"/>
      <c r="ICX100" s="16"/>
      <c r="ICY100" s="16"/>
      <c r="ICZ100" s="16"/>
      <c r="IDA100" s="16"/>
      <c r="IDB100" s="16"/>
      <c r="IDC100" s="16"/>
      <c r="IDD100" s="16"/>
      <c r="IDE100" s="16"/>
      <c r="IDF100" s="16"/>
      <c r="IDG100" s="16"/>
      <c r="IDH100" s="16"/>
      <c r="IDI100" s="16"/>
      <c r="IDJ100" s="16"/>
      <c r="IDK100" s="16"/>
      <c r="IDL100" s="16"/>
      <c r="IDM100" s="16"/>
      <c r="IDN100" s="16"/>
      <c r="IDO100" s="16"/>
      <c r="IDP100" s="16"/>
      <c r="IDQ100" s="16"/>
      <c r="IDR100" s="16"/>
      <c r="IDS100" s="16"/>
      <c r="IDT100" s="16"/>
      <c r="IDU100" s="16"/>
      <c r="IDV100" s="16"/>
      <c r="IDW100" s="16"/>
      <c r="IDX100" s="16"/>
      <c r="IDY100" s="16"/>
      <c r="IDZ100" s="16"/>
      <c r="IEA100" s="16"/>
      <c r="IEB100" s="16"/>
      <c r="IEC100" s="16"/>
      <c r="IED100" s="16"/>
      <c r="IEE100" s="16"/>
      <c r="IEF100" s="16"/>
      <c r="IEG100" s="16"/>
      <c r="IEH100" s="16"/>
      <c r="IEI100" s="16"/>
      <c r="IEJ100" s="16"/>
      <c r="IEK100" s="16"/>
      <c r="IEL100" s="16"/>
      <c r="IEM100" s="16"/>
      <c r="IEN100" s="16"/>
      <c r="IEO100" s="16"/>
      <c r="IEP100" s="16"/>
      <c r="IEQ100" s="16"/>
      <c r="IER100" s="16"/>
      <c r="IES100" s="16"/>
      <c r="IET100" s="16"/>
      <c r="IEU100" s="16"/>
      <c r="IEV100" s="16"/>
      <c r="IEW100" s="16"/>
      <c r="IEX100" s="16"/>
      <c r="IEY100" s="16"/>
      <c r="IEZ100" s="16"/>
      <c r="IFA100" s="16"/>
      <c r="IFB100" s="16"/>
      <c r="IFC100" s="16"/>
      <c r="IFD100" s="16"/>
      <c r="IFE100" s="16"/>
      <c r="IFF100" s="16"/>
      <c r="IFG100" s="16"/>
      <c r="IFH100" s="16"/>
      <c r="IFI100" s="16"/>
      <c r="IFJ100" s="16"/>
      <c r="IFK100" s="16"/>
      <c r="IFL100" s="16"/>
      <c r="IFM100" s="16"/>
      <c r="IFN100" s="16"/>
      <c r="IFO100" s="16"/>
      <c r="IFP100" s="16"/>
      <c r="IFQ100" s="16"/>
      <c r="IFR100" s="16"/>
      <c r="IFS100" s="16"/>
      <c r="IFT100" s="16"/>
      <c r="IFU100" s="16"/>
      <c r="IFV100" s="16"/>
      <c r="IFW100" s="16"/>
      <c r="IFX100" s="16"/>
      <c r="IFY100" s="16"/>
      <c r="IFZ100" s="16"/>
      <c r="IGA100" s="16"/>
      <c r="IGB100" s="16"/>
      <c r="IGC100" s="16"/>
      <c r="IGD100" s="16"/>
      <c r="IGE100" s="16"/>
      <c r="IGF100" s="16"/>
      <c r="IGG100" s="16"/>
      <c r="IGH100" s="16"/>
      <c r="IGI100" s="16"/>
      <c r="IGJ100" s="16"/>
      <c r="IGK100" s="16"/>
      <c r="IGL100" s="16"/>
      <c r="IGM100" s="16"/>
      <c r="IGN100" s="16"/>
      <c r="IGO100" s="16"/>
      <c r="IGP100" s="16"/>
      <c r="IGQ100" s="16"/>
      <c r="IGR100" s="16"/>
      <c r="IGS100" s="16"/>
      <c r="IGT100" s="16"/>
      <c r="IGU100" s="16"/>
      <c r="IGV100" s="16"/>
      <c r="IGW100" s="16"/>
      <c r="IGX100" s="16"/>
      <c r="IGY100" s="16"/>
      <c r="IGZ100" s="16"/>
      <c r="IHA100" s="16"/>
      <c r="IHB100" s="16"/>
      <c r="IHC100" s="16"/>
      <c r="IHD100" s="16"/>
      <c r="IHE100" s="16"/>
      <c r="IHF100" s="16"/>
      <c r="IHG100" s="16"/>
      <c r="IHH100" s="16"/>
      <c r="IHI100" s="16"/>
      <c r="IHJ100" s="16"/>
      <c r="IHK100" s="16"/>
      <c r="IHL100" s="16"/>
      <c r="IHM100" s="16"/>
      <c r="IHN100" s="16"/>
      <c r="IHO100" s="16"/>
      <c r="IHP100" s="16"/>
      <c r="IHQ100" s="16"/>
      <c r="IHR100" s="16"/>
      <c r="IHS100" s="16"/>
      <c r="IHT100" s="16"/>
      <c r="IHU100" s="16"/>
      <c r="IHV100" s="16"/>
      <c r="IHW100" s="16"/>
      <c r="IHX100" s="16"/>
      <c r="IHY100" s="16"/>
      <c r="IHZ100" s="16"/>
      <c r="IIA100" s="16"/>
      <c r="IIB100" s="16"/>
      <c r="IIC100" s="16"/>
      <c r="IID100" s="16"/>
      <c r="IIE100" s="16"/>
      <c r="IIF100" s="16"/>
      <c r="IIG100" s="16"/>
      <c r="IIH100" s="16"/>
      <c r="III100" s="16"/>
      <c r="IIJ100" s="16"/>
      <c r="IIK100" s="16"/>
      <c r="IIL100" s="16"/>
      <c r="IIM100" s="16"/>
      <c r="IIN100" s="16"/>
      <c r="IIO100" s="16"/>
      <c r="IIP100" s="16"/>
      <c r="IIQ100" s="16"/>
      <c r="IIR100" s="16"/>
      <c r="IIS100" s="16"/>
      <c r="IIT100" s="16"/>
      <c r="IIU100" s="16"/>
      <c r="IIV100" s="16"/>
      <c r="IIW100" s="16"/>
      <c r="IIX100" s="16"/>
      <c r="IIY100" s="16"/>
      <c r="IIZ100" s="16"/>
      <c r="IJA100" s="16"/>
      <c r="IJB100" s="16"/>
      <c r="IJC100" s="16"/>
      <c r="IJD100" s="16"/>
      <c r="IJE100" s="16"/>
      <c r="IJF100" s="16"/>
      <c r="IJG100" s="16"/>
      <c r="IJH100" s="16"/>
      <c r="IJI100" s="16"/>
      <c r="IJJ100" s="16"/>
      <c r="IJK100" s="16"/>
      <c r="IJL100" s="16"/>
      <c r="IJM100" s="16"/>
      <c r="IJN100" s="16"/>
      <c r="IJO100" s="16"/>
      <c r="IJP100" s="16"/>
      <c r="IJQ100" s="16"/>
      <c r="IJR100" s="16"/>
      <c r="IJS100" s="16"/>
      <c r="IJT100" s="16"/>
      <c r="IJU100" s="16"/>
      <c r="IJV100" s="16"/>
      <c r="IJW100" s="16"/>
      <c r="IJX100" s="16"/>
      <c r="IJY100" s="16"/>
      <c r="IJZ100" s="16"/>
      <c r="IKA100" s="16"/>
      <c r="IKB100" s="16"/>
      <c r="IKC100" s="16"/>
      <c r="IKD100" s="16"/>
      <c r="IKE100" s="16"/>
      <c r="IKF100" s="16"/>
      <c r="IKG100" s="16"/>
      <c r="IKH100" s="16"/>
      <c r="IKI100" s="16"/>
      <c r="IKJ100" s="16"/>
      <c r="IKK100" s="16"/>
      <c r="IKL100" s="16"/>
      <c r="IKM100" s="16"/>
      <c r="IKN100" s="16"/>
      <c r="IKO100" s="16"/>
      <c r="IKP100" s="16"/>
      <c r="IKQ100" s="16"/>
      <c r="IKR100" s="16"/>
      <c r="IKS100" s="16"/>
      <c r="IKT100" s="16"/>
      <c r="IKU100" s="16"/>
      <c r="IKV100" s="16"/>
      <c r="IKW100" s="16"/>
      <c r="IKX100" s="16"/>
      <c r="IKY100" s="16"/>
      <c r="IKZ100" s="16"/>
      <c r="ILA100" s="16"/>
      <c r="ILB100" s="16"/>
      <c r="ILC100" s="16"/>
      <c r="ILD100" s="16"/>
      <c r="ILE100" s="16"/>
      <c r="ILF100" s="16"/>
      <c r="ILG100" s="16"/>
      <c r="ILH100" s="16"/>
      <c r="ILI100" s="16"/>
      <c r="ILJ100" s="16"/>
      <c r="ILK100" s="16"/>
      <c r="ILL100" s="16"/>
      <c r="ILM100" s="16"/>
      <c r="ILN100" s="16"/>
      <c r="ILO100" s="16"/>
      <c r="ILP100" s="16"/>
      <c r="ILQ100" s="16"/>
      <c r="ILR100" s="16"/>
      <c r="ILS100" s="16"/>
      <c r="ILT100" s="16"/>
      <c r="ILU100" s="16"/>
      <c r="ILV100" s="16"/>
      <c r="ILW100" s="16"/>
      <c r="ILX100" s="16"/>
      <c r="ILY100" s="16"/>
      <c r="ILZ100" s="16"/>
      <c r="IMA100" s="16"/>
      <c r="IMB100" s="16"/>
      <c r="IMC100" s="16"/>
      <c r="IMD100" s="16"/>
      <c r="IME100" s="16"/>
      <c r="IMF100" s="16"/>
      <c r="IMG100" s="16"/>
      <c r="IMH100" s="16"/>
      <c r="IMI100" s="16"/>
      <c r="IMJ100" s="16"/>
      <c r="IMK100" s="16"/>
      <c r="IML100" s="16"/>
      <c r="IMM100" s="16"/>
      <c r="IMN100" s="16"/>
      <c r="IMO100" s="16"/>
      <c r="IMP100" s="16"/>
      <c r="IMQ100" s="16"/>
      <c r="IMR100" s="16"/>
      <c r="IMS100" s="16"/>
      <c r="IMT100" s="16"/>
      <c r="IMU100" s="16"/>
      <c r="IMV100" s="16"/>
      <c r="IMW100" s="16"/>
      <c r="IMX100" s="16"/>
      <c r="IMY100" s="16"/>
      <c r="IMZ100" s="16"/>
      <c r="INA100" s="16"/>
      <c r="INB100" s="16"/>
      <c r="INC100" s="16"/>
      <c r="IND100" s="16"/>
      <c r="INE100" s="16"/>
      <c r="INF100" s="16"/>
      <c r="ING100" s="16"/>
      <c r="INH100" s="16"/>
      <c r="INI100" s="16"/>
      <c r="INJ100" s="16"/>
      <c r="INK100" s="16"/>
      <c r="INL100" s="16"/>
      <c r="INM100" s="16"/>
      <c r="INN100" s="16"/>
      <c r="INO100" s="16"/>
      <c r="INP100" s="16"/>
      <c r="INQ100" s="16"/>
      <c r="INR100" s="16"/>
      <c r="INS100" s="16"/>
      <c r="INT100" s="16"/>
      <c r="INU100" s="16"/>
      <c r="INV100" s="16"/>
      <c r="INW100" s="16"/>
      <c r="INX100" s="16"/>
      <c r="INY100" s="16"/>
      <c r="INZ100" s="16"/>
      <c r="IOA100" s="16"/>
      <c r="IOB100" s="16"/>
      <c r="IOC100" s="16"/>
      <c r="IOD100" s="16"/>
      <c r="IOE100" s="16"/>
      <c r="IOF100" s="16"/>
      <c r="IOG100" s="16"/>
      <c r="IOH100" s="16"/>
      <c r="IOI100" s="16"/>
      <c r="IOJ100" s="16"/>
      <c r="IOK100" s="16"/>
      <c r="IOL100" s="16"/>
      <c r="IOM100" s="16"/>
      <c r="ION100" s="16"/>
      <c r="IOO100" s="16"/>
      <c r="IOP100" s="16"/>
      <c r="IOQ100" s="16"/>
      <c r="IOR100" s="16"/>
      <c r="IOS100" s="16"/>
      <c r="IOT100" s="16"/>
      <c r="IOU100" s="16"/>
      <c r="IOV100" s="16"/>
      <c r="IOW100" s="16"/>
      <c r="IOX100" s="16"/>
      <c r="IOY100" s="16"/>
      <c r="IOZ100" s="16"/>
      <c r="IPA100" s="16"/>
      <c r="IPB100" s="16"/>
      <c r="IPC100" s="16"/>
      <c r="IPD100" s="16"/>
      <c r="IPE100" s="16"/>
      <c r="IPF100" s="16"/>
      <c r="IPG100" s="16"/>
      <c r="IPH100" s="16"/>
      <c r="IPI100" s="16"/>
      <c r="IPJ100" s="16"/>
      <c r="IPK100" s="16"/>
      <c r="IPL100" s="16"/>
      <c r="IPM100" s="16"/>
      <c r="IPN100" s="16"/>
      <c r="IPO100" s="16"/>
      <c r="IPP100" s="16"/>
      <c r="IPQ100" s="16"/>
      <c r="IPR100" s="16"/>
      <c r="IPS100" s="16"/>
      <c r="IPT100" s="16"/>
      <c r="IPU100" s="16"/>
      <c r="IPV100" s="16"/>
      <c r="IPW100" s="16"/>
      <c r="IPX100" s="16"/>
      <c r="IPY100" s="16"/>
      <c r="IPZ100" s="16"/>
      <c r="IQA100" s="16"/>
      <c r="IQB100" s="16"/>
      <c r="IQC100" s="16"/>
      <c r="IQD100" s="16"/>
      <c r="IQE100" s="16"/>
      <c r="IQF100" s="16"/>
      <c r="IQG100" s="16"/>
      <c r="IQH100" s="16"/>
      <c r="IQI100" s="16"/>
      <c r="IQJ100" s="16"/>
      <c r="IQK100" s="16"/>
      <c r="IQL100" s="16"/>
      <c r="IQM100" s="16"/>
      <c r="IQN100" s="16"/>
      <c r="IQO100" s="16"/>
      <c r="IQP100" s="16"/>
      <c r="IQQ100" s="16"/>
      <c r="IQR100" s="16"/>
      <c r="IQS100" s="16"/>
      <c r="IQT100" s="16"/>
      <c r="IQU100" s="16"/>
      <c r="IQV100" s="16"/>
      <c r="IQW100" s="16"/>
      <c r="IQX100" s="16"/>
      <c r="IQY100" s="16"/>
      <c r="IQZ100" s="16"/>
      <c r="IRA100" s="16"/>
      <c r="IRB100" s="16"/>
      <c r="IRC100" s="16"/>
      <c r="IRD100" s="16"/>
      <c r="IRE100" s="16"/>
      <c r="IRF100" s="16"/>
      <c r="IRG100" s="16"/>
      <c r="IRH100" s="16"/>
      <c r="IRI100" s="16"/>
      <c r="IRJ100" s="16"/>
      <c r="IRK100" s="16"/>
      <c r="IRL100" s="16"/>
      <c r="IRM100" s="16"/>
      <c r="IRN100" s="16"/>
      <c r="IRO100" s="16"/>
      <c r="IRP100" s="16"/>
      <c r="IRQ100" s="16"/>
      <c r="IRR100" s="16"/>
      <c r="IRS100" s="16"/>
      <c r="IRT100" s="16"/>
      <c r="IRU100" s="16"/>
      <c r="IRV100" s="16"/>
      <c r="IRW100" s="16"/>
      <c r="IRX100" s="16"/>
      <c r="IRY100" s="16"/>
      <c r="IRZ100" s="16"/>
      <c r="ISA100" s="16"/>
      <c r="ISB100" s="16"/>
      <c r="ISC100" s="16"/>
      <c r="ISD100" s="16"/>
      <c r="ISE100" s="16"/>
      <c r="ISF100" s="16"/>
      <c r="ISG100" s="16"/>
      <c r="ISH100" s="16"/>
      <c r="ISI100" s="16"/>
      <c r="ISJ100" s="16"/>
      <c r="ISK100" s="16"/>
      <c r="ISL100" s="16"/>
      <c r="ISM100" s="16"/>
      <c r="ISN100" s="16"/>
      <c r="ISO100" s="16"/>
      <c r="ISP100" s="16"/>
      <c r="ISQ100" s="16"/>
      <c r="ISR100" s="16"/>
      <c r="ISS100" s="16"/>
      <c r="IST100" s="16"/>
      <c r="ISU100" s="16"/>
      <c r="ISV100" s="16"/>
      <c r="ISW100" s="16"/>
      <c r="ISX100" s="16"/>
      <c r="ISY100" s="16"/>
      <c r="ISZ100" s="16"/>
      <c r="ITA100" s="16"/>
      <c r="ITB100" s="16"/>
      <c r="ITC100" s="16"/>
      <c r="ITD100" s="16"/>
      <c r="ITE100" s="16"/>
      <c r="ITF100" s="16"/>
      <c r="ITG100" s="16"/>
      <c r="ITH100" s="16"/>
      <c r="ITI100" s="16"/>
      <c r="ITJ100" s="16"/>
      <c r="ITK100" s="16"/>
      <c r="ITL100" s="16"/>
      <c r="ITM100" s="16"/>
      <c r="ITN100" s="16"/>
      <c r="ITO100" s="16"/>
      <c r="ITP100" s="16"/>
      <c r="ITQ100" s="16"/>
      <c r="ITR100" s="16"/>
      <c r="ITS100" s="16"/>
      <c r="ITT100" s="16"/>
      <c r="ITU100" s="16"/>
      <c r="ITV100" s="16"/>
      <c r="ITW100" s="16"/>
      <c r="ITX100" s="16"/>
      <c r="ITY100" s="16"/>
      <c r="ITZ100" s="16"/>
      <c r="IUA100" s="16"/>
      <c r="IUB100" s="16"/>
      <c r="IUC100" s="16"/>
      <c r="IUD100" s="16"/>
      <c r="IUE100" s="16"/>
      <c r="IUF100" s="16"/>
      <c r="IUG100" s="16"/>
      <c r="IUH100" s="16"/>
      <c r="IUI100" s="16"/>
      <c r="IUJ100" s="16"/>
      <c r="IUK100" s="16"/>
      <c r="IUL100" s="16"/>
      <c r="IUM100" s="16"/>
      <c r="IUN100" s="16"/>
      <c r="IUO100" s="16"/>
      <c r="IUP100" s="16"/>
      <c r="IUQ100" s="16"/>
      <c r="IUR100" s="16"/>
      <c r="IUS100" s="16"/>
      <c r="IUT100" s="16"/>
      <c r="IUU100" s="16"/>
      <c r="IUV100" s="16"/>
      <c r="IUW100" s="16"/>
      <c r="IUX100" s="16"/>
      <c r="IUY100" s="16"/>
      <c r="IUZ100" s="16"/>
      <c r="IVA100" s="16"/>
      <c r="IVB100" s="16"/>
      <c r="IVC100" s="16"/>
      <c r="IVD100" s="16"/>
      <c r="IVE100" s="16"/>
      <c r="IVF100" s="16"/>
      <c r="IVG100" s="16"/>
      <c r="IVH100" s="16"/>
      <c r="IVI100" s="16"/>
      <c r="IVJ100" s="16"/>
      <c r="IVK100" s="16"/>
      <c r="IVL100" s="16"/>
      <c r="IVM100" s="16"/>
      <c r="IVN100" s="16"/>
      <c r="IVO100" s="16"/>
      <c r="IVP100" s="16"/>
      <c r="IVQ100" s="16"/>
      <c r="IVR100" s="16"/>
      <c r="IVS100" s="16"/>
      <c r="IVT100" s="16"/>
      <c r="IVU100" s="16"/>
      <c r="IVV100" s="16"/>
      <c r="IVW100" s="16"/>
      <c r="IVX100" s="16"/>
      <c r="IVY100" s="16"/>
      <c r="IVZ100" s="16"/>
      <c r="IWA100" s="16"/>
      <c r="IWB100" s="16"/>
      <c r="IWC100" s="16"/>
      <c r="IWD100" s="16"/>
      <c r="IWE100" s="16"/>
      <c r="IWF100" s="16"/>
      <c r="IWG100" s="16"/>
      <c r="IWH100" s="16"/>
      <c r="IWI100" s="16"/>
      <c r="IWJ100" s="16"/>
      <c r="IWK100" s="16"/>
      <c r="IWL100" s="16"/>
      <c r="IWM100" s="16"/>
      <c r="IWN100" s="16"/>
      <c r="IWO100" s="16"/>
      <c r="IWP100" s="16"/>
      <c r="IWQ100" s="16"/>
      <c r="IWR100" s="16"/>
      <c r="IWS100" s="16"/>
      <c r="IWT100" s="16"/>
      <c r="IWU100" s="16"/>
      <c r="IWV100" s="16"/>
      <c r="IWW100" s="16"/>
      <c r="IWX100" s="16"/>
      <c r="IWY100" s="16"/>
      <c r="IWZ100" s="16"/>
      <c r="IXA100" s="16"/>
      <c r="IXB100" s="16"/>
      <c r="IXC100" s="16"/>
      <c r="IXD100" s="16"/>
      <c r="IXE100" s="16"/>
      <c r="IXF100" s="16"/>
      <c r="IXG100" s="16"/>
      <c r="IXH100" s="16"/>
      <c r="IXI100" s="16"/>
      <c r="IXJ100" s="16"/>
      <c r="IXK100" s="16"/>
      <c r="IXL100" s="16"/>
      <c r="IXM100" s="16"/>
      <c r="IXN100" s="16"/>
      <c r="IXO100" s="16"/>
      <c r="IXP100" s="16"/>
      <c r="IXQ100" s="16"/>
      <c r="IXR100" s="16"/>
      <c r="IXS100" s="16"/>
      <c r="IXT100" s="16"/>
      <c r="IXU100" s="16"/>
      <c r="IXV100" s="16"/>
      <c r="IXW100" s="16"/>
      <c r="IXX100" s="16"/>
      <c r="IXY100" s="16"/>
      <c r="IXZ100" s="16"/>
      <c r="IYA100" s="16"/>
      <c r="IYB100" s="16"/>
      <c r="IYC100" s="16"/>
      <c r="IYD100" s="16"/>
      <c r="IYE100" s="16"/>
      <c r="IYF100" s="16"/>
      <c r="IYG100" s="16"/>
      <c r="IYH100" s="16"/>
      <c r="IYI100" s="16"/>
      <c r="IYJ100" s="16"/>
      <c r="IYK100" s="16"/>
      <c r="IYL100" s="16"/>
      <c r="IYM100" s="16"/>
      <c r="IYN100" s="16"/>
      <c r="IYO100" s="16"/>
      <c r="IYP100" s="16"/>
      <c r="IYQ100" s="16"/>
      <c r="IYR100" s="16"/>
      <c r="IYS100" s="16"/>
      <c r="IYT100" s="16"/>
      <c r="IYU100" s="16"/>
      <c r="IYV100" s="16"/>
      <c r="IYW100" s="16"/>
      <c r="IYX100" s="16"/>
      <c r="IYY100" s="16"/>
      <c r="IYZ100" s="16"/>
      <c r="IZA100" s="16"/>
      <c r="IZB100" s="16"/>
      <c r="IZC100" s="16"/>
      <c r="IZD100" s="16"/>
      <c r="IZE100" s="16"/>
      <c r="IZF100" s="16"/>
      <c r="IZG100" s="16"/>
      <c r="IZH100" s="16"/>
      <c r="IZI100" s="16"/>
      <c r="IZJ100" s="16"/>
      <c r="IZK100" s="16"/>
      <c r="IZL100" s="16"/>
      <c r="IZM100" s="16"/>
      <c r="IZN100" s="16"/>
      <c r="IZO100" s="16"/>
      <c r="IZP100" s="16"/>
      <c r="IZQ100" s="16"/>
      <c r="IZR100" s="16"/>
      <c r="IZS100" s="16"/>
      <c r="IZT100" s="16"/>
      <c r="IZU100" s="16"/>
      <c r="IZV100" s="16"/>
      <c r="IZW100" s="16"/>
      <c r="IZX100" s="16"/>
      <c r="IZY100" s="16"/>
      <c r="IZZ100" s="16"/>
      <c r="JAA100" s="16"/>
      <c r="JAB100" s="16"/>
      <c r="JAC100" s="16"/>
      <c r="JAD100" s="16"/>
      <c r="JAE100" s="16"/>
      <c r="JAF100" s="16"/>
      <c r="JAG100" s="16"/>
      <c r="JAH100" s="16"/>
      <c r="JAI100" s="16"/>
      <c r="JAJ100" s="16"/>
      <c r="JAK100" s="16"/>
      <c r="JAL100" s="16"/>
      <c r="JAM100" s="16"/>
      <c r="JAN100" s="16"/>
      <c r="JAO100" s="16"/>
      <c r="JAP100" s="16"/>
      <c r="JAQ100" s="16"/>
      <c r="JAR100" s="16"/>
      <c r="JAS100" s="16"/>
      <c r="JAT100" s="16"/>
      <c r="JAU100" s="16"/>
      <c r="JAV100" s="16"/>
      <c r="JAW100" s="16"/>
      <c r="JAX100" s="16"/>
      <c r="JAY100" s="16"/>
      <c r="JAZ100" s="16"/>
      <c r="JBA100" s="16"/>
      <c r="JBB100" s="16"/>
      <c r="JBC100" s="16"/>
      <c r="JBD100" s="16"/>
      <c r="JBE100" s="16"/>
      <c r="JBF100" s="16"/>
      <c r="JBG100" s="16"/>
      <c r="JBH100" s="16"/>
      <c r="JBI100" s="16"/>
      <c r="JBJ100" s="16"/>
      <c r="JBK100" s="16"/>
      <c r="JBL100" s="16"/>
      <c r="JBM100" s="16"/>
      <c r="JBN100" s="16"/>
      <c r="JBO100" s="16"/>
      <c r="JBP100" s="16"/>
      <c r="JBQ100" s="16"/>
      <c r="JBR100" s="16"/>
      <c r="JBS100" s="16"/>
      <c r="JBT100" s="16"/>
      <c r="JBU100" s="16"/>
      <c r="JBV100" s="16"/>
      <c r="JBW100" s="16"/>
      <c r="JBX100" s="16"/>
      <c r="JBY100" s="16"/>
      <c r="JBZ100" s="16"/>
      <c r="JCA100" s="16"/>
      <c r="JCB100" s="16"/>
      <c r="JCC100" s="16"/>
      <c r="JCD100" s="16"/>
      <c r="JCE100" s="16"/>
      <c r="JCF100" s="16"/>
      <c r="JCG100" s="16"/>
      <c r="JCH100" s="16"/>
      <c r="JCI100" s="16"/>
      <c r="JCJ100" s="16"/>
      <c r="JCK100" s="16"/>
      <c r="JCL100" s="16"/>
      <c r="JCM100" s="16"/>
      <c r="JCN100" s="16"/>
      <c r="JCO100" s="16"/>
      <c r="JCP100" s="16"/>
      <c r="JCQ100" s="16"/>
      <c r="JCR100" s="16"/>
      <c r="JCS100" s="16"/>
      <c r="JCT100" s="16"/>
      <c r="JCU100" s="16"/>
      <c r="JCV100" s="16"/>
      <c r="JCW100" s="16"/>
      <c r="JCX100" s="16"/>
      <c r="JCY100" s="16"/>
      <c r="JCZ100" s="16"/>
      <c r="JDA100" s="16"/>
      <c r="JDB100" s="16"/>
      <c r="JDC100" s="16"/>
      <c r="JDD100" s="16"/>
      <c r="JDE100" s="16"/>
      <c r="JDF100" s="16"/>
      <c r="JDG100" s="16"/>
      <c r="JDH100" s="16"/>
      <c r="JDI100" s="16"/>
      <c r="JDJ100" s="16"/>
      <c r="JDK100" s="16"/>
      <c r="JDL100" s="16"/>
      <c r="JDM100" s="16"/>
      <c r="JDN100" s="16"/>
      <c r="JDO100" s="16"/>
      <c r="JDP100" s="16"/>
      <c r="JDQ100" s="16"/>
      <c r="JDR100" s="16"/>
      <c r="JDS100" s="16"/>
      <c r="JDT100" s="16"/>
      <c r="JDU100" s="16"/>
      <c r="JDV100" s="16"/>
      <c r="JDW100" s="16"/>
      <c r="JDX100" s="16"/>
      <c r="JDY100" s="16"/>
      <c r="JDZ100" s="16"/>
      <c r="JEA100" s="16"/>
      <c r="JEB100" s="16"/>
      <c r="JEC100" s="16"/>
      <c r="JED100" s="16"/>
      <c r="JEE100" s="16"/>
      <c r="JEF100" s="16"/>
      <c r="JEG100" s="16"/>
      <c r="JEH100" s="16"/>
      <c r="JEI100" s="16"/>
      <c r="JEJ100" s="16"/>
      <c r="JEK100" s="16"/>
      <c r="JEL100" s="16"/>
      <c r="JEM100" s="16"/>
      <c r="JEN100" s="16"/>
      <c r="JEO100" s="16"/>
      <c r="JEP100" s="16"/>
      <c r="JEQ100" s="16"/>
      <c r="JER100" s="16"/>
      <c r="JES100" s="16"/>
      <c r="JET100" s="16"/>
      <c r="JEU100" s="16"/>
      <c r="JEV100" s="16"/>
      <c r="JEW100" s="16"/>
      <c r="JEX100" s="16"/>
      <c r="JEY100" s="16"/>
      <c r="JEZ100" s="16"/>
      <c r="JFA100" s="16"/>
      <c r="JFB100" s="16"/>
      <c r="JFC100" s="16"/>
      <c r="JFD100" s="16"/>
      <c r="JFE100" s="16"/>
      <c r="JFF100" s="16"/>
      <c r="JFG100" s="16"/>
      <c r="JFH100" s="16"/>
      <c r="JFI100" s="16"/>
      <c r="JFJ100" s="16"/>
      <c r="JFK100" s="16"/>
      <c r="JFL100" s="16"/>
      <c r="JFM100" s="16"/>
      <c r="JFN100" s="16"/>
      <c r="JFO100" s="16"/>
      <c r="JFP100" s="16"/>
      <c r="JFQ100" s="16"/>
      <c r="JFR100" s="16"/>
      <c r="JFS100" s="16"/>
      <c r="JFT100" s="16"/>
      <c r="JFU100" s="16"/>
      <c r="JFV100" s="16"/>
      <c r="JFW100" s="16"/>
      <c r="JFX100" s="16"/>
      <c r="JFY100" s="16"/>
      <c r="JFZ100" s="16"/>
      <c r="JGA100" s="16"/>
      <c r="JGB100" s="16"/>
      <c r="JGC100" s="16"/>
      <c r="JGD100" s="16"/>
      <c r="JGE100" s="16"/>
      <c r="JGF100" s="16"/>
      <c r="JGG100" s="16"/>
      <c r="JGH100" s="16"/>
      <c r="JGI100" s="16"/>
      <c r="JGJ100" s="16"/>
      <c r="JGK100" s="16"/>
      <c r="JGL100" s="16"/>
      <c r="JGM100" s="16"/>
      <c r="JGN100" s="16"/>
      <c r="JGO100" s="16"/>
      <c r="JGP100" s="16"/>
      <c r="JGQ100" s="16"/>
      <c r="JGR100" s="16"/>
      <c r="JGS100" s="16"/>
      <c r="JGT100" s="16"/>
      <c r="JGU100" s="16"/>
      <c r="JGV100" s="16"/>
      <c r="JGW100" s="16"/>
      <c r="JGX100" s="16"/>
      <c r="JGY100" s="16"/>
      <c r="JGZ100" s="16"/>
      <c r="JHA100" s="16"/>
      <c r="JHB100" s="16"/>
      <c r="JHC100" s="16"/>
      <c r="JHD100" s="16"/>
      <c r="JHE100" s="16"/>
      <c r="JHF100" s="16"/>
      <c r="JHG100" s="16"/>
      <c r="JHH100" s="16"/>
      <c r="JHI100" s="16"/>
      <c r="JHJ100" s="16"/>
      <c r="JHK100" s="16"/>
      <c r="JHL100" s="16"/>
      <c r="JHM100" s="16"/>
      <c r="JHN100" s="16"/>
      <c r="JHO100" s="16"/>
      <c r="JHP100" s="16"/>
      <c r="JHQ100" s="16"/>
      <c r="JHR100" s="16"/>
      <c r="JHS100" s="16"/>
      <c r="JHT100" s="16"/>
      <c r="JHU100" s="16"/>
      <c r="JHV100" s="16"/>
      <c r="JHW100" s="16"/>
      <c r="JHX100" s="16"/>
      <c r="JHY100" s="16"/>
      <c r="JHZ100" s="16"/>
      <c r="JIA100" s="16"/>
      <c r="JIB100" s="16"/>
      <c r="JIC100" s="16"/>
      <c r="JID100" s="16"/>
      <c r="JIE100" s="16"/>
      <c r="JIF100" s="16"/>
      <c r="JIG100" s="16"/>
      <c r="JIH100" s="16"/>
      <c r="JII100" s="16"/>
      <c r="JIJ100" s="16"/>
      <c r="JIK100" s="16"/>
      <c r="JIL100" s="16"/>
      <c r="JIM100" s="16"/>
      <c r="JIN100" s="16"/>
      <c r="JIO100" s="16"/>
      <c r="JIP100" s="16"/>
      <c r="JIQ100" s="16"/>
      <c r="JIR100" s="16"/>
      <c r="JIS100" s="16"/>
      <c r="JIT100" s="16"/>
      <c r="JIU100" s="16"/>
      <c r="JIV100" s="16"/>
      <c r="JIW100" s="16"/>
      <c r="JIX100" s="16"/>
      <c r="JIY100" s="16"/>
      <c r="JIZ100" s="16"/>
      <c r="JJA100" s="16"/>
      <c r="JJB100" s="16"/>
      <c r="JJC100" s="16"/>
      <c r="JJD100" s="16"/>
      <c r="JJE100" s="16"/>
      <c r="JJF100" s="16"/>
      <c r="JJG100" s="16"/>
      <c r="JJH100" s="16"/>
      <c r="JJI100" s="16"/>
      <c r="JJJ100" s="16"/>
      <c r="JJK100" s="16"/>
      <c r="JJL100" s="16"/>
      <c r="JJM100" s="16"/>
      <c r="JJN100" s="16"/>
      <c r="JJO100" s="16"/>
      <c r="JJP100" s="16"/>
      <c r="JJQ100" s="16"/>
      <c r="JJR100" s="16"/>
      <c r="JJS100" s="16"/>
      <c r="JJT100" s="16"/>
      <c r="JJU100" s="16"/>
      <c r="JJV100" s="16"/>
      <c r="JJW100" s="16"/>
      <c r="JJX100" s="16"/>
      <c r="JJY100" s="16"/>
      <c r="JJZ100" s="16"/>
      <c r="JKA100" s="16"/>
      <c r="JKB100" s="16"/>
      <c r="JKC100" s="16"/>
      <c r="JKD100" s="16"/>
      <c r="JKE100" s="16"/>
      <c r="JKF100" s="16"/>
      <c r="JKG100" s="16"/>
      <c r="JKH100" s="16"/>
      <c r="JKI100" s="16"/>
      <c r="JKJ100" s="16"/>
      <c r="JKK100" s="16"/>
      <c r="JKL100" s="16"/>
      <c r="JKM100" s="16"/>
      <c r="JKN100" s="16"/>
      <c r="JKO100" s="16"/>
      <c r="JKP100" s="16"/>
      <c r="JKQ100" s="16"/>
      <c r="JKR100" s="16"/>
      <c r="JKS100" s="16"/>
      <c r="JKT100" s="16"/>
      <c r="JKU100" s="16"/>
      <c r="JKV100" s="16"/>
      <c r="JKW100" s="16"/>
      <c r="JKX100" s="16"/>
      <c r="JKY100" s="16"/>
      <c r="JKZ100" s="16"/>
      <c r="JLA100" s="16"/>
      <c r="JLB100" s="16"/>
      <c r="JLC100" s="16"/>
      <c r="JLD100" s="16"/>
      <c r="JLE100" s="16"/>
      <c r="JLF100" s="16"/>
      <c r="JLG100" s="16"/>
      <c r="JLH100" s="16"/>
      <c r="JLI100" s="16"/>
      <c r="JLJ100" s="16"/>
      <c r="JLK100" s="16"/>
      <c r="JLL100" s="16"/>
      <c r="JLM100" s="16"/>
      <c r="JLN100" s="16"/>
      <c r="JLO100" s="16"/>
      <c r="JLP100" s="16"/>
      <c r="JLQ100" s="16"/>
      <c r="JLR100" s="16"/>
      <c r="JLS100" s="16"/>
      <c r="JLT100" s="16"/>
      <c r="JLU100" s="16"/>
      <c r="JLV100" s="16"/>
      <c r="JLW100" s="16"/>
      <c r="JLX100" s="16"/>
      <c r="JLY100" s="16"/>
      <c r="JLZ100" s="16"/>
      <c r="JMA100" s="16"/>
      <c r="JMB100" s="16"/>
      <c r="JMC100" s="16"/>
      <c r="JMD100" s="16"/>
      <c r="JME100" s="16"/>
      <c r="JMF100" s="16"/>
      <c r="JMG100" s="16"/>
      <c r="JMH100" s="16"/>
      <c r="JMI100" s="16"/>
      <c r="JMJ100" s="16"/>
      <c r="JMK100" s="16"/>
      <c r="JML100" s="16"/>
      <c r="JMM100" s="16"/>
      <c r="JMN100" s="16"/>
      <c r="JMO100" s="16"/>
      <c r="JMP100" s="16"/>
      <c r="JMQ100" s="16"/>
      <c r="JMR100" s="16"/>
      <c r="JMS100" s="16"/>
      <c r="JMT100" s="16"/>
      <c r="JMU100" s="16"/>
      <c r="JMV100" s="16"/>
      <c r="JMW100" s="16"/>
      <c r="JMX100" s="16"/>
      <c r="JMY100" s="16"/>
      <c r="JMZ100" s="16"/>
      <c r="JNA100" s="16"/>
      <c r="JNB100" s="16"/>
      <c r="JNC100" s="16"/>
      <c r="JND100" s="16"/>
      <c r="JNE100" s="16"/>
      <c r="JNF100" s="16"/>
      <c r="JNG100" s="16"/>
      <c r="JNH100" s="16"/>
      <c r="JNI100" s="16"/>
      <c r="JNJ100" s="16"/>
      <c r="JNK100" s="16"/>
      <c r="JNL100" s="16"/>
      <c r="JNM100" s="16"/>
      <c r="JNN100" s="16"/>
      <c r="JNO100" s="16"/>
      <c r="JNP100" s="16"/>
      <c r="JNQ100" s="16"/>
      <c r="JNR100" s="16"/>
      <c r="JNS100" s="16"/>
      <c r="JNT100" s="16"/>
      <c r="JNU100" s="16"/>
      <c r="JNV100" s="16"/>
      <c r="JNW100" s="16"/>
      <c r="JNX100" s="16"/>
      <c r="JNY100" s="16"/>
      <c r="JNZ100" s="16"/>
      <c r="JOA100" s="16"/>
      <c r="JOB100" s="16"/>
      <c r="JOC100" s="16"/>
      <c r="JOD100" s="16"/>
      <c r="JOE100" s="16"/>
      <c r="JOF100" s="16"/>
      <c r="JOG100" s="16"/>
      <c r="JOH100" s="16"/>
      <c r="JOI100" s="16"/>
      <c r="JOJ100" s="16"/>
      <c r="JOK100" s="16"/>
      <c r="JOL100" s="16"/>
      <c r="JOM100" s="16"/>
      <c r="JON100" s="16"/>
      <c r="JOO100" s="16"/>
      <c r="JOP100" s="16"/>
      <c r="JOQ100" s="16"/>
      <c r="JOR100" s="16"/>
      <c r="JOS100" s="16"/>
      <c r="JOT100" s="16"/>
      <c r="JOU100" s="16"/>
      <c r="JOV100" s="16"/>
      <c r="JOW100" s="16"/>
      <c r="JOX100" s="16"/>
      <c r="JOY100" s="16"/>
      <c r="JOZ100" s="16"/>
      <c r="JPA100" s="16"/>
      <c r="JPB100" s="16"/>
      <c r="JPC100" s="16"/>
      <c r="JPD100" s="16"/>
      <c r="JPE100" s="16"/>
      <c r="JPF100" s="16"/>
      <c r="JPG100" s="16"/>
      <c r="JPH100" s="16"/>
      <c r="JPI100" s="16"/>
      <c r="JPJ100" s="16"/>
      <c r="JPK100" s="16"/>
      <c r="JPL100" s="16"/>
      <c r="JPM100" s="16"/>
      <c r="JPN100" s="16"/>
      <c r="JPO100" s="16"/>
      <c r="JPP100" s="16"/>
      <c r="JPQ100" s="16"/>
      <c r="JPR100" s="16"/>
      <c r="JPS100" s="16"/>
      <c r="JPT100" s="16"/>
      <c r="JPU100" s="16"/>
      <c r="JPV100" s="16"/>
      <c r="JPW100" s="16"/>
      <c r="JPX100" s="16"/>
      <c r="JPY100" s="16"/>
      <c r="JPZ100" s="16"/>
      <c r="JQA100" s="16"/>
      <c r="JQB100" s="16"/>
      <c r="JQC100" s="16"/>
      <c r="JQD100" s="16"/>
      <c r="JQE100" s="16"/>
      <c r="JQF100" s="16"/>
      <c r="JQG100" s="16"/>
      <c r="JQH100" s="16"/>
      <c r="JQI100" s="16"/>
      <c r="JQJ100" s="16"/>
      <c r="JQK100" s="16"/>
      <c r="JQL100" s="16"/>
      <c r="JQM100" s="16"/>
      <c r="JQN100" s="16"/>
      <c r="JQO100" s="16"/>
      <c r="JQP100" s="16"/>
      <c r="JQQ100" s="16"/>
      <c r="JQR100" s="16"/>
      <c r="JQS100" s="16"/>
      <c r="JQT100" s="16"/>
      <c r="JQU100" s="16"/>
      <c r="JQV100" s="16"/>
      <c r="JQW100" s="16"/>
      <c r="JQX100" s="16"/>
      <c r="JQY100" s="16"/>
      <c r="JQZ100" s="16"/>
      <c r="JRA100" s="16"/>
      <c r="JRB100" s="16"/>
      <c r="JRC100" s="16"/>
      <c r="JRD100" s="16"/>
      <c r="JRE100" s="16"/>
      <c r="JRF100" s="16"/>
      <c r="JRG100" s="16"/>
      <c r="JRH100" s="16"/>
      <c r="JRI100" s="16"/>
      <c r="JRJ100" s="16"/>
      <c r="JRK100" s="16"/>
      <c r="JRL100" s="16"/>
      <c r="JRM100" s="16"/>
      <c r="JRN100" s="16"/>
      <c r="JRO100" s="16"/>
      <c r="JRP100" s="16"/>
      <c r="JRQ100" s="16"/>
      <c r="JRR100" s="16"/>
      <c r="JRS100" s="16"/>
      <c r="JRT100" s="16"/>
      <c r="JRU100" s="16"/>
      <c r="JRV100" s="16"/>
      <c r="JRW100" s="16"/>
      <c r="JRX100" s="16"/>
      <c r="JRY100" s="16"/>
      <c r="JRZ100" s="16"/>
      <c r="JSA100" s="16"/>
      <c r="JSB100" s="16"/>
      <c r="JSC100" s="16"/>
      <c r="JSD100" s="16"/>
      <c r="JSE100" s="16"/>
      <c r="JSF100" s="16"/>
      <c r="JSG100" s="16"/>
      <c r="JSH100" s="16"/>
      <c r="JSI100" s="16"/>
      <c r="JSJ100" s="16"/>
      <c r="JSK100" s="16"/>
      <c r="JSL100" s="16"/>
      <c r="JSM100" s="16"/>
      <c r="JSN100" s="16"/>
      <c r="JSO100" s="16"/>
      <c r="JSP100" s="16"/>
      <c r="JSQ100" s="16"/>
      <c r="JSR100" s="16"/>
      <c r="JSS100" s="16"/>
      <c r="JST100" s="16"/>
      <c r="JSU100" s="16"/>
      <c r="JSV100" s="16"/>
      <c r="JSW100" s="16"/>
      <c r="JSX100" s="16"/>
      <c r="JSY100" s="16"/>
      <c r="JSZ100" s="16"/>
      <c r="JTA100" s="16"/>
      <c r="JTB100" s="16"/>
      <c r="JTC100" s="16"/>
      <c r="JTD100" s="16"/>
      <c r="JTE100" s="16"/>
      <c r="JTF100" s="16"/>
      <c r="JTG100" s="16"/>
      <c r="JTH100" s="16"/>
      <c r="JTI100" s="16"/>
      <c r="JTJ100" s="16"/>
      <c r="JTK100" s="16"/>
      <c r="JTL100" s="16"/>
      <c r="JTM100" s="16"/>
      <c r="JTN100" s="16"/>
      <c r="JTO100" s="16"/>
      <c r="JTP100" s="16"/>
      <c r="JTQ100" s="16"/>
      <c r="JTR100" s="16"/>
      <c r="JTS100" s="16"/>
      <c r="JTT100" s="16"/>
      <c r="JTU100" s="16"/>
      <c r="JTV100" s="16"/>
      <c r="JTW100" s="16"/>
      <c r="JTX100" s="16"/>
      <c r="JTY100" s="16"/>
      <c r="JTZ100" s="16"/>
      <c r="JUA100" s="16"/>
      <c r="JUB100" s="16"/>
      <c r="JUC100" s="16"/>
      <c r="JUD100" s="16"/>
      <c r="JUE100" s="16"/>
      <c r="JUF100" s="16"/>
      <c r="JUG100" s="16"/>
      <c r="JUH100" s="16"/>
      <c r="JUI100" s="16"/>
      <c r="JUJ100" s="16"/>
      <c r="JUK100" s="16"/>
      <c r="JUL100" s="16"/>
      <c r="JUM100" s="16"/>
      <c r="JUN100" s="16"/>
      <c r="JUO100" s="16"/>
      <c r="JUP100" s="16"/>
      <c r="JUQ100" s="16"/>
      <c r="JUR100" s="16"/>
      <c r="JUS100" s="16"/>
      <c r="JUT100" s="16"/>
      <c r="JUU100" s="16"/>
      <c r="JUV100" s="16"/>
      <c r="JUW100" s="16"/>
      <c r="JUX100" s="16"/>
      <c r="JUY100" s="16"/>
      <c r="JUZ100" s="16"/>
      <c r="JVA100" s="16"/>
      <c r="JVB100" s="16"/>
      <c r="JVC100" s="16"/>
      <c r="JVD100" s="16"/>
      <c r="JVE100" s="16"/>
      <c r="JVF100" s="16"/>
      <c r="JVG100" s="16"/>
      <c r="JVH100" s="16"/>
      <c r="JVI100" s="16"/>
      <c r="JVJ100" s="16"/>
      <c r="JVK100" s="16"/>
      <c r="JVL100" s="16"/>
      <c r="JVM100" s="16"/>
      <c r="JVN100" s="16"/>
      <c r="JVO100" s="16"/>
      <c r="JVP100" s="16"/>
      <c r="JVQ100" s="16"/>
      <c r="JVR100" s="16"/>
      <c r="JVS100" s="16"/>
      <c r="JVT100" s="16"/>
      <c r="JVU100" s="16"/>
      <c r="JVV100" s="16"/>
      <c r="JVW100" s="16"/>
      <c r="JVX100" s="16"/>
      <c r="JVY100" s="16"/>
      <c r="JVZ100" s="16"/>
      <c r="JWA100" s="16"/>
      <c r="JWB100" s="16"/>
      <c r="JWC100" s="16"/>
      <c r="JWD100" s="16"/>
      <c r="JWE100" s="16"/>
      <c r="JWF100" s="16"/>
      <c r="JWG100" s="16"/>
      <c r="JWH100" s="16"/>
      <c r="JWI100" s="16"/>
      <c r="JWJ100" s="16"/>
      <c r="JWK100" s="16"/>
      <c r="JWL100" s="16"/>
      <c r="JWM100" s="16"/>
      <c r="JWN100" s="16"/>
      <c r="JWO100" s="16"/>
      <c r="JWP100" s="16"/>
      <c r="JWQ100" s="16"/>
      <c r="JWR100" s="16"/>
      <c r="JWS100" s="16"/>
      <c r="JWT100" s="16"/>
      <c r="JWU100" s="16"/>
      <c r="JWV100" s="16"/>
      <c r="JWW100" s="16"/>
      <c r="JWX100" s="16"/>
      <c r="JWY100" s="16"/>
      <c r="JWZ100" s="16"/>
      <c r="JXA100" s="16"/>
      <c r="JXB100" s="16"/>
      <c r="JXC100" s="16"/>
      <c r="JXD100" s="16"/>
      <c r="JXE100" s="16"/>
      <c r="JXF100" s="16"/>
      <c r="JXG100" s="16"/>
      <c r="JXH100" s="16"/>
      <c r="JXI100" s="16"/>
      <c r="JXJ100" s="16"/>
      <c r="JXK100" s="16"/>
      <c r="JXL100" s="16"/>
      <c r="JXM100" s="16"/>
      <c r="JXN100" s="16"/>
      <c r="JXO100" s="16"/>
      <c r="JXP100" s="16"/>
      <c r="JXQ100" s="16"/>
      <c r="JXR100" s="16"/>
      <c r="JXS100" s="16"/>
      <c r="JXT100" s="16"/>
      <c r="JXU100" s="16"/>
      <c r="JXV100" s="16"/>
      <c r="JXW100" s="16"/>
      <c r="JXX100" s="16"/>
      <c r="JXY100" s="16"/>
      <c r="JXZ100" s="16"/>
      <c r="JYA100" s="16"/>
      <c r="JYB100" s="16"/>
      <c r="JYC100" s="16"/>
      <c r="JYD100" s="16"/>
      <c r="JYE100" s="16"/>
      <c r="JYF100" s="16"/>
      <c r="JYG100" s="16"/>
      <c r="JYH100" s="16"/>
      <c r="JYI100" s="16"/>
      <c r="JYJ100" s="16"/>
      <c r="JYK100" s="16"/>
      <c r="JYL100" s="16"/>
      <c r="JYM100" s="16"/>
      <c r="JYN100" s="16"/>
      <c r="JYO100" s="16"/>
      <c r="JYP100" s="16"/>
      <c r="JYQ100" s="16"/>
      <c r="JYR100" s="16"/>
      <c r="JYS100" s="16"/>
      <c r="JYT100" s="16"/>
      <c r="JYU100" s="16"/>
      <c r="JYV100" s="16"/>
      <c r="JYW100" s="16"/>
      <c r="JYX100" s="16"/>
      <c r="JYY100" s="16"/>
      <c r="JYZ100" s="16"/>
      <c r="JZA100" s="16"/>
      <c r="JZB100" s="16"/>
      <c r="JZC100" s="16"/>
      <c r="JZD100" s="16"/>
      <c r="JZE100" s="16"/>
      <c r="JZF100" s="16"/>
      <c r="JZG100" s="16"/>
      <c r="JZH100" s="16"/>
      <c r="JZI100" s="16"/>
      <c r="JZJ100" s="16"/>
      <c r="JZK100" s="16"/>
      <c r="JZL100" s="16"/>
      <c r="JZM100" s="16"/>
      <c r="JZN100" s="16"/>
      <c r="JZO100" s="16"/>
      <c r="JZP100" s="16"/>
      <c r="JZQ100" s="16"/>
      <c r="JZR100" s="16"/>
      <c r="JZS100" s="16"/>
      <c r="JZT100" s="16"/>
      <c r="JZU100" s="16"/>
      <c r="JZV100" s="16"/>
      <c r="JZW100" s="16"/>
      <c r="JZX100" s="16"/>
      <c r="JZY100" s="16"/>
      <c r="JZZ100" s="16"/>
      <c r="KAA100" s="16"/>
      <c r="KAB100" s="16"/>
      <c r="KAC100" s="16"/>
      <c r="KAD100" s="16"/>
      <c r="KAE100" s="16"/>
      <c r="KAF100" s="16"/>
      <c r="KAG100" s="16"/>
      <c r="KAH100" s="16"/>
      <c r="KAI100" s="16"/>
      <c r="KAJ100" s="16"/>
      <c r="KAK100" s="16"/>
      <c r="KAL100" s="16"/>
      <c r="KAM100" s="16"/>
      <c r="KAN100" s="16"/>
      <c r="KAO100" s="16"/>
      <c r="KAP100" s="16"/>
      <c r="KAQ100" s="16"/>
      <c r="KAR100" s="16"/>
      <c r="KAS100" s="16"/>
      <c r="KAT100" s="16"/>
      <c r="KAU100" s="16"/>
      <c r="KAV100" s="16"/>
      <c r="KAW100" s="16"/>
      <c r="KAX100" s="16"/>
      <c r="KAY100" s="16"/>
      <c r="KAZ100" s="16"/>
      <c r="KBA100" s="16"/>
      <c r="KBB100" s="16"/>
      <c r="KBC100" s="16"/>
      <c r="KBD100" s="16"/>
      <c r="KBE100" s="16"/>
      <c r="KBF100" s="16"/>
      <c r="KBG100" s="16"/>
      <c r="KBH100" s="16"/>
      <c r="KBI100" s="16"/>
      <c r="KBJ100" s="16"/>
      <c r="KBK100" s="16"/>
      <c r="KBL100" s="16"/>
      <c r="KBM100" s="16"/>
      <c r="KBN100" s="16"/>
      <c r="KBO100" s="16"/>
      <c r="KBP100" s="16"/>
      <c r="KBQ100" s="16"/>
      <c r="KBR100" s="16"/>
      <c r="KBS100" s="16"/>
      <c r="KBT100" s="16"/>
      <c r="KBU100" s="16"/>
      <c r="KBV100" s="16"/>
      <c r="KBW100" s="16"/>
      <c r="KBX100" s="16"/>
      <c r="KBY100" s="16"/>
      <c r="KBZ100" s="16"/>
      <c r="KCA100" s="16"/>
      <c r="KCB100" s="16"/>
      <c r="KCC100" s="16"/>
      <c r="KCD100" s="16"/>
      <c r="KCE100" s="16"/>
      <c r="KCF100" s="16"/>
      <c r="KCG100" s="16"/>
      <c r="KCH100" s="16"/>
      <c r="KCI100" s="16"/>
      <c r="KCJ100" s="16"/>
      <c r="KCK100" s="16"/>
      <c r="KCL100" s="16"/>
      <c r="KCM100" s="16"/>
      <c r="KCN100" s="16"/>
      <c r="KCO100" s="16"/>
      <c r="KCP100" s="16"/>
      <c r="KCQ100" s="16"/>
      <c r="KCR100" s="16"/>
      <c r="KCS100" s="16"/>
      <c r="KCT100" s="16"/>
      <c r="KCU100" s="16"/>
      <c r="KCV100" s="16"/>
      <c r="KCW100" s="16"/>
      <c r="KCX100" s="16"/>
      <c r="KCY100" s="16"/>
      <c r="KCZ100" s="16"/>
      <c r="KDA100" s="16"/>
      <c r="KDB100" s="16"/>
      <c r="KDC100" s="16"/>
      <c r="KDD100" s="16"/>
      <c r="KDE100" s="16"/>
      <c r="KDF100" s="16"/>
      <c r="KDG100" s="16"/>
      <c r="KDH100" s="16"/>
      <c r="KDI100" s="16"/>
      <c r="KDJ100" s="16"/>
      <c r="KDK100" s="16"/>
      <c r="KDL100" s="16"/>
      <c r="KDM100" s="16"/>
      <c r="KDN100" s="16"/>
      <c r="KDO100" s="16"/>
      <c r="KDP100" s="16"/>
      <c r="KDQ100" s="16"/>
      <c r="KDR100" s="16"/>
      <c r="KDS100" s="16"/>
      <c r="KDT100" s="16"/>
      <c r="KDU100" s="16"/>
      <c r="KDV100" s="16"/>
      <c r="KDW100" s="16"/>
      <c r="KDX100" s="16"/>
      <c r="KDY100" s="16"/>
      <c r="KDZ100" s="16"/>
      <c r="KEA100" s="16"/>
      <c r="KEB100" s="16"/>
      <c r="KEC100" s="16"/>
      <c r="KED100" s="16"/>
      <c r="KEE100" s="16"/>
      <c r="KEF100" s="16"/>
      <c r="KEG100" s="16"/>
      <c r="KEH100" s="16"/>
      <c r="KEI100" s="16"/>
      <c r="KEJ100" s="16"/>
      <c r="KEK100" s="16"/>
      <c r="KEL100" s="16"/>
      <c r="KEM100" s="16"/>
      <c r="KEN100" s="16"/>
      <c r="KEO100" s="16"/>
      <c r="KEP100" s="16"/>
      <c r="KEQ100" s="16"/>
      <c r="KER100" s="16"/>
      <c r="KES100" s="16"/>
      <c r="KET100" s="16"/>
      <c r="KEU100" s="16"/>
      <c r="KEV100" s="16"/>
      <c r="KEW100" s="16"/>
      <c r="KEX100" s="16"/>
      <c r="KEY100" s="16"/>
      <c r="KEZ100" s="16"/>
      <c r="KFA100" s="16"/>
      <c r="KFB100" s="16"/>
      <c r="KFC100" s="16"/>
      <c r="KFD100" s="16"/>
      <c r="KFE100" s="16"/>
      <c r="KFF100" s="16"/>
      <c r="KFG100" s="16"/>
      <c r="KFH100" s="16"/>
      <c r="KFI100" s="16"/>
      <c r="KFJ100" s="16"/>
      <c r="KFK100" s="16"/>
      <c r="KFL100" s="16"/>
      <c r="KFM100" s="16"/>
      <c r="KFN100" s="16"/>
      <c r="KFO100" s="16"/>
      <c r="KFP100" s="16"/>
      <c r="KFQ100" s="16"/>
      <c r="KFR100" s="16"/>
      <c r="KFS100" s="16"/>
      <c r="KFT100" s="16"/>
      <c r="KFU100" s="16"/>
      <c r="KFV100" s="16"/>
      <c r="KFW100" s="16"/>
      <c r="KFX100" s="16"/>
      <c r="KFY100" s="16"/>
      <c r="KFZ100" s="16"/>
      <c r="KGA100" s="16"/>
      <c r="KGB100" s="16"/>
      <c r="KGC100" s="16"/>
      <c r="KGD100" s="16"/>
      <c r="KGE100" s="16"/>
      <c r="KGF100" s="16"/>
      <c r="KGG100" s="16"/>
      <c r="KGH100" s="16"/>
      <c r="KGI100" s="16"/>
      <c r="KGJ100" s="16"/>
      <c r="KGK100" s="16"/>
      <c r="KGL100" s="16"/>
      <c r="KGM100" s="16"/>
      <c r="KGN100" s="16"/>
      <c r="KGO100" s="16"/>
      <c r="KGP100" s="16"/>
      <c r="KGQ100" s="16"/>
      <c r="KGR100" s="16"/>
      <c r="KGS100" s="16"/>
      <c r="KGT100" s="16"/>
      <c r="KGU100" s="16"/>
      <c r="KGV100" s="16"/>
      <c r="KGW100" s="16"/>
      <c r="KGX100" s="16"/>
      <c r="KGY100" s="16"/>
      <c r="KGZ100" s="16"/>
      <c r="KHA100" s="16"/>
      <c r="KHB100" s="16"/>
      <c r="KHC100" s="16"/>
      <c r="KHD100" s="16"/>
      <c r="KHE100" s="16"/>
      <c r="KHF100" s="16"/>
      <c r="KHG100" s="16"/>
      <c r="KHH100" s="16"/>
      <c r="KHI100" s="16"/>
      <c r="KHJ100" s="16"/>
      <c r="KHK100" s="16"/>
      <c r="KHL100" s="16"/>
      <c r="KHM100" s="16"/>
      <c r="KHN100" s="16"/>
      <c r="KHO100" s="16"/>
      <c r="KHP100" s="16"/>
      <c r="KHQ100" s="16"/>
      <c r="KHR100" s="16"/>
      <c r="KHS100" s="16"/>
      <c r="KHT100" s="16"/>
      <c r="KHU100" s="16"/>
      <c r="KHV100" s="16"/>
      <c r="KHW100" s="16"/>
      <c r="KHX100" s="16"/>
      <c r="KHY100" s="16"/>
      <c r="KHZ100" s="16"/>
      <c r="KIA100" s="16"/>
      <c r="KIB100" s="16"/>
      <c r="KIC100" s="16"/>
      <c r="KID100" s="16"/>
      <c r="KIE100" s="16"/>
      <c r="KIF100" s="16"/>
      <c r="KIG100" s="16"/>
      <c r="KIH100" s="16"/>
      <c r="KII100" s="16"/>
      <c r="KIJ100" s="16"/>
      <c r="KIK100" s="16"/>
      <c r="KIL100" s="16"/>
      <c r="KIM100" s="16"/>
      <c r="KIN100" s="16"/>
      <c r="KIO100" s="16"/>
      <c r="KIP100" s="16"/>
      <c r="KIQ100" s="16"/>
      <c r="KIR100" s="16"/>
      <c r="KIS100" s="16"/>
      <c r="KIT100" s="16"/>
      <c r="KIU100" s="16"/>
      <c r="KIV100" s="16"/>
      <c r="KIW100" s="16"/>
      <c r="KIX100" s="16"/>
      <c r="KIY100" s="16"/>
      <c r="KIZ100" s="16"/>
      <c r="KJA100" s="16"/>
      <c r="KJB100" s="16"/>
      <c r="KJC100" s="16"/>
      <c r="KJD100" s="16"/>
      <c r="KJE100" s="16"/>
      <c r="KJF100" s="16"/>
      <c r="KJG100" s="16"/>
      <c r="KJH100" s="16"/>
      <c r="KJI100" s="16"/>
      <c r="KJJ100" s="16"/>
      <c r="KJK100" s="16"/>
      <c r="KJL100" s="16"/>
      <c r="KJM100" s="16"/>
      <c r="KJN100" s="16"/>
      <c r="KJO100" s="16"/>
      <c r="KJP100" s="16"/>
      <c r="KJQ100" s="16"/>
      <c r="KJR100" s="16"/>
      <c r="KJS100" s="16"/>
      <c r="KJT100" s="16"/>
      <c r="KJU100" s="16"/>
      <c r="KJV100" s="16"/>
      <c r="KJW100" s="16"/>
      <c r="KJX100" s="16"/>
      <c r="KJY100" s="16"/>
      <c r="KJZ100" s="16"/>
      <c r="KKA100" s="16"/>
      <c r="KKB100" s="16"/>
      <c r="KKC100" s="16"/>
      <c r="KKD100" s="16"/>
      <c r="KKE100" s="16"/>
      <c r="KKF100" s="16"/>
      <c r="KKG100" s="16"/>
      <c r="KKH100" s="16"/>
      <c r="KKI100" s="16"/>
      <c r="KKJ100" s="16"/>
      <c r="KKK100" s="16"/>
      <c r="KKL100" s="16"/>
      <c r="KKM100" s="16"/>
      <c r="KKN100" s="16"/>
      <c r="KKO100" s="16"/>
      <c r="KKP100" s="16"/>
      <c r="KKQ100" s="16"/>
      <c r="KKR100" s="16"/>
      <c r="KKS100" s="16"/>
      <c r="KKT100" s="16"/>
      <c r="KKU100" s="16"/>
      <c r="KKV100" s="16"/>
      <c r="KKW100" s="16"/>
      <c r="KKX100" s="16"/>
      <c r="KKY100" s="16"/>
      <c r="KKZ100" s="16"/>
      <c r="KLA100" s="16"/>
      <c r="KLB100" s="16"/>
      <c r="KLC100" s="16"/>
      <c r="KLD100" s="16"/>
      <c r="KLE100" s="16"/>
      <c r="KLF100" s="16"/>
      <c r="KLG100" s="16"/>
      <c r="KLH100" s="16"/>
      <c r="KLI100" s="16"/>
      <c r="KLJ100" s="16"/>
      <c r="KLK100" s="16"/>
      <c r="KLL100" s="16"/>
      <c r="KLM100" s="16"/>
      <c r="KLN100" s="16"/>
      <c r="KLO100" s="16"/>
      <c r="KLP100" s="16"/>
      <c r="KLQ100" s="16"/>
      <c r="KLR100" s="16"/>
      <c r="KLS100" s="16"/>
      <c r="KLT100" s="16"/>
      <c r="KLU100" s="16"/>
      <c r="KLV100" s="16"/>
      <c r="KLW100" s="16"/>
      <c r="KLX100" s="16"/>
      <c r="KLY100" s="16"/>
      <c r="KLZ100" s="16"/>
      <c r="KMA100" s="16"/>
      <c r="KMB100" s="16"/>
      <c r="KMC100" s="16"/>
      <c r="KMD100" s="16"/>
      <c r="KME100" s="16"/>
      <c r="KMF100" s="16"/>
      <c r="KMG100" s="16"/>
      <c r="KMH100" s="16"/>
      <c r="KMI100" s="16"/>
      <c r="KMJ100" s="16"/>
      <c r="KMK100" s="16"/>
      <c r="KML100" s="16"/>
      <c r="KMM100" s="16"/>
      <c r="KMN100" s="16"/>
      <c r="KMO100" s="16"/>
      <c r="KMP100" s="16"/>
      <c r="KMQ100" s="16"/>
      <c r="KMR100" s="16"/>
      <c r="KMS100" s="16"/>
      <c r="KMT100" s="16"/>
      <c r="KMU100" s="16"/>
      <c r="KMV100" s="16"/>
      <c r="KMW100" s="16"/>
      <c r="KMX100" s="16"/>
      <c r="KMY100" s="16"/>
      <c r="KMZ100" s="16"/>
      <c r="KNA100" s="16"/>
      <c r="KNB100" s="16"/>
      <c r="KNC100" s="16"/>
      <c r="KND100" s="16"/>
      <c r="KNE100" s="16"/>
      <c r="KNF100" s="16"/>
      <c r="KNG100" s="16"/>
      <c r="KNH100" s="16"/>
      <c r="KNI100" s="16"/>
      <c r="KNJ100" s="16"/>
      <c r="KNK100" s="16"/>
      <c r="KNL100" s="16"/>
      <c r="KNM100" s="16"/>
      <c r="KNN100" s="16"/>
      <c r="KNO100" s="16"/>
      <c r="KNP100" s="16"/>
      <c r="KNQ100" s="16"/>
      <c r="KNR100" s="16"/>
      <c r="KNS100" s="16"/>
      <c r="KNT100" s="16"/>
      <c r="KNU100" s="16"/>
      <c r="KNV100" s="16"/>
      <c r="KNW100" s="16"/>
      <c r="KNX100" s="16"/>
      <c r="KNY100" s="16"/>
      <c r="KNZ100" s="16"/>
      <c r="KOA100" s="16"/>
      <c r="KOB100" s="16"/>
      <c r="KOC100" s="16"/>
      <c r="KOD100" s="16"/>
      <c r="KOE100" s="16"/>
      <c r="KOF100" s="16"/>
      <c r="KOG100" s="16"/>
      <c r="KOH100" s="16"/>
      <c r="KOI100" s="16"/>
      <c r="KOJ100" s="16"/>
      <c r="KOK100" s="16"/>
      <c r="KOL100" s="16"/>
      <c r="KOM100" s="16"/>
      <c r="KON100" s="16"/>
      <c r="KOO100" s="16"/>
      <c r="KOP100" s="16"/>
      <c r="KOQ100" s="16"/>
      <c r="KOR100" s="16"/>
      <c r="KOS100" s="16"/>
      <c r="KOT100" s="16"/>
      <c r="KOU100" s="16"/>
      <c r="KOV100" s="16"/>
      <c r="KOW100" s="16"/>
      <c r="KOX100" s="16"/>
      <c r="KOY100" s="16"/>
      <c r="KOZ100" s="16"/>
      <c r="KPA100" s="16"/>
      <c r="KPB100" s="16"/>
      <c r="KPC100" s="16"/>
      <c r="KPD100" s="16"/>
      <c r="KPE100" s="16"/>
      <c r="KPF100" s="16"/>
      <c r="KPG100" s="16"/>
      <c r="KPH100" s="16"/>
      <c r="KPI100" s="16"/>
      <c r="KPJ100" s="16"/>
      <c r="KPK100" s="16"/>
      <c r="KPL100" s="16"/>
      <c r="KPM100" s="16"/>
      <c r="KPN100" s="16"/>
      <c r="KPO100" s="16"/>
      <c r="KPP100" s="16"/>
      <c r="KPQ100" s="16"/>
      <c r="KPR100" s="16"/>
      <c r="KPS100" s="16"/>
      <c r="KPT100" s="16"/>
      <c r="KPU100" s="16"/>
      <c r="KPV100" s="16"/>
      <c r="KPW100" s="16"/>
      <c r="KPX100" s="16"/>
      <c r="KPY100" s="16"/>
      <c r="KPZ100" s="16"/>
      <c r="KQA100" s="16"/>
      <c r="KQB100" s="16"/>
      <c r="KQC100" s="16"/>
      <c r="KQD100" s="16"/>
      <c r="KQE100" s="16"/>
      <c r="KQF100" s="16"/>
      <c r="KQG100" s="16"/>
      <c r="KQH100" s="16"/>
      <c r="KQI100" s="16"/>
      <c r="KQJ100" s="16"/>
      <c r="KQK100" s="16"/>
      <c r="KQL100" s="16"/>
      <c r="KQM100" s="16"/>
      <c r="KQN100" s="16"/>
      <c r="KQO100" s="16"/>
      <c r="KQP100" s="16"/>
      <c r="KQQ100" s="16"/>
      <c r="KQR100" s="16"/>
      <c r="KQS100" s="16"/>
      <c r="KQT100" s="16"/>
      <c r="KQU100" s="16"/>
      <c r="KQV100" s="16"/>
      <c r="KQW100" s="16"/>
      <c r="KQX100" s="16"/>
      <c r="KQY100" s="16"/>
      <c r="KQZ100" s="16"/>
      <c r="KRA100" s="16"/>
      <c r="KRB100" s="16"/>
      <c r="KRC100" s="16"/>
      <c r="KRD100" s="16"/>
      <c r="KRE100" s="16"/>
      <c r="KRF100" s="16"/>
      <c r="KRG100" s="16"/>
      <c r="KRH100" s="16"/>
      <c r="KRI100" s="16"/>
      <c r="KRJ100" s="16"/>
      <c r="KRK100" s="16"/>
      <c r="KRL100" s="16"/>
      <c r="KRM100" s="16"/>
      <c r="KRN100" s="16"/>
      <c r="KRO100" s="16"/>
      <c r="KRP100" s="16"/>
      <c r="KRQ100" s="16"/>
      <c r="KRR100" s="16"/>
      <c r="KRS100" s="16"/>
      <c r="KRT100" s="16"/>
      <c r="KRU100" s="16"/>
      <c r="KRV100" s="16"/>
      <c r="KRW100" s="16"/>
      <c r="KRX100" s="16"/>
      <c r="KRY100" s="16"/>
      <c r="KRZ100" s="16"/>
      <c r="KSA100" s="16"/>
      <c r="KSB100" s="16"/>
      <c r="KSC100" s="16"/>
      <c r="KSD100" s="16"/>
      <c r="KSE100" s="16"/>
      <c r="KSF100" s="16"/>
      <c r="KSG100" s="16"/>
      <c r="KSH100" s="16"/>
      <c r="KSI100" s="16"/>
      <c r="KSJ100" s="16"/>
      <c r="KSK100" s="16"/>
      <c r="KSL100" s="16"/>
      <c r="KSM100" s="16"/>
      <c r="KSN100" s="16"/>
      <c r="KSO100" s="16"/>
      <c r="KSP100" s="16"/>
      <c r="KSQ100" s="16"/>
      <c r="KSR100" s="16"/>
      <c r="KSS100" s="16"/>
      <c r="KST100" s="16"/>
      <c r="KSU100" s="16"/>
      <c r="KSV100" s="16"/>
      <c r="KSW100" s="16"/>
      <c r="KSX100" s="16"/>
      <c r="KSY100" s="16"/>
      <c r="KSZ100" s="16"/>
      <c r="KTA100" s="16"/>
      <c r="KTB100" s="16"/>
      <c r="KTC100" s="16"/>
      <c r="KTD100" s="16"/>
      <c r="KTE100" s="16"/>
      <c r="KTF100" s="16"/>
      <c r="KTG100" s="16"/>
      <c r="KTH100" s="16"/>
      <c r="KTI100" s="16"/>
      <c r="KTJ100" s="16"/>
      <c r="KTK100" s="16"/>
      <c r="KTL100" s="16"/>
      <c r="KTM100" s="16"/>
      <c r="KTN100" s="16"/>
      <c r="KTO100" s="16"/>
      <c r="KTP100" s="16"/>
      <c r="KTQ100" s="16"/>
      <c r="KTR100" s="16"/>
      <c r="KTS100" s="16"/>
      <c r="KTT100" s="16"/>
      <c r="KTU100" s="16"/>
      <c r="KTV100" s="16"/>
      <c r="KTW100" s="16"/>
      <c r="KTX100" s="16"/>
      <c r="KTY100" s="16"/>
      <c r="KTZ100" s="16"/>
      <c r="KUA100" s="16"/>
      <c r="KUB100" s="16"/>
      <c r="KUC100" s="16"/>
      <c r="KUD100" s="16"/>
      <c r="KUE100" s="16"/>
      <c r="KUF100" s="16"/>
      <c r="KUG100" s="16"/>
      <c r="KUH100" s="16"/>
      <c r="KUI100" s="16"/>
      <c r="KUJ100" s="16"/>
      <c r="KUK100" s="16"/>
      <c r="KUL100" s="16"/>
      <c r="KUM100" s="16"/>
      <c r="KUN100" s="16"/>
      <c r="KUO100" s="16"/>
      <c r="KUP100" s="16"/>
      <c r="KUQ100" s="16"/>
      <c r="KUR100" s="16"/>
      <c r="KUS100" s="16"/>
      <c r="KUT100" s="16"/>
      <c r="KUU100" s="16"/>
      <c r="KUV100" s="16"/>
      <c r="KUW100" s="16"/>
      <c r="KUX100" s="16"/>
      <c r="KUY100" s="16"/>
      <c r="KUZ100" s="16"/>
      <c r="KVA100" s="16"/>
      <c r="KVB100" s="16"/>
      <c r="KVC100" s="16"/>
      <c r="KVD100" s="16"/>
      <c r="KVE100" s="16"/>
      <c r="KVF100" s="16"/>
      <c r="KVG100" s="16"/>
      <c r="KVH100" s="16"/>
      <c r="KVI100" s="16"/>
      <c r="KVJ100" s="16"/>
      <c r="KVK100" s="16"/>
      <c r="KVL100" s="16"/>
      <c r="KVM100" s="16"/>
      <c r="KVN100" s="16"/>
      <c r="KVO100" s="16"/>
      <c r="KVP100" s="16"/>
      <c r="KVQ100" s="16"/>
      <c r="KVR100" s="16"/>
      <c r="KVS100" s="16"/>
      <c r="KVT100" s="16"/>
      <c r="KVU100" s="16"/>
      <c r="KVV100" s="16"/>
      <c r="KVW100" s="16"/>
      <c r="KVX100" s="16"/>
      <c r="KVY100" s="16"/>
      <c r="KVZ100" s="16"/>
      <c r="KWA100" s="16"/>
      <c r="KWB100" s="16"/>
      <c r="KWC100" s="16"/>
      <c r="KWD100" s="16"/>
      <c r="KWE100" s="16"/>
      <c r="KWF100" s="16"/>
      <c r="KWG100" s="16"/>
      <c r="KWH100" s="16"/>
      <c r="KWI100" s="16"/>
      <c r="KWJ100" s="16"/>
      <c r="KWK100" s="16"/>
      <c r="KWL100" s="16"/>
      <c r="KWM100" s="16"/>
      <c r="KWN100" s="16"/>
      <c r="KWO100" s="16"/>
      <c r="KWP100" s="16"/>
      <c r="KWQ100" s="16"/>
      <c r="KWR100" s="16"/>
      <c r="KWS100" s="16"/>
      <c r="KWT100" s="16"/>
      <c r="KWU100" s="16"/>
      <c r="KWV100" s="16"/>
      <c r="KWW100" s="16"/>
      <c r="KWX100" s="16"/>
      <c r="KWY100" s="16"/>
      <c r="KWZ100" s="16"/>
      <c r="KXA100" s="16"/>
      <c r="KXB100" s="16"/>
      <c r="KXC100" s="16"/>
      <c r="KXD100" s="16"/>
      <c r="KXE100" s="16"/>
      <c r="KXF100" s="16"/>
      <c r="KXG100" s="16"/>
      <c r="KXH100" s="16"/>
      <c r="KXI100" s="16"/>
      <c r="KXJ100" s="16"/>
      <c r="KXK100" s="16"/>
      <c r="KXL100" s="16"/>
      <c r="KXM100" s="16"/>
      <c r="KXN100" s="16"/>
      <c r="KXO100" s="16"/>
      <c r="KXP100" s="16"/>
      <c r="KXQ100" s="16"/>
      <c r="KXR100" s="16"/>
      <c r="KXS100" s="16"/>
      <c r="KXT100" s="16"/>
      <c r="KXU100" s="16"/>
      <c r="KXV100" s="16"/>
      <c r="KXW100" s="16"/>
      <c r="KXX100" s="16"/>
      <c r="KXY100" s="16"/>
      <c r="KXZ100" s="16"/>
      <c r="KYA100" s="16"/>
      <c r="KYB100" s="16"/>
      <c r="KYC100" s="16"/>
      <c r="KYD100" s="16"/>
      <c r="KYE100" s="16"/>
      <c r="KYF100" s="16"/>
      <c r="KYG100" s="16"/>
      <c r="KYH100" s="16"/>
      <c r="KYI100" s="16"/>
      <c r="KYJ100" s="16"/>
      <c r="KYK100" s="16"/>
      <c r="KYL100" s="16"/>
      <c r="KYM100" s="16"/>
      <c r="KYN100" s="16"/>
      <c r="KYO100" s="16"/>
      <c r="KYP100" s="16"/>
      <c r="KYQ100" s="16"/>
      <c r="KYR100" s="16"/>
      <c r="KYS100" s="16"/>
      <c r="KYT100" s="16"/>
      <c r="KYU100" s="16"/>
      <c r="KYV100" s="16"/>
      <c r="KYW100" s="16"/>
      <c r="KYX100" s="16"/>
      <c r="KYY100" s="16"/>
      <c r="KYZ100" s="16"/>
      <c r="KZA100" s="16"/>
      <c r="KZB100" s="16"/>
      <c r="KZC100" s="16"/>
      <c r="KZD100" s="16"/>
      <c r="KZE100" s="16"/>
      <c r="KZF100" s="16"/>
      <c r="KZG100" s="16"/>
      <c r="KZH100" s="16"/>
      <c r="KZI100" s="16"/>
      <c r="KZJ100" s="16"/>
      <c r="KZK100" s="16"/>
      <c r="KZL100" s="16"/>
      <c r="KZM100" s="16"/>
      <c r="KZN100" s="16"/>
      <c r="KZO100" s="16"/>
      <c r="KZP100" s="16"/>
      <c r="KZQ100" s="16"/>
      <c r="KZR100" s="16"/>
      <c r="KZS100" s="16"/>
      <c r="KZT100" s="16"/>
      <c r="KZU100" s="16"/>
      <c r="KZV100" s="16"/>
      <c r="KZW100" s="16"/>
      <c r="KZX100" s="16"/>
      <c r="KZY100" s="16"/>
      <c r="KZZ100" s="16"/>
      <c r="LAA100" s="16"/>
      <c r="LAB100" s="16"/>
      <c r="LAC100" s="16"/>
      <c r="LAD100" s="16"/>
      <c r="LAE100" s="16"/>
      <c r="LAF100" s="16"/>
      <c r="LAG100" s="16"/>
      <c r="LAH100" s="16"/>
      <c r="LAI100" s="16"/>
      <c r="LAJ100" s="16"/>
      <c r="LAK100" s="16"/>
      <c r="LAL100" s="16"/>
      <c r="LAM100" s="16"/>
      <c r="LAN100" s="16"/>
      <c r="LAO100" s="16"/>
      <c r="LAP100" s="16"/>
      <c r="LAQ100" s="16"/>
      <c r="LAR100" s="16"/>
      <c r="LAS100" s="16"/>
      <c r="LAT100" s="16"/>
      <c r="LAU100" s="16"/>
      <c r="LAV100" s="16"/>
      <c r="LAW100" s="16"/>
      <c r="LAX100" s="16"/>
      <c r="LAY100" s="16"/>
      <c r="LAZ100" s="16"/>
      <c r="LBA100" s="16"/>
      <c r="LBB100" s="16"/>
      <c r="LBC100" s="16"/>
      <c r="LBD100" s="16"/>
      <c r="LBE100" s="16"/>
      <c r="LBF100" s="16"/>
      <c r="LBG100" s="16"/>
      <c r="LBH100" s="16"/>
      <c r="LBI100" s="16"/>
      <c r="LBJ100" s="16"/>
      <c r="LBK100" s="16"/>
      <c r="LBL100" s="16"/>
      <c r="LBM100" s="16"/>
      <c r="LBN100" s="16"/>
      <c r="LBO100" s="16"/>
      <c r="LBP100" s="16"/>
      <c r="LBQ100" s="16"/>
      <c r="LBR100" s="16"/>
      <c r="LBS100" s="16"/>
      <c r="LBT100" s="16"/>
      <c r="LBU100" s="16"/>
      <c r="LBV100" s="16"/>
      <c r="LBW100" s="16"/>
      <c r="LBX100" s="16"/>
      <c r="LBY100" s="16"/>
      <c r="LBZ100" s="16"/>
      <c r="LCA100" s="16"/>
      <c r="LCB100" s="16"/>
      <c r="LCC100" s="16"/>
      <c r="LCD100" s="16"/>
      <c r="LCE100" s="16"/>
      <c r="LCF100" s="16"/>
      <c r="LCG100" s="16"/>
      <c r="LCH100" s="16"/>
      <c r="LCI100" s="16"/>
      <c r="LCJ100" s="16"/>
      <c r="LCK100" s="16"/>
      <c r="LCL100" s="16"/>
      <c r="LCM100" s="16"/>
      <c r="LCN100" s="16"/>
      <c r="LCO100" s="16"/>
      <c r="LCP100" s="16"/>
      <c r="LCQ100" s="16"/>
      <c r="LCR100" s="16"/>
      <c r="LCS100" s="16"/>
      <c r="LCT100" s="16"/>
      <c r="LCU100" s="16"/>
      <c r="LCV100" s="16"/>
      <c r="LCW100" s="16"/>
      <c r="LCX100" s="16"/>
      <c r="LCY100" s="16"/>
      <c r="LCZ100" s="16"/>
      <c r="LDA100" s="16"/>
      <c r="LDB100" s="16"/>
      <c r="LDC100" s="16"/>
      <c r="LDD100" s="16"/>
      <c r="LDE100" s="16"/>
      <c r="LDF100" s="16"/>
      <c r="LDG100" s="16"/>
      <c r="LDH100" s="16"/>
      <c r="LDI100" s="16"/>
      <c r="LDJ100" s="16"/>
      <c r="LDK100" s="16"/>
      <c r="LDL100" s="16"/>
      <c r="LDM100" s="16"/>
      <c r="LDN100" s="16"/>
      <c r="LDO100" s="16"/>
      <c r="LDP100" s="16"/>
      <c r="LDQ100" s="16"/>
      <c r="LDR100" s="16"/>
      <c r="LDS100" s="16"/>
      <c r="LDT100" s="16"/>
      <c r="LDU100" s="16"/>
      <c r="LDV100" s="16"/>
      <c r="LDW100" s="16"/>
      <c r="LDX100" s="16"/>
      <c r="LDY100" s="16"/>
      <c r="LDZ100" s="16"/>
      <c r="LEA100" s="16"/>
      <c r="LEB100" s="16"/>
      <c r="LEC100" s="16"/>
      <c r="LED100" s="16"/>
      <c r="LEE100" s="16"/>
      <c r="LEF100" s="16"/>
      <c r="LEG100" s="16"/>
      <c r="LEH100" s="16"/>
      <c r="LEI100" s="16"/>
      <c r="LEJ100" s="16"/>
      <c r="LEK100" s="16"/>
      <c r="LEL100" s="16"/>
      <c r="LEM100" s="16"/>
      <c r="LEN100" s="16"/>
      <c r="LEO100" s="16"/>
      <c r="LEP100" s="16"/>
      <c r="LEQ100" s="16"/>
      <c r="LER100" s="16"/>
      <c r="LES100" s="16"/>
      <c r="LET100" s="16"/>
      <c r="LEU100" s="16"/>
      <c r="LEV100" s="16"/>
      <c r="LEW100" s="16"/>
      <c r="LEX100" s="16"/>
      <c r="LEY100" s="16"/>
      <c r="LEZ100" s="16"/>
      <c r="LFA100" s="16"/>
      <c r="LFB100" s="16"/>
      <c r="LFC100" s="16"/>
      <c r="LFD100" s="16"/>
      <c r="LFE100" s="16"/>
      <c r="LFF100" s="16"/>
      <c r="LFG100" s="16"/>
      <c r="LFH100" s="16"/>
      <c r="LFI100" s="16"/>
      <c r="LFJ100" s="16"/>
      <c r="LFK100" s="16"/>
      <c r="LFL100" s="16"/>
      <c r="LFM100" s="16"/>
      <c r="LFN100" s="16"/>
      <c r="LFO100" s="16"/>
      <c r="LFP100" s="16"/>
      <c r="LFQ100" s="16"/>
      <c r="LFR100" s="16"/>
      <c r="LFS100" s="16"/>
      <c r="LFT100" s="16"/>
      <c r="LFU100" s="16"/>
      <c r="LFV100" s="16"/>
      <c r="LFW100" s="16"/>
      <c r="LFX100" s="16"/>
      <c r="LFY100" s="16"/>
      <c r="LFZ100" s="16"/>
      <c r="LGA100" s="16"/>
      <c r="LGB100" s="16"/>
      <c r="LGC100" s="16"/>
      <c r="LGD100" s="16"/>
      <c r="LGE100" s="16"/>
      <c r="LGF100" s="16"/>
      <c r="LGG100" s="16"/>
      <c r="LGH100" s="16"/>
      <c r="LGI100" s="16"/>
      <c r="LGJ100" s="16"/>
      <c r="LGK100" s="16"/>
      <c r="LGL100" s="16"/>
      <c r="LGM100" s="16"/>
      <c r="LGN100" s="16"/>
      <c r="LGO100" s="16"/>
      <c r="LGP100" s="16"/>
      <c r="LGQ100" s="16"/>
      <c r="LGR100" s="16"/>
      <c r="LGS100" s="16"/>
      <c r="LGT100" s="16"/>
      <c r="LGU100" s="16"/>
      <c r="LGV100" s="16"/>
      <c r="LGW100" s="16"/>
      <c r="LGX100" s="16"/>
      <c r="LGY100" s="16"/>
      <c r="LGZ100" s="16"/>
      <c r="LHA100" s="16"/>
      <c r="LHB100" s="16"/>
      <c r="LHC100" s="16"/>
      <c r="LHD100" s="16"/>
      <c r="LHE100" s="16"/>
      <c r="LHF100" s="16"/>
      <c r="LHG100" s="16"/>
      <c r="LHH100" s="16"/>
      <c r="LHI100" s="16"/>
      <c r="LHJ100" s="16"/>
      <c r="LHK100" s="16"/>
      <c r="LHL100" s="16"/>
      <c r="LHM100" s="16"/>
      <c r="LHN100" s="16"/>
      <c r="LHO100" s="16"/>
      <c r="LHP100" s="16"/>
      <c r="LHQ100" s="16"/>
      <c r="LHR100" s="16"/>
      <c r="LHS100" s="16"/>
      <c r="LHT100" s="16"/>
      <c r="LHU100" s="16"/>
      <c r="LHV100" s="16"/>
      <c r="LHW100" s="16"/>
      <c r="LHX100" s="16"/>
      <c r="LHY100" s="16"/>
      <c r="LHZ100" s="16"/>
      <c r="LIA100" s="16"/>
      <c r="LIB100" s="16"/>
      <c r="LIC100" s="16"/>
      <c r="LID100" s="16"/>
      <c r="LIE100" s="16"/>
      <c r="LIF100" s="16"/>
      <c r="LIG100" s="16"/>
      <c r="LIH100" s="16"/>
      <c r="LII100" s="16"/>
      <c r="LIJ100" s="16"/>
      <c r="LIK100" s="16"/>
      <c r="LIL100" s="16"/>
      <c r="LIM100" s="16"/>
      <c r="LIN100" s="16"/>
      <c r="LIO100" s="16"/>
      <c r="LIP100" s="16"/>
      <c r="LIQ100" s="16"/>
      <c r="LIR100" s="16"/>
      <c r="LIS100" s="16"/>
      <c r="LIT100" s="16"/>
      <c r="LIU100" s="16"/>
      <c r="LIV100" s="16"/>
      <c r="LIW100" s="16"/>
      <c r="LIX100" s="16"/>
      <c r="LIY100" s="16"/>
      <c r="LIZ100" s="16"/>
      <c r="LJA100" s="16"/>
      <c r="LJB100" s="16"/>
      <c r="LJC100" s="16"/>
      <c r="LJD100" s="16"/>
      <c r="LJE100" s="16"/>
      <c r="LJF100" s="16"/>
      <c r="LJG100" s="16"/>
      <c r="LJH100" s="16"/>
      <c r="LJI100" s="16"/>
      <c r="LJJ100" s="16"/>
      <c r="LJK100" s="16"/>
      <c r="LJL100" s="16"/>
      <c r="LJM100" s="16"/>
      <c r="LJN100" s="16"/>
      <c r="LJO100" s="16"/>
      <c r="LJP100" s="16"/>
      <c r="LJQ100" s="16"/>
      <c r="LJR100" s="16"/>
      <c r="LJS100" s="16"/>
      <c r="LJT100" s="16"/>
      <c r="LJU100" s="16"/>
      <c r="LJV100" s="16"/>
      <c r="LJW100" s="16"/>
      <c r="LJX100" s="16"/>
      <c r="LJY100" s="16"/>
      <c r="LJZ100" s="16"/>
      <c r="LKA100" s="16"/>
      <c r="LKB100" s="16"/>
      <c r="LKC100" s="16"/>
      <c r="LKD100" s="16"/>
      <c r="LKE100" s="16"/>
      <c r="LKF100" s="16"/>
      <c r="LKG100" s="16"/>
      <c r="LKH100" s="16"/>
      <c r="LKI100" s="16"/>
      <c r="LKJ100" s="16"/>
      <c r="LKK100" s="16"/>
      <c r="LKL100" s="16"/>
      <c r="LKM100" s="16"/>
      <c r="LKN100" s="16"/>
      <c r="LKO100" s="16"/>
      <c r="LKP100" s="16"/>
      <c r="LKQ100" s="16"/>
      <c r="LKR100" s="16"/>
      <c r="LKS100" s="16"/>
      <c r="LKT100" s="16"/>
      <c r="LKU100" s="16"/>
      <c r="LKV100" s="16"/>
      <c r="LKW100" s="16"/>
      <c r="LKX100" s="16"/>
      <c r="LKY100" s="16"/>
      <c r="LKZ100" s="16"/>
      <c r="LLA100" s="16"/>
      <c r="LLB100" s="16"/>
      <c r="LLC100" s="16"/>
      <c r="LLD100" s="16"/>
      <c r="LLE100" s="16"/>
      <c r="LLF100" s="16"/>
      <c r="LLG100" s="16"/>
      <c r="LLH100" s="16"/>
      <c r="LLI100" s="16"/>
      <c r="LLJ100" s="16"/>
      <c r="LLK100" s="16"/>
      <c r="LLL100" s="16"/>
      <c r="LLM100" s="16"/>
      <c r="LLN100" s="16"/>
      <c r="LLO100" s="16"/>
      <c r="LLP100" s="16"/>
      <c r="LLQ100" s="16"/>
      <c r="LLR100" s="16"/>
      <c r="LLS100" s="16"/>
      <c r="LLT100" s="16"/>
      <c r="LLU100" s="16"/>
      <c r="LLV100" s="16"/>
      <c r="LLW100" s="16"/>
      <c r="LLX100" s="16"/>
      <c r="LLY100" s="16"/>
      <c r="LLZ100" s="16"/>
      <c r="LMA100" s="16"/>
      <c r="LMB100" s="16"/>
      <c r="LMC100" s="16"/>
      <c r="LMD100" s="16"/>
      <c r="LME100" s="16"/>
      <c r="LMF100" s="16"/>
      <c r="LMG100" s="16"/>
      <c r="LMH100" s="16"/>
      <c r="LMI100" s="16"/>
      <c r="LMJ100" s="16"/>
      <c r="LMK100" s="16"/>
      <c r="LML100" s="16"/>
      <c r="LMM100" s="16"/>
      <c r="LMN100" s="16"/>
      <c r="LMO100" s="16"/>
      <c r="LMP100" s="16"/>
      <c r="LMQ100" s="16"/>
      <c r="LMR100" s="16"/>
      <c r="LMS100" s="16"/>
      <c r="LMT100" s="16"/>
      <c r="LMU100" s="16"/>
      <c r="LMV100" s="16"/>
      <c r="LMW100" s="16"/>
      <c r="LMX100" s="16"/>
      <c r="LMY100" s="16"/>
      <c r="LMZ100" s="16"/>
      <c r="LNA100" s="16"/>
      <c r="LNB100" s="16"/>
      <c r="LNC100" s="16"/>
      <c r="LND100" s="16"/>
      <c r="LNE100" s="16"/>
      <c r="LNF100" s="16"/>
      <c r="LNG100" s="16"/>
      <c r="LNH100" s="16"/>
      <c r="LNI100" s="16"/>
      <c r="LNJ100" s="16"/>
      <c r="LNK100" s="16"/>
      <c r="LNL100" s="16"/>
      <c r="LNM100" s="16"/>
      <c r="LNN100" s="16"/>
      <c r="LNO100" s="16"/>
      <c r="LNP100" s="16"/>
      <c r="LNQ100" s="16"/>
      <c r="LNR100" s="16"/>
      <c r="LNS100" s="16"/>
      <c r="LNT100" s="16"/>
      <c r="LNU100" s="16"/>
      <c r="LNV100" s="16"/>
      <c r="LNW100" s="16"/>
      <c r="LNX100" s="16"/>
      <c r="LNY100" s="16"/>
      <c r="LNZ100" s="16"/>
      <c r="LOA100" s="16"/>
      <c r="LOB100" s="16"/>
      <c r="LOC100" s="16"/>
      <c r="LOD100" s="16"/>
      <c r="LOE100" s="16"/>
      <c r="LOF100" s="16"/>
      <c r="LOG100" s="16"/>
      <c r="LOH100" s="16"/>
      <c r="LOI100" s="16"/>
      <c r="LOJ100" s="16"/>
      <c r="LOK100" s="16"/>
      <c r="LOL100" s="16"/>
      <c r="LOM100" s="16"/>
      <c r="LON100" s="16"/>
      <c r="LOO100" s="16"/>
      <c r="LOP100" s="16"/>
      <c r="LOQ100" s="16"/>
      <c r="LOR100" s="16"/>
      <c r="LOS100" s="16"/>
      <c r="LOT100" s="16"/>
      <c r="LOU100" s="16"/>
      <c r="LOV100" s="16"/>
      <c r="LOW100" s="16"/>
      <c r="LOX100" s="16"/>
      <c r="LOY100" s="16"/>
      <c r="LOZ100" s="16"/>
      <c r="LPA100" s="16"/>
      <c r="LPB100" s="16"/>
      <c r="LPC100" s="16"/>
      <c r="LPD100" s="16"/>
      <c r="LPE100" s="16"/>
      <c r="LPF100" s="16"/>
      <c r="LPG100" s="16"/>
      <c r="LPH100" s="16"/>
      <c r="LPI100" s="16"/>
      <c r="LPJ100" s="16"/>
      <c r="LPK100" s="16"/>
      <c r="LPL100" s="16"/>
      <c r="LPM100" s="16"/>
      <c r="LPN100" s="16"/>
      <c r="LPO100" s="16"/>
      <c r="LPP100" s="16"/>
      <c r="LPQ100" s="16"/>
      <c r="LPR100" s="16"/>
      <c r="LPS100" s="16"/>
      <c r="LPT100" s="16"/>
      <c r="LPU100" s="16"/>
      <c r="LPV100" s="16"/>
      <c r="LPW100" s="16"/>
      <c r="LPX100" s="16"/>
      <c r="LPY100" s="16"/>
      <c r="LPZ100" s="16"/>
      <c r="LQA100" s="16"/>
      <c r="LQB100" s="16"/>
      <c r="LQC100" s="16"/>
      <c r="LQD100" s="16"/>
      <c r="LQE100" s="16"/>
      <c r="LQF100" s="16"/>
      <c r="LQG100" s="16"/>
      <c r="LQH100" s="16"/>
      <c r="LQI100" s="16"/>
      <c r="LQJ100" s="16"/>
      <c r="LQK100" s="16"/>
      <c r="LQL100" s="16"/>
      <c r="LQM100" s="16"/>
      <c r="LQN100" s="16"/>
      <c r="LQO100" s="16"/>
      <c r="LQP100" s="16"/>
      <c r="LQQ100" s="16"/>
      <c r="LQR100" s="16"/>
      <c r="LQS100" s="16"/>
      <c r="LQT100" s="16"/>
      <c r="LQU100" s="16"/>
      <c r="LQV100" s="16"/>
      <c r="LQW100" s="16"/>
      <c r="LQX100" s="16"/>
      <c r="LQY100" s="16"/>
      <c r="LQZ100" s="16"/>
      <c r="LRA100" s="16"/>
      <c r="LRB100" s="16"/>
      <c r="LRC100" s="16"/>
      <c r="LRD100" s="16"/>
      <c r="LRE100" s="16"/>
      <c r="LRF100" s="16"/>
      <c r="LRG100" s="16"/>
      <c r="LRH100" s="16"/>
      <c r="LRI100" s="16"/>
      <c r="LRJ100" s="16"/>
      <c r="LRK100" s="16"/>
      <c r="LRL100" s="16"/>
      <c r="LRM100" s="16"/>
      <c r="LRN100" s="16"/>
      <c r="LRO100" s="16"/>
      <c r="LRP100" s="16"/>
      <c r="LRQ100" s="16"/>
      <c r="LRR100" s="16"/>
      <c r="LRS100" s="16"/>
      <c r="LRT100" s="16"/>
      <c r="LRU100" s="16"/>
      <c r="LRV100" s="16"/>
      <c r="LRW100" s="16"/>
      <c r="LRX100" s="16"/>
      <c r="LRY100" s="16"/>
      <c r="LRZ100" s="16"/>
      <c r="LSA100" s="16"/>
      <c r="LSB100" s="16"/>
      <c r="LSC100" s="16"/>
      <c r="LSD100" s="16"/>
      <c r="LSE100" s="16"/>
      <c r="LSF100" s="16"/>
      <c r="LSG100" s="16"/>
      <c r="LSH100" s="16"/>
      <c r="LSI100" s="16"/>
      <c r="LSJ100" s="16"/>
      <c r="LSK100" s="16"/>
      <c r="LSL100" s="16"/>
      <c r="LSM100" s="16"/>
      <c r="LSN100" s="16"/>
      <c r="LSO100" s="16"/>
      <c r="LSP100" s="16"/>
      <c r="LSQ100" s="16"/>
      <c r="LSR100" s="16"/>
      <c r="LSS100" s="16"/>
      <c r="LST100" s="16"/>
      <c r="LSU100" s="16"/>
      <c r="LSV100" s="16"/>
      <c r="LSW100" s="16"/>
      <c r="LSX100" s="16"/>
      <c r="LSY100" s="16"/>
      <c r="LSZ100" s="16"/>
      <c r="LTA100" s="16"/>
      <c r="LTB100" s="16"/>
      <c r="LTC100" s="16"/>
      <c r="LTD100" s="16"/>
      <c r="LTE100" s="16"/>
      <c r="LTF100" s="16"/>
      <c r="LTG100" s="16"/>
      <c r="LTH100" s="16"/>
      <c r="LTI100" s="16"/>
      <c r="LTJ100" s="16"/>
      <c r="LTK100" s="16"/>
      <c r="LTL100" s="16"/>
      <c r="LTM100" s="16"/>
      <c r="LTN100" s="16"/>
      <c r="LTO100" s="16"/>
      <c r="LTP100" s="16"/>
      <c r="LTQ100" s="16"/>
      <c r="LTR100" s="16"/>
      <c r="LTS100" s="16"/>
      <c r="LTT100" s="16"/>
      <c r="LTU100" s="16"/>
      <c r="LTV100" s="16"/>
      <c r="LTW100" s="16"/>
      <c r="LTX100" s="16"/>
      <c r="LTY100" s="16"/>
      <c r="LTZ100" s="16"/>
      <c r="LUA100" s="16"/>
      <c r="LUB100" s="16"/>
      <c r="LUC100" s="16"/>
      <c r="LUD100" s="16"/>
      <c r="LUE100" s="16"/>
      <c r="LUF100" s="16"/>
      <c r="LUG100" s="16"/>
      <c r="LUH100" s="16"/>
      <c r="LUI100" s="16"/>
      <c r="LUJ100" s="16"/>
      <c r="LUK100" s="16"/>
      <c r="LUL100" s="16"/>
      <c r="LUM100" s="16"/>
      <c r="LUN100" s="16"/>
      <c r="LUO100" s="16"/>
      <c r="LUP100" s="16"/>
      <c r="LUQ100" s="16"/>
      <c r="LUR100" s="16"/>
      <c r="LUS100" s="16"/>
      <c r="LUT100" s="16"/>
      <c r="LUU100" s="16"/>
      <c r="LUV100" s="16"/>
      <c r="LUW100" s="16"/>
      <c r="LUX100" s="16"/>
      <c r="LUY100" s="16"/>
      <c r="LUZ100" s="16"/>
      <c r="LVA100" s="16"/>
      <c r="LVB100" s="16"/>
      <c r="LVC100" s="16"/>
      <c r="LVD100" s="16"/>
      <c r="LVE100" s="16"/>
      <c r="LVF100" s="16"/>
      <c r="LVG100" s="16"/>
      <c r="LVH100" s="16"/>
      <c r="LVI100" s="16"/>
      <c r="LVJ100" s="16"/>
      <c r="LVK100" s="16"/>
      <c r="LVL100" s="16"/>
      <c r="LVM100" s="16"/>
      <c r="LVN100" s="16"/>
      <c r="LVO100" s="16"/>
      <c r="LVP100" s="16"/>
      <c r="LVQ100" s="16"/>
      <c r="LVR100" s="16"/>
      <c r="LVS100" s="16"/>
      <c r="LVT100" s="16"/>
      <c r="LVU100" s="16"/>
      <c r="LVV100" s="16"/>
      <c r="LVW100" s="16"/>
      <c r="LVX100" s="16"/>
      <c r="LVY100" s="16"/>
      <c r="LVZ100" s="16"/>
      <c r="LWA100" s="16"/>
      <c r="LWB100" s="16"/>
      <c r="LWC100" s="16"/>
      <c r="LWD100" s="16"/>
      <c r="LWE100" s="16"/>
      <c r="LWF100" s="16"/>
      <c r="LWG100" s="16"/>
      <c r="LWH100" s="16"/>
      <c r="LWI100" s="16"/>
      <c r="LWJ100" s="16"/>
      <c r="LWK100" s="16"/>
      <c r="LWL100" s="16"/>
      <c r="LWM100" s="16"/>
      <c r="LWN100" s="16"/>
      <c r="LWO100" s="16"/>
      <c r="LWP100" s="16"/>
      <c r="LWQ100" s="16"/>
      <c r="LWR100" s="16"/>
      <c r="LWS100" s="16"/>
      <c r="LWT100" s="16"/>
      <c r="LWU100" s="16"/>
      <c r="LWV100" s="16"/>
      <c r="LWW100" s="16"/>
      <c r="LWX100" s="16"/>
      <c r="LWY100" s="16"/>
      <c r="LWZ100" s="16"/>
      <c r="LXA100" s="16"/>
      <c r="LXB100" s="16"/>
      <c r="LXC100" s="16"/>
      <c r="LXD100" s="16"/>
      <c r="LXE100" s="16"/>
      <c r="LXF100" s="16"/>
      <c r="LXG100" s="16"/>
      <c r="LXH100" s="16"/>
      <c r="LXI100" s="16"/>
      <c r="LXJ100" s="16"/>
      <c r="LXK100" s="16"/>
      <c r="LXL100" s="16"/>
      <c r="LXM100" s="16"/>
      <c r="LXN100" s="16"/>
      <c r="LXO100" s="16"/>
      <c r="LXP100" s="16"/>
      <c r="LXQ100" s="16"/>
      <c r="LXR100" s="16"/>
      <c r="LXS100" s="16"/>
      <c r="LXT100" s="16"/>
      <c r="LXU100" s="16"/>
      <c r="LXV100" s="16"/>
      <c r="LXW100" s="16"/>
      <c r="LXX100" s="16"/>
      <c r="LXY100" s="16"/>
      <c r="LXZ100" s="16"/>
      <c r="LYA100" s="16"/>
      <c r="LYB100" s="16"/>
      <c r="LYC100" s="16"/>
      <c r="LYD100" s="16"/>
      <c r="LYE100" s="16"/>
      <c r="LYF100" s="16"/>
      <c r="LYG100" s="16"/>
      <c r="LYH100" s="16"/>
      <c r="LYI100" s="16"/>
      <c r="LYJ100" s="16"/>
      <c r="LYK100" s="16"/>
      <c r="LYL100" s="16"/>
      <c r="LYM100" s="16"/>
      <c r="LYN100" s="16"/>
      <c r="LYO100" s="16"/>
      <c r="LYP100" s="16"/>
      <c r="LYQ100" s="16"/>
      <c r="LYR100" s="16"/>
      <c r="LYS100" s="16"/>
      <c r="LYT100" s="16"/>
      <c r="LYU100" s="16"/>
      <c r="LYV100" s="16"/>
      <c r="LYW100" s="16"/>
      <c r="LYX100" s="16"/>
      <c r="LYY100" s="16"/>
      <c r="LYZ100" s="16"/>
      <c r="LZA100" s="16"/>
      <c r="LZB100" s="16"/>
      <c r="LZC100" s="16"/>
      <c r="LZD100" s="16"/>
      <c r="LZE100" s="16"/>
      <c r="LZF100" s="16"/>
      <c r="LZG100" s="16"/>
      <c r="LZH100" s="16"/>
      <c r="LZI100" s="16"/>
      <c r="LZJ100" s="16"/>
      <c r="LZK100" s="16"/>
      <c r="LZL100" s="16"/>
      <c r="LZM100" s="16"/>
      <c r="LZN100" s="16"/>
      <c r="LZO100" s="16"/>
      <c r="LZP100" s="16"/>
      <c r="LZQ100" s="16"/>
      <c r="LZR100" s="16"/>
      <c r="LZS100" s="16"/>
      <c r="LZT100" s="16"/>
      <c r="LZU100" s="16"/>
      <c r="LZV100" s="16"/>
      <c r="LZW100" s="16"/>
      <c r="LZX100" s="16"/>
      <c r="LZY100" s="16"/>
      <c r="LZZ100" s="16"/>
      <c r="MAA100" s="16"/>
      <c r="MAB100" s="16"/>
      <c r="MAC100" s="16"/>
      <c r="MAD100" s="16"/>
      <c r="MAE100" s="16"/>
      <c r="MAF100" s="16"/>
      <c r="MAG100" s="16"/>
      <c r="MAH100" s="16"/>
      <c r="MAI100" s="16"/>
      <c r="MAJ100" s="16"/>
      <c r="MAK100" s="16"/>
      <c r="MAL100" s="16"/>
      <c r="MAM100" s="16"/>
      <c r="MAN100" s="16"/>
      <c r="MAO100" s="16"/>
      <c r="MAP100" s="16"/>
      <c r="MAQ100" s="16"/>
      <c r="MAR100" s="16"/>
      <c r="MAS100" s="16"/>
      <c r="MAT100" s="16"/>
      <c r="MAU100" s="16"/>
      <c r="MAV100" s="16"/>
      <c r="MAW100" s="16"/>
      <c r="MAX100" s="16"/>
      <c r="MAY100" s="16"/>
      <c r="MAZ100" s="16"/>
      <c r="MBA100" s="16"/>
      <c r="MBB100" s="16"/>
      <c r="MBC100" s="16"/>
      <c r="MBD100" s="16"/>
      <c r="MBE100" s="16"/>
      <c r="MBF100" s="16"/>
      <c r="MBG100" s="16"/>
      <c r="MBH100" s="16"/>
      <c r="MBI100" s="16"/>
      <c r="MBJ100" s="16"/>
      <c r="MBK100" s="16"/>
      <c r="MBL100" s="16"/>
      <c r="MBM100" s="16"/>
      <c r="MBN100" s="16"/>
      <c r="MBO100" s="16"/>
      <c r="MBP100" s="16"/>
      <c r="MBQ100" s="16"/>
      <c r="MBR100" s="16"/>
      <c r="MBS100" s="16"/>
      <c r="MBT100" s="16"/>
      <c r="MBU100" s="16"/>
      <c r="MBV100" s="16"/>
      <c r="MBW100" s="16"/>
      <c r="MBX100" s="16"/>
      <c r="MBY100" s="16"/>
      <c r="MBZ100" s="16"/>
      <c r="MCA100" s="16"/>
      <c r="MCB100" s="16"/>
      <c r="MCC100" s="16"/>
      <c r="MCD100" s="16"/>
      <c r="MCE100" s="16"/>
      <c r="MCF100" s="16"/>
      <c r="MCG100" s="16"/>
      <c r="MCH100" s="16"/>
      <c r="MCI100" s="16"/>
      <c r="MCJ100" s="16"/>
      <c r="MCK100" s="16"/>
      <c r="MCL100" s="16"/>
      <c r="MCM100" s="16"/>
      <c r="MCN100" s="16"/>
      <c r="MCO100" s="16"/>
      <c r="MCP100" s="16"/>
      <c r="MCQ100" s="16"/>
      <c r="MCR100" s="16"/>
      <c r="MCS100" s="16"/>
      <c r="MCT100" s="16"/>
      <c r="MCU100" s="16"/>
      <c r="MCV100" s="16"/>
      <c r="MCW100" s="16"/>
      <c r="MCX100" s="16"/>
      <c r="MCY100" s="16"/>
      <c r="MCZ100" s="16"/>
      <c r="MDA100" s="16"/>
      <c r="MDB100" s="16"/>
      <c r="MDC100" s="16"/>
      <c r="MDD100" s="16"/>
      <c r="MDE100" s="16"/>
      <c r="MDF100" s="16"/>
      <c r="MDG100" s="16"/>
      <c r="MDH100" s="16"/>
      <c r="MDI100" s="16"/>
      <c r="MDJ100" s="16"/>
      <c r="MDK100" s="16"/>
      <c r="MDL100" s="16"/>
      <c r="MDM100" s="16"/>
      <c r="MDN100" s="16"/>
      <c r="MDO100" s="16"/>
      <c r="MDP100" s="16"/>
      <c r="MDQ100" s="16"/>
      <c r="MDR100" s="16"/>
      <c r="MDS100" s="16"/>
      <c r="MDT100" s="16"/>
      <c r="MDU100" s="16"/>
      <c r="MDV100" s="16"/>
      <c r="MDW100" s="16"/>
      <c r="MDX100" s="16"/>
      <c r="MDY100" s="16"/>
      <c r="MDZ100" s="16"/>
      <c r="MEA100" s="16"/>
      <c r="MEB100" s="16"/>
      <c r="MEC100" s="16"/>
      <c r="MED100" s="16"/>
      <c r="MEE100" s="16"/>
      <c r="MEF100" s="16"/>
      <c r="MEG100" s="16"/>
      <c r="MEH100" s="16"/>
      <c r="MEI100" s="16"/>
      <c r="MEJ100" s="16"/>
      <c r="MEK100" s="16"/>
      <c r="MEL100" s="16"/>
      <c r="MEM100" s="16"/>
      <c r="MEN100" s="16"/>
      <c r="MEO100" s="16"/>
      <c r="MEP100" s="16"/>
      <c r="MEQ100" s="16"/>
      <c r="MER100" s="16"/>
      <c r="MES100" s="16"/>
      <c r="MET100" s="16"/>
      <c r="MEU100" s="16"/>
      <c r="MEV100" s="16"/>
      <c r="MEW100" s="16"/>
      <c r="MEX100" s="16"/>
      <c r="MEY100" s="16"/>
      <c r="MEZ100" s="16"/>
      <c r="MFA100" s="16"/>
      <c r="MFB100" s="16"/>
      <c r="MFC100" s="16"/>
      <c r="MFD100" s="16"/>
      <c r="MFE100" s="16"/>
      <c r="MFF100" s="16"/>
      <c r="MFG100" s="16"/>
      <c r="MFH100" s="16"/>
      <c r="MFI100" s="16"/>
      <c r="MFJ100" s="16"/>
      <c r="MFK100" s="16"/>
      <c r="MFL100" s="16"/>
      <c r="MFM100" s="16"/>
      <c r="MFN100" s="16"/>
      <c r="MFO100" s="16"/>
      <c r="MFP100" s="16"/>
      <c r="MFQ100" s="16"/>
      <c r="MFR100" s="16"/>
      <c r="MFS100" s="16"/>
      <c r="MFT100" s="16"/>
      <c r="MFU100" s="16"/>
      <c r="MFV100" s="16"/>
      <c r="MFW100" s="16"/>
      <c r="MFX100" s="16"/>
      <c r="MFY100" s="16"/>
      <c r="MFZ100" s="16"/>
      <c r="MGA100" s="16"/>
      <c r="MGB100" s="16"/>
      <c r="MGC100" s="16"/>
      <c r="MGD100" s="16"/>
      <c r="MGE100" s="16"/>
      <c r="MGF100" s="16"/>
      <c r="MGG100" s="16"/>
      <c r="MGH100" s="16"/>
      <c r="MGI100" s="16"/>
      <c r="MGJ100" s="16"/>
      <c r="MGK100" s="16"/>
      <c r="MGL100" s="16"/>
      <c r="MGM100" s="16"/>
      <c r="MGN100" s="16"/>
      <c r="MGO100" s="16"/>
      <c r="MGP100" s="16"/>
      <c r="MGQ100" s="16"/>
      <c r="MGR100" s="16"/>
      <c r="MGS100" s="16"/>
      <c r="MGT100" s="16"/>
      <c r="MGU100" s="16"/>
      <c r="MGV100" s="16"/>
      <c r="MGW100" s="16"/>
      <c r="MGX100" s="16"/>
      <c r="MGY100" s="16"/>
      <c r="MGZ100" s="16"/>
      <c r="MHA100" s="16"/>
      <c r="MHB100" s="16"/>
      <c r="MHC100" s="16"/>
      <c r="MHD100" s="16"/>
      <c r="MHE100" s="16"/>
      <c r="MHF100" s="16"/>
      <c r="MHG100" s="16"/>
      <c r="MHH100" s="16"/>
      <c r="MHI100" s="16"/>
      <c r="MHJ100" s="16"/>
      <c r="MHK100" s="16"/>
      <c r="MHL100" s="16"/>
      <c r="MHM100" s="16"/>
      <c r="MHN100" s="16"/>
      <c r="MHO100" s="16"/>
      <c r="MHP100" s="16"/>
      <c r="MHQ100" s="16"/>
      <c r="MHR100" s="16"/>
      <c r="MHS100" s="16"/>
      <c r="MHT100" s="16"/>
      <c r="MHU100" s="16"/>
      <c r="MHV100" s="16"/>
      <c r="MHW100" s="16"/>
      <c r="MHX100" s="16"/>
      <c r="MHY100" s="16"/>
      <c r="MHZ100" s="16"/>
      <c r="MIA100" s="16"/>
      <c r="MIB100" s="16"/>
      <c r="MIC100" s="16"/>
      <c r="MID100" s="16"/>
      <c r="MIE100" s="16"/>
      <c r="MIF100" s="16"/>
      <c r="MIG100" s="16"/>
      <c r="MIH100" s="16"/>
      <c r="MII100" s="16"/>
      <c r="MIJ100" s="16"/>
      <c r="MIK100" s="16"/>
      <c r="MIL100" s="16"/>
      <c r="MIM100" s="16"/>
      <c r="MIN100" s="16"/>
      <c r="MIO100" s="16"/>
      <c r="MIP100" s="16"/>
      <c r="MIQ100" s="16"/>
      <c r="MIR100" s="16"/>
      <c r="MIS100" s="16"/>
      <c r="MIT100" s="16"/>
      <c r="MIU100" s="16"/>
      <c r="MIV100" s="16"/>
      <c r="MIW100" s="16"/>
      <c r="MIX100" s="16"/>
      <c r="MIY100" s="16"/>
      <c r="MIZ100" s="16"/>
      <c r="MJA100" s="16"/>
      <c r="MJB100" s="16"/>
      <c r="MJC100" s="16"/>
      <c r="MJD100" s="16"/>
      <c r="MJE100" s="16"/>
      <c r="MJF100" s="16"/>
      <c r="MJG100" s="16"/>
      <c r="MJH100" s="16"/>
      <c r="MJI100" s="16"/>
      <c r="MJJ100" s="16"/>
      <c r="MJK100" s="16"/>
      <c r="MJL100" s="16"/>
      <c r="MJM100" s="16"/>
      <c r="MJN100" s="16"/>
      <c r="MJO100" s="16"/>
      <c r="MJP100" s="16"/>
      <c r="MJQ100" s="16"/>
      <c r="MJR100" s="16"/>
      <c r="MJS100" s="16"/>
      <c r="MJT100" s="16"/>
      <c r="MJU100" s="16"/>
      <c r="MJV100" s="16"/>
      <c r="MJW100" s="16"/>
      <c r="MJX100" s="16"/>
      <c r="MJY100" s="16"/>
      <c r="MJZ100" s="16"/>
      <c r="MKA100" s="16"/>
      <c r="MKB100" s="16"/>
      <c r="MKC100" s="16"/>
      <c r="MKD100" s="16"/>
      <c r="MKE100" s="16"/>
      <c r="MKF100" s="16"/>
      <c r="MKG100" s="16"/>
      <c r="MKH100" s="16"/>
      <c r="MKI100" s="16"/>
      <c r="MKJ100" s="16"/>
      <c r="MKK100" s="16"/>
      <c r="MKL100" s="16"/>
      <c r="MKM100" s="16"/>
      <c r="MKN100" s="16"/>
      <c r="MKO100" s="16"/>
      <c r="MKP100" s="16"/>
      <c r="MKQ100" s="16"/>
      <c r="MKR100" s="16"/>
      <c r="MKS100" s="16"/>
      <c r="MKT100" s="16"/>
      <c r="MKU100" s="16"/>
      <c r="MKV100" s="16"/>
      <c r="MKW100" s="16"/>
      <c r="MKX100" s="16"/>
      <c r="MKY100" s="16"/>
      <c r="MKZ100" s="16"/>
      <c r="MLA100" s="16"/>
      <c r="MLB100" s="16"/>
      <c r="MLC100" s="16"/>
      <c r="MLD100" s="16"/>
      <c r="MLE100" s="16"/>
      <c r="MLF100" s="16"/>
      <c r="MLG100" s="16"/>
      <c r="MLH100" s="16"/>
      <c r="MLI100" s="16"/>
      <c r="MLJ100" s="16"/>
      <c r="MLK100" s="16"/>
      <c r="MLL100" s="16"/>
      <c r="MLM100" s="16"/>
      <c r="MLN100" s="16"/>
      <c r="MLO100" s="16"/>
      <c r="MLP100" s="16"/>
      <c r="MLQ100" s="16"/>
      <c r="MLR100" s="16"/>
      <c r="MLS100" s="16"/>
      <c r="MLT100" s="16"/>
      <c r="MLU100" s="16"/>
      <c r="MLV100" s="16"/>
      <c r="MLW100" s="16"/>
      <c r="MLX100" s="16"/>
      <c r="MLY100" s="16"/>
      <c r="MLZ100" s="16"/>
      <c r="MMA100" s="16"/>
      <c r="MMB100" s="16"/>
      <c r="MMC100" s="16"/>
      <c r="MMD100" s="16"/>
      <c r="MME100" s="16"/>
      <c r="MMF100" s="16"/>
      <c r="MMG100" s="16"/>
      <c r="MMH100" s="16"/>
      <c r="MMI100" s="16"/>
      <c r="MMJ100" s="16"/>
      <c r="MMK100" s="16"/>
      <c r="MML100" s="16"/>
      <c r="MMM100" s="16"/>
      <c r="MMN100" s="16"/>
      <c r="MMO100" s="16"/>
      <c r="MMP100" s="16"/>
      <c r="MMQ100" s="16"/>
      <c r="MMR100" s="16"/>
      <c r="MMS100" s="16"/>
      <c r="MMT100" s="16"/>
      <c r="MMU100" s="16"/>
      <c r="MMV100" s="16"/>
      <c r="MMW100" s="16"/>
      <c r="MMX100" s="16"/>
      <c r="MMY100" s="16"/>
      <c r="MMZ100" s="16"/>
      <c r="MNA100" s="16"/>
      <c r="MNB100" s="16"/>
      <c r="MNC100" s="16"/>
      <c r="MND100" s="16"/>
      <c r="MNE100" s="16"/>
      <c r="MNF100" s="16"/>
      <c r="MNG100" s="16"/>
      <c r="MNH100" s="16"/>
      <c r="MNI100" s="16"/>
      <c r="MNJ100" s="16"/>
      <c r="MNK100" s="16"/>
      <c r="MNL100" s="16"/>
      <c r="MNM100" s="16"/>
      <c r="MNN100" s="16"/>
      <c r="MNO100" s="16"/>
      <c r="MNP100" s="16"/>
      <c r="MNQ100" s="16"/>
      <c r="MNR100" s="16"/>
      <c r="MNS100" s="16"/>
      <c r="MNT100" s="16"/>
      <c r="MNU100" s="16"/>
      <c r="MNV100" s="16"/>
      <c r="MNW100" s="16"/>
      <c r="MNX100" s="16"/>
      <c r="MNY100" s="16"/>
      <c r="MNZ100" s="16"/>
      <c r="MOA100" s="16"/>
      <c r="MOB100" s="16"/>
      <c r="MOC100" s="16"/>
      <c r="MOD100" s="16"/>
      <c r="MOE100" s="16"/>
      <c r="MOF100" s="16"/>
      <c r="MOG100" s="16"/>
      <c r="MOH100" s="16"/>
      <c r="MOI100" s="16"/>
      <c r="MOJ100" s="16"/>
      <c r="MOK100" s="16"/>
      <c r="MOL100" s="16"/>
      <c r="MOM100" s="16"/>
      <c r="MON100" s="16"/>
      <c r="MOO100" s="16"/>
      <c r="MOP100" s="16"/>
      <c r="MOQ100" s="16"/>
      <c r="MOR100" s="16"/>
      <c r="MOS100" s="16"/>
      <c r="MOT100" s="16"/>
      <c r="MOU100" s="16"/>
      <c r="MOV100" s="16"/>
      <c r="MOW100" s="16"/>
      <c r="MOX100" s="16"/>
      <c r="MOY100" s="16"/>
      <c r="MOZ100" s="16"/>
      <c r="MPA100" s="16"/>
      <c r="MPB100" s="16"/>
      <c r="MPC100" s="16"/>
      <c r="MPD100" s="16"/>
      <c r="MPE100" s="16"/>
      <c r="MPF100" s="16"/>
      <c r="MPG100" s="16"/>
      <c r="MPH100" s="16"/>
      <c r="MPI100" s="16"/>
      <c r="MPJ100" s="16"/>
      <c r="MPK100" s="16"/>
      <c r="MPL100" s="16"/>
      <c r="MPM100" s="16"/>
      <c r="MPN100" s="16"/>
      <c r="MPO100" s="16"/>
      <c r="MPP100" s="16"/>
      <c r="MPQ100" s="16"/>
      <c r="MPR100" s="16"/>
      <c r="MPS100" s="16"/>
      <c r="MPT100" s="16"/>
      <c r="MPU100" s="16"/>
      <c r="MPV100" s="16"/>
      <c r="MPW100" s="16"/>
      <c r="MPX100" s="16"/>
      <c r="MPY100" s="16"/>
      <c r="MPZ100" s="16"/>
      <c r="MQA100" s="16"/>
      <c r="MQB100" s="16"/>
      <c r="MQC100" s="16"/>
      <c r="MQD100" s="16"/>
      <c r="MQE100" s="16"/>
      <c r="MQF100" s="16"/>
      <c r="MQG100" s="16"/>
      <c r="MQH100" s="16"/>
      <c r="MQI100" s="16"/>
      <c r="MQJ100" s="16"/>
      <c r="MQK100" s="16"/>
      <c r="MQL100" s="16"/>
      <c r="MQM100" s="16"/>
      <c r="MQN100" s="16"/>
      <c r="MQO100" s="16"/>
      <c r="MQP100" s="16"/>
      <c r="MQQ100" s="16"/>
      <c r="MQR100" s="16"/>
      <c r="MQS100" s="16"/>
      <c r="MQT100" s="16"/>
      <c r="MQU100" s="16"/>
      <c r="MQV100" s="16"/>
      <c r="MQW100" s="16"/>
      <c r="MQX100" s="16"/>
      <c r="MQY100" s="16"/>
      <c r="MQZ100" s="16"/>
      <c r="MRA100" s="16"/>
      <c r="MRB100" s="16"/>
      <c r="MRC100" s="16"/>
      <c r="MRD100" s="16"/>
      <c r="MRE100" s="16"/>
      <c r="MRF100" s="16"/>
      <c r="MRG100" s="16"/>
      <c r="MRH100" s="16"/>
      <c r="MRI100" s="16"/>
      <c r="MRJ100" s="16"/>
      <c r="MRK100" s="16"/>
      <c r="MRL100" s="16"/>
      <c r="MRM100" s="16"/>
      <c r="MRN100" s="16"/>
      <c r="MRO100" s="16"/>
      <c r="MRP100" s="16"/>
      <c r="MRQ100" s="16"/>
      <c r="MRR100" s="16"/>
      <c r="MRS100" s="16"/>
      <c r="MRT100" s="16"/>
      <c r="MRU100" s="16"/>
      <c r="MRV100" s="16"/>
      <c r="MRW100" s="16"/>
      <c r="MRX100" s="16"/>
      <c r="MRY100" s="16"/>
      <c r="MRZ100" s="16"/>
      <c r="MSA100" s="16"/>
      <c r="MSB100" s="16"/>
      <c r="MSC100" s="16"/>
      <c r="MSD100" s="16"/>
      <c r="MSE100" s="16"/>
      <c r="MSF100" s="16"/>
      <c r="MSG100" s="16"/>
      <c r="MSH100" s="16"/>
      <c r="MSI100" s="16"/>
      <c r="MSJ100" s="16"/>
      <c r="MSK100" s="16"/>
      <c r="MSL100" s="16"/>
      <c r="MSM100" s="16"/>
      <c r="MSN100" s="16"/>
      <c r="MSO100" s="16"/>
      <c r="MSP100" s="16"/>
      <c r="MSQ100" s="16"/>
      <c r="MSR100" s="16"/>
      <c r="MSS100" s="16"/>
      <c r="MST100" s="16"/>
      <c r="MSU100" s="16"/>
      <c r="MSV100" s="16"/>
      <c r="MSW100" s="16"/>
      <c r="MSX100" s="16"/>
      <c r="MSY100" s="16"/>
      <c r="MSZ100" s="16"/>
      <c r="MTA100" s="16"/>
      <c r="MTB100" s="16"/>
      <c r="MTC100" s="16"/>
      <c r="MTD100" s="16"/>
      <c r="MTE100" s="16"/>
      <c r="MTF100" s="16"/>
      <c r="MTG100" s="16"/>
      <c r="MTH100" s="16"/>
      <c r="MTI100" s="16"/>
      <c r="MTJ100" s="16"/>
      <c r="MTK100" s="16"/>
      <c r="MTL100" s="16"/>
      <c r="MTM100" s="16"/>
      <c r="MTN100" s="16"/>
      <c r="MTO100" s="16"/>
      <c r="MTP100" s="16"/>
      <c r="MTQ100" s="16"/>
      <c r="MTR100" s="16"/>
      <c r="MTS100" s="16"/>
      <c r="MTT100" s="16"/>
      <c r="MTU100" s="16"/>
      <c r="MTV100" s="16"/>
      <c r="MTW100" s="16"/>
      <c r="MTX100" s="16"/>
      <c r="MTY100" s="16"/>
      <c r="MTZ100" s="16"/>
      <c r="MUA100" s="16"/>
      <c r="MUB100" s="16"/>
      <c r="MUC100" s="16"/>
      <c r="MUD100" s="16"/>
      <c r="MUE100" s="16"/>
      <c r="MUF100" s="16"/>
      <c r="MUG100" s="16"/>
      <c r="MUH100" s="16"/>
      <c r="MUI100" s="16"/>
      <c r="MUJ100" s="16"/>
      <c r="MUK100" s="16"/>
      <c r="MUL100" s="16"/>
      <c r="MUM100" s="16"/>
      <c r="MUN100" s="16"/>
      <c r="MUO100" s="16"/>
      <c r="MUP100" s="16"/>
      <c r="MUQ100" s="16"/>
      <c r="MUR100" s="16"/>
      <c r="MUS100" s="16"/>
      <c r="MUT100" s="16"/>
      <c r="MUU100" s="16"/>
      <c r="MUV100" s="16"/>
      <c r="MUW100" s="16"/>
      <c r="MUX100" s="16"/>
      <c r="MUY100" s="16"/>
      <c r="MUZ100" s="16"/>
      <c r="MVA100" s="16"/>
      <c r="MVB100" s="16"/>
      <c r="MVC100" s="16"/>
      <c r="MVD100" s="16"/>
      <c r="MVE100" s="16"/>
      <c r="MVF100" s="16"/>
      <c r="MVG100" s="16"/>
      <c r="MVH100" s="16"/>
      <c r="MVI100" s="16"/>
      <c r="MVJ100" s="16"/>
      <c r="MVK100" s="16"/>
      <c r="MVL100" s="16"/>
      <c r="MVM100" s="16"/>
      <c r="MVN100" s="16"/>
      <c r="MVO100" s="16"/>
      <c r="MVP100" s="16"/>
      <c r="MVQ100" s="16"/>
      <c r="MVR100" s="16"/>
      <c r="MVS100" s="16"/>
      <c r="MVT100" s="16"/>
      <c r="MVU100" s="16"/>
      <c r="MVV100" s="16"/>
      <c r="MVW100" s="16"/>
      <c r="MVX100" s="16"/>
      <c r="MVY100" s="16"/>
      <c r="MVZ100" s="16"/>
      <c r="MWA100" s="16"/>
      <c r="MWB100" s="16"/>
      <c r="MWC100" s="16"/>
      <c r="MWD100" s="16"/>
      <c r="MWE100" s="16"/>
      <c r="MWF100" s="16"/>
      <c r="MWG100" s="16"/>
      <c r="MWH100" s="16"/>
      <c r="MWI100" s="16"/>
      <c r="MWJ100" s="16"/>
      <c r="MWK100" s="16"/>
      <c r="MWL100" s="16"/>
      <c r="MWM100" s="16"/>
      <c r="MWN100" s="16"/>
      <c r="MWO100" s="16"/>
      <c r="MWP100" s="16"/>
      <c r="MWQ100" s="16"/>
      <c r="MWR100" s="16"/>
      <c r="MWS100" s="16"/>
      <c r="MWT100" s="16"/>
      <c r="MWU100" s="16"/>
      <c r="MWV100" s="16"/>
      <c r="MWW100" s="16"/>
      <c r="MWX100" s="16"/>
      <c r="MWY100" s="16"/>
      <c r="MWZ100" s="16"/>
      <c r="MXA100" s="16"/>
      <c r="MXB100" s="16"/>
      <c r="MXC100" s="16"/>
      <c r="MXD100" s="16"/>
      <c r="MXE100" s="16"/>
      <c r="MXF100" s="16"/>
      <c r="MXG100" s="16"/>
      <c r="MXH100" s="16"/>
      <c r="MXI100" s="16"/>
      <c r="MXJ100" s="16"/>
      <c r="MXK100" s="16"/>
      <c r="MXL100" s="16"/>
      <c r="MXM100" s="16"/>
      <c r="MXN100" s="16"/>
      <c r="MXO100" s="16"/>
      <c r="MXP100" s="16"/>
      <c r="MXQ100" s="16"/>
      <c r="MXR100" s="16"/>
      <c r="MXS100" s="16"/>
      <c r="MXT100" s="16"/>
      <c r="MXU100" s="16"/>
      <c r="MXV100" s="16"/>
      <c r="MXW100" s="16"/>
      <c r="MXX100" s="16"/>
      <c r="MXY100" s="16"/>
      <c r="MXZ100" s="16"/>
      <c r="MYA100" s="16"/>
      <c r="MYB100" s="16"/>
      <c r="MYC100" s="16"/>
      <c r="MYD100" s="16"/>
      <c r="MYE100" s="16"/>
      <c r="MYF100" s="16"/>
      <c r="MYG100" s="16"/>
      <c r="MYH100" s="16"/>
      <c r="MYI100" s="16"/>
      <c r="MYJ100" s="16"/>
      <c r="MYK100" s="16"/>
      <c r="MYL100" s="16"/>
      <c r="MYM100" s="16"/>
      <c r="MYN100" s="16"/>
      <c r="MYO100" s="16"/>
      <c r="MYP100" s="16"/>
      <c r="MYQ100" s="16"/>
      <c r="MYR100" s="16"/>
      <c r="MYS100" s="16"/>
      <c r="MYT100" s="16"/>
      <c r="MYU100" s="16"/>
      <c r="MYV100" s="16"/>
      <c r="MYW100" s="16"/>
      <c r="MYX100" s="16"/>
      <c r="MYY100" s="16"/>
      <c r="MYZ100" s="16"/>
      <c r="MZA100" s="16"/>
      <c r="MZB100" s="16"/>
      <c r="MZC100" s="16"/>
      <c r="MZD100" s="16"/>
      <c r="MZE100" s="16"/>
      <c r="MZF100" s="16"/>
      <c r="MZG100" s="16"/>
      <c r="MZH100" s="16"/>
      <c r="MZI100" s="16"/>
      <c r="MZJ100" s="16"/>
      <c r="MZK100" s="16"/>
      <c r="MZL100" s="16"/>
      <c r="MZM100" s="16"/>
      <c r="MZN100" s="16"/>
      <c r="MZO100" s="16"/>
      <c r="MZP100" s="16"/>
      <c r="MZQ100" s="16"/>
      <c r="MZR100" s="16"/>
      <c r="MZS100" s="16"/>
      <c r="MZT100" s="16"/>
      <c r="MZU100" s="16"/>
      <c r="MZV100" s="16"/>
      <c r="MZW100" s="16"/>
      <c r="MZX100" s="16"/>
      <c r="MZY100" s="16"/>
      <c r="MZZ100" s="16"/>
      <c r="NAA100" s="16"/>
      <c r="NAB100" s="16"/>
      <c r="NAC100" s="16"/>
      <c r="NAD100" s="16"/>
      <c r="NAE100" s="16"/>
      <c r="NAF100" s="16"/>
      <c r="NAG100" s="16"/>
      <c r="NAH100" s="16"/>
      <c r="NAI100" s="16"/>
      <c r="NAJ100" s="16"/>
      <c r="NAK100" s="16"/>
      <c r="NAL100" s="16"/>
      <c r="NAM100" s="16"/>
      <c r="NAN100" s="16"/>
      <c r="NAO100" s="16"/>
      <c r="NAP100" s="16"/>
      <c r="NAQ100" s="16"/>
      <c r="NAR100" s="16"/>
      <c r="NAS100" s="16"/>
      <c r="NAT100" s="16"/>
      <c r="NAU100" s="16"/>
      <c r="NAV100" s="16"/>
      <c r="NAW100" s="16"/>
      <c r="NAX100" s="16"/>
      <c r="NAY100" s="16"/>
      <c r="NAZ100" s="16"/>
      <c r="NBA100" s="16"/>
      <c r="NBB100" s="16"/>
      <c r="NBC100" s="16"/>
      <c r="NBD100" s="16"/>
      <c r="NBE100" s="16"/>
      <c r="NBF100" s="16"/>
      <c r="NBG100" s="16"/>
      <c r="NBH100" s="16"/>
      <c r="NBI100" s="16"/>
      <c r="NBJ100" s="16"/>
      <c r="NBK100" s="16"/>
      <c r="NBL100" s="16"/>
      <c r="NBM100" s="16"/>
      <c r="NBN100" s="16"/>
      <c r="NBO100" s="16"/>
      <c r="NBP100" s="16"/>
      <c r="NBQ100" s="16"/>
      <c r="NBR100" s="16"/>
      <c r="NBS100" s="16"/>
      <c r="NBT100" s="16"/>
      <c r="NBU100" s="16"/>
      <c r="NBV100" s="16"/>
      <c r="NBW100" s="16"/>
      <c r="NBX100" s="16"/>
      <c r="NBY100" s="16"/>
      <c r="NBZ100" s="16"/>
      <c r="NCA100" s="16"/>
      <c r="NCB100" s="16"/>
      <c r="NCC100" s="16"/>
      <c r="NCD100" s="16"/>
      <c r="NCE100" s="16"/>
      <c r="NCF100" s="16"/>
      <c r="NCG100" s="16"/>
      <c r="NCH100" s="16"/>
      <c r="NCI100" s="16"/>
      <c r="NCJ100" s="16"/>
      <c r="NCK100" s="16"/>
      <c r="NCL100" s="16"/>
      <c r="NCM100" s="16"/>
      <c r="NCN100" s="16"/>
      <c r="NCO100" s="16"/>
      <c r="NCP100" s="16"/>
      <c r="NCQ100" s="16"/>
      <c r="NCR100" s="16"/>
      <c r="NCS100" s="16"/>
      <c r="NCT100" s="16"/>
      <c r="NCU100" s="16"/>
      <c r="NCV100" s="16"/>
      <c r="NCW100" s="16"/>
      <c r="NCX100" s="16"/>
      <c r="NCY100" s="16"/>
      <c r="NCZ100" s="16"/>
      <c r="NDA100" s="16"/>
      <c r="NDB100" s="16"/>
      <c r="NDC100" s="16"/>
      <c r="NDD100" s="16"/>
      <c r="NDE100" s="16"/>
      <c r="NDF100" s="16"/>
      <c r="NDG100" s="16"/>
      <c r="NDH100" s="16"/>
      <c r="NDI100" s="16"/>
      <c r="NDJ100" s="16"/>
      <c r="NDK100" s="16"/>
      <c r="NDL100" s="16"/>
      <c r="NDM100" s="16"/>
      <c r="NDN100" s="16"/>
      <c r="NDO100" s="16"/>
      <c r="NDP100" s="16"/>
      <c r="NDQ100" s="16"/>
      <c r="NDR100" s="16"/>
      <c r="NDS100" s="16"/>
      <c r="NDT100" s="16"/>
      <c r="NDU100" s="16"/>
      <c r="NDV100" s="16"/>
      <c r="NDW100" s="16"/>
      <c r="NDX100" s="16"/>
      <c r="NDY100" s="16"/>
      <c r="NDZ100" s="16"/>
      <c r="NEA100" s="16"/>
      <c r="NEB100" s="16"/>
      <c r="NEC100" s="16"/>
      <c r="NED100" s="16"/>
      <c r="NEE100" s="16"/>
      <c r="NEF100" s="16"/>
      <c r="NEG100" s="16"/>
      <c r="NEH100" s="16"/>
      <c r="NEI100" s="16"/>
      <c r="NEJ100" s="16"/>
      <c r="NEK100" s="16"/>
      <c r="NEL100" s="16"/>
      <c r="NEM100" s="16"/>
      <c r="NEN100" s="16"/>
      <c r="NEO100" s="16"/>
      <c r="NEP100" s="16"/>
      <c r="NEQ100" s="16"/>
      <c r="NER100" s="16"/>
      <c r="NES100" s="16"/>
      <c r="NET100" s="16"/>
      <c r="NEU100" s="16"/>
      <c r="NEV100" s="16"/>
      <c r="NEW100" s="16"/>
      <c r="NEX100" s="16"/>
      <c r="NEY100" s="16"/>
      <c r="NEZ100" s="16"/>
      <c r="NFA100" s="16"/>
      <c r="NFB100" s="16"/>
      <c r="NFC100" s="16"/>
      <c r="NFD100" s="16"/>
      <c r="NFE100" s="16"/>
      <c r="NFF100" s="16"/>
      <c r="NFG100" s="16"/>
      <c r="NFH100" s="16"/>
      <c r="NFI100" s="16"/>
      <c r="NFJ100" s="16"/>
      <c r="NFK100" s="16"/>
      <c r="NFL100" s="16"/>
      <c r="NFM100" s="16"/>
      <c r="NFN100" s="16"/>
      <c r="NFO100" s="16"/>
      <c r="NFP100" s="16"/>
      <c r="NFQ100" s="16"/>
      <c r="NFR100" s="16"/>
      <c r="NFS100" s="16"/>
      <c r="NFT100" s="16"/>
      <c r="NFU100" s="16"/>
      <c r="NFV100" s="16"/>
      <c r="NFW100" s="16"/>
      <c r="NFX100" s="16"/>
      <c r="NFY100" s="16"/>
      <c r="NFZ100" s="16"/>
      <c r="NGA100" s="16"/>
      <c r="NGB100" s="16"/>
      <c r="NGC100" s="16"/>
      <c r="NGD100" s="16"/>
      <c r="NGE100" s="16"/>
      <c r="NGF100" s="16"/>
      <c r="NGG100" s="16"/>
      <c r="NGH100" s="16"/>
      <c r="NGI100" s="16"/>
      <c r="NGJ100" s="16"/>
      <c r="NGK100" s="16"/>
      <c r="NGL100" s="16"/>
      <c r="NGM100" s="16"/>
      <c r="NGN100" s="16"/>
      <c r="NGO100" s="16"/>
      <c r="NGP100" s="16"/>
      <c r="NGQ100" s="16"/>
      <c r="NGR100" s="16"/>
      <c r="NGS100" s="16"/>
      <c r="NGT100" s="16"/>
      <c r="NGU100" s="16"/>
      <c r="NGV100" s="16"/>
      <c r="NGW100" s="16"/>
      <c r="NGX100" s="16"/>
      <c r="NGY100" s="16"/>
      <c r="NGZ100" s="16"/>
      <c r="NHA100" s="16"/>
      <c r="NHB100" s="16"/>
      <c r="NHC100" s="16"/>
      <c r="NHD100" s="16"/>
      <c r="NHE100" s="16"/>
      <c r="NHF100" s="16"/>
      <c r="NHG100" s="16"/>
      <c r="NHH100" s="16"/>
      <c r="NHI100" s="16"/>
      <c r="NHJ100" s="16"/>
      <c r="NHK100" s="16"/>
      <c r="NHL100" s="16"/>
      <c r="NHM100" s="16"/>
      <c r="NHN100" s="16"/>
      <c r="NHO100" s="16"/>
      <c r="NHP100" s="16"/>
      <c r="NHQ100" s="16"/>
      <c r="NHR100" s="16"/>
      <c r="NHS100" s="16"/>
      <c r="NHT100" s="16"/>
      <c r="NHU100" s="16"/>
      <c r="NHV100" s="16"/>
      <c r="NHW100" s="16"/>
      <c r="NHX100" s="16"/>
      <c r="NHY100" s="16"/>
      <c r="NHZ100" s="16"/>
      <c r="NIA100" s="16"/>
      <c r="NIB100" s="16"/>
      <c r="NIC100" s="16"/>
      <c r="NID100" s="16"/>
      <c r="NIE100" s="16"/>
      <c r="NIF100" s="16"/>
      <c r="NIG100" s="16"/>
      <c r="NIH100" s="16"/>
      <c r="NII100" s="16"/>
      <c r="NIJ100" s="16"/>
      <c r="NIK100" s="16"/>
      <c r="NIL100" s="16"/>
      <c r="NIM100" s="16"/>
      <c r="NIN100" s="16"/>
      <c r="NIO100" s="16"/>
      <c r="NIP100" s="16"/>
      <c r="NIQ100" s="16"/>
      <c r="NIR100" s="16"/>
      <c r="NIS100" s="16"/>
      <c r="NIT100" s="16"/>
      <c r="NIU100" s="16"/>
      <c r="NIV100" s="16"/>
      <c r="NIW100" s="16"/>
      <c r="NIX100" s="16"/>
      <c r="NIY100" s="16"/>
      <c r="NIZ100" s="16"/>
      <c r="NJA100" s="16"/>
      <c r="NJB100" s="16"/>
      <c r="NJC100" s="16"/>
      <c r="NJD100" s="16"/>
      <c r="NJE100" s="16"/>
      <c r="NJF100" s="16"/>
      <c r="NJG100" s="16"/>
      <c r="NJH100" s="16"/>
      <c r="NJI100" s="16"/>
      <c r="NJJ100" s="16"/>
      <c r="NJK100" s="16"/>
      <c r="NJL100" s="16"/>
      <c r="NJM100" s="16"/>
      <c r="NJN100" s="16"/>
      <c r="NJO100" s="16"/>
      <c r="NJP100" s="16"/>
      <c r="NJQ100" s="16"/>
      <c r="NJR100" s="16"/>
      <c r="NJS100" s="16"/>
      <c r="NJT100" s="16"/>
      <c r="NJU100" s="16"/>
      <c r="NJV100" s="16"/>
      <c r="NJW100" s="16"/>
      <c r="NJX100" s="16"/>
      <c r="NJY100" s="16"/>
      <c r="NJZ100" s="16"/>
      <c r="NKA100" s="16"/>
      <c r="NKB100" s="16"/>
      <c r="NKC100" s="16"/>
      <c r="NKD100" s="16"/>
      <c r="NKE100" s="16"/>
      <c r="NKF100" s="16"/>
      <c r="NKG100" s="16"/>
      <c r="NKH100" s="16"/>
      <c r="NKI100" s="16"/>
      <c r="NKJ100" s="16"/>
      <c r="NKK100" s="16"/>
      <c r="NKL100" s="16"/>
      <c r="NKM100" s="16"/>
      <c r="NKN100" s="16"/>
      <c r="NKO100" s="16"/>
      <c r="NKP100" s="16"/>
      <c r="NKQ100" s="16"/>
      <c r="NKR100" s="16"/>
      <c r="NKS100" s="16"/>
      <c r="NKT100" s="16"/>
      <c r="NKU100" s="16"/>
      <c r="NKV100" s="16"/>
      <c r="NKW100" s="16"/>
      <c r="NKX100" s="16"/>
      <c r="NKY100" s="16"/>
      <c r="NKZ100" s="16"/>
      <c r="NLA100" s="16"/>
      <c r="NLB100" s="16"/>
      <c r="NLC100" s="16"/>
      <c r="NLD100" s="16"/>
      <c r="NLE100" s="16"/>
      <c r="NLF100" s="16"/>
      <c r="NLG100" s="16"/>
      <c r="NLH100" s="16"/>
      <c r="NLI100" s="16"/>
      <c r="NLJ100" s="16"/>
      <c r="NLK100" s="16"/>
      <c r="NLL100" s="16"/>
      <c r="NLM100" s="16"/>
      <c r="NLN100" s="16"/>
      <c r="NLO100" s="16"/>
      <c r="NLP100" s="16"/>
      <c r="NLQ100" s="16"/>
      <c r="NLR100" s="16"/>
      <c r="NLS100" s="16"/>
      <c r="NLT100" s="16"/>
      <c r="NLU100" s="16"/>
      <c r="NLV100" s="16"/>
      <c r="NLW100" s="16"/>
      <c r="NLX100" s="16"/>
      <c r="NLY100" s="16"/>
      <c r="NLZ100" s="16"/>
      <c r="NMA100" s="16"/>
      <c r="NMB100" s="16"/>
      <c r="NMC100" s="16"/>
      <c r="NMD100" s="16"/>
      <c r="NME100" s="16"/>
      <c r="NMF100" s="16"/>
      <c r="NMG100" s="16"/>
      <c r="NMH100" s="16"/>
      <c r="NMI100" s="16"/>
      <c r="NMJ100" s="16"/>
      <c r="NMK100" s="16"/>
      <c r="NML100" s="16"/>
      <c r="NMM100" s="16"/>
      <c r="NMN100" s="16"/>
      <c r="NMO100" s="16"/>
      <c r="NMP100" s="16"/>
      <c r="NMQ100" s="16"/>
      <c r="NMR100" s="16"/>
      <c r="NMS100" s="16"/>
      <c r="NMT100" s="16"/>
      <c r="NMU100" s="16"/>
      <c r="NMV100" s="16"/>
      <c r="NMW100" s="16"/>
      <c r="NMX100" s="16"/>
      <c r="NMY100" s="16"/>
      <c r="NMZ100" s="16"/>
      <c r="NNA100" s="16"/>
      <c r="NNB100" s="16"/>
      <c r="NNC100" s="16"/>
      <c r="NND100" s="16"/>
      <c r="NNE100" s="16"/>
      <c r="NNF100" s="16"/>
      <c r="NNG100" s="16"/>
      <c r="NNH100" s="16"/>
      <c r="NNI100" s="16"/>
      <c r="NNJ100" s="16"/>
      <c r="NNK100" s="16"/>
      <c r="NNL100" s="16"/>
      <c r="NNM100" s="16"/>
      <c r="NNN100" s="16"/>
      <c r="NNO100" s="16"/>
      <c r="NNP100" s="16"/>
      <c r="NNQ100" s="16"/>
      <c r="NNR100" s="16"/>
      <c r="NNS100" s="16"/>
      <c r="NNT100" s="16"/>
      <c r="NNU100" s="16"/>
      <c r="NNV100" s="16"/>
      <c r="NNW100" s="16"/>
      <c r="NNX100" s="16"/>
      <c r="NNY100" s="16"/>
      <c r="NNZ100" s="16"/>
      <c r="NOA100" s="16"/>
      <c r="NOB100" s="16"/>
      <c r="NOC100" s="16"/>
      <c r="NOD100" s="16"/>
      <c r="NOE100" s="16"/>
      <c r="NOF100" s="16"/>
      <c r="NOG100" s="16"/>
      <c r="NOH100" s="16"/>
      <c r="NOI100" s="16"/>
      <c r="NOJ100" s="16"/>
      <c r="NOK100" s="16"/>
      <c r="NOL100" s="16"/>
      <c r="NOM100" s="16"/>
      <c r="NON100" s="16"/>
      <c r="NOO100" s="16"/>
      <c r="NOP100" s="16"/>
      <c r="NOQ100" s="16"/>
      <c r="NOR100" s="16"/>
      <c r="NOS100" s="16"/>
      <c r="NOT100" s="16"/>
      <c r="NOU100" s="16"/>
      <c r="NOV100" s="16"/>
      <c r="NOW100" s="16"/>
      <c r="NOX100" s="16"/>
      <c r="NOY100" s="16"/>
      <c r="NOZ100" s="16"/>
      <c r="NPA100" s="16"/>
      <c r="NPB100" s="16"/>
      <c r="NPC100" s="16"/>
      <c r="NPD100" s="16"/>
      <c r="NPE100" s="16"/>
      <c r="NPF100" s="16"/>
      <c r="NPG100" s="16"/>
      <c r="NPH100" s="16"/>
      <c r="NPI100" s="16"/>
      <c r="NPJ100" s="16"/>
      <c r="NPK100" s="16"/>
      <c r="NPL100" s="16"/>
      <c r="NPM100" s="16"/>
      <c r="NPN100" s="16"/>
      <c r="NPO100" s="16"/>
      <c r="NPP100" s="16"/>
      <c r="NPQ100" s="16"/>
      <c r="NPR100" s="16"/>
      <c r="NPS100" s="16"/>
      <c r="NPT100" s="16"/>
      <c r="NPU100" s="16"/>
      <c r="NPV100" s="16"/>
      <c r="NPW100" s="16"/>
      <c r="NPX100" s="16"/>
      <c r="NPY100" s="16"/>
      <c r="NPZ100" s="16"/>
      <c r="NQA100" s="16"/>
      <c r="NQB100" s="16"/>
      <c r="NQC100" s="16"/>
      <c r="NQD100" s="16"/>
      <c r="NQE100" s="16"/>
      <c r="NQF100" s="16"/>
      <c r="NQG100" s="16"/>
      <c r="NQH100" s="16"/>
      <c r="NQI100" s="16"/>
      <c r="NQJ100" s="16"/>
      <c r="NQK100" s="16"/>
      <c r="NQL100" s="16"/>
      <c r="NQM100" s="16"/>
      <c r="NQN100" s="16"/>
      <c r="NQO100" s="16"/>
      <c r="NQP100" s="16"/>
      <c r="NQQ100" s="16"/>
      <c r="NQR100" s="16"/>
      <c r="NQS100" s="16"/>
      <c r="NQT100" s="16"/>
      <c r="NQU100" s="16"/>
      <c r="NQV100" s="16"/>
      <c r="NQW100" s="16"/>
      <c r="NQX100" s="16"/>
      <c r="NQY100" s="16"/>
      <c r="NQZ100" s="16"/>
      <c r="NRA100" s="16"/>
      <c r="NRB100" s="16"/>
      <c r="NRC100" s="16"/>
      <c r="NRD100" s="16"/>
      <c r="NRE100" s="16"/>
      <c r="NRF100" s="16"/>
      <c r="NRG100" s="16"/>
      <c r="NRH100" s="16"/>
      <c r="NRI100" s="16"/>
      <c r="NRJ100" s="16"/>
      <c r="NRK100" s="16"/>
      <c r="NRL100" s="16"/>
      <c r="NRM100" s="16"/>
      <c r="NRN100" s="16"/>
      <c r="NRO100" s="16"/>
      <c r="NRP100" s="16"/>
      <c r="NRQ100" s="16"/>
      <c r="NRR100" s="16"/>
      <c r="NRS100" s="16"/>
      <c r="NRT100" s="16"/>
      <c r="NRU100" s="16"/>
      <c r="NRV100" s="16"/>
      <c r="NRW100" s="16"/>
      <c r="NRX100" s="16"/>
      <c r="NRY100" s="16"/>
      <c r="NRZ100" s="16"/>
      <c r="NSA100" s="16"/>
      <c r="NSB100" s="16"/>
      <c r="NSC100" s="16"/>
      <c r="NSD100" s="16"/>
      <c r="NSE100" s="16"/>
      <c r="NSF100" s="16"/>
      <c r="NSG100" s="16"/>
      <c r="NSH100" s="16"/>
      <c r="NSI100" s="16"/>
      <c r="NSJ100" s="16"/>
      <c r="NSK100" s="16"/>
      <c r="NSL100" s="16"/>
      <c r="NSM100" s="16"/>
      <c r="NSN100" s="16"/>
      <c r="NSO100" s="16"/>
      <c r="NSP100" s="16"/>
      <c r="NSQ100" s="16"/>
      <c r="NSR100" s="16"/>
      <c r="NSS100" s="16"/>
      <c r="NST100" s="16"/>
      <c r="NSU100" s="16"/>
      <c r="NSV100" s="16"/>
      <c r="NSW100" s="16"/>
      <c r="NSX100" s="16"/>
      <c r="NSY100" s="16"/>
      <c r="NSZ100" s="16"/>
      <c r="NTA100" s="16"/>
      <c r="NTB100" s="16"/>
      <c r="NTC100" s="16"/>
      <c r="NTD100" s="16"/>
      <c r="NTE100" s="16"/>
      <c r="NTF100" s="16"/>
      <c r="NTG100" s="16"/>
      <c r="NTH100" s="16"/>
      <c r="NTI100" s="16"/>
      <c r="NTJ100" s="16"/>
      <c r="NTK100" s="16"/>
      <c r="NTL100" s="16"/>
      <c r="NTM100" s="16"/>
      <c r="NTN100" s="16"/>
      <c r="NTO100" s="16"/>
      <c r="NTP100" s="16"/>
      <c r="NTQ100" s="16"/>
      <c r="NTR100" s="16"/>
      <c r="NTS100" s="16"/>
      <c r="NTT100" s="16"/>
      <c r="NTU100" s="16"/>
      <c r="NTV100" s="16"/>
      <c r="NTW100" s="16"/>
      <c r="NTX100" s="16"/>
      <c r="NTY100" s="16"/>
      <c r="NTZ100" s="16"/>
      <c r="NUA100" s="16"/>
      <c r="NUB100" s="16"/>
      <c r="NUC100" s="16"/>
      <c r="NUD100" s="16"/>
      <c r="NUE100" s="16"/>
      <c r="NUF100" s="16"/>
      <c r="NUG100" s="16"/>
      <c r="NUH100" s="16"/>
      <c r="NUI100" s="16"/>
      <c r="NUJ100" s="16"/>
      <c r="NUK100" s="16"/>
      <c r="NUL100" s="16"/>
      <c r="NUM100" s="16"/>
      <c r="NUN100" s="16"/>
      <c r="NUO100" s="16"/>
      <c r="NUP100" s="16"/>
      <c r="NUQ100" s="16"/>
      <c r="NUR100" s="16"/>
      <c r="NUS100" s="16"/>
      <c r="NUT100" s="16"/>
      <c r="NUU100" s="16"/>
      <c r="NUV100" s="16"/>
      <c r="NUW100" s="16"/>
      <c r="NUX100" s="16"/>
      <c r="NUY100" s="16"/>
      <c r="NUZ100" s="16"/>
      <c r="NVA100" s="16"/>
      <c r="NVB100" s="16"/>
      <c r="NVC100" s="16"/>
      <c r="NVD100" s="16"/>
      <c r="NVE100" s="16"/>
      <c r="NVF100" s="16"/>
      <c r="NVG100" s="16"/>
      <c r="NVH100" s="16"/>
      <c r="NVI100" s="16"/>
      <c r="NVJ100" s="16"/>
      <c r="NVK100" s="16"/>
      <c r="NVL100" s="16"/>
      <c r="NVM100" s="16"/>
      <c r="NVN100" s="16"/>
      <c r="NVO100" s="16"/>
      <c r="NVP100" s="16"/>
      <c r="NVQ100" s="16"/>
      <c r="NVR100" s="16"/>
      <c r="NVS100" s="16"/>
      <c r="NVT100" s="16"/>
      <c r="NVU100" s="16"/>
      <c r="NVV100" s="16"/>
      <c r="NVW100" s="16"/>
      <c r="NVX100" s="16"/>
      <c r="NVY100" s="16"/>
      <c r="NVZ100" s="16"/>
      <c r="NWA100" s="16"/>
      <c r="NWB100" s="16"/>
      <c r="NWC100" s="16"/>
      <c r="NWD100" s="16"/>
      <c r="NWE100" s="16"/>
      <c r="NWF100" s="16"/>
      <c r="NWG100" s="16"/>
      <c r="NWH100" s="16"/>
      <c r="NWI100" s="16"/>
      <c r="NWJ100" s="16"/>
      <c r="NWK100" s="16"/>
      <c r="NWL100" s="16"/>
      <c r="NWM100" s="16"/>
      <c r="NWN100" s="16"/>
      <c r="NWO100" s="16"/>
      <c r="NWP100" s="16"/>
      <c r="NWQ100" s="16"/>
      <c r="NWR100" s="16"/>
      <c r="NWS100" s="16"/>
      <c r="NWT100" s="16"/>
      <c r="NWU100" s="16"/>
      <c r="NWV100" s="16"/>
      <c r="NWW100" s="16"/>
      <c r="NWX100" s="16"/>
      <c r="NWY100" s="16"/>
      <c r="NWZ100" s="16"/>
      <c r="NXA100" s="16"/>
      <c r="NXB100" s="16"/>
      <c r="NXC100" s="16"/>
      <c r="NXD100" s="16"/>
      <c r="NXE100" s="16"/>
      <c r="NXF100" s="16"/>
      <c r="NXG100" s="16"/>
      <c r="NXH100" s="16"/>
      <c r="NXI100" s="16"/>
      <c r="NXJ100" s="16"/>
      <c r="NXK100" s="16"/>
      <c r="NXL100" s="16"/>
      <c r="NXM100" s="16"/>
      <c r="NXN100" s="16"/>
      <c r="NXO100" s="16"/>
      <c r="NXP100" s="16"/>
      <c r="NXQ100" s="16"/>
      <c r="NXR100" s="16"/>
      <c r="NXS100" s="16"/>
      <c r="NXT100" s="16"/>
      <c r="NXU100" s="16"/>
      <c r="NXV100" s="16"/>
      <c r="NXW100" s="16"/>
      <c r="NXX100" s="16"/>
      <c r="NXY100" s="16"/>
      <c r="NXZ100" s="16"/>
      <c r="NYA100" s="16"/>
      <c r="NYB100" s="16"/>
      <c r="NYC100" s="16"/>
      <c r="NYD100" s="16"/>
      <c r="NYE100" s="16"/>
      <c r="NYF100" s="16"/>
      <c r="NYG100" s="16"/>
      <c r="NYH100" s="16"/>
      <c r="NYI100" s="16"/>
      <c r="NYJ100" s="16"/>
      <c r="NYK100" s="16"/>
      <c r="NYL100" s="16"/>
      <c r="NYM100" s="16"/>
      <c r="NYN100" s="16"/>
      <c r="NYO100" s="16"/>
      <c r="NYP100" s="16"/>
      <c r="NYQ100" s="16"/>
      <c r="NYR100" s="16"/>
      <c r="NYS100" s="16"/>
      <c r="NYT100" s="16"/>
      <c r="NYU100" s="16"/>
      <c r="NYV100" s="16"/>
      <c r="NYW100" s="16"/>
      <c r="NYX100" s="16"/>
      <c r="NYY100" s="16"/>
      <c r="NYZ100" s="16"/>
      <c r="NZA100" s="16"/>
      <c r="NZB100" s="16"/>
      <c r="NZC100" s="16"/>
      <c r="NZD100" s="16"/>
      <c r="NZE100" s="16"/>
      <c r="NZF100" s="16"/>
      <c r="NZG100" s="16"/>
      <c r="NZH100" s="16"/>
      <c r="NZI100" s="16"/>
      <c r="NZJ100" s="16"/>
      <c r="NZK100" s="16"/>
      <c r="NZL100" s="16"/>
      <c r="NZM100" s="16"/>
      <c r="NZN100" s="16"/>
      <c r="NZO100" s="16"/>
      <c r="NZP100" s="16"/>
      <c r="NZQ100" s="16"/>
      <c r="NZR100" s="16"/>
      <c r="NZS100" s="16"/>
      <c r="NZT100" s="16"/>
      <c r="NZU100" s="16"/>
      <c r="NZV100" s="16"/>
      <c r="NZW100" s="16"/>
      <c r="NZX100" s="16"/>
      <c r="NZY100" s="16"/>
      <c r="NZZ100" s="16"/>
      <c r="OAA100" s="16"/>
      <c r="OAB100" s="16"/>
      <c r="OAC100" s="16"/>
      <c r="OAD100" s="16"/>
      <c r="OAE100" s="16"/>
      <c r="OAF100" s="16"/>
      <c r="OAG100" s="16"/>
      <c r="OAH100" s="16"/>
      <c r="OAI100" s="16"/>
      <c r="OAJ100" s="16"/>
      <c r="OAK100" s="16"/>
      <c r="OAL100" s="16"/>
      <c r="OAM100" s="16"/>
      <c r="OAN100" s="16"/>
      <c r="OAO100" s="16"/>
      <c r="OAP100" s="16"/>
      <c r="OAQ100" s="16"/>
      <c r="OAR100" s="16"/>
      <c r="OAS100" s="16"/>
      <c r="OAT100" s="16"/>
      <c r="OAU100" s="16"/>
      <c r="OAV100" s="16"/>
      <c r="OAW100" s="16"/>
      <c r="OAX100" s="16"/>
      <c r="OAY100" s="16"/>
      <c r="OAZ100" s="16"/>
      <c r="OBA100" s="16"/>
      <c r="OBB100" s="16"/>
      <c r="OBC100" s="16"/>
      <c r="OBD100" s="16"/>
      <c r="OBE100" s="16"/>
      <c r="OBF100" s="16"/>
      <c r="OBG100" s="16"/>
      <c r="OBH100" s="16"/>
      <c r="OBI100" s="16"/>
      <c r="OBJ100" s="16"/>
      <c r="OBK100" s="16"/>
      <c r="OBL100" s="16"/>
      <c r="OBM100" s="16"/>
      <c r="OBN100" s="16"/>
      <c r="OBO100" s="16"/>
      <c r="OBP100" s="16"/>
      <c r="OBQ100" s="16"/>
      <c r="OBR100" s="16"/>
      <c r="OBS100" s="16"/>
      <c r="OBT100" s="16"/>
      <c r="OBU100" s="16"/>
      <c r="OBV100" s="16"/>
      <c r="OBW100" s="16"/>
      <c r="OBX100" s="16"/>
      <c r="OBY100" s="16"/>
      <c r="OBZ100" s="16"/>
      <c r="OCA100" s="16"/>
      <c r="OCB100" s="16"/>
      <c r="OCC100" s="16"/>
      <c r="OCD100" s="16"/>
      <c r="OCE100" s="16"/>
      <c r="OCF100" s="16"/>
      <c r="OCG100" s="16"/>
      <c r="OCH100" s="16"/>
      <c r="OCI100" s="16"/>
      <c r="OCJ100" s="16"/>
      <c r="OCK100" s="16"/>
      <c r="OCL100" s="16"/>
      <c r="OCM100" s="16"/>
      <c r="OCN100" s="16"/>
      <c r="OCO100" s="16"/>
      <c r="OCP100" s="16"/>
      <c r="OCQ100" s="16"/>
      <c r="OCR100" s="16"/>
      <c r="OCS100" s="16"/>
      <c r="OCT100" s="16"/>
      <c r="OCU100" s="16"/>
      <c r="OCV100" s="16"/>
      <c r="OCW100" s="16"/>
      <c r="OCX100" s="16"/>
      <c r="OCY100" s="16"/>
      <c r="OCZ100" s="16"/>
      <c r="ODA100" s="16"/>
      <c r="ODB100" s="16"/>
      <c r="ODC100" s="16"/>
      <c r="ODD100" s="16"/>
      <c r="ODE100" s="16"/>
      <c r="ODF100" s="16"/>
      <c r="ODG100" s="16"/>
      <c r="ODH100" s="16"/>
      <c r="ODI100" s="16"/>
      <c r="ODJ100" s="16"/>
      <c r="ODK100" s="16"/>
      <c r="ODL100" s="16"/>
      <c r="ODM100" s="16"/>
      <c r="ODN100" s="16"/>
      <c r="ODO100" s="16"/>
      <c r="ODP100" s="16"/>
      <c r="ODQ100" s="16"/>
      <c r="ODR100" s="16"/>
      <c r="ODS100" s="16"/>
      <c r="ODT100" s="16"/>
      <c r="ODU100" s="16"/>
      <c r="ODV100" s="16"/>
      <c r="ODW100" s="16"/>
      <c r="ODX100" s="16"/>
      <c r="ODY100" s="16"/>
      <c r="ODZ100" s="16"/>
      <c r="OEA100" s="16"/>
      <c r="OEB100" s="16"/>
      <c r="OEC100" s="16"/>
      <c r="OED100" s="16"/>
      <c r="OEE100" s="16"/>
      <c r="OEF100" s="16"/>
      <c r="OEG100" s="16"/>
      <c r="OEH100" s="16"/>
      <c r="OEI100" s="16"/>
      <c r="OEJ100" s="16"/>
      <c r="OEK100" s="16"/>
      <c r="OEL100" s="16"/>
      <c r="OEM100" s="16"/>
      <c r="OEN100" s="16"/>
      <c r="OEO100" s="16"/>
      <c r="OEP100" s="16"/>
      <c r="OEQ100" s="16"/>
      <c r="OER100" s="16"/>
      <c r="OES100" s="16"/>
      <c r="OET100" s="16"/>
      <c r="OEU100" s="16"/>
      <c r="OEV100" s="16"/>
      <c r="OEW100" s="16"/>
      <c r="OEX100" s="16"/>
      <c r="OEY100" s="16"/>
      <c r="OEZ100" s="16"/>
      <c r="OFA100" s="16"/>
      <c r="OFB100" s="16"/>
      <c r="OFC100" s="16"/>
      <c r="OFD100" s="16"/>
      <c r="OFE100" s="16"/>
      <c r="OFF100" s="16"/>
      <c r="OFG100" s="16"/>
      <c r="OFH100" s="16"/>
      <c r="OFI100" s="16"/>
      <c r="OFJ100" s="16"/>
      <c r="OFK100" s="16"/>
      <c r="OFL100" s="16"/>
      <c r="OFM100" s="16"/>
      <c r="OFN100" s="16"/>
      <c r="OFO100" s="16"/>
      <c r="OFP100" s="16"/>
      <c r="OFQ100" s="16"/>
      <c r="OFR100" s="16"/>
      <c r="OFS100" s="16"/>
      <c r="OFT100" s="16"/>
      <c r="OFU100" s="16"/>
      <c r="OFV100" s="16"/>
      <c r="OFW100" s="16"/>
      <c r="OFX100" s="16"/>
      <c r="OFY100" s="16"/>
      <c r="OFZ100" s="16"/>
      <c r="OGA100" s="16"/>
      <c r="OGB100" s="16"/>
      <c r="OGC100" s="16"/>
      <c r="OGD100" s="16"/>
      <c r="OGE100" s="16"/>
      <c r="OGF100" s="16"/>
      <c r="OGG100" s="16"/>
      <c r="OGH100" s="16"/>
      <c r="OGI100" s="16"/>
      <c r="OGJ100" s="16"/>
      <c r="OGK100" s="16"/>
      <c r="OGL100" s="16"/>
      <c r="OGM100" s="16"/>
      <c r="OGN100" s="16"/>
      <c r="OGO100" s="16"/>
      <c r="OGP100" s="16"/>
      <c r="OGQ100" s="16"/>
      <c r="OGR100" s="16"/>
      <c r="OGS100" s="16"/>
      <c r="OGT100" s="16"/>
      <c r="OGU100" s="16"/>
      <c r="OGV100" s="16"/>
      <c r="OGW100" s="16"/>
      <c r="OGX100" s="16"/>
      <c r="OGY100" s="16"/>
      <c r="OGZ100" s="16"/>
      <c r="OHA100" s="16"/>
      <c r="OHB100" s="16"/>
      <c r="OHC100" s="16"/>
      <c r="OHD100" s="16"/>
      <c r="OHE100" s="16"/>
      <c r="OHF100" s="16"/>
      <c r="OHG100" s="16"/>
      <c r="OHH100" s="16"/>
      <c r="OHI100" s="16"/>
      <c r="OHJ100" s="16"/>
      <c r="OHK100" s="16"/>
      <c r="OHL100" s="16"/>
      <c r="OHM100" s="16"/>
      <c r="OHN100" s="16"/>
      <c r="OHO100" s="16"/>
      <c r="OHP100" s="16"/>
      <c r="OHQ100" s="16"/>
      <c r="OHR100" s="16"/>
      <c r="OHS100" s="16"/>
      <c r="OHT100" s="16"/>
      <c r="OHU100" s="16"/>
      <c r="OHV100" s="16"/>
      <c r="OHW100" s="16"/>
      <c r="OHX100" s="16"/>
      <c r="OHY100" s="16"/>
      <c r="OHZ100" s="16"/>
      <c r="OIA100" s="16"/>
      <c r="OIB100" s="16"/>
      <c r="OIC100" s="16"/>
      <c r="OID100" s="16"/>
      <c r="OIE100" s="16"/>
      <c r="OIF100" s="16"/>
      <c r="OIG100" s="16"/>
      <c r="OIH100" s="16"/>
      <c r="OII100" s="16"/>
      <c r="OIJ100" s="16"/>
      <c r="OIK100" s="16"/>
      <c r="OIL100" s="16"/>
      <c r="OIM100" s="16"/>
      <c r="OIN100" s="16"/>
      <c r="OIO100" s="16"/>
      <c r="OIP100" s="16"/>
      <c r="OIQ100" s="16"/>
      <c r="OIR100" s="16"/>
      <c r="OIS100" s="16"/>
      <c r="OIT100" s="16"/>
      <c r="OIU100" s="16"/>
      <c r="OIV100" s="16"/>
      <c r="OIW100" s="16"/>
      <c r="OIX100" s="16"/>
      <c r="OIY100" s="16"/>
      <c r="OIZ100" s="16"/>
      <c r="OJA100" s="16"/>
      <c r="OJB100" s="16"/>
      <c r="OJC100" s="16"/>
      <c r="OJD100" s="16"/>
      <c r="OJE100" s="16"/>
      <c r="OJF100" s="16"/>
      <c r="OJG100" s="16"/>
      <c r="OJH100" s="16"/>
      <c r="OJI100" s="16"/>
      <c r="OJJ100" s="16"/>
      <c r="OJK100" s="16"/>
      <c r="OJL100" s="16"/>
      <c r="OJM100" s="16"/>
      <c r="OJN100" s="16"/>
      <c r="OJO100" s="16"/>
      <c r="OJP100" s="16"/>
      <c r="OJQ100" s="16"/>
      <c r="OJR100" s="16"/>
      <c r="OJS100" s="16"/>
      <c r="OJT100" s="16"/>
      <c r="OJU100" s="16"/>
      <c r="OJV100" s="16"/>
      <c r="OJW100" s="16"/>
      <c r="OJX100" s="16"/>
      <c r="OJY100" s="16"/>
      <c r="OJZ100" s="16"/>
      <c r="OKA100" s="16"/>
      <c r="OKB100" s="16"/>
      <c r="OKC100" s="16"/>
      <c r="OKD100" s="16"/>
      <c r="OKE100" s="16"/>
      <c r="OKF100" s="16"/>
      <c r="OKG100" s="16"/>
      <c r="OKH100" s="16"/>
      <c r="OKI100" s="16"/>
      <c r="OKJ100" s="16"/>
      <c r="OKK100" s="16"/>
      <c r="OKL100" s="16"/>
      <c r="OKM100" s="16"/>
      <c r="OKN100" s="16"/>
      <c r="OKO100" s="16"/>
      <c r="OKP100" s="16"/>
      <c r="OKQ100" s="16"/>
      <c r="OKR100" s="16"/>
      <c r="OKS100" s="16"/>
      <c r="OKT100" s="16"/>
      <c r="OKU100" s="16"/>
      <c r="OKV100" s="16"/>
      <c r="OKW100" s="16"/>
      <c r="OKX100" s="16"/>
      <c r="OKY100" s="16"/>
      <c r="OKZ100" s="16"/>
      <c r="OLA100" s="16"/>
      <c r="OLB100" s="16"/>
      <c r="OLC100" s="16"/>
      <c r="OLD100" s="16"/>
      <c r="OLE100" s="16"/>
      <c r="OLF100" s="16"/>
      <c r="OLG100" s="16"/>
      <c r="OLH100" s="16"/>
      <c r="OLI100" s="16"/>
      <c r="OLJ100" s="16"/>
      <c r="OLK100" s="16"/>
      <c r="OLL100" s="16"/>
      <c r="OLM100" s="16"/>
      <c r="OLN100" s="16"/>
      <c r="OLO100" s="16"/>
      <c r="OLP100" s="16"/>
      <c r="OLQ100" s="16"/>
      <c r="OLR100" s="16"/>
      <c r="OLS100" s="16"/>
      <c r="OLT100" s="16"/>
      <c r="OLU100" s="16"/>
      <c r="OLV100" s="16"/>
      <c r="OLW100" s="16"/>
      <c r="OLX100" s="16"/>
      <c r="OLY100" s="16"/>
      <c r="OLZ100" s="16"/>
      <c r="OMA100" s="16"/>
      <c r="OMB100" s="16"/>
      <c r="OMC100" s="16"/>
      <c r="OMD100" s="16"/>
      <c r="OME100" s="16"/>
      <c r="OMF100" s="16"/>
      <c r="OMG100" s="16"/>
      <c r="OMH100" s="16"/>
      <c r="OMI100" s="16"/>
      <c r="OMJ100" s="16"/>
      <c r="OMK100" s="16"/>
      <c r="OML100" s="16"/>
      <c r="OMM100" s="16"/>
      <c r="OMN100" s="16"/>
      <c r="OMO100" s="16"/>
      <c r="OMP100" s="16"/>
      <c r="OMQ100" s="16"/>
      <c r="OMR100" s="16"/>
      <c r="OMS100" s="16"/>
      <c r="OMT100" s="16"/>
      <c r="OMU100" s="16"/>
      <c r="OMV100" s="16"/>
      <c r="OMW100" s="16"/>
      <c r="OMX100" s="16"/>
      <c r="OMY100" s="16"/>
      <c r="OMZ100" s="16"/>
      <c r="ONA100" s="16"/>
      <c r="ONB100" s="16"/>
      <c r="ONC100" s="16"/>
      <c r="OND100" s="16"/>
      <c r="ONE100" s="16"/>
      <c r="ONF100" s="16"/>
      <c r="ONG100" s="16"/>
      <c r="ONH100" s="16"/>
      <c r="ONI100" s="16"/>
      <c r="ONJ100" s="16"/>
      <c r="ONK100" s="16"/>
      <c r="ONL100" s="16"/>
      <c r="ONM100" s="16"/>
      <c r="ONN100" s="16"/>
      <c r="ONO100" s="16"/>
      <c r="ONP100" s="16"/>
      <c r="ONQ100" s="16"/>
      <c r="ONR100" s="16"/>
      <c r="ONS100" s="16"/>
      <c r="ONT100" s="16"/>
      <c r="ONU100" s="16"/>
      <c r="ONV100" s="16"/>
      <c r="ONW100" s="16"/>
      <c r="ONX100" s="16"/>
      <c r="ONY100" s="16"/>
      <c r="ONZ100" s="16"/>
      <c r="OOA100" s="16"/>
      <c r="OOB100" s="16"/>
      <c r="OOC100" s="16"/>
      <c r="OOD100" s="16"/>
      <c r="OOE100" s="16"/>
      <c r="OOF100" s="16"/>
      <c r="OOG100" s="16"/>
      <c r="OOH100" s="16"/>
      <c r="OOI100" s="16"/>
      <c r="OOJ100" s="16"/>
      <c r="OOK100" s="16"/>
      <c r="OOL100" s="16"/>
      <c r="OOM100" s="16"/>
      <c r="OON100" s="16"/>
      <c r="OOO100" s="16"/>
      <c r="OOP100" s="16"/>
      <c r="OOQ100" s="16"/>
      <c r="OOR100" s="16"/>
      <c r="OOS100" s="16"/>
      <c r="OOT100" s="16"/>
      <c r="OOU100" s="16"/>
      <c r="OOV100" s="16"/>
      <c r="OOW100" s="16"/>
      <c r="OOX100" s="16"/>
      <c r="OOY100" s="16"/>
      <c r="OOZ100" s="16"/>
      <c r="OPA100" s="16"/>
      <c r="OPB100" s="16"/>
      <c r="OPC100" s="16"/>
      <c r="OPD100" s="16"/>
      <c r="OPE100" s="16"/>
      <c r="OPF100" s="16"/>
      <c r="OPG100" s="16"/>
      <c r="OPH100" s="16"/>
      <c r="OPI100" s="16"/>
      <c r="OPJ100" s="16"/>
      <c r="OPK100" s="16"/>
      <c r="OPL100" s="16"/>
      <c r="OPM100" s="16"/>
      <c r="OPN100" s="16"/>
      <c r="OPO100" s="16"/>
      <c r="OPP100" s="16"/>
      <c r="OPQ100" s="16"/>
      <c r="OPR100" s="16"/>
      <c r="OPS100" s="16"/>
      <c r="OPT100" s="16"/>
      <c r="OPU100" s="16"/>
      <c r="OPV100" s="16"/>
      <c r="OPW100" s="16"/>
      <c r="OPX100" s="16"/>
      <c r="OPY100" s="16"/>
      <c r="OPZ100" s="16"/>
      <c r="OQA100" s="16"/>
      <c r="OQB100" s="16"/>
      <c r="OQC100" s="16"/>
      <c r="OQD100" s="16"/>
      <c r="OQE100" s="16"/>
      <c r="OQF100" s="16"/>
      <c r="OQG100" s="16"/>
      <c r="OQH100" s="16"/>
      <c r="OQI100" s="16"/>
      <c r="OQJ100" s="16"/>
      <c r="OQK100" s="16"/>
      <c r="OQL100" s="16"/>
      <c r="OQM100" s="16"/>
      <c r="OQN100" s="16"/>
      <c r="OQO100" s="16"/>
      <c r="OQP100" s="16"/>
      <c r="OQQ100" s="16"/>
      <c r="OQR100" s="16"/>
      <c r="OQS100" s="16"/>
      <c r="OQT100" s="16"/>
      <c r="OQU100" s="16"/>
      <c r="OQV100" s="16"/>
      <c r="OQW100" s="16"/>
      <c r="OQX100" s="16"/>
      <c r="OQY100" s="16"/>
      <c r="OQZ100" s="16"/>
      <c r="ORA100" s="16"/>
      <c r="ORB100" s="16"/>
      <c r="ORC100" s="16"/>
      <c r="ORD100" s="16"/>
      <c r="ORE100" s="16"/>
      <c r="ORF100" s="16"/>
      <c r="ORG100" s="16"/>
      <c r="ORH100" s="16"/>
      <c r="ORI100" s="16"/>
      <c r="ORJ100" s="16"/>
      <c r="ORK100" s="16"/>
      <c r="ORL100" s="16"/>
      <c r="ORM100" s="16"/>
      <c r="ORN100" s="16"/>
      <c r="ORO100" s="16"/>
      <c r="ORP100" s="16"/>
      <c r="ORQ100" s="16"/>
      <c r="ORR100" s="16"/>
      <c r="ORS100" s="16"/>
      <c r="ORT100" s="16"/>
      <c r="ORU100" s="16"/>
      <c r="ORV100" s="16"/>
      <c r="ORW100" s="16"/>
      <c r="ORX100" s="16"/>
      <c r="ORY100" s="16"/>
      <c r="ORZ100" s="16"/>
      <c r="OSA100" s="16"/>
      <c r="OSB100" s="16"/>
      <c r="OSC100" s="16"/>
      <c r="OSD100" s="16"/>
      <c r="OSE100" s="16"/>
      <c r="OSF100" s="16"/>
      <c r="OSG100" s="16"/>
      <c r="OSH100" s="16"/>
      <c r="OSI100" s="16"/>
      <c r="OSJ100" s="16"/>
      <c r="OSK100" s="16"/>
      <c r="OSL100" s="16"/>
      <c r="OSM100" s="16"/>
      <c r="OSN100" s="16"/>
      <c r="OSO100" s="16"/>
      <c r="OSP100" s="16"/>
      <c r="OSQ100" s="16"/>
      <c r="OSR100" s="16"/>
      <c r="OSS100" s="16"/>
      <c r="OST100" s="16"/>
      <c r="OSU100" s="16"/>
      <c r="OSV100" s="16"/>
      <c r="OSW100" s="16"/>
      <c r="OSX100" s="16"/>
      <c r="OSY100" s="16"/>
      <c r="OSZ100" s="16"/>
      <c r="OTA100" s="16"/>
      <c r="OTB100" s="16"/>
      <c r="OTC100" s="16"/>
      <c r="OTD100" s="16"/>
      <c r="OTE100" s="16"/>
      <c r="OTF100" s="16"/>
      <c r="OTG100" s="16"/>
      <c r="OTH100" s="16"/>
      <c r="OTI100" s="16"/>
      <c r="OTJ100" s="16"/>
      <c r="OTK100" s="16"/>
      <c r="OTL100" s="16"/>
      <c r="OTM100" s="16"/>
      <c r="OTN100" s="16"/>
      <c r="OTO100" s="16"/>
      <c r="OTP100" s="16"/>
      <c r="OTQ100" s="16"/>
      <c r="OTR100" s="16"/>
      <c r="OTS100" s="16"/>
      <c r="OTT100" s="16"/>
      <c r="OTU100" s="16"/>
      <c r="OTV100" s="16"/>
      <c r="OTW100" s="16"/>
      <c r="OTX100" s="16"/>
      <c r="OTY100" s="16"/>
      <c r="OTZ100" s="16"/>
      <c r="OUA100" s="16"/>
      <c r="OUB100" s="16"/>
      <c r="OUC100" s="16"/>
      <c r="OUD100" s="16"/>
      <c r="OUE100" s="16"/>
      <c r="OUF100" s="16"/>
      <c r="OUG100" s="16"/>
      <c r="OUH100" s="16"/>
      <c r="OUI100" s="16"/>
      <c r="OUJ100" s="16"/>
      <c r="OUK100" s="16"/>
      <c r="OUL100" s="16"/>
      <c r="OUM100" s="16"/>
      <c r="OUN100" s="16"/>
      <c r="OUO100" s="16"/>
      <c r="OUP100" s="16"/>
      <c r="OUQ100" s="16"/>
      <c r="OUR100" s="16"/>
      <c r="OUS100" s="16"/>
      <c r="OUT100" s="16"/>
      <c r="OUU100" s="16"/>
      <c r="OUV100" s="16"/>
      <c r="OUW100" s="16"/>
      <c r="OUX100" s="16"/>
      <c r="OUY100" s="16"/>
      <c r="OUZ100" s="16"/>
      <c r="OVA100" s="16"/>
      <c r="OVB100" s="16"/>
      <c r="OVC100" s="16"/>
      <c r="OVD100" s="16"/>
      <c r="OVE100" s="16"/>
      <c r="OVF100" s="16"/>
      <c r="OVG100" s="16"/>
      <c r="OVH100" s="16"/>
      <c r="OVI100" s="16"/>
      <c r="OVJ100" s="16"/>
      <c r="OVK100" s="16"/>
      <c r="OVL100" s="16"/>
      <c r="OVM100" s="16"/>
      <c r="OVN100" s="16"/>
      <c r="OVO100" s="16"/>
      <c r="OVP100" s="16"/>
      <c r="OVQ100" s="16"/>
      <c r="OVR100" s="16"/>
      <c r="OVS100" s="16"/>
      <c r="OVT100" s="16"/>
      <c r="OVU100" s="16"/>
      <c r="OVV100" s="16"/>
      <c r="OVW100" s="16"/>
      <c r="OVX100" s="16"/>
      <c r="OVY100" s="16"/>
      <c r="OVZ100" s="16"/>
      <c r="OWA100" s="16"/>
      <c r="OWB100" s="16"/>
      <c r="OWC100" s="16"/>
      <c r="OWD100" s="16"/>
      <c r="OWE100" s="16"/>
      <c r="OWF100" s="16"/>
      <c r="OWG100" s="16"/>
      <c r="OWH100" s="16"/>
      <c r="OWI100" s="16"/>
      <c r="OWJ100" s="16"/>
      <c r="OWK100" s="16"/>
      <c r="OWL100" s="16"/>
      <c r="OWM100" s="16"/>
      <c r="OWN100" s="16"/>
      <c r="OWO100" s="16"/>
      <c r="OWP100" s="16"/>
      <c r="OWQ100" s="16"/>
      <c r="OWR100" s="16"/>
      <c r="OWS100" s="16"/>
      <c r="OWT100" s="16"/>
      <c r="OWU100" s="16"/>
      <c r="OWV100" s="16"/>
      <c r="OWW100" s="16"/>
      <c r="OWX100" s="16"/>
      <c r="OWY100" s="16"/>
      <c r="OWZ100" s="16"/>
      <c r="OXA100" s="16"/>
      <c r="OXB100" s="16"/>
      <c r="OXC100" s="16"/>
      <c r="OXD100" s="16"/>
      <c r="OXE100" s="16"/>
      <c r="OXF100" s="16"/>
      <c r="OXG100" s="16"/>
      <c r="OXH100" s="16"/>
      <c r="OXI100" s="16"/>
      <c r="OXJ100" s="16"/>
      <c r="OXK100" s="16"/>
      <c r="OXL100" s="16"/>
      <c r="OXM100" s="16"/>
      <c r="OXN100" s="16"/>
      <c r="OXO100" s="16"/>
      <c r="OXP100" s="16"/>
      <c r="OXQ100" s="16"/>
      <c r="OXR100" s="16"/>
      <c r="OXS100" s="16"/>
      <c r="OXT100" s="16"/>
      <c r="OXU100" s="16"/>
      <c r="OXV100" s="16"/>
      <c r="OXW100" s="16"/>
      <c r="OXX100" s="16"/>
      <c r="OXY100" s="16"/>
      <c r="OXZ100" s="16"/>
      <c r="OYA100" s="16"/>
      <c r="OYB100" s="16"/>
      <c r="OYC100" s="16"/>
      <c r="OYD100" s="16"/>
      <c r="OYE100" s="16"/>
      <c r="OYF100" s="16"/>
      <c r="OYG100" s="16"/>
      <c r="OYH100" s="16"/>
      <c r="OYI100" s="16"/>
      <c r="OYJ100" s="16"/>
      <c r="OYK100" s="16"/>
      <c r="OYL100" s="16"/>
      <c r="OYM100" s="16"/>
      <c r="OYN100" s="16"/>
      <c r="OYO100" s="16"/>
      <c r="OYP100" s="16"/>
      <c r="OYQ100" s="16"/>
      <c r="OYR100" s="16"/>
      <c r="OYS100" s="16"/>
      <c r="OYT100" s="16"/>
      <c r="OYU100" s="16"/>
      <c r="OYV100" s="16"/>
      <c r="OYW100" s="16"/>
      <c r="OYX100" s="16"/>
      <c r="OYY100" s="16"/>
      <c r="OYZ100" s="16"/>
      <c r="OZA100" s="16"/>
      <c r="OZB100" s="16"/>
      <c r="OZC100" s="16"/>
      <c r="OZD100" s="16"/>
      <c r="OZE100" s="16"/>
      <c r="OZF100" s="16"/>
      <c r="OZG100" s="16"/>
      <c r="OZH100" s="16"/>
      <c r="OZI100" s="16"/>
      <c r="OZJ100" s="16"/>
      <c r="OZK100" s="16"/>
      <c r="OZL100" s="16"/>
      <c r="OZM100" s="16"/>
      <c r="OZN100" s="16"/>
      <c r="OZO100" s="16"/>
      <c r="OZP100" s="16"/>
      <c r="OZQ100" s="16"/>
      <c r="OZR100" s="16"/>
      <c r="OZS100" s="16"/>
      <c r="OZT100" s="16"/>
      <c r="OZU100" s="16"/>
      <c r="OZV100" s="16"/>
      <c r="OZW100" s="16"/>
      <c r="OZX100" s="16"/>
      <c r="OZY100" s="16"/>
      <c r="OZZ100" s="16"/>
      <c r="PAA100" s="16"/>
      <c r="PAB100" s="16"/>
      <c r="PAC100" s="16"/>
      <c r="PAD100" s="16"/>
      <c r="PAE100" s="16"/>
      <c r="PAF100" s="16"/>
      <c r="PAG100" s="16"/>
      <c r="PAH100" s="16"/>
      <c r="PAI100" s="16"/>
      <c r="PAJ100" s="16"/>
      <c r="PAK100" s="16"/>
      <c r="PAL100" s="16"/>
      <c r="PAM100" s="16"/>
      <c r="PAN100" s="16"/>
      <c r="PAO100" s="16"/>
      <c r="PAP100" s="16"/>
      <c r="PAQ100" s="16"/>
      <c r="PAR100" s="16"/>
      <c r="PAS100" s="16"/>
      <c r="PAT100" s="16"/>
      <c r="PAU100" s="16"/>
      <c r="PAV100" s="16"/>
      <c r="PAW100" s="16"/>
      <c r="PAX100" s="16"/>
      <c r="PAY100" s="16"/>
      <c r="PAZ100" s="16"/>
      <c r="PBA100" s="16"/>
      <c r="PBB100" s="16"/>
      <c r="PBC100" s="16"/>
      <c r="PBD100" s="16"/>
      <c r="PBE100" s="16"/>
      <c r="PBF100" s="16"/>
      <c r="PBG100" s="16"/>
      <c r="PBH100" s="16"/>
      <c r="PBI100" s="16"/>
      <c r="PBJ100" s="16"/>
      <c r="PBK100" s="16"/>
      <c r="PBL100" s="16"/>
      <c r="PBM100" s="16"/>
      <c r="PBN100" s="16"/>
      <c r="PBO100" s="16"/>
      <c r="PBP100" s="16"/>
      <c r="PBQ100" s="16"/>
      <c r="PBR100" s="16"/>
      <c r="PBS100" s="16"/>
      <c r="PBT100" s="16"/>
      <c r="PBU100" s="16"/>
      <c r="PBV100" s="16"/>
      <c r="PBW100" s="16"/>
      <c r="PBX100" s="16"/>
      <c r="PBY100" s="16"/>
      <c r="PBZ100" s="16"/>
      <c r="PCA100" s="16"/>
      <c r="PCB100" s="16"/>
      <c r="PCC100" s="16"/>
      <c r="PCD100" s="16"/>
      <c r="PCE100" s="16"/>
      <c r="PCF100" s="16"/>
      <c r="PCG100" s="16"/>
      <c r="PCH100" s="16"/>
      <c r="PCI100" s="16"/>
      <c r="PCJ100" s="16"/>
      <c r="PCK100" s="16"/>
      <c r="PCL100" s="16"/>
      <c r="PCM100" s="16"/>
      <c r="PCN100" s="16"/>
      <c r="PCO100" s="16"/>
      <c r="PCP100" s="16"/>
      <c r="PCQ100" s="16"/>
      <c r="PCR100" s="16"/>
      <c r="PCS100" s="16"/>
      <c r="PCT100" s="16"/>
      <c r="PCU100" s="16"/>
      <c r="PCV100" s="16"/>
      <c r="PCW100" s="16"/>
      <c r="PCX100" s="16"/>
      <c r="PCY100" s="16"/>
      <c r="PCZ100" s="16"/>
      <c r="PDA100" s="16"/>
      <c r="PDB100" s="16"/>
      <c r="PDC100" s="16"/>
      <c r="PDD100" s="16"/>
      <c r="PDE100" s="16"/>
      <c r="PDF100" s="16"/>
      <c r="PDG100" s="16"/>
      <c r="PDH100" s="16"/>
      <c r="PDI100" s="16"/>
      <c r="PDJ100" s="16"/>
      <c r="PDK100" s="16"/>
      <c r="PDL100" s="16"/>
      <c r="PDM100" s="16"/>
      <c r="PDN100" s="16"/>
      <c r="PDO100" s="16"/>
      <c r="PDP100" s="16"/>
      <c r="PDQ100" s="16"/>
      <c r="PDR100" s="16"/>
      <c r="PDS100" s="16"/>
      <c r="PDT100" s="16"/>
      <c r="PDU100" s="16"/>
      <c r="PDV100" s="16"/>
      <c r="PDW100" s="16"/>
      <c r="PDX100" s="16"/>
      <c r="PDY100" s="16"/>
      <c r="PDZ100" s="16"/>
      <c r="PEA100" s="16"/>
      <c r="PEB100" s="16"/>
      <c r="PEC100" s="16"/>
      <c r="PED100" s="16"/>
      <c r="PEE100" s="16"/>
      <c r="PEF100" s="16"/>
      <c r="PEG100" s="16"/>
      <c r="PEH100" s="16"/>
      <c r="PEI100" s="16"/>
      <c r="PEJ100" s="16"/>
      <c r="PEK100" s="16"/>
      <c r="PEL100" s="16"/>
      <c r="PEM100" s="16"/>
      <c r="PEN100" s="16"/>
      <c r="PEO100" s="16"/>
      <c r="PEP100" s="16"/>
      <c r="PEQ100" s="16"/>
      <c r="PER100" s="16"/>
      <c r="PES100" s="16"/>
      <c r="PET100" s="16"/>
      <c r="PEU100" s="16"/>
      <c r="PEV100" s="16"/>
      <c r="PEW100" s="16"/>
      <c r="PEX100" s="16"/>
      <c r="PEY100" s="16"/>
      <c r="PEZ100" s="16"/>
      <c r="PFA100" s="16"/>
      <c r="PFB100" s="16"/>
      <c r="PFC100" s="16"/>
      <c r="PFD100" s="16"/>
      <c r="PFE100" s="16"/>
      <c r="PFF100" s="16"/>
      <c r="PFG100" s="16"/>
      <c r="PFH100" s="16"/>
      <c r="PFI100" s="16"/>
      <c r="PFJ100" s="16"/>
      <c r="PFK100" s="16"/>
      <c r="PFL100" s="16"/>
      <c r="PFM100" s="16"/>
      <c r="PFN100" s="16"/>
      <c r="PFO100" s="16"/>
      <c r="PFP100" s="16"/>
      <c r="PFQ100" s="16"/>
      <c r="PFR100" s="16"/>
      <c r="PFS100" s="16"/>
      <c r="PFT100" s="16"/>
      <c r="PFU100" s="16"/>
      <c r="PFV100" s="16"/>
      <c r="PFW100" s="16"/>
      <c r="PFX100" s="16"/>
      <c r="PFY100" s="16"/>
      <c r="PFZ100" s="16"/>
      <c r="PGA100" s="16"/>
      <c r="PGB100" s="16"/>
      <c r="PGC100" s="16"/>
      <c r="PGD100" s="16"/>
      <c r="PGE100" s="16"/>
      <c r="PGF100" s="16"/>
      <c r="PGG100" s="16"/>
      <c r="PGH100" s="16"/>
      <c r="PGI100" s="16"/>
      <c r="PGJ100" s="16"/>
      <c r="PGK100" s="16"/>
      <c r="PGL100" s="16"/>
      <c r="PGM100" s="16"/>
      <c r="PGN100" s="16"/>
      <c r="PGO100" s="16"/>
      <c r="PGP100" s="16"/>
      <c r="PGQ100" s="16"/>
      <c r="PGR100" s="16"/>
      <c r="PGS100" s="16"/>
      <c r="PGT100" s="16"/>
      <c r="PGU100" s="16"/>
      <c r="PGV100" s="16"/>
      <c r="PGW100" s="16"/>
      <c r="PGX100" s="16"/>
      <c r="PGY100" s="16"/>
      <c r="PGZ100" s="16"/>
      <c r="PHA100" s="16"/>
      <c r="PHB100" s="16"/>
      <c r="PHC100" s="16"/>
      <c r="PHD100" s="16"/>
      <c r="PHE100" s="16"/>
      <c r="PHF100" s="16"/>
      <c r="PHG100" s="16"/>
      <c r="PHH100" s="16"/>
      <c r="PHI100" s="16"/>
      <c r="PHJ100" s="16"/>
      <c r="PHK100" s="16"/>
      <c r="PHL100" s="16"/>
      <c r="PHM100" s="16"/>
      <c r="PHN100" s="16"/>
      <c r="PHO100" s="16"/>
      <c r="PHP100" s="16"/>
      <c r="PHQ100" s="16"/>
      <c r="PHR100" s="16"/>
      <c r="PHS100" s="16"/>
      <c r="PHT100" s="16"/>
      <c r="PHU100" s="16"/>
      <c r="PHV100" s="16"/>
      <c r="PHW100" s="16"/>
      <c r="PHX100" s="16"/>
      <c r="PHY100" s="16"/>
      <c r="PHZ100" s="16"/>
      <c r="PIA100" s="16"/>
      <c r="PIB100" s="16"/>
      <c r="PIC100" s="16"/>
      <c r="PID100" s="16"/>
      <c r="PIE100" s="16"/>
      <c r="PIF100" s="16"/>
      <c r="PIG100" s="16"/>
      <c r="PIH100" s="16"/>
      <c r="PII100" s="16"/>
      <c r="PIJ100" s="16"/>
      <c r="PIK100" s="16"/>
      <c r="PIL100" s="16"/>
      <c r="PIM100" s="16"/>
      <c r="PIN100" s="16"/>
      <c r="PIO100" s="16"/>
      <c r="PIP100" s="16"/>
      <c r="PIQ100" s="16"/>
      <c r="PIR100" s="16"/>
      <c r="PIS100" s="16"/>
      <c r="PIT100" s="16"/>
      <c r="PIU100" s="16"/>
      <c r="PIV100" s="16"/>
      <c r="PIW100" s="16"/>
      <c r="PIX100" s="16"/>
      <c r="PIY100" s="16"/>
      <c r="PIZ100" s="16"/>
      <c r="PJA100" s="16"/>
      <c r="PJB100" s="16"/>
      <c r="PJC100" s="16"/>
      <c r="PJD100" s="16"/>
      <c r="PJE100" s="16"/>
      <c r="PJF100" s="16"/>
      <c r="PJG100" s="16"/>
      <c r="PJH100" s="16"/>
      <c r="PJI100" s="16"/>
      <c r="PJJ100" s="16"/>
      <c r="PJK100" s="16"/>
      <c r="PJL100" s="16"/>
      <c r="PJM100" s="16"/>
      <c r="PJN100" s="16"/>
      <c r="PJO100" s="16"/>
      <c r="PJP100" s="16"/>
      <c r="PJQ100" s="16"/>
      <c r="PJR100" s="16"/>
      <c r="PJS100" s="16"/>
      <c r="PJT100" s="16"/>
      <c r="PJU100" s="16"/>
      <c r="PJV100" s="16"/>
      <c r="PJW100" s="16"/>
      <c r="PJX100" s="16"/>
      <c r="PJY100" s="16"/>
      <c r="PJZ100" s="16"/>
      <c r="PKA100" s="16"/>
      <c r="PKB100" s="16"/>
      <c r="PKC100" s="16"/>
      <c r="PKD100" s="16"/>
      <c r="PKE100" s="16"/>
      <c r="PKF100" s="16"/>
      <c r="PKG100" s="16"/>
      <c r="PKH100" s="16"/>
      <c r="PKI100" s="16"/>
      <c r="PKJ100" s="16"/>
      <c r="PKK100" s="16"/>
      <c r="PKL100" s="16"/>
      <c r="PKM100" s="16"/>
      <c r="PKN100" s="16"/>
      <c r="PKO100" s="16"/>
      <c r="PKP100" s="16"/>
      <c r="PKQ100" s="16"/>
      <c r="PKR100" s="16"/>
      <c r="PKS100" s="16"/>
      <c r="PKT100" s="16"/>
      <c r="PKU100" s="16"/>
      <c r="PKV100" s="16"/>
      <c r="PKW100" s="16"/>
      <c r="PKX100" s="16"/>
      <c r="PKY100" s="16"/>
      <c r="PKZ100" s="16"/>
      <c r="PLA100" s="16"/>
      <c r="PLB100" s="16"/>
      <c r="PLC100" s="16"/>
      <c r="PLD100" s="16"/>
      <c r="PLE100" s="16"/>
      <c r="PLF100" s="16"/>
      <c r="PLG100" s="16"/>
      <c r="PLH100" s="16"/>
      <c r="PLI100" s="16"/>
      <c r="PLJ100" s="16"/>
      <c r="PLK100" s="16"/>
      <c r="PLL100" s="16"/>
      <c r="PLM100" s="16"/>
      <c r="PLN100" s="16"/>
      <c r="PLO100" s="16"/>
      <c r="PLP100" s="16"/>
      <c r="PLQ100" s="16"/>
      <c r="PLR100" s="16"/>
      <c r="PLS100" s="16"/>
      <c r="PLT100" s="16"/>
      <c r="PLU100" s="16"/>
      <c r="PLV100" s="16"/>
      <c r="PLW100" s="16"/>
      <c r="PLX100" s="16"/>
      <c r="PLY100" s="16"/>
      <c r="PLZ100" s="16"/>
      <c r="PMA100" s="16"/>
      <c r="PMB100" s="16"/>
      <c r="PMC100" s="16"/>
      <c r="PMD100" s="16"/>
      <c r="PME100" s="16"/>
      <c r="PMF100" s="16"/>
      <c r="PMG100" s="16"/>
      <c r="PMH100" s="16"/>
      <c r="PMI100" s="16"/>
      <c r="PMJ100" s="16"/>
      <c r="PMK100" s="16"/>
      <c r="PML100" s="16"/>
      <c r="PMM100" s="16"/>
      <c r="PMN100" s="16"/>
      <c r="PMO100" s="16"/>
      <c r="PMP100" s="16"/>
      <c r="PMQ100" s="16"/>
      <c r="PMR100" s="16"/>
      <c r="PMS100" s="16"/>
      <c r="PMT100" s="16"/>
      <c r="PMU100" s="16"/>
      <c r="PMV100" s="16"/>
      <c r="PMW100" s="16"/>
      <c r="PMX100" s="16"/>
      <c r="PMY100" s="16"/>
      <c r="PMZ100" s="16"/>
      <c r="PNA100" s="16"/>
      <c r="PNB100" s="16"/>
      <c r="PNC100" s="16"/>
      <c r="PND100" s="16"/>
      <c r="PNE100" s="16"/>
      <c r="PNF100" s="16"/>
      <c r="PNG100" s="16"/>
      <c r="PNH100" s="16"/>
      <c r="PNI100" s="16"/>
      <c r="PNJ100" s="16"/>
      <c r="PNK100" s="16"/>
      <c r="PNL100" s="16"/>
      <c r="PNM100" s="16"/>
      <c r="PNN100" s="16"/>
      <c r="PNO100" s="16"/>
      <c r="PNP100" s="16"/>
      <c r="PNQ100" s="16"/>
      <c r="PNR100" s="16"/>
      <c r="PNS100" s="16"/>
      <c r="PNT100" s="16"/>
      <c r="PNU100" s="16"/>
      <c r="PNV100" s="16"/>
      <c r="PNW100" s="16"/>
      <c r="PNX100" s="16"/>
      <c r="PNY100" s="16"/>
      <c r="PNZ100" s="16"/>
      <c r="POA100" s="16"/>
      <c r="POB100" s="16"/>
      <c r="POC100" s="16"/>
      <c r="POD100" s="16"/>
      <c r="POE100" s="16"/>
      <c r="POF100" s="16"/>
      <c r="POG100" s="16"/>
      <c r="POH100" s="16"/>
      <c r="POI100" s="16"/>
      <c r="POJ100" s="16"/>
      <c r="POK100" s="16"/>
      <c r="POL100" s="16"/>
      <c r="POM100" s="16"/>
      <c r="PON100" s="16"/>
      <c r="POO100" s="16"/>
      <c r="POP100" s="16"/>
      <c r="POQ100" s="16"/>
      <c r="POR100" s="16"/>
      <c r="POS100" s="16"/>
      <c r="POT100" s="16"/>
      <c r="POU100" s="16"/>
      <c r="POV100" s="16"/>
      <c r="POW100" s="16"/>
      <c r="POX100" s="16"/>
      <c r="POY100" s="16"/>
      <c r="POZ100" s="16"/>
      <c r="PPA100" s="16"/>
      <c r="PPB100" s="16"/>
      <c r="PPC100" s="16"/>
      <c r="PPD100" s="16"/>
      <c r="PPE100" s="16"/>
      <c r="PPF100" s="16"/>
      <c r="PPG100" s="16"/>
      <c r="PPH100" s="16"/>
      <c r="PPI100" s="16"/>
      <c r="PPJ100" s="16"/>
      <c r="PPK100" s="16"/>
      <c r="PPL100" s="16"/>
      <c r="PPM100" s="16"/>
      <c r="PPN100" s="16"/>
      <c r="PPO100" s="16"/>
      <c r="PPP100" s="16"/>
      <c r="PPQ100" s="16"/>
      <c r="PPR100" s="16"/>
      <c r="PPS100" s="16"/>
      <c r="PPT100" s="16"/>
      <c r="PPU100" s="16"/>
      <c r="PPV100" s="16"/>
      <c r="PPW100" s="16"/>
      <c r="PPX100" s="16"/>
      <c r="PPY100" s="16"/>
      <c r="PPZ100" s="16"/>
      <c r="PQA100" s="16"/>
      <c r="PQB100" s="16"/>
      <c r="PQC100" s="16"/>
      <c r="PQD100" s="16"/>
      <c r="PQE100" s="16"/>
      <c r="PQF100" s="16"/>
      <c r="PQG100" s="16"/>
      <c r="PQH100" s="16"/>
      <c r="PQI100" s="16"/>
      <c r="PQJ100" s="16"/>
      <c r="PQK100" s="16"/>
      <c r="PQL100" s="16"/>
      <c r="PQM100" s="16"/>
      <c r="PQN100" s="16"/>
      <c r="PQO100" s="16"/>
      <c r="PQP100" s="16"/>
      <c r="PQQ100" s="16"/>
      <c r="PQR100" s="16"/>
      <c r="PQS100" s="16"/>
      <c r="PQT100" s="16"/>
      <c r="PQU100" s="16"/>
      <c r="PQV100" s="16"/>
      <c r="PQW100" s="16"/>
      <c r="PQX100" s="16"/>
      <c r="PQY100" s="16"/>
      <c r="PQZ100" s="16"/>
      <c r="PRA100" s="16"/>
      <c r="PRB100" s="16"/>
      <c r="PRC100" s="16"/>
      <c r="PRD100" s="16"/>
      <c r="PRE100" s="16"/>
      <c r="PRF100" s="16"/>
      <c r="PRG100" s="16"/>
      <c r="PRH100" s="16"/>
      <c r="PRI100" s="16"/>
      <c r="PRJ100" s="16"/>
      <c r="PRK100" s="16"/>
      <c r="PRL100" s="16"/>
      <c r="PRM100" s="16"/>
      <c r="PRN100" s="16"/>
      <c r="PRO100" s="16"/>
      <c r="PRP100" s="16"/>
      <c r="PRQ100" s="16"/>
      <c r="PRR100" s="16"/>
      <c r="PRS100" s="16"/>
      <c r="PRT100" s="16"/>
      <c r="PRU100" s="16"/>
      <c r="PRV100" s="16"/>
      <c r="PRW100" s="16"/>
      <c r="PRX100" s="16"/>
      <c r="PRY100" s="16"/>
      <c r="PRZ100" s="16"/>
      <c r="PSA100" s="16"/>
      <c r="PSB100" s="16"/>
      <c r="PSC100" s="16"/>
      <c r="PSD100" s="16"/>
      <c r="PSE100" s="16"/>
      <c r="PSF100" s="16"/>
      <c r="PSG100" s="16"/>
      <c r="PSH100" s="16"/>
      <c r="PSI100" s="16"/>
      <c r="PSJ100" s="16"/>
      <c r="PSK100" s="16"/>
      <c r="PSL100" s="16"/>
      <c r="PSM100" s="16"/>
      <c r="PSN100" s="16"/>
      <c r="PSO100" s="16"/>
      <c r="PSP100" s="16"/>
      <c r="PSQ100" s="16"/>
      <c r="PSR100" s="16"/>
      <c r="PSS100" s="16"/>
      <c r="PST100" s="16"/>
      <c r="PSU100" s="16"/>
      <c r="PSV100" s="16"/>
      <c r="PSW100" s="16"/>
      <c r="PSX100" s="16"/>
      <c r="PSY100" s="16"/>
      <c r="PSZ100" s="16"/>
      <c r="PTA100" s="16"/>
      <c r="PTB100" s="16"/>
      <c r="PTC100" s="16"/>
      <c r="PTD100" s="16"/>
      <c r="PTE100" s="16"/>
      <c r="PTF100" s="16"/>
      <c r="PTG100" s="16"/>
      <c r="PTH100" s="16"/>
      <c r="PTI100" s="16"/>
      <c r="PTJ100" s="16"/>
      <c r="PTK100" s="16"/>
      <c r="PTL100" s="16"/>
      <c r="PTM100" s="16"/>
      <c r="PTN100" s="16"/>
      <c r="PTO100" s="16"/>
      <c r="PTP100" s="16"/>
      <c r="PTQ100" s="16"/>
      <c r="PTR100" s="16"/>
      <c r="PTS100" s="16"/>
      <c r="PTT100" s="16"/>
      <c r="PTU100" s="16"/>
      <c r="PTV100" s="16"/>
      <c r="PTW100" s="16"/>
      <c r="PTX100" s="16"/>
      <c r="PTY100" s="16"/>
      <c r="PTZ100" s="16"/>
      <c r="PUA100" s="16"/>
      <c r="PUB100" s="16"/>
      <c r="PUC100" s="16"/>
      <c r="PUD100" s="16"/>
      <c r="PUE100" s="16"/>
      <c r="PUF100" s="16"/>
      <c r="PUG100" s="16"/>
      <c r="PUH100" s="16"/>
      <c r="PUI100" s="16"/>
      <c r="PUJ100" s="16"/>
      <c r="PUK100" s="16"/>
      <c r="PUL100" s="16"/>
      <c r="PUM100" s="16"/>
      <c r="PUN100" s="16"/>
      <c r="PUO100" s="16"/>
      <c r="PUP100" s="16"/>
      <c r="PUQ100" s="16"/>
      <c r="PUR100" s="16"/>
      <c r="PUS100" s="16"/>
      <c r="PUT100" s="16"/>
      <c r="PUU100" s="16"/>
      <c r="PUV100" s="16"/>
      <c r="PUW100" s="16"/>
      <c r="PUX100" s="16"/>
      <c r="PUY100" s="16"/>
      <c r="PUZ100" s="16"/>
      <c r="PVA100" s="16"/>
      <c r="PVB100" s="16"/>
      <c r="PVC100" s="16"/>
      <c r="PVD100" s="16"/>
      <c r="PVE100" s="16"/>
      <c r="PVF100" s="16"/>
      <c r="PVG100" s="16"/>
      <c r="PVH100" s="16"/>
      <c r="PVI100" s="16"/>
      <c r="PVJ100" s="16"/>
      <c r="PVK100" s="16"/>
      <c r="PVL100" s="16"/>
      <c r="PVM100" s="16"/>
      <c r="PVN100" s="16"/>
      <c r="PVO100" s="16"/>
      <c r="PVP100" s="16"/>
      <c r="PVQ100" s="16"/>
      <c r="PVR100" s="16"/>
      <c r="PVS100" s="16"/>
      <c r="PVT100" s="16"/>
      <c r="PVU100" s="16"/>
      <c r="PVV100" s="16"/>
      <c r="PVW100" s="16"/>
      <c r="PVX100" s="16"/>
      <c r="PVY100" s="16"/>
      <c r="PVZ100" s="16"/>
      <c r="PWA100" s="16"/>
      <c r="PWB100" s="16"/>
      <c r="PWC100" s="16"/>
      <c r="PWD100" s="16"/>
      <c r="PWE100" s="16"/>
      <c r="PWF100" s="16"/>
      <c r="PWG100" s="16"/>
      <c r="PWH100" s="16"/>
      <c r="PWI100" s="16"/>
      <c r="PWJ100" s="16"/>
      <c r="PWK100" s="16"/>
      <c r="PWL100" s="16"/>
      <c r="PWM100" s="16"/>
      <c r="PWN100" s="16"/>
      <c r="PWO100" s="16"/>
      <c r="PWP100" s="16"/>
      <c r="PWQ100" s="16"/>
      <c r="PWR100" s="16"/>
      <c r="PWS100" s="16"/>
      <c r="PWT100" s="16"/>
      <c r="PWU100" s="16"/>
      <c r="PWV100" s="16"/>
      <c r="PWW100" s="16"/>
      <c r="PWX100" s="16"/>
      <c r="PWY100" s="16"/>
      <c r="PWZ100" s="16"/>
      <c r="PXA100" s="16"/>
      <c r="PXB100" s="16"/>
      <c r="PXC100" s="16"/>
      <c r="PXD100" s="16"/>
      <c r="PXE100" s="16"/>
      <c r="PXF100" s="16"/>
      <c r="PXG100" s="16"/>
      <c r="PXH100" s="16"/>
      <c r="PXI100" s="16"/>
      <c r="PXJ100" s="16"/>
      <c r="PXK100" s="16"/>
      <c r="PXL100" s="16"/>
      <c r="PXM100" s="16"/>
      <c r="PXN100" s="16"/>
      <c r="PXO100" s="16"/>
      <c r="PXP100" s="16"/>
      <c r="PXQ100" s="16"/>
      <c r="PXR100" s="16"/>
      <c r="PXS100" s="16"/>
      <c r="PXT100" s="16"/>
      <c r="PXU100" s="16"/>
      <c r="PXV100" s="16"/>
      <c r="PXW100" s="16"/>
      <c r="PXX100" s="16"/>
      <c r="PXY100" s="16"/>
      <c r="PXZ100" s="16"/>
      <c r="PYA100" s="16"/>
      <c r="PYB100" s="16"/>
      <c r="PYC100" s="16"/>
      <c r="PYD100" s="16"/>
      <c r="PYE100" s="16"/>
      <c r="PYF100" s="16"/>
      <c r="PYG100" s="16"/>
      <c r="PYH100" s="16"/>
      <c r="PYI100" s="16"/>
      <c r="PYJ100" s="16"/>
      <c r="PYK100" s="16"/>
      <c r="PYL100" s="16"/>
      <c r="PYM100" s="16"/>
      <c r="PYN100" s="16"/>
      <c r="PYO100" s="16"/>
      <c r="PYP100" s="16"/>
      <c r="PYQ100" s="16"/>
      <c r="PYR100" s="16"/>
      <c r="PYS100" s="16"/>
      <c r="PYT100" s="16"/>
      <c r="PYU100" s="16"/>
      <c r="PYV100" s="16"/>
      <c r="PYW100" s="16"/>
      <c r="PYX100" s="16"/>
      <c r="PYY100" s="16"/>
      <c r="PYZ100" s="16"/>
      <c r="PZA100" s="16"/>
      <c r="PZB100" s="16"/>
      <c r="PZC100" s="16"/>
      <c r="PZD100" s="16"/>
      <c r="PZE100" s="16"/>
      <c r="PZF100" s="16"/>
      <c r="PZG100" s="16"/>
      <c r="PZH100" s="16"/>
      <c r="PZI100" s="16"/>
      <c r="PZJ100" s="16"/>
      <c r="PZK100" s="16"/>
      <c r="PZL100" s="16"/>
      <c r="PZM100" s="16"/>
      <c r="PZN100" s="16"/>
      <c r="PZO100" s="16"/>
      <c r="PZP100" s="16"/>
      <c r="PZQ100" s="16"/>
      <c r="PZR100" s="16"/>
      <c r="PZS100" s="16"/>
      <c r="PZT100" s="16"/>
      <c r="PZU100" s="16"/>
      <c r="PZV100" s="16"/>
      <c r="PZW100" s="16"/>
      <c r="PZX100" s="16"/>
      <c r="PZY100" s="16"/>
      <c r="PZZ100" s="16"/>
      <c r="QAA100" s="16"/>
      <c r="QAB100" s="16"/>
      <c r="QAC100" s="16"/>
      <c r="QAD100" s="16"/>
      <c r="QAE100" s="16"/>
      <c r="QAF100" s="16"/>
      <c r="QAG100" s="16"/>
      <c r="QAH100" s="16"/>
      <c r="QAI100" s="16"/>
      <c r="QAJ100" s="16"/>
      <c r="QAK100" s="16"/>
      <c r="QAL100" s="16"/>
      <c r="QAM100" s="16"/>
      <c r="QAN100" s="16"/>
      <c r="QAO100" s="16"/>
      <c r="QAP100" s="16"/>
      <c r="QAQ100" s="16"/>
      <c r="QAR100" s="16"/>
      <c r="QAS100" s="16"/>
      <c r="QAT100" s="16"/>
      <c r="QAU100" s="16"/>
      <c r="QAV100" s="16"/>
      <c r="QAW100" s="16"/>
      <c r="QAX100" s="16"/>
      <c r="QAY100" s="16"/>
      <c r="QAZ100" s="16"/>
      <c r="QBA100" s="16"/>
      <c r="QBB100" s="16"/>
      <c r="QBC100" s="16"/>
      <c r="QBD100" s="16"/>
      <c r="QBE100" s="16"/>
      <c r="QBF100" s="16"/>
      <c r="QBG100" s="16"/>
      <c r="QBH100" s="16"/>
      <c r="QBI100" s="16"/>
      <c r="QBJ100" s="16"/>
      <c r="QBK100" s="16"/>
      <c r="QBL100" s="16"/>
      <c r="QBM100" s="16"/>
      <c r="QBN100" s="16"/>
      <c r="QBO100" s="16"/>
      <c r="QBP100" s="16"/>
      <c r="QBQ100" s="16"/>
      <c r="QBR100" s="16"/>
      <c r="QBS100" s="16"/>
      <c r="QBT100" s="16"/>
      <c r="QBU100" s="16"/>
      <c r="QBV100" s="16"/>
      <c r="QBW100" s="16"/>
      <c r="QBX100" s="16"/>
      <c r="QBY100" s="16"/>
      <c r="QBZ100" s="16"/>
      <c r="QCA100" s="16"/>
      <c r="QCB100" s="16"/>
      <c r="QCC100" s="16"/>
      <c r="QCD100" s="16"/>
      <c r="QCE100" s="16"/>
      <c r="QCF100" s="16"/>
      <c r="QCG100" s="16"/>
      <c r="QCH100" s="16"/>
      <c r="QCI100" s="16"/>
      <c r="QCJ100" s="16"/>
      <c r="QCK100" s="16"/>
      <c r="QCL100" s="16"/>
      <c r="QCM100" s="16"/>
      <c r="QCN100" s="16"/>
      <c r="QCO100" s="16"/>
      <c r="QCP100" s="16"/>
      <c r="QCQ100" s="16"/>
      <c r="QCR100" s="16"/>
      <c r="QCS100" s="16"/>
      <c r="QCT100" s="16"/>
      <c r="QCU100" s="16"/>
      <c r="QCV100" s="16"/>
      <c r="QCW100" s="16"/>
      <c r="QCX100" s="16"/>
      <c r="QCY100" s="16"/>
      <c r="QCZ100" s="16"/>
      <c r="QDA100" s="16"/>
      <c r="QDB100" s="16"/>
      <c r="QDC100" s="16"/>
      <c r="QDD100" s="16"/>
      <c r="QDE100" s="16"/>
      <c r="QDF100" s="16"/>
      <c r="QDG100" s="16"/>
      <c r="QDH100" s="16"/>
      <c r="QDI100" s="16"/>
      <c r="QDJ100" s="16"/>
      <c r="QDK100" s="16"/>
      <c r="QDL100" s="16"/>
      <c r="QDM100" s="16"/>
      <c r="QDN100" s="16"/>
      <c r="QDO100" s="16"/>
      <c r="QDP100" s="16"/>
      <c r="QDQ100" s="16"/>
      <c r="QDR100" s="16"/>
      <c r="QDS100" s="16"/>
      <c r="QDT100" s="16"/>
      <c r="QDU100" s="16"/>
      <c r="QDV100" s="16"/>
      <c r="QDW100" s="16"/>
      <c r="QDX100" s="16"/>
      <c r="QDY100" s="16"/>
      <c r="QDZ100" s="16"/>
      <c r="QEA100" s="16"/>
      <c r="QEB100" s="16"/>
      <c r="QEC100" s="16"/>
      <c r="QED100" s="16"/>
      <c r="QEE100" s="16"/>
      <c r="QEF100" s="16"/>
      <c r="QEG100" s="16"/>
      <c r="QEH100" s="16"/>
      <c r="QEI100" s="16"/>
      <c r="QEJ100" s="16"/>
      <c r="QEK100" s="16"/>
      <c r="QEL100" s="16"/>
      <c r="QEM100" s="16"/>
      <c r="QEN100" s="16"/>
      <c r="QEO100" s="16"/>
      <c r="QEP100" s="16"/>
      <c r="QEQ100" s="16"/>
      <c r="QER100" s="16"/>
      <c r="QES100" s="16"/>
      <c r="QET100" s="16"/>
      <c r="QEU100" s="16"/>
      <c r="QEV100" s="16"/>
      <c r="QEW100" s="16"/>
      <c r="QEX100" s="16"/>
      <c r="QEY100" s="16"/>
      <c r="QEZ100" s="16"/>
      <c r="QFA100" s="16"/>
      <c r="QFB100" s="16"/>
      <c r="QFC100" s="16"/>
      <c r="QFD100" s="16"/>
      <c r="QFE100" s="16"/>
      <c r="QFF100" s="16"/>
      <c r="QFG100" s="16"/>
      <c r="QFH100" s="16"/>
      <c r="QFI100" s="16"/>
      <c r="QFJ100" s="16"/>
      <c r="QFK100" s="16"/>
      <c r="QFL100" s="16"/>
      <c r="QFM100" s="16"/>
      <c r="QFN100" s="16"/>
      <c r="QFO100" s="16"/>
      <c r="QFP100" s="16"/>
      <c r="QFQ100" s="16"/>
      <c r="QFR100" s="16"/>
      <c r="QFS100" s="16"/>
      <c r="QFT100" s="16"/>
      <c r="QFU100" s="16"/>
      <c r="QFV100" s="16"/>
      <c r="QFW100" s="16"/>
      <c r="QFX100" s="16"/>
      <c r="QFY100" s="16"/>
      <c r="QFZ100" s="16"/>
      <c r="QGA100" s="16"/>
      <c r="QGB100" s="16"/>
      <c r="QGC100" s="16"/>
      <c r="QGD100" s="16"/>
      <c r="QGE100" s="16"/>
      <c r="QGF100" s="16"/>
      <c r="QGG100" s="16"/>
      <c r="QGH100" s="16"/>
      <c r="QGI100" s="16"/>
      <c r="QGJ100" s="16"/>
      <c r="QGK100" s="16"/>
      <c r="QGL100" s="16"/>
      <c r="QGM100" s="16"/>
      <c r="QGN100" s="16"/>
      <c r="QGO100" s="16"/>
      <c r="QGP100" s="16"/>
      <c r="QGQ100" s="16"/>
      <c r="QGR100" s="16"/>
      <c r="QGS100" s="16"/>
      <c r="QGT100" s="16"/>
      <c r="QGU100" s="16"/>
      <c r="QGV100" s="16"/>
      <c r="QGW100" s="16"/>
      <c r="QGX100" s="16"/>
      <c r="QGY100" s="16"/>
      <c r="QGZ100" s="16"/>
      <c r="QHA100" s="16"/>
      <c r="QHB100" s="16"/>
      <c r="QHC100" s="16"/>
      <c r="QHD100" s="16"/>
      <c r="QHE100" s="16"/>
      <c r="QHF100" s="16"/>
      <c r="QHG100" s="16"/>
      <c r="QHH100" s="16"/>
      <c r="QHI100" s="16"/>
      <c r="QHJ100" s="16"/>
      <c r="QHK100" s="16"/>
      <c r="QHL100" s="16"/>
      <c r="QHM100" s="16"/>
      <c r="QHN100" s="16"/>
      <c r="QHO100" s="16"/>
      <c r="QHP100" s="16"/>
      <c r="QHQ100" s="16"/>
      <c r="QHR100" s="16"/>
      <c r="QHS100" s="16"/>
      <c r="QHT100" s="16"/>
      <c r="QHU100" s="16"/>
      <c r="QHV100" s="16"/>
      <c r="QHW100" s="16"/>
      <c r="QHX100" s="16"/>
      <c r="QHY100" s="16"/>
      <c r="QHZ100" s="16"/>
      <c r="QIA100" s="16"/>
      <c r="QIB100" s="16"/>
      <c r="QIC100" s="16"/>
      <c r="QID100" s="16"/>
      <c r="QIE100" s="16"/>
      <c r="QIF100" s="16"/>
      <c r="QIG100" s="16"/>
      <c r="QIH100" s="16"/>
      <c r="QII100" s="16"/>
      <c r="QIJ100" s="16"/>
      <c r="QIK100" s="16"/>
      <c r="QIL100" s="16"/>
      <c r="QIM100" s="16"/>
      <c r="QIN100" s="16"/>
      <c r="QIO100" s="16"/>
      <c r="QIP100" s="16"/>
      <c r="QIQ100" s="16"/>
      <c r="QIR100" s="16"/>
      <c r="QIS100" s="16"/>
      <c r="QIT100" s="16"/>
      <c r="QIU100" s="16"/>
      <c r="QIV100" s="16"/>
      <c r="QIW100" s="16"/>
      <c r="QIX100" s="16"/>
      <c r="QIY100" s="16"/>
      <c r="QIZ100" s="16"/>
      <c r="QJA100" s="16"/>
      <c r="QJB100" s="16"/>
      <c r="QJC100" s="16"/>
      <c r="QJD100" s="16"/>
      <c r="QJE100" s="16"/>
      <c r="QJF100" s="16"/>
      <c r="QJG100" s="16"/>
      <c r="QJH100" s="16"/>
      <c r="QJI100" s="16"/>
      <c r="QJJ100" s="16"/>
      <c r="QJK100" s="16"/>
      <c r="QJL100" s="16"/>
      <c r="QJM100" s="16"/>
      <c r="QJN100" s="16"/>
      <c r="QJO100" s="16"/>
      <c r="QJP100" s="16"/>
      <c r="QJQ100" s="16"/>
      <c r="QJR100" s="16"/>
      <c r="QJS100" s="16"/>
      <c r="QJT100" s="16"/>
      <c r="QJU100" s="16"/>
      <c r="QJV100" s="16"/>
      <c r="QJW100" s="16"/>
      <c r="QJX100" s="16"/>
      <c r="QJY100" s="16"/>
      <c r="QJZ100" s="16"/>
      <c r="QKA100" s="16"/>
      <c r="QKB100" s="16"/>
      <c r="QKC100" s="16"/>
      <c r="QKD100" s="16"/>
      <c r="QKE100" s="16"/>
      <c r="QKF100" s="16"/>
      <c r="QKG100" s="16"/>
      <c r="QKH100" s="16"/>
      <c r="QKI100" s="16"/>
      <c r="QKJ100" s="16"/>
      <c r="QKK100" s="16"/>
      <c r="QKL100" s="16"/>
      <c r="QKM100" s="16"/>
      <c r="QKN100" s="16"/>
      <c r="QKO100" s="16"/>
      <c r="QKP100" s="16"/>
      <c r="QKQ100" s="16"/>
      <c r="QKR100" s="16"/>
      <c r="QKS100" s="16"/>
      <c r="QKT100" s="16"/>
      <c r="QKU100" s="16"/>
      <c r="QKV100" s="16"/>
      <c r="QKW100" s="16"/>
      <c r="QKX100" s="16"/>
      <c r="QKY100" s="16"/>
      <c r="QKZ100" s="16"/>
      <c r="QLA100" s="16"/>
      <c r="QLB100" s="16"/>
      <c r="QLC100" s="16"/>
      <c r="QLD100" s="16"/>
      <c r="QLE100" s="16"/>
      <c r="QLF100" s="16"/>
      <c r="QLG100" s="16"/>
      <c r="QLH100" s="16"/>
      <c r="QLI100" s="16"/>
      <c r="QLJ100" s="16"/>
      <c r="QLK100" s="16"/>
      <c r="QLL100" s="16"/>
      <c r="QLM100" s="16"/>
      <c r="QLN100" s="16"/>
      <c r="QLO100" s="16"/>
      <c r="QLP100" s="16"/>
      <c r="QLQ100" s="16"/>
      <c r="QLR100" s="16"/>
      <c r="QLS100" s="16"/>
      <c r="QLT100" s="16"/>
      <c r="QLU100" s="16"/>
      <c r="QLV100" s="16"/>
      <c r="QLW100" s="16"/>
      <c r="QLX100" s="16"/>
      <c r="QLY100" s="16"/>
      <c r="QLZ100" s="16"/>
      <c r="QMA100" s="16"/>
      <c r="QMB100" s="16"/>
      <c r="QMC100" s="16"/>
      <c r="QMD100" s="16"/>
      <c r="QME100" s="16"/>
      <c r="QMF100" s="16"/>
      <c r="QMG100" s="16"/>
      <c r="QMH100" s="16"/>
      <c r="QMI100" s="16"/>
      <c r="QMJ100" s="16"/>
      <c r="QMK100" s="16"/>
      <c r="QML100" s="16"/>
      <c r="QMM100" s="16"/>
      <c r="QMN100" s="16"/>
      <c r="QMO100" s="16"/>
      <c r="QMP100" s="16"/>
      <c r="QMQ100" s="16"/>
      <c r="QMR100" s="16"/>
      <c r="QMS100" s="16"/>
      <c r="QMT100" s="16"/>
      <c r="QMU100" s="16"/>
      <c r="QMV100" s="16"/>
      <c r="QMW100" s="16"/>
      <c r="QMX100" s="16"/>
      <c r="QMY100" s="16"/>
      <c r="QMZ100" s="16"/>
      <c r="QNA100" s="16"/>
      <c r="QNB100" s="16"/>
      <c r="QNC100" s="16"/>
      <c r="QND100" s="16"/>
      <c r="QNE100" s="16"/>
      <c r="QNF100" s="16"/>
      <c r="QNG100" s="16"/>
      <c r="QNH100" s="16"/>
      <c r="QNI100" s="16"/>
      <c r="QNJ100" s="16"/>
      <c r="QNK100" s="16"/>
      <c r="QNL100" s="16"/>
      <c r="QNM100" s="16"/>
      <c r="QNN100" s="16"/>
      <c r="QNO100" s="16"/>
      <c r="QNP100" s="16"/>
      <c r="QNQ100" s="16"/>
      <c r="QNR100" s="16"/>
      <c r="QNS100" s="16"/>
      <c r="QNT100" s="16"/>
      <c r="QNU100" s="16"/>
      <c r="QNV100" s="16"/>
      <c r="QNW100" s="16"/>
      <c r="QNX100" s="16"/>
      <c r="QNY100" s="16"/>
      <c r="QNZ100" s="16"/>
      <c r="QOA100" s="16"/>
      <c r="QOB100" s="16"/>
      <c r="QOC100" s="16"/>
      <c r="QOD100" s="16"/>
      <c r="QOE100" s="16"/>
      <c r="QOF100" s="16"/>
      <c r="QOG100" s="16"/>
      <c r="QOH100" s="16"/>
      <c r="QOI100" s="16"/>
      <c r="QOJ100" s="16"/>
      <c r="QOK100" s="16"/>
      <c r="QOL100" s="16"/>
      <c r="QOM100" s="16"/>
      <c r="QON100" s="16"/>
      <c r="QOO100" s="16"/>
      <c r="QOP100" s="16"/>
      <c r="QOQ100" s="16"/>
      <c r="QOR100" s="16"/>
      <c r="QOS100" s="16"/>
      <c r="QOT100" s="16"/>
      <c r="QOU100" s="16"/>
      <c r="QOV100" s="16"/>
      <c r="QOW100" s="16"/>
      <c r="QOX100" s="16"/>
      <c r="QOY100" s="16"/>
      <c r="QOZ100" s="16"/>
      <c r="QPA100" s="16"/>
      <c r="QPB100" s="16"/>
      <c r="QPC100" s="16"/>
      <c r="QPD100" s="16"/>
      <c r="QPE100" s="16"/>
      <c r="QPF100" s="16"/>
      <c r="QPG100" s="16"/>
      <c r="QPH100" s="16"/>
      <c r="QPI100" s="16"/>
      <c r="QPJ100" s="16"/>
      <c r="QPK100" s="16"/>
      <c r="QPL100" s="16"/>
      <c r="QPM100" s="16"/>
      <c r="QPN100" s="16"/>
      <c r="QPO100" s="16"/>
      <c r="QPP100" s="16"/>
      <c r="QPQ100" s="16"/>
      <c r="QPR100" s="16"/>
      <c r="QPS100" s="16"/>
      <c r="QPT100" s="16"/>
      <c r="QPU100" s="16"/>
      <c r="QPV100" s="16"/>
      <c r="QPW100" s="16"/>
      <c r="QPX100" s="16"/>
      <c r="QPY100" s="16"/>
      <c r="QPZ100" s="16"/>
      <c r="QQA100" s="16"/>
      <c r="QQB100" s="16"/>
      <c r="QQC100" s="16"/>
      <c r="QQD100" s="16"/>
      <c r="QQE100" s="16"/>
      <c r="QQF100" s="16"/>
      <c r="QQG100" s="16"/>
      <c r="QQH100" s="16"/>
      <c r="QQI100" s="16"/>
      <c r="QQJ100" s="16"/>
      <c r="QQK100" s="16"/>
      <c r="QQL100" s="16"/>
      <c r="QQM100" s="16"/>
      <c r="QQN100" s="16"/>
      <c r="QQO100" s="16"/>
      <c r="QQP100" s="16"/>
      <c r="QQQ100" s="16"/>
      <c r="QQR100" s="16"/>
      <c r="QQS100" s="16"/>
      <c r="QQT100" s="16"/>
      <c r="QQU100" s="16"/>
      <c r="QQV100" s="16"/>
      <c r="QQW100" s="16"/>
      <c r="QQX100" s="16"/>
      <c r="QQY100" s="16"/>
      <c r="QQZ100" s="16"/>
      <c r="QRA100" s="16"/>
      <c r="QRB100" s="16"/>
      <c r="QRC100" s="16"/>
      <c r="QRD100" s="16"/>
      <c r="QRE100" s="16"/>
      <c r="QRF100" s="16"/>
      <c r="QRG100" s="16"/>
      <c r="QRH100" s="16"/>
      <c r="QRI100" s="16"/>
      <c r="QRJ100" s="16"/>
      <c r="QRK100" s="16"/>
      <c r="QRL100" s="16"/>
      <c r="QRM100" s="16"/>
      <c r="QRN100" s="16"/>
      <c r="QRO100" s="16"/>
      <c r="QRP100" s="16"/>
      <c r="QRQ100" s="16"/>
      <c r="QRR100" s="16"/>
      <c r="QRS100" s="16"/>
      <c r="QRT100" s="16"/>
      <c r="QRU100" s="16"/>
      <c r="QRV100" s="16"/>
      <c r="QRW100" s="16"/>
      <c r="QRX100" s="16"/>
      <c r="QRY100" s="16"/>
      <c r="QRZ100" s="16"/>
      <c r="QSA100" s="16"/>
      <c r="QSB100" s="16"/>
      <c r="QSC100" s="16"/>
      <c r="QSD100" s="16"/>
      <c r="QSE100" s="16"/>
      <c r="QSF100" s="16"/>
      <c r="QSG100" s="16"/>
      <c r="QSH100" s="16"/>
      <c r="QSI100" s="16"/>
      <c r="QSJ100" s="16"/>
      <c r="QSK100" s="16"/>
      <c r="QSL100" s="16"/>
      <c r="QSM100" s="16"/>
      <c r="QSN100" s="16"/>
      <c r="QSO100" s="16"/>
      <c r="QSP100" s="16"/>
      <c r="QSQ100" s="16"/>
      <c r="QSR100" s="16"/>
      <c r="QSS100" s="16"/>
      <c r="QST100" s="16"/>
      <c r="QSU100" s="16"/>
      <c r="QSV100" s="16"/>
      <c r="QSW100" s="16"/>
      <c r="QSX100" s="16"/>
      <c r="QSY100" s="16"/>
      <c r="QSZ100" s="16"/>
      <c r="QTA100" s="16"/>
      <c r="QTB100" s="16"/>
      <c r="QTC100" s="16"/>
      <c r="QTD100" s="16"/>
      <c r="QTE100" s="16"/>
      <c r="QTF100" s="16"/>
      <c r="QTG100" s="16"/>
      <c r="QTH100" s="16"/>
      <c r="QTI100" s="16"/>
      <c r="QTJ100" s="16"/>
      <c r="QTK100" s="16"/>
      <c r="QTL100" s="16"/>
      <c r="QTM100" s="16"/>
      <c r="QTN100" s="16"/>
      <c r="QTO100" s="16"/>
      <c r="QTP100" s="16"/>
      <c r="QTQ100" s="16"/>
      <c r="QTR100" s="16"/>
      <c r="QTS100" s="16"/>
      <c r="QTT100" s="16"/>
      <c r="QTU100" s="16"/>
      <c r="QTV100" s="16"/>
      <c r="QTW100" s="16"/>
      <c r="QTX100" s="16"/>
      <c r="QTY100" s="16"/>
      <c r="QTZ100" s="16"/>
      <c r="QUA100" s="16"/>
      <c r="QUB100" s="16"/>
      <c r="QUC100" s="16"/>
      <c r="QUD100" s="16"/>
      <c r="QUE100" s="16"/>
      <c r="QUF100" s="16"/>
      <c r="QUG100" s="16"/>
      <c r="QUH100" s="16"/>
      <c r="QUI100" s="16"/>
      <c r="QUJ100" s="16"/>
      <c r="QUK100" s="16"/>
      <c r="QUL100" s="16"/>
      <c r="QUM100" s="16"/>
      <c r="QUN100" s="16"/>
      <c r="QUO100" s="16"/>
      <c r="QUP100" s="16"/>
      <c r="QUQ100" s="16"/>
      <c r="QUR100" s="16"/>
      <c r="QUS100" s="16"/>
      <c r="QUT100" s="16"/>
      <c r="QUU100" s="16"/>
      <c r="QUV100" s="16"/>
      <c r="QUW100" s="16"/>
      <c r="QUX100" s="16"/>
      <c r="QUY100" s="16"/>
      <c r="QUZ100" s="16"/>
      <c r="QVA100" s="16"/>
      <c r="QVB100" s="16"/>
      <c r="QVC100" s="16"/>
      <c r="QVD100" s="16"/>
      <c r="QVE100" s="16"/>
      <c r="QVF100" s="16"/>
      <c r="QVG100" s="16"/>
      <c r="QVH100" s="16"/>
      <c r="QVI100" s="16"/>
      <c r="QVJ100" s="16"/>
      <c r="QVK100" s="16"/>
      <c r="QVL100" s="16"/>
      <c r="QVM100" s="16"/>
      <c r="QVN100" s="16"/>
      <c r="QVO100" s="16"/>
      <c r="QVP100" s="16"/>
      <c r="QVQ100" s="16"/>
      <c r="QVR100" s="16"/>
      <c r="QVS100" s="16"/>
      <c r="QVT100" s="16"/>
      <c r="QVU100" s="16"/>
      <c r="QVV100" s="16"/>
      <c r="QVW100" s="16"/>
      <c r="QVX100" s="16"/>
      <c r="QVY100" s="16"/>
      <c r="QVZ100" s="16"/>
      <c r="QWA100" s="16"/>
      <c r="QWB100" s="16"/>
      <c r="QWC100" s="16"/>
      <c r="QWD100" s="16"/>
      <c r="QWE100" s="16"/>
      <c r="QWF100" s="16"/>
      <c r="QWG100" s="16"/>
      <c r="QWH100" s="16"/>
      <c r="QWI100" s="16"/>
      <c r="QWJ100" s="16"/>
      <c r="QWK100" s="16"/>
      <c r="QWL100" s="16"/>
      <c r="QWM100" s="16"/>
      <c r="QWN100" s="16"/>
      <c r="QWO100" s="16"/>
      <c r="QWP100" s="16"/>
      <c r="QWQ100" s="16"/>
      <c r="QWR100" s="16"/>
      <c r="QWS100" s="16"/>
      <c r="QWT100" s="16"/>
      <c r="QWU100" s="16"/>
      <c r="QWV100" s="16"/>
      <c r="QWW100" s="16"/>
      <c r="QWX100" s="16"/>
      <c r="QWY100" s="16"/>
      <c r="QWZ100" s="16"/>
      <c r="QXA100" s="16"/>
      <c r="QXB100" s="16"/>
      <c r="QXC100" s="16"/>
      <c r="QXD100" s="16"/>
      <c r="QXE100" s="16"/>
      <c r="QXF100" s="16"/>
      <c r="QXG100" s="16"/>
      <c r="QXH100" s="16"/>
      <c r="QXI100" s="16"/>
      <c r="QXJ100" s="16"/>
      <c r="QXK100" s="16"/>
      <c r="QXL100" s="16"/>
      <c r="QXM100" s="16"/>
      <c r="QXN100" s="16"/>
      <c r="QXO100" s="16"/>
      <c r="QXP100" s="16"/>
      <c r="QXQ100" s="16"/>
      <c r="QXR100" s="16"/>
      <c r="QXS100" s="16"/>
      <c r="QXT100" s="16"/>
      <c r="QXU100" s="16"/>
      <c r="QXV100" s="16"/>
      <c r="QXW100" s="16"/>
      <c r="QXX100" s="16"/>
      <c r="QXY100" s="16"/>
      <c r="QXZ100" s="16"/>
      <c r="QYA100" s="16"/>
      <c r="QYB100" s="16"/>
      <c r="QYC100" s="16"/>
      <c r="QYD100" s="16"/>
      <c r="QYE100" s="16"/>
      <c r="QYF100" s="16"/>
      <c r="QYG100" s="16"/>
      <c r="QYH100" s="16"/>
      <c r="QYI100" s="16"/>
      <c r="QYJ100" s="16"/>
      <c r="QYK100" s="16"/>
      <c r="QYL100" s="16"/>
      <c r="QYM100" s="16"/>
      <c r="QYN100" s="16"/>
      <c r="QYO100" s="16"/>
      <c r="QYP100" s="16"/>
      <c r="QYQ100" s="16"/>
      <c r="QYR100" s="16"/>
      <c r="QYS100" s="16"/>
      <c r="QYT100" s="16"/>
      <c r="QYU100" s="16"/>
      <c r="QYV100" s="16"/>
      <c r="QYW100" s="16"/>
      <c r="QYX100" s="16"/>
      <c r="QYY100" s="16"/>
      <c r="QYZ100" s="16"/>
      <c r="QZA100" s="16"/>
      <c r="QZB100" s="16"/>
      <c r="QZC100" s="16"/>
      <c r="QZD100" s="16"/>
      <c r="QZE100" s="16"/>
      <c r="QZF100" s="16"/>
      <c r="QZG100" s="16"/>
      <c r="QZH100" s="16"/>
      <c r="QZI100" s="16"/>
      <c r="QZJ100" s="16"/>
      <c r="QZK100" s="16"/>
      <c r="QZL100" s="16"/>
      <c r="QZM100" s="16"/>
      <c r="QZN100" s="16"/>
      <c r="QZO100" s="16"/>
      <c r="QZP100" s="16"/>
      <c r="QZQ100" s="16"/>
      <c r="QZR100" s="16"/>
      <c r="QZS100" s="16"/>
      <c r="QZT100" s="16"/>
      <c r="QZU100" s="16"/>
      <c r="QZV100" s="16"/>
      <c r="QZW100" s="16"/>
      <c r="QZX100" s="16"/>
      <c r="QZY100" s="16"/>
      <c r="QZZ100" s="16"/>
      <c r="RAA100" s="16"/>
      <c r="RAB100" s="16"/>
      <c r="RAC100" s="16"/>
      <c r="RAD100" s="16"/>
      <c r="RAE100" s="16"/>
      <c r="RAF100" s="16"/>
      <c r="RAG100" s="16"/>
      <c r="RAH100" s="16"/>
      <c r="RAI100" s="16"/>
      <c r="RAJ100" s="16"/>
      <c r="RAK100" s="16"/>
      <c r="RAL100" s="16"/>
      <c r="RAM100" s="16"/>
      <c r="RAN100" s="16"/>
      <c r="RAO100" s="16"/>
      <c r="RAP100" s="16"/>
      <c r="RAQ100" s="16"/>
      <c r="RAR100" s="16"/>
      <c r="RAS100" s="16"/>
      <c r="RAT100" s="16"/>
      <c r="RAU100" s="16"/>
      <c r="RAV100" s="16"/>
      <c r="RAW100" s="16"/>
      <c r="RAX100" s="16"/>
      <c r="RAY100" s="16"/>
      <c r="RAZ100" s="16"/>
      <c r="RBA100" s="16"/>
      <c r="RBB100" s="16"/>
      <c r="RBC100" s="16"/>
      <c r="RBD100" s="16"/>
      <c r="RBE100" s="16"/>
      <c r="RBF100" s="16"/>
      <c r="RBG100" s="16"/>
      <c r="RBH100" s="16"/>
      <c r="RBI100" s="16"/>
      <c r="RBJ100" s="16"/>
      <c r="RBK100" s="16"/>
      <c r="RBL100" s="16"/>
      <c r="RBM100" s="16"/>
      <c r="RBN100" s="16"/>
      <c r="RBO100" s="16"/>
      <c r="RBP100" s="16"/>
      <c r="RBQ100" s="16"/>
      <c r="RBR100" s="16"/>
      <c r="RBS100" s="16"/>
      <c r="RBT100" s="16"/>
      <c r="RBU100" s="16"/>
      <c r="RBV100" s="16"/>
      <c r="RBW100" s="16"/>
      <c r="RBX100" s="16"/>
      <c r="RBY100" s="16"/>
      <c r="RBZ100" s="16"/>
      <c r="RCA100" s="16"/>
      <c r="RCB100" s="16"/>
      <c r="RCC100" s="16"/>
      <c r="RCD100" s="16"/>
      <c r="RCE100" s="16"/>
      <c r="RCF100" s="16"/>
      <c r="RCG100" s="16"/>
      <c r="RCH100" s="16"/>
      <c r="RCI100" s="16"/>
      <c r="RCJ100" s="16"/>
      <c r="RCK100" s="16"/>
      <c r="RCL100" s="16"/>
      <c r="RCM100" s="16"/>
      <c r="RCN100" s="16"/>
      <c r="RCO100" s="16"/>
      <c r="RCP100" s="16"/>
      <c r="RCQ100" s="16"/>
      <c r="RCR100" s="16"/>
      <c r="RCS100" s="16"/>
      <c r="RCT100" s="16"/>
      <c r="RCU100" s="16"/>
      <c r="RCV100" s="16"/>
      <c r="RCW100" s="16"/>
      <c r="RCX100" s="16"/>
      <c r="RCY100" s="16"/>
      <c r="RCZ100" s="16"/>
      <c r="RDA100" s="16"/>
      <c r="RDB100" s="16"/>
      <c r="RDC100" s="16"/>
      <c r="RDD100" s="16"/>
      <c r="RDE100" s="16"/>
      <c r="RDF100" s="16"/>
      <c r="RDG100" s="16"/>
      <c r="RDH100" s="16"/>
      <c r="RDI100" s="16"/>
      <c r="RDJ100" s="16"/>
      <c r="RDK100" s="16"/>
      <c r="RDL100" s="16"/>
      <c r="RDM100" s="16"/>
      <c r="RDN100" s="16"/>
      <c r="RDO100" s="16"/>
      <c r="RDP100" s="16"/>
      <c r="RDQ100" s="16"/>
      <c r="RDR100" s="16"/>
      <c r="RDS100" s="16"/>
      <c r="RDT100" s="16"/>
      <c r="RDU100" s="16"/>
      <c r="RDV100" s="16"/>
      <c r="RDW100" s="16"/>
      <c r="RDX100" s="16"/>
      <c r="RDY100" s="16"/>
      <c r="RDZ100" s="16"/>
      <c r="REA100" s="16"/>
      <c r="REB100" s="16"/>
      <c r="REC100" s="16"/>
      <c r="RED100" s="16"/>
      <c r="REE100" s="16"/>
      <c r="REF100" s="16"/>
      <c r="REG100" s="16"/>
      <c r="REH100" s="16"/>
      <c r="REI100" s="16"/>
      <c r="REJ100" s="16"/>
      <c r="REK100" s="16"/>
      <c r="REL100" s="16"/>
      <c r="REM100" s="16"/>
      <c r="REN100" s="16"/>
      <c r="REO100" s="16"/>
      <c r="REP100" s="16"/>
      <c r="REQ100" s="16"/>
      <c r="RER100" s="16"/>
      <c r="RES100" s="16"/>
      <c r="RET100" s="16"/>
      <c r="REU100" s="16"/>
      <c r="REV100" s="16"/>
      <c r="REW100" s="16"/>
      <c r="REX100" s="16"/>
      <c r="REY100" s="16"/>
      <c r="REZ100" s="16"/>
      <c r="RFA100" s="16"/>
      <c r="RFB100" s="16"/>
      <c r="RFC100" s="16"/>
      <c r="RFD100" s="16"/>
      <c r="RFE100" s="16"/>
      <c r="RFF100" s="16"/>
      <c r="RFG100" s="16"/>
      <c r="RFH100" s="16"/>
      <c r="RFI100" s="16"/>
      <c r="RFJ100" s="16"/>
      <c r="RFK100" s="16"/>
      <c r="RFL100" s="16"/>
      <c r="RFM100" s="16"/>
      <c r="RFN100" s="16"/>
      <c r="RFO100" s="16"/>
      <c r="RFP100" s="16"/>
      <c r="RFQ100" s="16"/>
      <c r="RFR100" s="16"/>
      <c r="RFS100" s="16"/>
      <c r="RFT100" s="16"/>
      <c r="RFU100" s="16"/>
      <c r="RFV100" s="16"/>
      <c r="RFW100" s="16"/>
      <c r="RFX100" s="16"/>
      <c r="RFY100" s="16"/>
      <c r="RFZ100" s="16"/>
      <c r="RGA100" s="16"/>
      <c r="RGB100" s="16"/>
      <c r="RGC100" s="16"/>
      <c r="RGD100" s="16"/>
      <c r="RGE100" s="16"/>
      <c r="RGF100" s="16"/>
      <c r="RGG100" s="16"/>
      <c r="RGH100" s="16"/>
      <c r="RGI100" s="16"/>
      <c r="RGJ100" s="16"/>
      <c r="RGK100" s="16"/>
      <c r="RGL100" s="16"/>
      <c r="RGM100" s="16"/>
      <c r="RGN100" s="16"/>
      <c r="RGO100" s="16"/>
      <c r="RGP100" s="16"/>
      <c r="RGQ100" s="16"/>
      <c r="RGR100" s="16"/>
      <c r="RGS100" s="16"/>
      <c r="RGT100" s="16"/>
      <c r="RGU100" s="16"/>
      <c r="RGV100" s="16"/>
      <c r="RGW100" s="16"/>
      <c r="RGX100" s="16"/>
      <c r="RGY100" s="16"/>
      <c r="RGZ100" s="16"/>
      <c r="RHA100" s="16"/>
      <c r="RHB100" s="16"/>
      <c r="RHC100" s="16"/>
      <c r="RHD100" s="16"/>
      <c r="RHE100" s="16"/>
      <c r="RHF100" s="16"/>
      <c r="RHG100" s="16"/>
      <c r="RHH100" s="16"/>
      <c r="RHI100" s="16"/>
      <c r="RHJ100" s="16"/>
      <c r="RHK100" s="16"/>
      <c r="RHL100" s="16"/>
      <c r="RHM100" s="16"/>
      <c r="RHN100" s="16"/>
      <c r="RHO100" s="16"/>
      <c r="RHP100" s="16"/>
      <c r="RHQ100" s="16"/>
      <c r="RHR100" s="16"/>
      <c r="RHS100" s="16"/>
      <c r="RHT100" s="16"/>
      <c r="RHU100" s="16"/>
      <c r="RHV100" s="16"/>
      <c r="RHW100" s="16"/>
      <c r="RHX100" s="16"/>
      <c r="RHY100" s="16"/>
      <c r="RHZ100" s="16"/>
      <c r="RIA100" s="16"/>
      <c r="RIB100" s="16"/>
      <c r="RIC100" s="16"/>
      <c r="RID100" s="16"/>
      <c r="RIE100" s="16"/>
      <c r="RIF100" s="16"/>
      <c r="RIG100" s="16"/>
      <c r="RIH100" s="16"/>
      <c r="RII100" s="16"/>
      <c r="RIJ100" s="16"/>
      <c r="RIK100" s="16"/>
      <c r="RIL100" s="16"/>
      <c r="RIM100" s="16"/>
      <c r="RIN100" s="16"/>
      <c r="RIO100" s="16"/>
      <c r="RIP100" s="16"/>
      <c r="RIQ100" s="16"/>
      <c r="RIR100" s="16"/>
      <c r="RIS100" s="16"/>
      <c r="RIT100" s="16"/>
      <c r="RIU100" s="16"/>
      <c r="RIV100" s="16"/>
      <c r="RIW100" s="16"/>
      <c r="RIX100" s="16"/>
      <c r="RIY100" s="16"/>
      <c r="RIZ100" s="16"/>
      <c r="RJA100" s="16"/>
      <c r="RJB100" s="16"/>
      <c r="RJC100" s="16"/>
      <c r="RJD100" s="16"/>
      <c r="RJE100" s="16"/>
      <c r="RJF100" s="16"/>
      <c r="RJG100" s="16"/>
      <c r="RJH100" s="16"/>
      <c r="RJI100" s="16"/>
      <c r="RJJ100" s="16"/>
      <c r="RJK100" s="16"/>
      <c r="RJL100" s="16"/>
      <c r="RJM100" s="16"/>
      <c r="RJN100" s="16"/>
      <c r="RJO100" s="16"/>
      <c r="RJP100" s="16"/>
      <c r="RJQ100" s="16"/>
      <c r="RJR100" s="16"/>
      <c r="RJS100" s="16"/>
      <c r="RJT100" s="16"/>
      <c r="RJU100" s="16"/>
      <c r="RJV100" s="16"/>
      <c r="RJW100" s="16"/>
      <c r="RJX100" s="16"/>
      <c r="RJY100" s="16"/>
      <c r="RJZ100" s="16"/>
      <c r="RKA100" s="16"/>
      <c r="RKB100" s="16"/>
      <c r="RKC100" s="16"/>
      <c r="RKD100" s="16"/>
      <c r="RKE100" s="16"/>
      <c r="RKF100" s="16"/>
      <c r="RKG100" s="16"/>
      <c r="RKH100" s="16"/>
      <c r="RKI100" s="16"/>
      <c r="RKJ100" s="16"/>
      <c r="RKK100" s="16"/>
      <c r="RKL100" s="16"/>
      <c r="RKM100" s="16"/>
      <c r="RKN100" s="16"/>
      <c r="RKO100" s="16"/>
      <c r="RKP100" s="16"/>
      <c r="RKQ100" s="16"/>
      <c r="RKR100" s="16"/>
      <c r="RKS100" s="16"/>
      <c r="RKT100" s="16"/>
      <c r="RKU100" s="16"/>
      <c r="RKV100" s="16"/>
      <c r="RKW100" s="16"/>
      <c r="RKX100" s="16"/>
      <c r="RKY100" s="16"/>
      <c r="RKZ100" s="16"/>
      <c r="RLA100" s="16"/>
      <c r="RLB100" s="16"/>
      <c r="RLC100" s="16"/>
      <c r="RLD100" s="16"/>
      <c r="RLE100" s="16"/>
      <c r="RLF100" s="16"/>
      <c r="RLG100" s="16"/>
      <c r="RLH100" s="16"/>
      <c r="RLI100" s="16"/>
      <c r="RLJ100" s="16"/>
      <c r="RLK100" s="16"/>
      <c r="RLL100" s="16"/>
      <c r="RLM100" s="16"/>
      <c r="RLN100" s="16"/>
      <c r="RLO100" s="16"/>
      <c r="RLP100" s="16"/>
      <c r="RLQ100" s="16"/>
      <c r="RLR100" s="16"/>
      <c r="RLS100" s="16"/>
      <c r="RLT100" s="16"/>
      <c r="RLU100" s="16"/>
      <c r="RLV100" s="16"/>
      <c r="RLW100" s="16"/>
      <c r="RLX100" s="16"/>
      <c r="RLY100" s="16"/>
      <c r="RLZ100" s="16"/>
      <c r="RMA100" s="16"/>
      <c r="RMB100" s="16"/>
      <c r="RMC100" s="16"/>
      <c r="RMD100" s="16"/>
      <c r="RME100" s="16"/>
      <c r="RMF100" s="16"/>
      <c r="RMG100" s="16"/>
      <c r="RMH100" s="16"/>
      <c r="RMI100" s="16"/>
      <c r="RMJ100" s="16"/>
      <c r="RMK100" s="16"/>
      <c r="RML100" s="16"/>
      <c r="RMM100" s="16"/>
      <c r="RMN100" s="16"/>
      <c r="RMO100" s="16"/>
      <c r="RMP100" s="16"/>
      <c r="RMQ100" s="16"/>
      <c r="RMR100" s="16"/>
      <c r="RMS100" s="16"/>
      <c r="RMT100" s="16"/>
      <c r="RMU100" s="16"/>
      <c r="RMV100" s="16"/>
      <c r="RMW100" s="16"/>
      <c r="RMX100" s="16"/>
      <c r="RMY100" s="16"/>
      <c r="RMZ100" s="16"/>
      <c r="RNA100" s="16"/>
      <c r="RNB100" s="16"/>
      <c r="RNC100" s="16"/>
      <c r="RND100" s="16"/>
      <c r="RNE100" s="16"/>
      <c r="RNF100" s="16"/>
      <c r="RNG100" s="16"/>
      <c r="RNH100" s="16"/>
      <c r="RNI100" s="16"/>
      <c r="RNJ100" s="16"/>
      <c r="RNK100" s="16"/>
      <c r="RNL100" s="16"/>
      <c r="RNM100" s="16"/>
      <c r="RNN100" s="16"/>
      <c r="RNO100" s="16"/>
      <c r="RNP100" s="16"/>
      <c r="RNQ100" s="16"/>
      <c r="RNR100" s="16"/>
      <c r="RNS100" s="16"/>
      <c r="RNT100" s="16"/>
      <c r="RNU100" s="16"/>
      <c r="RNV100" s="16"/>
      <c r="RNW100" s="16"/>
      <c r="RNX100" s="16"/>
      <c r="RNY100" s="16"/>
      <c r="RNZ100" s="16"/>
      <c r="ROA100" s="16"/>
      <c r="ROB100" s="16"/>
      <c r="ROC100" s="16"/>
      <c r="ROD100" s="16"/>
      <c r="ROE100" s="16"/>
      <c r="ROF100" s="16"/>
      <c r="ROG100" s="16"/>
      <c r="ROH100" s="16"/>
      <c r="ROI100" s="16"/>
      <c r="ROJ100" s="16"/>
      <c r="ROK100" s="16"/>
      <c r="ROL100" s="16"/>
      <c r="ROM100" s="16"/>
      <c r="RON100" s="16"/>
      <c r="ROO100" s="16"/>
      <c r="ROP100" s="16"/>
      <c r="ROQ100" s="16"/>
      <c r="ROR100" s="16"/>
      <c r="ROS100" s="16"/>
      <c r="ROT100" s="16"/>
      <c r="ROU100" s="16"/>
      <c r="ROV100" s="16"/>
      <c r="ROW100" s="16"/>
      <c r="ROX100" s="16"/>
      <c r="ROY100" s="16"/>
      <c r="ROZ100" s="16"/>
      <c r="RPA100" s="16"/>
      <c r="RPB100" s="16"/>
      <c r="RPC100" s="16"/>
      <c r="RPD100" s="16"/>
      <c r="RPE100" s="16"/>
      <c r="RPF100" s="16"/>
      <c r="RPG100" s="16"/>
      <c r="RPH100" s="16"/>
      <c r="RPI100" s="16"/>
      <c r="RPJ100" s="16"/>
      <c r="RPK100" s="16"/>
      <c r="RPL100" s="16"/>
      <c r="RPM100" s="16"/>
      <c r="RPN100" s="16"/>
      <c r="RPO100" s="16"/>
      <c r="RPP100" s="16"/>
      <c r="RPQ100" s="16"/>
      <c r="RPR100" s="16"/>
      <c r="RPS100" s="16"/>
      <c r="RPT100" s="16"/>
      <c r="RPU100" s="16"/>
      <c r="RPV100" s="16"/>
      <c r="RPW100" s="16"/>
      <c r="RPX100" s="16"/>
      <c r="RPY100" s="16"/>
      <c r="RPZ100" s="16"/>
      <c r="RQA100" s="16"/>
      <c r="RQB100" s="16"/>
      <c r="RQC100" s="16"/>
      <c r="RQD100" s="16"/>
      <c r="RQE100" s="16"/>
      <c r="RQF100" s="16"/>
      <c r="RQG100" s="16"/>
      <c r="RQH100" s="16"/>
      <c r="RQI100" s="16"/>
      <c r="RQJ100" s="16"/>
      <c r="RQK100" s="16"/>
      <c r="RQL100" s="16"/>
      <c r="RQM100" s="16"/>
      <c r="RQN100" s="16"/>
      <c r="RQO100" s="16"/>
      <c r="RQP100" s="16"/>
      <c r="RQQ100" s="16"/>
      <c r="RQR100" s="16"/>
      <c r="RQS100" s="16"/>
      <c r="RQT100" s="16"/>
      <c r="RQU100" s="16"/>
      <c r="RQV100" s="16"/>
      <c r="RQW100" s="16"/>
      <c r="RQX100" s="16"/>
      <c r="RQY100" s="16"/>
      <c r="RQZ100" s="16"/>
      <c r="RRA100" s="16"/>
      <c r="RRB100" s="16"/>
      <c r="RRC100" s="16"/>
      <c r="RRD100" s="16"/>
      <c r="RRE100" s="16"/>
      <c r="RRF100" s="16"/>
      <c r="RRG100" s="16"/>
      <c r="RRH100" s="16"/>
      <c r="RRI100" s="16"/>
      <c r="RRJ100" s="16"/>
      <c r="RRK100" s="16"/>
      <c r="RRL100" s="16"/>
      <c r="RRM100" s="16"/>
      <c r="RRN100" s="16"/>
      <c r="RRO100" s="16"/>
      <c r="RRP100" s="16"/>
      <c r="RRQ100" s="16"/>
      <c r="RRR100" s="16"/>
      <c r="RRS100" s="16"/>
      <c r="RRT100" s="16"/>
      <c r="RRU100" s="16"/>
      <c r="RRV100" s="16"/>
      <c r="RRW100" s="16"/>
      <c r="RRX100" s="16"/>
      <c r="RRY100" s="16"/>
      <c r="RRZ100" s="16"/>
      <c r="RSA100" s="16"/>
      <c r="RSB100" s="16"/>
      <c r="RSC100" s="16"/>
      <c r="RSD100" s="16"/>
      <c r="RSE100" s="16"/>
      <c r="RSF100" s="16"/>
      <c r="RSG100" s="16"/>
      <c r="RSH100" s="16"/>
      <c r="RSI100" s="16"/>
      <c r="RSJ100" s="16"/>
      <c r="RSK100" s="16"/>
      <c r="RSL100" s="16"/>
      <c r="RSM100" s="16"/>
      <c r="RSN100" s="16"/>
      <c r="RSO100" s="16"/>
      <c r="RSP100" s="16"/>
      <c r="RSQ100" s="16"/>
      <c r="RSR100" s="16"/>
      <c r="RSS100" s="16"/>
      <c r="RST100" s="16"/>
      <c r="RSU100" s="16"/>
      <c r="RSV100" s="16"/>
      <c r="RSW100" s="16"/>
      <c r="RSX100" s="16"/>
      <c r="RSY100" s="16"/>
      <c r="RSZ100" s="16"/>
      <c r="RTA100" s="16"/>
      <c r="RTB100" s="16"/>
      <c r="RTC100" s="16"/>
      <c r="RTD100" s="16"/>
      <c r="RTE100" s="16"/>
      <c r="RTF100" s="16"/>
      <c r="RTG100" s="16"/>
      <c r="RTH100" s="16"/>
      <c r="RTI100" s="16"/>
      <c r="RTJ100" s="16"/>
      <c r="RTK100" s="16"/>
      <c r="RTL100" s="16"/>
      <c r="RTM100" s="16"/>
      <c r="RTN100" s="16"/>
      <c r="RTO100" s="16"/>
      <c r="RTP100" s="16"/>
      <c r="RTQ100" s="16"/>
      <c r="RTR100" s="16"/>
      <c r="RTS100" s="16"/>
      <c r="RTT100" s="16"/>
      <c r="RTU100" s="16"/>
      <c r="RTV100" s="16"/>
      <c r="RTW100" s="16"/>
      <c r="RTX100" s="16"/>
      <c r="RTY100" s="16"/>
      <c r="RTZ100" s="16"/>
      <c r="RUA100" s="16"/>
      <c r="RUB100" s="16"/>
      <c r="RUC100" s="16"/>
      <c r="RUD100" s="16"/>
      <c r="RUE100" s="16"/>
      <c r="RUF100" s="16"/>
      <c r="RUG100" s="16"/>
      <c r="RUH100" s="16"/>
      <c r="RUI100" s="16"/>
      <c r="RUJ100" s="16"/>
      <c r="RUK100" s="16"/>
      <c r="RUL100" s="16"/>
      <c r="RUM100" s="16"/>
      <c r="RUN100" s="16"/>
      <c r="RUO100" s="16"/>
      <c r="RUP100" s="16"/>
      <c r="RUQ100" s="16"/>
      <c r="RUR100" s="16"/>
      <c r="RUS100" s="16"/>
      <c r="RUT100" s="16"/>
      <c r="RUU100" s="16"/>
      <c r="RUV100" s="16"/>
      <c r="RUW100" s="16"/>
      <c r="RUX100" s="16"/>
      <c r="RUY100" s="16"/>
      <c r="RUZ100" s="16"/>
      <c r="RVA100" s="16"/>
      <c r="RVB100" s="16"/>
      <c r="RVC100" s="16"/>
      <c r="RVD100" s="16"/>
      <c r="RVE100" s="16"/>
      <c r="RVF100" s="16"/>
      <c r="RVG100" s="16"/>
      <c r="RVH100" s="16"/>
      <c r="RVI100" s="16"/>
      <c r="RVJ100" s="16"/>
      <c r="RVK100" s="16"/>
      <c r="RVL100" s="16"/>
      <c r="RVM100" s="16"/>
      <c r="RVN100" s="16"/>
      <c r="RVO100" s="16"/>
      <c r="RVP100" s="16"/>
      <c r="RVQ100" s="16"/>
      <c r="RVR100" s="16"/>
      <c r="RVS100" s="16"/>
      <c r="RVT100" s="16"/>
      <c r="RVU100" s="16"/>
      <c r="RVV100" s="16"/>
      <c r="RVW100" s="16"/>
      <c r="RVX100" s="16"/>
      <c r="RVY100" s="16"/>
      <c r="RVZ100" s="16"/>
      <c r="RWA100" s="16"/>
      <c r="RWB100" s="16"/>
      <c r="RWC100" s="16"/>
      <c r="RWD100" s="16"/>
      <c r="RWE100" s="16"/>
      <c r="RWF100" s="16"/>
      <c r="RWG100" s="16"/>
      <c r="RWH100" s="16"/>
      <c r="RWI100" s="16"/>
      <c r="RWJ100" s="16"/>
      <c r="RWK100" s="16"/>
      <c r="RWL100" s="16"/>
      <c r="RWM100" s="16"/>
      <c r="RWN100" s="16"/>
      <c r="RWO100" s="16"/>
      <c r="RWP100" s="16"/>
      <c r="RWQ100" s="16"/>
      <c r="RWR100" s="16"/>
      <c r="RWS100" s="16"/>
      <c r="RWT100" s="16"/>
      <c r="RWU100" s="16"/>
      <c r="RWV100" s="16"/>
      <c r="RWW100" s="16"/>
      <c r="RWX100" s="16"/>
      <c r="RWY100" s="16"/>
      <c r="RWZ100" s="16"/>
      <c r="RXA100" s="16"/>
      <c r="RXB100" s="16"/>
      <c r="RXC100" s="16"/>
      <c r="RXD100" s="16"/>
      <c r="RXE100" s="16"/>
      <c r="RXF100" s="16"/>
      <c r="RXG100" s="16"/>
      <c r="RXH100" s="16"/>
      <c r="RXI100" s="16"/>
      <c r="RXJ100" s="16"/>
      <c r="RXK100" s="16"/>
      <c r="RXL100" s="16"/>
      <c r="RXM100" s="16"/>
      <c r="RXN100" s="16"/>
      <c r="RXO100" s="16"/>
      <c r="RXP100" s="16"/>
      <c r="RXQ100" s="16"/>
      <c r="RXR100" s="16"/>
      <c r="RXS100" s="16"/>
      <c r="RXT100" s="16"/>
      <c r="RXU100" s="16"/>
      <c r="RXV100" s="16"/>
      <c r="RXW100" s="16"/>
      <c r="RXX100" s="16"/>
      <c r="RXY100" s="16"/>
      <c r="RXZ100" s="16"/>
      <c r="RYA100" s="16"/>
      <c r="RYB100" s="16"/>
      <c r="RYC100" s="16"/>
      <c r="RYD100" s="16"/>
      <c r="RYE100" s="16"/>
      <c r="RYF100" s="16"/>
      <c r="RYG100" s="16"/>
      <c r="RYH100" s="16"/>
      <c r="RYI100" s="16"/>
      <c r="RYJ100" s="16"/>
      <c r="RYK100" s="16"/>
      <c r="RYL100" s="16"/>
      <c r="RYM100" s="16"/>
      <c r="RYN100" s="16"/>
      <c r="RYO100" s="16"/>
      <c r="RYP100" s="16"/>
      <c r="RYQ100" s="16"/>
      <c r="RYR100" s="16"/>
      <c r="RYS100" s="16"/>
      <c r="RYT100" s="16"/>
      <c r="RYU100" s="16"/>
      <c r="RYV100" s="16"/>
      <c r="RYW100" s="16"/>
      <c r="RYX100" s="16"/>
      <c r="RYY100" s="16"/>
      <c r="RYZ100" s="16"/>
      <c r="RZA100" s="16"/>
      <c r="RZB100" s="16"/>
      <c r="RZC100" s="16"/>
      <c r="RZD100" s="16"/>
      <c r="RZE100" s="16"/>
      <c r="RZF100" s="16"/>
      <c r="RZG100" s="16"/>
      <c r="RZH100" s="16"/>
      <c r="RZI100" s="16"/>
      <c r="RZJ100" s="16"/>
      <c r="RZK100" s="16"/>
      <c r="RZL100" s="16"/>
      <c r="RZM100" s="16"/>
      <c r="RZN100" s="16"/>
      <c r="RZO100" s="16"/>
      <c r="RZP100" s="16"/>
      <c r="RZQ100" s="16"/>
      <c r="RZR100" s="16"/>
      <c r="RZS100" s="16"/>
      <c r="RZT100" s="16"/>
      <c r="RZU100" s="16"/>
      <c r="RZV100" s="16"/>
      <c r="RZW100" s="16"/>
      <c r="RZX100" s="16"/>
      <c r="RZY100" s="16"/>
      <c r="RZZ100" s="16"/>
      <c r="SAA100" s="16"/>
      <c r="SAB100" s="16"/>
      <c r="SAC100" s="16"/>
      <c r="SAD100" s="16"/>
      <c r="SAE100" s="16"/>
      <c r="SAF100" s="16"/>
      <c r="SAG100" s="16"/>
      <c r="SAH100" s="16"/>
      <c r="SAI100" s="16"/>
      <c r="SAJ100" s="16"/>
      <c r="SAK100" s="16"/>
      <c r="SAL100" s="16"/>
      <c r="SAM100" s="16"/>
      <c r="SAN100" s="16"/>
      <c r="SAO100" s="16"/>
      <c r="SAP100" s="16"/>
      <c r="SAQ100" s="16"/>
      <c r="SAR100" s="16"/>
      <c r="SAS100" s="16"/>
      <c r="SAT100" s="16"/>
      <c r="SAU100" s="16"/>
      <c r="SAV100" s="16"/>
      <c r="SAW100" s="16"/>
      <c r="SAX100" s="16"/>
      <c r="SAY100" s="16"/>
      <c r="SAZ100" s="16"/>
      <c r="SBA100" s="16"/>
      <c r="SBB100" s="16"/>
      <c r="SBC100" s="16"/>
      <c r="SBD100" s="16"/>
      <c r="SBE100" s="16"/>
      <c r="SBF100" s="16"/>
      <c r="SBG100" s="16"/>
      <c r="SBH100" s="16"/>
      <c r="SBI100" s="16"/>
      <c r="SBJ100" s="16"/>
      <c r="SBK100" s="16"/>
      <c r="SBL100" s="16"/>
      <c r="SBM100" s="16"/>
      <c r="SBN100" s="16"/>
      <c r="SBO100" s="16"/>
      <c r="SBP100" s="16"/>
      <c r="SBQ100" s="16"/>
      <c r="SBR100" s="16"/>
      <c r="SBS100" s="16"/>
      <c r="SBT100" s="16"/>
      <c r="SBU100" s="16"/>
      <c r="SBV100" s="16"/>
      <c r="SBW100" s="16"/>
      <c r="SBX100" s="16"/>
      <c r="SBY100" s="16"/>
      <c r="SBZ100" s="16"/>
      <c r="SCA100" s="16"/>
      <c r="SCB100" s="16"/>
      <c r="SCC100" s="16"/>
      <c r="SCD100" s="16"/>
      <c r="SCE100" s="16"/>
      <c r="SCF100" s="16"/>
      <c r="SCG100" s="16"/>
      <c r="SCH100" s="16"/>
      <c r="SCI100" s="16"/>
      <c r="SCJ100" s="16"/>
      <c r="SCK100" s="16"/>
      <c r="SCL100" s="16"/>
      <c r="SCM100" s="16"/>
      <c r="SCN100" s="16"/>
      <c r="SCO100" s="16"/>
      <c r="SCP100" s="16"/>
      <c r="SCQ100" s="16"/>
      <c r="SCR100" s="16"/>
      <c r="SCS100" s="16"/>
      <c r="SCT100" s="16"/>
      <c r="SCU100" s="16"/>
      <c r="SCV100" s="16"/>
      <c r="SCW100" s="16"/>
      <c r="SCX100" s="16"/>
      <c r="SCY100" s="16"/>
      <c r="SCZ100" s="16"/>
      <c r="SDA100" s="16"/>
      <c r="SDB100" s="16"/>
      <c r="SDC100" s="16"/>
      <c r="SDD100" s="16"/>
      <c r="SDE100" s="16"/>
      <c r="SDF100" s="16"/>
      <c r="SDG100" s="16"/>
      <c r="SDH100" s="16"/>
      <c r="SDI100" s="16"/>
      <c r="SDJ100" s="16"/>
      <c r="SDK100" s="16"/>
      <c r="SDL100" s="16"/>
      <c r="SDM100" s="16"/>
      <c r="SDN100" s="16"/>
      <c r="SDO100" s="16"/>
      <c r="SDP100" s="16"/>
      <c r="SDQ100" s="16"/>
      <c r="SDR100" s="16"/>
      <c r="SDS100" s="16"/>
      <c r="SDT100" s="16"/>
      <c r="SDU100" s="16"/>
      <c r="SDV100" s="16"/>
      <c r="SDW100" s="16"/>
      <c r="SDX100" s="16"/>
      <c r="SDY100" s="16"/>
      <c r="SDZ100" s="16"/>
      <c r="SEA100" s="16"/>
      <c r="SEB100" s="16"/>
      <c r="SEC100" s="16"/>
      <c r="SED100" s="16"/>
      <c r="SEE100" s="16"/>
      <c r="SEF100" s="16"/>
      <c r="SEG100" s="16"/>
      <c r="SEH100" s="16"/>
      <c r="SEI100" s="16"/>
      <c r="SEJ100" s="16"/>
      <c r="SEK100" s="16"/>
      <c r="SEL100" s="16"/>
      <c r="SEM100" s="16"/>
      <c r="SEN100" s="16"/>
      <c r="SEO100" s="16"/>
      <c r="SEP100" s="16"/>
      <c r="SEQ100" s="16"/>
      <c r="SER100" s="16"/>
      <c r="SES100" s="16"/>
      <c r="SET100" s="16"/>
      <c r="SEU100" s="16"/>
      <c r="SEV100" s="16"/>
      <c r="SEW100" s="16"/>
      <c r="SEX100" s="16"/>
      <c r="SEY100" s="16"/>
      <c r="SEZ100" s="16"/>
      <c r="SFA100" s="16"/>
      <c r="SFB100" s="16"/>
      <c r="SFC100" s="16"/>
      <c r="SFD100" s="16"/>
      <c r="SFE100" s="16"/>
      <c r="SFF100" s="16"/>
      <c r="SFG100" s="16"/>
      <c r="SFH100" s="16"/>
      <c r="SFI100" s="16"/>
      <c r="SFJ100" s="16"/>
      <c r="SFK100" s="16"/>
      <c r="SFL100" s="16"/>
      <c r="SFM100" s="16"/>
      <c r="SFN100" s="16"/>
      <c r="SFO100" s="16"/>
      <c r="SFP100" s="16"/>
      <c r="SFQ100" s="16"/>
      <c r="SFR100" s="16"/>
      <c r="SFS100" s="16"/>
      <c r="SFT100" s="16"/>
      <c r="SFU100" s="16"/>
      <c r="SFV100" s="16"/>
      <c r="SFW100" s="16"/>
      <c r="SFX100" s="16"/>
      <c r="SFY100" s="16"/>
      <c r="SFZ100" s="16"/>
      <c r="SGA100" s="16"/>
      <c r="SGB100" s="16"/>
      <c r="SGC100" s="16"/>
      <c r="SGD100" s="16"/>
      <c r="SGE100" s="16"/>
      <c r="SGF100" s="16"/>
      <c r="SGG100" s="16"/>
      <c r="SGH100" s="16"/>
      <c r="SGI100" s="16"/>
      <c r="SGJ100" s="16"/>
      <c r="SGK100" s="16"/>
      <c r="SGL100" s="16"/>
      <c r="SGM100" s="16"/>
      <c r="SGN100" s="16"/>
      <c r="SGO100" s="16"/>
      <c r="SGP100" s="16"/>
      <c r="SGQ100" s="16"/>
      <c r="SGR100" s="16"/>
      <c r="SGS100" s="16"/>
      <c r="SGT100" s="16"/>
      <c r="SGU100" s="16"/>
      <c r="SGV100" s="16"/>
      <c r="SGW100" s="16"/>
      <c r="SGX100" s="16"/>
      <c r="SGY100" s="16"/>
      <c r="SGZ100" s="16"/>
      <c r="SHA100" s="16"/>
      <c r="SHB100" s="16"/>
      <c r="SHC100" s="16"/>
      <c r="SHD100" s="16"/>
      <c r="SHE100" s="16"/>
      <c r="SHF100" s="16"/>
      <c r="SHG100" s="16"/>
      <c r="SHH100" s="16"/>
      <c r="SHI100" s="16"/>
      <c r="SHJ100" s="16"/>
      <c r="SHK100" s="16"/>
      <c r="SHL100" s="16"/>
      <c r="SHM100" s="16"/>
      <c r="SHN100" s="16"/>
      <c r="SHO100" s="16"/>
      <c r="SHP100" s="16"/>
      <c r="SHQ100" s="16"/>
      <c r="SHR100" s="16"/>
      <c r="SHS100" s="16"/>
      <c r="SHT100" s="16"/>
      <c r="SHU100" s="16"/>
      <c r="SHV100" s="16"/>
      <c r="SHW100" s="16"/>
      <c r="SHX100" s="16"/>
      <c r="SHY100" s="16"/>
      <c r="SHZ100" s="16"/>
      <c r="SIA100" s="16"/>
      <c r="SIB100" s="16"/>
      <c r="SIC100" s="16"/>
      <c r="SID100" s="16"/>
      <c r="SIE100" s="16"/>
      <c r="SIF100" s="16"/>
      <c r="SIG100" s="16"/>
      <c r="SIH100" s="16"/>
      <c r="SII100" s="16"/>
      <c r="SIJ100" s="16"/>
      <c r="SIK100" s="16"/>
      <c r="SIL100" s="16"/>
      <c r="SIM100" s="16"/>
      <c r="SIN100" s="16"/>
      <c r="SIO100" s="16"/>
      <c r="SIP100" s="16"/>
      <c r="SIQ100" s="16"/>
      <c r="SIR100" s="16"/>
      <c r="SIS100" s="16"/>
      <c r="SIT100" s="16"/>
      <c r="SIU100" s="16"/>
      <c r="SIV100" s="16"/>
      <c r="SIW100" s="16"/>
      <c r="SIX100" s="16"/>
      <c r="SIY100" s="16"/>
      <c r="SIZ100" s="16"/>
      <c r="SJA100" s="16"/>
      <c r="SJB100" s="16"/>
      <c r="SJC100" s="16"/>
      <c r="SJD100" s="16"/>
      <c r="SJE100" s="16"/>
      <c r="SJF100" s="16"/>
      <c r="SJG100" s="16"/>
      <c r="SJH100" s="16"/>
      <c r="SJI100" s="16"/>
      <c r="SJJ100" s="16"/>
      <c r="SJK100" s="16"/>
      <c r="SJL100" s="16"/>
      <c r="SJM100" s="16"/>
      <c r="SJN100" s="16"/>
      <c r="SJO100" s="16"/>
      <c r="SJP100" s="16"/>
      <c r="SJQ100" s="16"/>
      <c r="SJR100" s="16"/>
      <c r="SJS100" s="16"/>
      <c r="SJT100" s="16"/>
      <c r="SJU100" s="16"/>
      <c r="SJV100" s="16"/>
      <c r="SJW100" s="16"/>
      <c r="SJX100" s="16"/>
      <c r="SJY100" s="16"/>
      <c r="SJZ100" s="16"/>
      <c r="SKA100" s="16"/>
      <c r="SKB100" s="16"/>
      <c r="SKC100" s="16"/>
      <c r="SKD100" s="16"/>
      <c r="SKE100" s="16"/>
      <c r="SKF100" s="16"/>
      <c r="SKG100" s="16"/>
      <c r="SKH100" s="16"/>
      <c r="SKI100" s="16"/>
      <c r="SKJ100" s="16"/>
      <c r="SKK100" s="16"/>
      <c r="SKL100" s="16"/>
      <c r="SKM100" s="16"/>
      <c r="SKN100" s="16"/>
      <c r="SKO100" s="16"/>
      <c r="SKP100" s="16"/>
      <c r="SKQ100" s="16"/>
      <c r="SKR100" s="16"/>
      <c r="SKS100" s="16"/>
      <c r="SKT100" s="16"/>
      <c r="SKU100" s="16"/>
      <c r="SKV100" s="16"/>
      <c r="SKW100" s="16"/>
      <c r="SKX100" s="16"/>
      <c r="SKY100" s="16"/>
      <c r="SKZ100" s="16"/>
      <c r="SLA100" s="16"/>
      <c r="SLB100" s="16"/>
      <c r="SLC100" s="16"/>
      <c r="SLD100" s="16"/>
      <c r="SLE100" s="16"/>
      <c r="SLF100" s="16"/>
      <c r="SLG100" s="16"/>
      <c r="SLH100" s="16"/>
      <c r="SLI100" s="16"/>
      <c r="SLJ100" s="16"/>
      <c r="SLK100" s="16"/>
      <c r="SLL100" s="16"/>
      <c r="SLM100" s="16"/>
      <c r="SLN100" s="16"/>
      <c r="SLO100" s="16"/>
      <c r="SLP100" s="16"/>
      <c r="SLQ100" s="16"/>
      <c r="SLR100" s="16"/>
      <c r="SLS100" s="16"/>
      <c r="SLT100" s="16"/>
      <c r="SLU100" s="16"/>
      <c r="SLV100" s="16"/>
      <c r="SLW100" s="16"/>
      <c r="SLX100" s="16"/>
      <c r="SLY100" s="16"/>
      <c r="SLZ100" s="16"/>
      <c r="SMA100" s="16"/>
      <c r="SMB100" s="16"/>
      <c r="SMC100" s="16"/>
      <c r="SMD100" s="16"/>
      <c r="SME100" s="16"/>
      <c r="SMF100" s="16"/>
      <c r="SMG100" s="16"/>
      <c r="SMH100" s="16"/>
      <c r="SMI100" s="16"/>
      <c r="SMJ100" s="16"/>
      <c r="SMK100" s="16"/>
      <c r="SML100" s="16"/>
      <c r="SMM100" s="16"/>
      <c r="SMN100" s="16"/>
      <c r="SMO100" s="16"/>
      <c r="SMP100" s="16"/>
      <c r="SMQ100" s="16"/>
      <c r="SMR100" s="16"/>
      <c r="SMS100" s="16"/>
      <c r="SMT100" s="16"/>
      <c r="SMU100" s="16"/>
      <c r="SMV100" s="16"/>
      <c r="SMW100" s="16"/>
      <c r="SMX100" s="16"/>
      <c r="SMY100" s="16"/>
      <c r="SMZ100" s="16"/>
      <c r="SNA100" s="16"/>
      <c r="SNB100" s="16"/>
      <c r="SNC100" s="16"/>
      <c r="SND100" s="16"/>
      <c r="SNE100" s="16"/>
      <c r="SNF100" s="16"/>
      <c r="SNG100" s="16"/>
      <c r="SNH100" s="16"/>
      <c r="SNI100" s="16"/>
      <c r="SNJ100" s="16"/>
      <c r="SNK100" s="16"/>
      <c r="SNL100" s="16"/>
      <c r="SNM100" s="16"/>
      <c r="SNN100" s="16"/>
      <c r="SNO100" s="16"/>
      <c r="SNP100" s="16"/>
      <c r="SNQ100" s="16"/>
      <c r="SNR100" s="16"/>
      <c r="SNS100" s="16"/>
      <c r="SNT100" s="16"/>
      <c r="SNU100" s="16"/>
      <c r="SNV100" s="16"/>
      <c r="SNW100" s="16"/>
      <c r="SNX100" s="16"/>
      <c r="SNY100" s="16"/>
      <c r="SNZ100" s="16"/>
      <c r="SOA100" s="16"/>
      <c r="SOB100" s="16"/>
      <c r="SOC100" s="16"/>
      <c r="SOD100" s="16"/>
      <c r="SOE100" s="16"/>
      <c r="SOF100" s="16"/>
      <c r="SOG100" s="16"/>
      <c r="SOH100" s="16"/>
      <c r="SOI100" s="16"/>
      <c r="SOJ100" s="16"/>
      <c r="SOK100" s="16"/>
      <c r="SOL100" s="16"/>
      <c r="SOM100" s="16"/>
      <c r="SON100" s="16"/>
      <c r="SOO100" s="16"/>
      <c r="SOP100" s="16"/>
      <c r="SOQ100" s="16"/>
      <c r="SOR100" s="16"/>
      <c r="SOS100" s="16"/>
      <c r="SOT100" s="16"/>
      <c r="SOU100" s="16"/>
      <c r="SOV100" s="16"/>
      <c r="SOW100" s="16"/>
      <c r="SOX100" s="16"/>
      <c r="SOY100" s="16"/>
      <c r="SOZ100" s="16"/>
      <c r="SPA100" s="16"/>
      <c r="SPB100" s="16"/>
      <c r="SPC100" s="16"/>
      <c r="SPD100" s="16"/>
      <c r="SPE100" s="16"/>
      <c r="SPF100" s="16"/>
      <c r="SPG100" s="16"/>
      <c r="SPH100" s="16"/>
      <c r="SPI100" s="16"/>
      <c r="SPJ100" s="16"/>
      <c r="SPK100" s="16"/>
      <c r="SPL100" s="16"/>
      <c r="SPM100" s="16"/>
      <c r="SPN100" s="16"/>
      <c r="SPO100" s="16"/>
      <c r="SPP100" s="16"/>
      <c r="SPQ100" s="16"/>
      <c r="SPR100" s="16"/>
      <c r="SPS100" s="16"/>
      <c r="SPT100" s="16"/>
      <c r="SPU100" s="16"/>
      <c r="SPV100" s="16"/>
      <c r="SPW100" s="16"/>
      <c r="SPX100" s="16"/>
      <c r="SPY100" s="16"/>
      <c r="SPZ100" s="16"/>
      <c r="SQA100" s="16"/>
      <c r="SQB100" s="16"/>
      <c r="SQC100" s="16"/>
      <c r="SQD100" s="16"/>
      <c r="SQE100" s="16"/>
      <c r="SQF100" s="16"/>
      <c r="SQG100" s="16"/>
      <c r="SQH100" s="16"/>
      <c r="SQI100" s="16"/>
      <c r="SQJ100" s="16"/>
      <c r="SQK100" s="16"/>
      <c r="SQL100" s="16"/>
      <c r="SQM100" s="16"/>
      <c r="SQN100" s="16"/>
      <c r="SQO100" s="16"/>
      <c r="SQP100" s="16"/>
      <c r="SQQ100" s="16"/>
      <c r="SQR100" s="16"/>
      <c r="SQS100" s="16"/>
      <c r="SQT100" s="16"/>
      <c r="SQU100" s="16"/>
      <c r="SQV100" s="16"/>
      <c r="SQW100" s="16"/>
      <c r="SQX100" s="16"/>
      <c r="SQY100" s="16"/>
      <c r="SQZ100" s="16"/>
      <c r="SRA100" s="16"/>
      <c r="SRB100" s="16"/>
      <c r="SRC100" s="16"/>
      <c r="SRD100" s="16"/>
      <c r="SRE100" s="16"/>
      <c r="SRF100" s="16"/>
      <c r="SRG100" s="16"/>
      <c r="SRH100" s="16"/>
      <c r="SRI100" s="16"/>
      <c r="SRJ100" s="16"/>
      <c r="SRK100" s="16"/>
      <c r="SRL100" s="16"/>
      <c r="SRM100" s="16"/>
      <c r="SRN100" s="16"/>
      <c r="SRO100" s="16"/>
      <c r="SRP100" s="16"/>
      <c r="SRQ100" s="16"/>
      <c r="SRR100" s="16"/>
      <c r="SRS100" s="16"/>
      <c r="SRT100" s="16"/>
      <c r="SRU100" s="16"/>
      <c r="SRV100" s="16"/>
      <c r="SRW100" s="16"/>
      <c r="SRX100" s="16"/>
      <c r="SRY100" s="16"/>
      <c r="SRZ100" s="16"/>
      <c r="SSA100" s="16"/>
      <c r="SSB100" s="16"/>
      <c r="SSC100" s="16"/>
      <c r="SSD100" s="16"/>
      <c r="SSE100" s="16"/>
      <c r="SSF100" s="16"/>
      <c r="SSG100" s="16"/>
      <c r="SSH100" s="16"/>
      <c r="SSI100" s="16"/>
      <c r="SSJ100" s="16"/>
      <c r="SSK100" s="16"/>
      <c r="SSL100" s="16"/>
      <c r="SSM100" s="16"/>
      <c r="SSN100" s="16"/>
      <c r="SSO100" s="16"/>
      <c r="SSP100" s="16"/>
      <c r="SSQ100" s="16"/>
      <c r="SSR100" s="16"/>
      <c r="SSS100" s="16"/>
      <c r="SST100" s="16"/>
      <c r="SSU100" s="16"/>
      <c r="SSV100" s="16"/>
      <c r="SSW100" s="16"/>
      <c r="SSX100" s="16"/>
      <c r="SSY100" s="16"/>
      <c r="SSZ100" s="16"/>
      <c r="STA100" s="16"/>
      <c r="STB100" s="16"/>
      <c r="STC100" s="16"/>
      <c r="STD100" s="16"/>
      <c r="STE100" s="16"/>
      <c r="STF100" s="16"/>
      <c r="STG100" s="16"/>
      <c r="STH100" s="16"/>
      <c r="STI100" s="16"/>
      <c r="STJ100" s="16"/>
      <c r="STK100" s="16"/>
      <c r="STL100" s="16"/>
      <c r="STM100" s="16"/>
      <c r="STN100" s="16"/>
      <c r="STO100" s="16"/>
      <c r="STP100" s="16"/>
      <c r="STQ100" s="16"/>
      <c r="STR100" s="16"/>
      <c r="STS100" s="16"/>
      <c r="STT100" s="16"/>
      <c r="STU100" s="16"/>
      <c r="STV100" s="16"/>
      <c r="STW100" s="16"/>
      <c r="STX100" s="16"/>
      <c r="STY100" s="16"/>
      <c r="STZ100" s="16"/>
      <c r="SUA100" s="16"/>
      <c r="SUB100" s="16"/>
      <c r="SUC100" s="16"/>
      <c r="SUD100" s="16"/>
      <c r="SUE100" s="16"/>
      <c r="SUF100" s="16"/>
      <c r="SUG100" s="16"/>
      <c r="SUH100" s="16"/>
      <c r="SUI100" s="16"/>
      <c r="SUJ100" s="16"/>
      <c r="SUK100" s="16"/>
      <c r="SUL100" s="16"/>
      <c r="SUM100" s="16"/>
      <c r="SUN100" s="16"/>
      <c r="SUO100" s="16"/>
      <c r="SUP100" s="16"/>
      <c r="SUQ100" s="16"/>
      <c r="SUR100" s="16"/>
      <c r="SUS100" s="16"/>
      <c r="SUT100" s="16"/>
      <c r="SUU100" s="16"/>
      <c r="SUV100" s="16"/>
      <c r="SUW100" s="16"/>
      <c r="SUX100" s="16"/>
      <c r="SUY100" s="16"/>
      <c r="SUZ100" s="16"/>
      <c r="SVA100" s="16"/>
      <c r="SVB100" s="16"/>
      <c r="SVC100" s="16"/>
      <c r="SVD100" s="16"/>
      <c r="SVE100" s="16"/>
      <c r="SVF100" s="16"/>
      <c r="SVG100" s="16"/>
      <c r="SVH100" s="16"/>
      <c r="SVI100" s="16"/>
      <c r="SVJ100" s="16"/>
      <c r="SVK100" s="16"/>
      <c r="SVL100" s="16"/>
      <c r="SVM100" s="16"/>
      <c r="SVN100" s="16"/>
      <c r="SVO100" s="16"/>
      <c r="SVP100" s="16"/>
      <c r="SVQ100" s="16"/>
      <c r="SVR100" s="16"/>
      <c r="SVS100" s="16"/>
      <c r="SVT100" s="16"/>
      <c r="SVU100" s="16"/>
      <c r="SVV100" s="16"/>
      <c r="SVW100" s="16"/>
      <c r="SVX100" s="16"/>
      <c r="SVY100" s="16"/>
      <c r="SVZ100" s="16"/>
      <c r="SWA100" s="16"/>
      <c r="SWB100" s="16"/>
      <c r="SWC100" s="16"/>
      <c r="SWD100" s="16"/>
      <c r="SWE100" s="16"/>
      <c r="SWF100" s="16"/>
      <c r="SWG100" s="16"/>
      <c r="SWH100" s="16"/>
      <c r="SWI100" s="16"/>
      <c r="SWJ100" s="16"/>
      <c r="SWK100" s="16"/>
      <c r="SWL100" s="16"/>
      <c r="SWM100" s="16"/>
      <c r="SWN100" s="16"/>
      <c r="SWO100" s="16"/>
      <c r="SWP100" s="16"/>
      <c r="SWQ100" s="16"/>
      <c r="SWR100" s="16"/>
      <c r="SWS100" s="16"/>
      <c r="SWT100" s="16"/>
      <c r="SWU100" s="16"/>
      <c r="SWV100" s="16"/>
      <c r="SWW100" s="16"/>
      <c r="SWX100" s="16"/>
      <c r="SWY100" s="16"/>
      <c r="SWZ100" s="16"/>
      <c r="SXA100" s="16"/>
      <c r="SXB100" s="16"/>
      <c r="SXC100" s="16"/>
      <c r="SXD100" s="16"/>
      <c r="SXE100" s="16"/>
      <c r="SXF100" s="16"/>
      <c r="SXG100" s="16"/>
      <c r="SXH100" s="16"/>
      <c r="SXI100" s="16"/>
      <c r="SXJ100" s="16"/>
      <c r="SXK100" s="16"/>
      <c r="SXL100" s="16"/>
      <c r="SXM100" s="16"/>
      <c r="SXN100" s="16"/>
      <c r="SXO100" s="16"/>
      <c r="SXP100" s="16"/>
      <c r="SXQ100" s="16"/>
      <c r="SXR100" s="16"/>
      <c r="SXS100" s="16"/>
      <c r="SXT100" s="16"/>
      <c r="SXU100" s="16"/>
      <c r="SXV100" s="16"/>
      <c r="SXW100" s="16"/>
      <c r="SXX100" s="16"/>
      <c r="SXY100" s="16"/>
      <c r="SXZ100" s="16"/>
      <c r="SYA100" s="16"/>
      <c r="SYB100" s="16"/>
      <c r="SYC100" s="16"/>
      <c r="SYD100" s="16"/>
      <c r="SYE100" s="16"/>
      <c r="SYF100" s="16"/>
      <c r="SYG100" s="16"/>
      <c r="SYH100" s="16"/>
      <c r="SYI100" s="16"/>
      <c r="SYJ100" s="16"/>
      <c r="SYK100" s="16"/>
      <c r="SYL100" s="16"/>
      <c r="SYM100" s="16"/>
      <c r="SYN100" s="16"/>
      <c r="SYO100" s="16"/>
      <c r="SYP100" s="16"/>
      <c r="SYQ100" s="16"/>
      <c r="SYR100" s="16"/>
      <c r="SYS100" s="16"/>
      <c r="SYT100" s="16"/>
      <c r="SYU100" s="16"/>
      <c r="SYV100" s="16"/>
      <c r="SYW100" s="16"/>
      <c r="SYX100" s="16"/>
      <c r="SYY100" s="16"/>
      <c r="SYZ100" s="16"/>
      <c r="SZA100" s="16"/>
      <c r="SZB100" s="16"/>
      <c r="SZC100" s="16"/>
      <c r="SZD100" s="16"/>
      <c r="SZE100" s="16"/>
      <c r="SZF100" s="16"/>
      <c r="SZG100" s="16"/>
      <c r="SZH100" s="16"/>
      <c r="SZI100" s="16"/>
      <c r="SZJ100" s="16"/>
      <c r="SZK100" s="16"/>
      <c r="SZL100" s="16"/>
      <c r="SZM100" s="16"/>
      <c r="SZN100" s="16"/>
      <c r="SZO100" s="16"/>
      <c r="SZP100" s="16"/>
      <c r="SZQ100" s="16"/>
      <c r="SZR100" s="16"/>
      <c r="SZS100" s="16"/>
      <c r="SZT100" s="16"/>
      <c r="SZU100" s="16"/>
      <c r="SZV100" s="16"/>
      <c r="SZW100" s="16"/>
      <c r="SZX100" s="16"/>
      <c r="SZY100" s="16"/>
      <c r="SZZ100" s="16"/>
      <c r="TAA100" s="16"/>
      <c r="TAB100" s="16"/>
      <c r="TAC100" s="16"/>
      <c r="TAD100" s="16"/>
      <c r="TAE100" s="16"/>
      <c r="TAF100" s="16"/>
      <c r="TAG100" s="16"/>
      <c r="TAH100" s="16"/>
      <c r="TAI100" s="16"/>
      <c r="TAJ100" s="16"/>
      <c r="TAK100" s="16"/>
      <c r="TAL100" s="16"/>
      <c r="TAM100" s="16"/>
      <c r="TAN100" s="16"/>
      <c r="TAO100" s="16"/>
      <c r="TAP100" s="16"/>
      <c r="TAQ100" s="16"/>
      <c r="TAR100" s="16"/>
      <c r="TAS100" s="16"/>
      <c r="TAT100" s="16"/>
      <c r="TAU100" s="16"/>
      <c r="TAV100" s="16"/>
      <c r="TAW100" s="16"/>
      <c r="TAX100" s="16"/>
      <c r="TAY100" s="16"/>
      <c r="TAZ100" s="16"/>
      <c r="TBA100" s="16"/>
      <c r="TBB100" s="16"/>
      <c r="TBC100" s="16"/>
      <c r="TBD100" s="16"/>
      <c r="TBE100" s="16"/>
      <c r="TBF100" s="16"/>
      <c r="TBG100" s="16"/>
      <c r="TBH100" s="16"/>
      <c r="TBI100" s="16"/>
      <c r="TBJ100" s="16"/>
      <c r="TBK100" s="16"/>
      <c r="TBL100" s="16"/>
      <c r="TBM100" s="16"/>
      <c r="TBN100" s="16"/>
      <c r="TBO100" s="16"/>
      <c r="TBP100" s="16"/>
      <c r="TBQ100" s="16"/>
      <c r="TBR100" s="16"/>
      <c r="TBS100" s="16"/>
      <c r="TBT100" s="16"/>
      <c r="TBU100" s="16"/>
      <c r="TBV100" s="16"/>
      <c r="TBW100" s="16"/>
      <c r="TBX100" s="16"/>
      <c r="TBY100" s="16"/>
      <c r="TBZ100" s="16"/>
      <c r="TCA100" s="16"/>
      <c r="TCB100" s="16"/>
      <c r="TCC100" s="16"/>
      <c r="TCD100" s="16"/>
      <c r="TCE100" s="16"/>
      <c r="TCF100" s="16"/>
      <c r="TCG100" s="16"/>
      <c r="TCH100" s="16"/>
      <c r="TCI100" s="16"/>
      <c r="TCJ100" s="16"/>
      <c r="TCK100" s="16"/>
      <c r="TCL100" s="16"/>
      <c r="TCM100" s="16"/>
      <c r="TCN100" s="16"/>
      <c r="TCO100" s="16"/>
      <c r="TCP100" s="16"/>
      <c r="TCQ100" s="16"/>
      <c r="TCR100" s="16"/>
      <c r="TCS100" s="16"/>
      <c r="TCT100" s="16"/>
      <c r="TCU100" s="16"/>
      <c r="TCV100" s="16"/>
      <c r="TCW100" s="16"/>
      <c r="TCX100" s="16"/>
      <c r="TCY100" s="16"/>
      <c r="TCZ100" s="16"/>
      <c r="TDA100" s="16"/>
      <c r="TDB100" s="16"/>
      <c r="TDC100" s="16"/>
      <c r="TDD100" s="16"/>
      <c r="TDE100" s="16"/>
      <c r="TDF100" s="16"/>
      <c r="TDG100" s="16"/>
      <c r="TDH100" s="16"/>
      <c r="TDI100" s="16"/>
      <c r="TDJ100" s="16"/>
      <c r="TDK100" s="16"/>
      <c r="TDL100" s="16"/>
      <c r="TDM100" s="16"/>
      <c r="TDN100" s="16"/>
      <c r="TDO100" s="16"/>
      <c r="TDP100" s="16"/>
      <c r="TDQ100" s="16"/>
      <c r="TDR100" s="16"/>
      <c r="TDS100" s="16"/>
      <c r="TDT100" s="16"/>
      <c r="TDU100" s="16"/>
      <c r="TDV100" s="16"/>
      <c r="TDW100" s="16"/>
      <c r="TDX100" s="16"/>
      <c r="TDY100" s="16"/>
      <c r="TDZ100" s="16"/>
      <c r="TEA100" s="16"/>
      <c r="TEB100" s="16"/>
      <c r="TEC100" s="16"/>
      <c r="TED100" s="16"/>
      <c r="TEE100" s="16"/>
      <c r="TEF100" s="16"/>
      <c r="TEG100" s="16"/>
      <c r="TEH100" s="16"/>
      <c r="TEI100" s="16"/>
      <c r="TEJ100" s="16"/>
      <c r="TEK100" s="16"/>
      <c r="TEL100" s="16"/>
      <c r="TEM100" s="16"/>
      <c r="TEN100" s="16"/>
      <c r="TEO100" s="16"/>
      <c r="TEP100" s="16"/>
      <c r="TEQ100" s="16"/>
      <c r="TER100" s="16"/>
      <c r="TES100" s="16"/>
      <c r="TET100" s="16"/>
      <c r="TEU100" s="16"/>
      <c r="TEV100" s="16"/>
      <c r="TEW100" s="16"/>
      <c r="TEX100" s="16"/>
      <c r="TEY100" s="16"/>
      <c r="TEZ100" s="16"/>
      <c r="TFA100" s="16"/>
      <c r="TFB100" s="16"/>
      <c r="TFC100" s="16"/>
      <c r="TFD100" s="16"/>
      <c r="TFE100" s="16"/>
      <c r="TFF100" s="16"/>
      <c r="TFG100" s="16"/>
      <c r="TFH100" s="16"/>
      <c r="TFI100" s="16"/>
      <c r="TFJ100" s="16"/>
      <c r="TFK100" s="16"/>
      <c r="TFL100" s="16"/>
      <c r="TFM100" s="16"/>
      <c r="TFN100" s="16"/>
      <c r="TFO100" s="16"/>
      <c r="TFP100" s="16"/>
      <c r="TFQ100" s="16"/>
      <c r="TFR100" s="16"/>
      <c r="TFS100" s="16"/>
      <c r="TFT100" s="16"/>
      <c r="TFU100" s="16"/>
      <c r="TFV100" s="16"/>
      <c r="TFW100" s="16"/>
      <c r="TFX100" s="16"/>
      <c r="TFY100" s="16"/>
      <c r="TFZ100" s="16"/>
      <c r="TGA100" s="16"/>
      <c r="TGB100" s="16"/>
      <c r="TGC100" s="16"/>
      <c r="TGD100" s="16"/>
      <c r="TGE100" s="16"/>
      <c r="TGF100" s="16"/>
      <c r="TGG100" s="16"/>
      <c r="TGH100" s="16"/>
      <c r="TGI100" s="16"/>
      <c r="TGJ100" s="16"/>
      <c r="TGK100" s="16"/>
      <c r="TGL100" s="16"/>
      <c r="TGM100" s="16"/>
      <c r="TGN100" s="16"/>
      <c r="TGO100" s="16"/>
      <c r="TGP100" s="16"/>
      <c r="TGQ100" s="16"/>
      <c r="TGR100" s="16"/>
      <c r="TGS100" s="16"/>
      <c r="TGT100" s="16"/>
      <c r="TGU100" s="16"/>
      <c r="TGV100" s="16"/>
      <c r="TGW100" s="16"/>
      <c r="TGX100" s="16"/>
      <c r="TGY100" s="16"/>
      <c r="TGZ100" s="16"/>
      <c r="THA100" s="16"/>
      <c r="THB100" s="16"/>
      <c r="THC100" s="16"/>
      <c r="THD100" s="16"/>
      <c r="THE100" s="16"/>
      <c r="THF100" s="16"/>
      <c r="THG100" s="16"/>
      <c r="THH100" s="16"/>
      <c r="THI100" s="16"/>
      <c r="THJ100" s="16"/>
      <c r="THK100" s="16"/>
      <c r="THL100" s="16"/>
      <c r="THM100" s="16"/>
      <c r="THN100" s="16"/>
      <c r="THO100" s="16"/>
      <c r="THP100" s="16"/>
      <c r="THQ100" s="16"/>
      <c r="THR100" s="16"/>
      <c r="THS100" s="16"/>
      <c r="THT100" s="16"/>
      <c r="THU100" s="16"/>
      <c r="THV100" s="16"/>
      <c r="THW100" s="16"/>
      <c r="THX100" s="16"/>
      <c r="THY100" s="16"/>
      <c r="THZ100" s="16"/>
      <c r="TIA100" s="16"/>
      <c r="TIB100" s="16"/>
      <c r="TIC100" s="16"/>
      <c r="TID100" s="16"/>
      <c r="TIE100" s="16"/>
      <c r="TIF100" s="16"/>
      <c r="TIG100" s="16"/>
      <c r="TIH100" s="16"/>
      <c r="TII100" s="16"/>
      <c r="TIJ100" s="16"/>
      <c r="TIK100" s="16"/>
      <c r="TIL100" s="16"/>
      <c r="TIM100" s="16"/>
      <c r="TIN100" s="16"/>
      <c r="TIO100" s="16"/>
      <c r="TIP100" s="16"/>
      <c r="TIQ100" s="16"/>
      <c r="TIR100" s="16"/>
      <c r="TIS100" s="16"/>
      <c r="TIT100" s="16"/>
      <c r="TIU100" s="16"/>
      <c r="TIV100" s="16"/>
      <c r="TIW100" s="16"/>
      <c r="TIX100" s="16"/>
      <c r="TIY100" s="16"/>
      <c r="TIZ100" s="16"/>
      <c r="TJA100" s="16"/>
      <c r="TJB100" s="16"/>
      <c r="TJC100" s="16"/>
      <c r="TJD100" s="16"/>
      <c r="TJE100" s="16"/>
      <c r="TJF100" s="16"/>
      <c r="TJG100" s="16"/>
      <c r="TJH100" s="16"/>
      <c r="TJI100" s="16"/>
      <c r="TJJ100" s="16"/>
      <c r="TJK100" s="16"/>
      <c r="TJL100" s="16"/>
      <c r="TJM100" s="16"/>
      <c r="TJN100" s="16"/>
      <c r="TJO100" s="16"/>
      <c r="TJP100" s="16"/>
      <c r="TJQ100" s="16"/>
      <c r="TJR100" s="16"/>
      <c r="TJS100" s="16"/>
      <c r="TJT100" s="16"/>
      <c r="TJU100" s="16"/>
      <c r="TJV100" s="16"/>
      <c r="TJW100" s="16"/>
      <c r="TJX100" s="16"/>
      <c r="TJY100" s="16"/>
      <c r="TJZ100" s="16"/>
      <c r="TKA100" s="16"/>
      <c r="TKB100" s="16"/>
      <c r="TKC100" s="16"/>
      <c r="TKD100" s="16"/>
      <c r="TKE100" s="16"/>
      <c r="TKF100" s="16"/>
      <c r="TKG100" s="16"/>
      <c r="TKH100" s="16"/>
      <c r="TKI100" s="16"/>
      <c r="TKJ100" s="16"/>
      <c r="TKK100" s="16"/>
      <c r="TKL100" s="16"/>
      <c r="TKM100" s="16"/>
      <c r="TKN100" s="16"/>
      <c r="TKO100" s="16"/>
      <c r="TKP100" s="16"/>
      <c r="TKQ100" s="16"/>
      <c r="TKR100" s="16"/>
      <c r="TKS100" s="16"/>
      <c r="TKT100" s="16"/>
      <c r="TKU100" s="16"/>
      <c r="TKV100" s="16"/>
      <c r="TKW100" s="16"/>
      <c r="TKX100" s="16"/>
      <c r="TKY100" s="16"/>
      <c r="TKZ100" s="16"/>
      <c r="TLA100" s="16"/>
      <c r="TLB100" s="16"/>
      <c r="TLC100" s="16"/>
      <c r="TLD100" s="16"/>
      <c r="TLE100" s="16"/>
      <c r="TLF100" s="16"/>
      <c r="TLG100" s="16"/>
      <c r="TLH100" s="16"/>
      <c r="TLI100" s="16"/>
      <c r="TLJ100" s="16"/>
      <c r="TLK100" s="16"/>
      <c r="TLL100" s="16"/>
      <c r="TLM100" s="16"/>
      <c r="TLN100" s="16"/>
      <c r="TLO100" s="16"/>
      <c r="TLP100" s="16"/>
      <c r="TLQ100" s="16"/>
      <c r="TLR100" s="16"/>
      <c r="TLS100" s="16"/>
      <c r="TLT100" s="16"/>
      <c r="TLU100" s="16"/>
      <c r="TLV100" s="16"/>
      <c r="TLW100" s="16"/>
      <c r="TLX100" s="16"/>
      <c r="TLY100" s="16"/>
      <c r="TLZ100" s="16"/>
      <c r="TMA100" s="16"/>
      <c r="TMB100" s="16"/>
      <c r="TMC100" s="16"/>
      <c r="TMD100" s="16"/>
      <c r="TME100" s="16"/>
      <c r="TMF100" s="16"/>
      <c r="TMG100" s="16"/>
      <c r="TMH100" s="16"/>
      <c r="TMI100" s="16"/>
      <c r="TMJ100" s="16"/>
      <c r="TMK100" s="16"/>
      <c r="TML100" s="16"/>
      <c r="TMM100" s="16"/>
      <c r="TMN100" s="16"/>
      <c r="TMO100" s="16"/>
      <c r="TMP100" s="16"/>
      <c r="TMQ100" s="16"/>
      <c r="TMR100" s="16"/>
      <c r="TMS100" s="16"/>
      <c r="TMT100" s="16"/>
      <c r="TMU100" s="16"/>
      <c r="TMV100" s="16"/>
      <c r="TMW100" s="16"/>
      <c r="TMX100" s="16"/>
      <c r="TMY100" s="16"/>
      <c r="TMZ100" s="16"/>
      <c r="TNA100" s="16"/>
      <c r="TNB100" s="16"/>
      <c r="TNC100" s="16"/>
      <c r="TND100" s="16"/>
      <c r="TNE100" s="16"/>
      <c r="TNF100" s="16"/>
      <c r="TNG100" s="16"/>
      <c r="TNH100" s="16"/>
      <c r="TNI100" s="16"/>
      <c r="TNJ100" s="16"/>
      <c r="TNK100" s="16"/>
      <c r="TNL100" s="16"/>
      <c r="TNM100" s="16"/>
      <c r="TNN100" s="16"/>
      <c r="TNO100" s="16"/>
      <c r="TNP100" s="16"/>
      <c r="TNQ100" s="16"/>
      <c r="TNR100" s="16"/>
      <c r="TNS100" s="16"/>
      <c r="TNT100" s="16"/>
      <c r="TNU100" s="16"/>
      <c r="TNV100" s="16"/>
      <c r="TNW100" s="16"/>
      <c r="TNX100" s="16"/>
      <c r="TNY100" s="16"/>
      <c r="TNZ100" s="16"/>
      <c r="TOA100" s="16"/>
      <c r="TOB100" s="16"/>
      <c r="TOC100" s="16"/>
      <c r="TOD100" s="16"/>
      <c r="TOE100" s="16"/>
      <c r="TOF100" s="16"/>
      <c r="TOG100" s="16"/>
      <c r="TOH100" s="16"/>
      <c r="TOI100" s="16"/>
      <c r="TOJ100" s="16"/>
      <c r="TOK100" s="16"/>
      <c r="TOL100" s="16"/>
      <c r="TOM100" s="16"/>
      <c r="TON100" s="16"/>
      <c r="TOO100" s="16"/>
      <c r="TOP100" s="16"/>
      <c r="TOQ100" s="16"/>
      <c r="TOR100" s="16"/>
      <c r="TOS100" s="16"/>
      <c r="TOT100" s="16"/>
      <c r="TOU100" s="16"/>
      <c r="TOV100" s="16"/>
      <c r="TOW100" s="16"/>
      <c r="TOX100" s="16"/>
      <c r="TOY100" s="16"/>
      <c r="TOZ100" s="16"/>
      <c r="TPA100" s="16"/>
      <c r="TPB100" s="16"/>
      <c r="TPC100" s="16"/>
      <c r="TPD100" s="16"/>
      <c r="TPE100" s="16"/>
      <c r="TPF100" s="16"/>
      <c r="TPG100" s="16"/>
      <c r="TPH100" s="16"/>
      <c r="TPI100" s="16"/>
      <c r="TPJ100" s="16"/>
      <c r="TPK100" s="16"/>
      <c r="TPL100" s="16"/>
      <c r="TPM100" s="16"/>
      <c r="TPN100" s="16"/>
      <c r="TPO100" s="16"/>
      <c r="TPP100" s="16"/>
      <c r="TPQ100" s="16"/>
      <c r="TPR100" s="16"/>
      <c r="TPS100" s="16"/>
      <c r="TPT100" s="16"/>
      <c r="TPU100" s="16"/>
      <c r="TPV100" s="16"/>
      <c r="TPW100" s="16"/>
      <c r="TPX100" s="16"/>
      <c r="TPY100" s="16"/>
      <c r="TPZ100" s="16"/>
      <c r="TQA100" s="16"/>
      <c r="TQB100" s="16"/>
      <c r="TQC100" s="16"/>
      <c r="TQD100" s="16"/>
      <c r="TQE100" s="16"/>
      <c r="TQF100" s="16"/>
      <c r="TQG100" s="16"/>
      <c r="TQH100" s="16"/>
      <c r="TQI100" s="16"/>
      <c r="TQJ100" s="16"/>
      <c r="TQK100" s="16"/>
      <c r="TQL100" s="16"/>
      <c r="TQM100" s="16"/>
      <c r="TQN100" s="16"/>
      <c r="TQO100" s="16"/>
      <c r="TQP100" s="16"/>
      <c r="TQQ100" s="16"/>
      <c r="TQR100" s="16"/>
      <c r="TQS100" s="16"/>
      <c r="TQT100" s="16"/>
      <c r="TQU100" s="16"/>
      <c r="TQV100" s="16"/>
      <c r="TQW100" s="16"/>
      <c r="TQX100" s="16"/>
      <c r="TQY100" s="16"/>
      <c r="TQZ100" s="16"/>
      <c r="TRA100" s="16"/>
      <c r="TRB100" s="16"/>
      <c r="TRC100" s="16"/>
      <c r="TRD100" s="16"/>
      <c r="TRE100" s="16"/>
      <c r="TRF100" s="16"/>
      <c r="TRG100" s="16"/>
      <c r="TRH100" s="16"/>
      <c r="TRI100" s="16"/>
      <c r="TRJ100" s="16"/>
      <c r="TRK100" s="16"/>
      <c r="TRL100" s="16"/>
      <c r="TRM100" s="16"/>
      <c r="TRN100" s="16"/>
      <c r="TRO100" s="16"/>
      <c r="TRP100" s="16"/>
      <c r="TRQ100" s="16"/>
      <c r="TRR100" s="16"/>
      <c r="TRS100" s="16"/>
      <c r="TRT100" s="16"/>
      <c r="TRU100" s="16"/>
      <c r="TRV100" s="16"/>
      <c r="TRW100" s="16"/>
      <c r="TRX100" s="16"/>
      <c r="TRY100" s="16"/>
      <c r="TRZ100" s="16"/>
      <c r="TSA100" s="16"/>
      <c r="TSB100" s="16"/>
      <c r="TSC100" s="16"/>
      <c r="TSD100" s="16"/>
      <c r="TSE100" s="16"/>
      <c r="TSF100" s="16"/>
      <c r="TSG100" s="16"/>
      <c r="TSH100" s="16"/>
      <c r="TSI100" s="16"/>
      <c r="TSJ100" s="16"/>
      <c r="TSK100" s="16"/>
      <c r="TSL100" s="16"/>
      <c r="TSM100" s="16"/>
      <c r="TSN100" s="16"/>
      <c r="TSO100" s="16"/>
      <c r="TSP100" s="16"/>
      <c r="TSQ100" s="16"/>
      <c r="TSR100" s="16"/>
      <c r="TSS100" s="16"/>
      <c r="TST100" s="16"/>
      <c r="TSU100" s="16"/>
      <c r="TSV100" s="16"/>
      <c r="TSW100" s="16"/>
      <c r="TSX100" s="16"/>
      <c r="TSY100" s="16"/>
      <c r="TSZ100" s="16"/>
      <c r="TTA100" s="16"/>
      <c r="TTB100" s="16"/>
      <c r="TTC100" s="16"/>
      <c r="TTD100" s="16"/>
      <c r="TTE100" s="16"/>
      <c r="TTF100" s="16"/>
      <c r="TTG100" s="16"/>
      <c r="TTH100" s="16"/>
      <c r="TTI100" s="16"/>
      <c r="TTJ100" s="16"/>
      <c r="TTK100" s="16"/>
      <c r="TTL100" s="16"/>
      <c r="TTM100" s="16"/>
      <c r="TTN100" s="16"/>
      <c r="TTO100" s="16"/>
      <c r="TTP100" s="16"/>
      <c r="TTQ100" s="16"/>
      <c r="TTR100" s="16"/>
      <c r="TTS100" s="16"/>
      <c r="TTT100" s="16"/>
      <c r="TTU100" s="16"/>
      <c r="TTV100" s="16"/>
      <c r="TTW100" s="16"/>
      <c r="TTX100" s="16"/>
      <c r="TTY100" s="16"/>
      <c r="TTZ100" s="16"/>
      <c r="TUA100" s="16"/>
      <c r="TUB100" s="16"/>
      <c r="TUC100" s="16"/>
      <c r="TUD100" s="16"/>
      <c r="TUE100" s="16"/>
      <c r="TUF100" s="16"/>
      <c r="TUG100" s="16"/>
      <c r="TUH100" s="16"/>
      <c r="TUI100" s="16"/>
      <c r="TUJ100" s="16"/>
      <c r="TUK100" s="16"/>
      <c r="TUL100" s="16"/>
      <c r="TUM100" s="16"/>
      <c r="TUN100" s="16"/>
      <c r="TUO100" s="16"/>
      <c r="TUP100" s="16"/>
      <c r="TUQ100" s="16"/>
      <c r="TUR100" s="16"/>
      <c r="TUS100" s="16"/>
      <c r="TUT100" s="16"/>
      <c r="TUU100" s="16"/>
      <c r="TUV100" s="16"/>
      <c r="TUW100" s="16"/>
      <c r="TUX100" s="16"/>
      <c r="TUY100" s="16"/>
      <c r="TUZ100" s="16"/>
      <c r="TVA100" s="16"/>
      <c r="TVB100" s="16"/>
      <c r="TVC100" s="16"/>
      <c r="TVD100" s="16"/>
      <c r="TVE100" s="16"/>
      <c r="TVF100" s="16"/>
      <c r="TVG100" s="16"/>
      <c r="TVH100" s="16"/>
      <c r="TVI100" s="16"/>
      <c r="TVJ100" s="16"/>
      <c r="TVK100" s="16"/>
      <c r="TVL100" s="16"/>
      <c r="TVM100" s="16"/>
      <c r="TVN100" s="16"/>
      <c r="TVO100" s="16"/>
      <c r="TVP100" s="16"/>
      <c r="TVQ100" s="16"/>
      <c r="TVR100" s="16"/>
      <c r="TVS100" s="16"/>
      <c r="TVT100" s="16"/>
      <c r="TVU100" s="16"/>
      <c r="TVV100" s="16"/>
      <c r="TVW100" s="16"/>
      <c r="TVX100" s="16"/>
      <c r="TVY100" s="16"/>
      <c r="TVZ100" s="16"/>
      <c r="TWA100" s="16"/>
      <c r="TWB100" s="16"/>
      <c r="TWC100" s="16"/>
      <c r="TWD100" s="16"/>
      <c r="TWE100" s="16"/>
      <c r="TWF100" s="16"/>
      <c r="TWG100" s="16"/>
      <c r="TWH100" s="16"/>
      <c r="TWI100" s="16"/>
      <c r="TWJ100" s="16"/>
      <c r="TWK100" s="16"/>
      <c r="TWL100" s="16"/>
      <c r="TWM100" s="16"/>
      <c r="TWN100" s="16"/>
      <c r="TWO100" s="16"/>
      <c r="TWP100" s="16"/>
      <c r="TWQ100" s="16"/>
      <c r="TWR100" s="16"/>
      <c r="TWS100" s="16"/>
      <c r="TWT100" s="16"/>
      <c r="TWU100" s="16"/>
      <c r="TWV100" s="16"/>
      <c r="TWW100" s="16"/>
      <c r="TWX100" s="16"/>
      <c r="TWY100" s="16"/>
      <c r="TWZ100" s="16"/>
      <c r="TXA100" s="16"/>
      <c r="TXB100" s="16"/>
      <c r="TXC100" s="16"/>
      <c r="TXD100" s="16"/>
      <c r="TXE100" s="16"/>
      <c r="TXF100" s="16"/>
      <c r="TXG100" s="16"/>
      <c r="TXH100" s="16"/>
      <c r="TXI100" s="16"/>
      <c r="TXJ100" s="16"/>
      <c r="TXK100" s="16"/>
      <c r="TXL100" s="16"/>
      <c r="TXM100" s="16"/>
      <c r="TXN100" s="16"/>
      <c r="TXO100" s="16"/>
      <c r="TXP100" s="16"/>
      <c r="TXQ100" s="16"/>
      <c r="TXR100" s="16"/>
      <c r="TXS100" s="16"/>
      <c r="TXT100" s="16"/>
      <c r="TXU100" s="16"/>
      <c r="TXV100" s="16"/>
      <c r="TXW100" s="16"/>
      <c r="TXX100" s="16"/>
      <c r="TXY100" s="16"/>
      <c r="TXZ100" s="16"/>
      <c r="TYA100" s="16"/>
      <c r="TYB100" s="16"/>
      <c r="TYC100" s="16"/>
      <c r="TYD100" s="16"/>
      <c r="TYE100" s="16"/>
      <c r="TYF100" s="16"/>
      <c r="TYG100" s="16"/>
      <c r="TYH100" s="16"/>
      <c r="TYI100" s="16"/>
      <c r="TYJ100" s="16"/>
      <c r="TYK100" s="16"/>
      <c r="TYL100" s="16"/>
      <c r="TYM100" s="16"/>
      <c r="TYN100" s="16"/>
      <c r="TYO100" s="16"/>
      <c r="TYP100" s="16"/>
      <c r="TYQ100" s="16"/>
      <c r="TYR100" s="16"/>
      <c r="TYS100" s="16"/>
      <c r="TYT100" s="16"/>
      <c r="TYU100" s="16"/>
      <c r="TYV100" s="16"/>
      <c r="TYW100" s="16"/>
      <c r="TYX100" s="16"/>
      <c r="TYY100" s="16"/>
      <c r="TYZ100" s="16"/>
      <c r="TZA100" s="16"/>
      <c r="TZB100" s="16"/>
      <c r="TZC100" s="16"/>
      <c r="TZD100" s="16"/>
      <c r="TZE100" s="16"/>
      <c r="TZF100" s="16"/>
      <c r="TZG100" s="16"/>
      <c r="TZH100" s="16"/>
      <c r="TZI100" s="16"/>
      <c r="TZJ100" s="16"/>
      <c r="TZK100" s="16"/>
      <c r="TZL100" s="16"/>
      <c r="TZM100" s="16"/>
      <c r="TZN100" s="16"/>
      <c r="TZO100" s="16"/>
      <c r="TZP100" s="16"/>
      <c r="TZQ100" s="16"/>
      <c r="TZR100" s="16"/>
      <c r="TZS100" s="16"/>
      <c r="TZT100" s="16"/>
      <c r="TZU100" s="16"/>
      <c r="TZV100" s="16"/>
      <c r="TZW100" s="16"/>
      <c r="TZX100" s="16"/>
      <c r="TZY100" s="16"/>
      <c r="TZZ100" s="16"/>
      <c r="UAA100" s="16"/>
      <c r="UAB100" s="16"/>
      <c r="UAC100" s="16"/>
      <c r="UAD100" s="16"/>
      <c r="UAE100" s="16"/>
      <c r="UAF100" s="16"/>
      <c r="UAG100" s="16"/>
      <c r="UAH100" s="16"/>
      <c r="UAI100" s="16"/>
      <c r="UAJ100" s="16"/>
      <c r="UAK100" s="16"/>
      <c r="UAL100" s="16"/>
      <c r="UAM100" s="16"/>
      <c r="UAN100" s="16"/>
      <c r="UAO100" s="16"/>
      <c r="UAP100" s="16"/>
      <c r="UAQ100" s="16"/>
      <c r="UAR100" s="16"/>
      <c r="UAS100" s="16"/>
      <c r="UAT100" s="16"/>
      <c r="UAU100" s="16"/>
      <c r="UAV100" s="16"/>
      <c r="UAW100" s="16"/>
      <c r="UAX100" s="16"/>
      <c r="UAY100" s="16"/>
      <c r="UAZ100" s="16"/>
      <c r="UBA100" s="16"/>
      <c r="UBB100" s="16"/>
      <c r="UBC100" s="16"/>
      <c r="UBD100" s="16"/>
      <c r="UBE100" s="16"/>
      <c r="UBF100" s="16"/>
      <c r="UBG100" s="16"/>
      <c r="UBH100" s="16"/>
      <c r="UBI100" s="16"/>
      <c r="UBJ100" s="16"/>
      <c r="UBK100" s="16"/>
      <c r="UBL100" s="16"/>
      <c r="UBM100" s="16"/>
      <c r="UBN100" s="16"/>
      <c r="UBO100" s="16"/>
      <c r="UBP100" s="16"/>
      <c r="UBQ100" s="16"/>
      <c r="UBR100" s="16"/>
      <c r="UBS100" s="16"/>
      <c r="UBT100" s="16"/>
      <c r="UBU100" s="16"/>
      <c r="UBV100" s="16"/>
      <c r="UBW100" s="16"/>
      <c r="UBX100" s="16"/>
      <c r="UBY100" s="16"/>
      <c r="UBZ100" s="16"/>
      <c r="UCA100" s="16"/>
      <c r="UCB100" s="16"/>
      <c r="UCC100" s="16"/>
      <c r="UCD100" s="16"/>
      <c r="UCE100" s="16"/>
      <c r="UCF100" s="16"/>
      <c r="UCG100" s="16"/>
      <c r="UCH100" s="16"/>
      <c r="UCI100" s="16"/>
      <c r="UCJ100" s="16"/>
      <c r="UCK100" s="16"/>
      <c r="UCL100" s="16"/>
      <c r="UCM100" s="16"/>
      <c r="UCN100" s="16"/>
      <c r="UCO100" s="16"/>
      <c r="UCP100" s="16"/>
      <c r="UCQ100" s="16"/>
      <c r="UCR100" s="16"/>
      <c r="UCS100" s="16"/>
      <c r="UCT100" s="16"/>
      <c r="UCU100" s="16"/>
      <c r="UCV100" s="16"/>
      <c r="UCW100" s="16"/>
      <c r="UCX100" s="16"/>
      <c r="UCY100" s="16"/>
      <c r="UCZ100" s="16"/>
      <c r="UDA100" s="16"/>
      <c r="UDB100" s="16"/>
      <c r="UDC100" s="16"/>
      <c r="UDD100" s="16"/>
      <c r="UDE100" s="16"/>
      <c r="UDF100" s="16"/>
      <c r="UDG100" s="16"/>
      <c r="UDH100" s="16"/>
      <c r="UDI100" s="16"/>
      <c r="UDJ100" s="16"/>
      <c r="UDK100" s="16"/>
      <c r="UDL100" s="16"/>
      <c r="UDM100" s="16"/>
      <c r="UDN100" s="16"/>
      <c r="UDO100" s="16"/>
      <c r="UDP100" s="16"/>
      <c r="UDQ100" s="16"/>
      <c r="UDR100" s="16"/>
      <c r="UDS100" s="16"/>
      <c r="UDT100" s="16"/>
      <c r="UDU100" s="16"/>
      <c r="UDV100" s="16"/>
      <c r="UDW100" s="16"/>
      <c r="UDX100" s="16"/>
      <c r="UDY100" s="16"/>
      <c r="UDZ100" s="16"/>
      <c r="UEA100" s="16"/>
      <c r="UEB100" s="16"/>
      <c r="UEC100" s="16"/>
      <c r="UED100" s="16"/>
      <c r="UEE100" s="16"/>
      <c r="UEF100" s="16"/>
      <c r="UEG100" s="16"/>
      <c r="UEH100" s="16"/>
      <c r="UEI100" s="16"/>
      <c r="UEJ100" s="16"/>
      <c r="UEK100" s="16"/>
      <c r="UEL100" s="16"/>
      <c r="UEM100" s="16"/>
      <c r="UEN100" s="16"/>
      <c r="UEO100" s="16"/>
      <c r="UEP100" s="16"/>
      <c r="UEQ100" s="16"/>
      <c r="UER100" s="16"/>
      <c r="UES100" s="16"/>
      <c r="UET100" s="16"/>
      <c r="UEU100" s="16"/>
      <c r="UEV100" s="16"/>
      <c r="UEW100" s="16"/>
      <c r="UEX100" s="16"/>
      <c r="UEY100" s="16"/>
      <c r="UEZ100" s="16"/>
      <c r="UFA100" s="16"/>
      <c r="UFB100" s="16"/>
      <c r="UFC100" s="16"/>
      <c r="UFD100" s="16"/>
      <c r="UFE100" s="16"/>
      <c r="UFF100" s="16"/>
      <c r="UFG100" s="16"/>
      <c r="UFH100" s="16"/>
      <c r="UFI100" s="16"/>
      <c r="UFJ100" s="16"/>
      <c r="UFK100" s="16"/>
      <c r="UFL100" s="16"/>
      <c r="UFM100" s="16"/>
      <c r="UFN100" s="16"/>
      <c r="UFO100" s="16"/>
      <c r="UFP100" s="16"/>
      <c r="UFQ100" s="16"/>
      <c r="UFR100" s="16"/>
      <c r="UFS100" s="16"/>
      <c r="UFT100" s="16"/>
      <c r="UFU100" s="16"/>
      <c r="UFV100" s="16"/>
      <c r="UFW100" s="16"/>
      <c r="UFX100" s="16"/>
      <c r="UFY100" s="16"/>
      <c r="UFZ100" s="16"/>
      <c r="UGA100" s="16"/>
      <c r="UGB100" s="16"/>
      <c r="UGC100" s="16"/>
      <c r="UGD100" s="16"/>
      <c r="UGE100" s="16"/>
      <c r="UGF100" s="16"/>
      <c r="UGG100" s="16"/>
      <c r="UGH100" s="16"/>
      <c r="UGI100" s="16"/>
      <c r="UGJ100" s="16"/>
      <c r="UGK100" s="16"/>
      <c r="UGL100" s="16"/>
      <c r="UGM100" s="16"/>
      <c r="UGN100" s="16"/>
      <c r="UGO100" s="16"/>
      <c r="UGP100" s="16"/>
      <c r="UGQ100" s="16"/>
      <c r="UGR100" s="16"/>
      <c r="UGS100" s="16"/>
      <c r="UGT100" s="16"/>
      <c r="UGU100" s="16"/>
      <c r="UGV100" s="16"/>
      <c r="UGW100" s="16"/>
      <c r="UGX100" s="16"/>
      <c r="UGY100" s="16"/>
      <c r="UGZ100" s="16"/>
      <c r="UHA100" s="16"/>
      <c r="UHB100" s="16"/>
      <c r="UHC100" s="16"/>
      <c r="UHD100" s="16"/>
      <c r="UHE100" s="16"/>
      <c r="UHF100" s="16"/>
      <c r="UHG100" s="16"/>
      <c r="UHH100" s="16"/>
      <c r="UHI100" s="16"/>
      <c r="UHJ100" s="16"/>
      <c r="UHK100" s="16"/>
      <c r="UHL100" s="16"/>
      <c r="UHM100" s="16"/>
      <c r="UHN100" s="16"/>
      <c r="UHO100" s="16"/>
      <c r="UHP100" s="16"/>
      <c r="UHQ100" s="16"/>
      <c r="UHR100" s="16"/>
      <c r="UHS100" s="16"/>
      <c r="UHT100" s="16"/>
      <c r="UHU100" s="16"/>
      <c r="UHV100" s="16"/>
      <c r="UHW100" s="16"/>
      <c r="UHX100" s="16"/>
      <c r="UHY100" s="16"/>
      <c r="UHZ100" s="16"/>
      <c r="UIA100" s="16"/>
      <c r="UIB100" s="16"/>
      <c r="UIC100" s="16"/>
      <c r="UID100" s="16"/>
      <c r="UIE100" s="16"/>
      <c r="UIF100" s="16"/>
      <c r="UIG100" s="16"/>
      <c r="UIH100" s="16"/>
      <c r="UII100" s="16"/>
      <c r="UIJ100" s="16"/>
      <c r="UIK100" s="16"/>
      <c r="UIL100" s="16"/>
      <c r="UIM100" s="16"/>
      <c r="UIN100" s="16"/>
      <c r="UIO100" s="16"/>
      <c r="UIP100" s="16"/>
      <c r="UIQ100" s="16"/>
      <c r="UIR100" s="16"/>
      <c r="UIS100" s="16"/>
      <c r="UIT100" s="16"/>
      <c r="UIU100" s="16"/>
      <c r="UIV100" s="16"/>
      <c r="UIW100" s="16"/>
      <c r="UIX100" s="16"/>
      <c r="UIY100" s="16"/>
      <c r="UIZ100" s="16"/>
      <c r="UJA100" s="16"/>
      <c r="UJB100" s="16"/>
      <c r="UJC100" s="16"/>
      <c r="UJD100" s="16"/>
      <c r="UJE100" s="16"/>
      <c r="UJF100" s="16"/>
      <c r="UJG100" s="16"/>
      <c r="UJH100" s="16"/>
      <c r="UJI100" s="16"/>
      <c r="UJJ100" s="16"/>
      <c r="UJK100" s="16"/>
      <c r="UJL100" s="16"/>
      <c r="UJM100" s="16"/>
      <c r="UJN100" s="16"/>
      <c r="UJO100" s="16"/>
      <c r="UJP100" s="16"/>
      <c r="UJQ100" s="16"/>
      <c r="UJR100" s="16"/>
      <c r="UJS100" s="16"/>
      <c r="UJT100" s="16"/>
      <c r="UJU100" s="16"/>
      <c r="UJV100" s="16"/>
      <c r="UJW100" s="16"/>
      <c r="UJX100" s="16"/>
      <c r="UJY100" s="16"/>
      <c r="UJZ100" s="16"/>
      <c r="UKA100" s="16"/>
      <c r="UKB100" s="16"/>
      <c r="UKC100" s="16"/>
      <c r="UKD100" s="16"/>
      <c r="UKE100" s="16"/>
      <c r="UKF100" s="16"/>
      <c r="UKG100" s="16"/>
      <c r="UKH100" s="16"/>
      <c r="UKI100" s="16"/>
      <c r="UKJ100" s="16"/>
      <c r="UKK100" s="16"/>
      <c r="UKL100" s="16"/>
      <c r="UKM100" s="16"/>
      <c r="UKN100" s="16"/>
      <c r="UKO100" s="16"/>
      <c r="UKP100" s="16"/>
      <c r="UKQ100" s="16"/>
      <c r="UKR100" s="16"/>
      <c r="UKS100" s="16"/>
      <c r="UKT100" s="16"/>
      <c r="UKU100" s="16"/>
      <c r="UKV100" s="16"/>
      <c r="UKW100" s="16"/>
      <c r="UKX100" s="16"/>
      <c r="UKY100" s="16"/>
      <c r="UKZ100" s="16"/>
      <c r="ULA100" s="16"/>
      <c r="ULB100" s="16"/>
      <c r="ULC100" s="16"/>
      <c r="ULD100" s="16"/>
      <c r="ULE100" s="16"/>
      <c r="ULF100" s="16"/>
      <c r="ULG100" s="16"/>
      <c r="ULH100" s="16"/>
      <c r="ULI100" s="16"/>
      <c r="ULJ100" s="16"/>
      <c r="ULK100" s="16"/>
      <c r="ULL100" s="16"/>
      <c r="ULM100" s="16"/>
      <c r="ULN100" s="16"/>
      <c r="ULO100" s="16"/>
      <c r="ULP100" s="16"/>
      <c r="ULQ100" s="16"/>
      <c r="ULR100" s="16"/>
      <c r="ULS100" s="16"/>
      <c r="ULT100" s="16"/>
      <c r="ULU100" s="16"/>
      <c r="ULV100" s="16"/>
      <c r="ULW100" s="16"/>
      <c r="ULX100" s="16"/>
      <c r="ULY100" s="16"/>
      <c r="ULZ100" s="16"/>
      <c r="UMA100" s="16"/>
      <c r="UMB100" s="16"/>
      <c r="UMC100" s="16"/>
      <c r="UMD100" s="16"/>
      <c r="UME100" s="16"/>
      <c r="UMF100" s="16"/>
      <c r="UMG100" s="16"/>
      <c r="UMH100" s="16"/>
      <c r="UMI100" s="16"/>
      <c r="UMJ100" s="16"/>
      <c r="UMK100" s="16"/>
      <c r="UML100" s="16"/>
      <c r="UMM100" s="16"/>
      <c r="UMN100" s="16"/>
      <c r="UMO100" s="16"/>
      <c r="UMP100" s="16"/>
      <c r="UMQ100" s="16"/>
      <c r="UMR100" s="16"/>
      <c r="UMS100" s="16"/>
      <c r="UMT100" s="16"/>
      <c r="UMU100" s="16"/>
      <c r="UMV100" s="16"/>
      <c r="UMW100" s="16"/>
      <c r="UMX100" s="16"/>
      <c r="UMY100" s="16"/>
      <c r="UMZ100" s="16"/>
      <c r="UNA100" s="16"/>
      <c r="UNB100" s="16"/>
      <c r="UNC100" s="16"/>
      <c r="UND100" s="16"/>
      <c r="UNE100" s="16"/>
      <c r="UNF100" s="16"/>
      <c r="UNG100" s="16"/>
      <c r="UNH100" s="16"/>
      <c r="UNI100" s="16"/>
      <c r="UNJ100" s="16"/>
      <c r="UNK100" s="16"/>
      <c r="UNL100" s="16"/>
      <c r="UNM100" s="16"/>
      <c r="UNN100" s="16"/>
      <c r="UNO100" s="16"/>
      <c r="UNP100" s="16"/>
      <c r="UNQ100" s="16"/>
      <c r="UNR100" s="16"/>
      <c r="UNS100" s="16"/>
      <c r="UNT100" s="16"/>
      <c r="UNU100" s="16"/>
      <c r="UNV100" s="16"/>
      <c r="UNW100" s="16"/>
      <c r="UNX100" s="16"/>
      <c r="UNY100" s="16"/>
      <c r="UNZ100" s="16"/>
      <c r="UOA100" s="16"/>
      <c r="UOB100" s="16"/>
      <c r="UOC100" s="16"/>
      <c r="UOD100" s="16"/>
      <c r="UOE100" s="16"/>
      <c r="UOF100" s="16"/>
      <c r="UOG100" s="16"/>
      <c r="UOH100" s="16"/>
      <c r="UOI100" s="16"/>
      <c r="UOJ100" s="16"/>
      <c r="UOK100" s="16"/>
      <c r="UOL100" s="16"/>
      <c r="UOM100" s="16"/>
      <c r="UON100" s="16"/>
      <c r="UOO100" s="16"/>
      <c r="UOP100" s="16"/>
      <c r="UOQ100" s="16"/>
      <c r="UOR100" s="16"/>
      <c r="UOS100" s="16"/>
      <c r="UOT100" s="16"/>
      <c r="UOU100" s="16"/>
      <c r="UOV100" s="16"/>
      <c r="UOW100" s="16"/>
      <c r="UOX100" s="16"/>
      <c r="UOY100" s="16"/>
      <c r="UOZ100" s="16"/>
      <c r="UPA100" s="16"/>
      <c r="UPB100" s="16"/>
      <c r="UPC100" s="16"/>
      <c r="UPD100" s="16"/>
      <c r="UPE100" s="16"/>
      <c r="UPF100" s="16"/>
      <c r="UPG100" s="16"/>
      <c r="UPH100" s="16"/>
      <c r="UPI100" s="16"/>
      <c r="UPJ100" s="16"/>
      <c r="UPK100" s="16"/>
      <c r="UPL100" s="16"/>
      <c r="UPM100" s="16"/>
      <c r="UPN100" s="16"/>
      <c r="UPO100" s="16"/>
      <c r="UPP100" s="16"/>
      <c r="UPQ100" s="16"/>
      <c r="UPR100" s="16"/>
      <c r="UPS100" s="16"/>
      <c r="UPT100" s="16"/>
      <c r="UPU100" s="16"/>
      <c r="UPV100" s="16"/>
      <c r="UPW100" s="16"/>
      <c r="UPX100" s="16"/>
      <c r="UPY100" s="16"/>
      <c r="UPZ100" s="16"/>
      <c r="UQA100" s="16"/>
      <c r="UQB100" s="16"/>
      <c r="UQC100" s="16"/>
      <c r="UQD100" s="16"/>
      <c r="UQE100" s="16"/>
      <c r="UQF100" s="16"/>
      <c r="UQG100" s="16"/>
      <c r="UQH100" s="16"/>
      <c r="UQI100" s="16"/>
      <c r="UQJ100" s="16"/>
      <c r="UQK100" s="16"/>
      <c r="UQL100" s="16"/>
      <c r="UQM100" s="16"/>
      <c r="UQN100" s="16"/>
      <c r="UQO100" s="16"/>
      <c r="UQP100" s="16"/>
      <c r="UQQ100" s="16"/>
      <c r="UQR100" s="16"/>
      <c r="UQS100" s="16"/>
      <c r="UQT100" s="16"/>
      <c r="UQU100" s="16"/>
      <c r="UQV100" s="16"/>
      <c r="UQW100" s="16"/>
      <c r="UQX100" s="16"/>
      <c r="UQY100" s="16"/>
      <c r="UQZ100" s="16"/>
      <c r="URA100" s="16"/>
      <c r="URB100" s="16"/>
      <c r="URC100" s="16"/>
      <c r="URD100" s="16"/>
      <c r="URE100" s="16"/>
      <c r="URF100" s="16"/>
      <c r="URG100" s="16"/>
      <c r="URH100" s="16"/>
      <c r="URI100" s="16"/>
      <c r="URJ100" s="16"/>
      <c r="URK100" s="16"/>
      <c r="URL100" s="16"/>
      <c r="URM100" s="16"/>
      <c r="URN100" s="16"/>
      <c r="URO100" s="16"/>
      <c r="URP100" s="16"/>
      <c r="URQ100" s="16"/>
      <c r="URR100" s="16"/>
      <c r="URS100" s="16"/>
      <c r="URT100" s="16"/>
      <c r="URU100" s="16"/>
      <c r="URV100" s="16"/>
      <c r="URW100" s="16"/>
      <c r="URX100" s="16"/>
      <c r="URY100" s="16"/>
      <c r="URZ100" s="16"/>
      <c r="USA100" s="16"/>
      <c r="USB100" s="16"/>
      <c r="USC100" s="16"/>
      <c r="USD100" s="16"/>
      <c r="USE100" s="16"/>
      <c r="USF100" s="16"/>
      <c r="USG100" s="16"/>
      <c r="USH100" s="16"/>
      <c r="USI100" s="16"/>
      <c r="USJ100" s="16"/>
      <c r="USK100" s="16"/>
      <c r="USL100" s="16"/>
      <c r="USM100" s="16"/>
      <c r="USN100" s="16"/>
      <c r="USO100" s="16"/>
      <c r="USP100" s="16"/>
      <c r="USQ100" s="16"/>
      <c r="USR100" s="16"/>
      <c r="USS100" s="16"/>
      <c r="UST100" s="16"/>
      <c r="USU100" s="16"/>
      <c r="USV100" s="16"/>
      <c r="USW100" s="16"/>
      <c r="USX100" s="16"/>
      <c r="USY100" s="16"/>
      <c r="USZ100" s="16"/>
      <c r="UTA100" s="16"/>
      <c r="UTB100" s="16"/>
      <c r="UTC100" s="16"/>
      <c r="UTD100" s="16"/>
      <c r="UTE100" s="16"/>
      <c r="UTF100" s="16"/>
      <c r="UTG100" s="16"/>
      <c r="UTH100" s="16"/>
      <c r="UTI100" s="16"/>
      <c r="UTJ100" s="16"/>
      <c r="UTK100" s="16"/>
      <c r="UTL100" s="16"/>
      <c r="UTM100" s="16"/>
      <c r="UTN100" s="16"/>
      <c r="UTO100" s="16"/>
      <c r="UTP100" s="16"/>
      <c r="UTQ100" s="16"/>
      <c r="UTR100" s="16"/>
      <c r="UTS100" s="16"/>
      <c r="UTT100" s="16"/>
      <c r="UTU100" s="16"/>
      <c r="UTV100" s="16"/>
      <c r="UTW100" s="16"/>
      <c r="UTX100" s="16"/>
      <c r="UTY100" s="16"/>
      <c r="UTZ100" s="16"/>
      <c r="UUA100" s="16"/>
      <c r="UUB100" s="16"/>
      <c r="UUC100" s="16"/>
      <c r="UUD100" s="16"/>
      <c r="UUE100" s="16"/>
      <c r="UUF100" s="16"/>
      <c r="UUG100" s="16"/>
      <c r="UUH100" s="16"/>
      <c r="UUI100" s="16"/>
      <c r="UUJ100" s="16"/>
      <c r="UUK100" s="16"/>
      <c r="UUL100" s="16"/>
      <c r="UUM100" s="16"/>
      <c r="UUN100" s="16"/>
      <c r="UUO100" s="16"/>
      <c r="UUP100" s="16"/>
      <c r="UUQ100" s="16"/>
      <c r="UUR100" s="16"/>
      <c r="UUS100" s="16"/>
      <c r="UUT100" s="16"/>
      <c r="UUU100" s="16"/>
      <c r="UUV100" s="16"/>
      <c r="UUW100" s="16"/>
      <c r="UUX100" s="16"/>
      <c r="UUY100" s="16"/>
      <c r="UUZ100" s="16"/>
      <c r="UVA100" s="16"/>
      <c r="UVB100" s="16"/>
      <c r="UVC100" s="16"/>
      <c r="UVD100" s="16"/>
      <c r="UVE100" s="16"/>
      <c r="UVF100" s="16"/>
      <c r="UVG100" s="16"/>
      <c r="UVH100" s="16"/>
      <c r="UVI100" s="16"/>
      <c r="UVJ100" s="16"/>
      <c r="UVK100" s="16"/>
      <c r="UVL100" s="16"/>
      <c r="UVM100" s="16"/>
      <c r="UVN100" s="16"/>
      <c r="UVO100" s="16"/>
      <c r="UVP100" s="16"/>
      <c r="UVQ100" s="16"/>
      <c r="UVR100" s="16"/>
      <c r="UVS100" s="16"/>
      <c r="UVT100" s="16"/>
      <c r="UVU100" s="16"/>
      <c r="UVV100" s="16"/>
      <c r="UVW100" s="16"/>
      <c r="UVX100" s="16"/>
      <c r="UVY100" s="16"/>
      <c r="UVZ100" s="16"/>
      <c r="UWA100" s="16"/>
      <c r="UWB100" s="16"/>
      <c r="UWC100" s="16"/>
      <c r="UWD100" s="16"/>
      <c r="UWE100" s="16"/>
      <c r="UWF100" s="16"/>
      <c r="UWG100" s="16"/>
      <c r="UWH100" s="16"/>
      <c r="UWI100" s="16"/>
      <c r="UWJ100" s="16"/>
      <c r="UWK100" s="16"/>
      <c r="UWL100" s="16"/>
      <c r="UWM100" s="16"/>
      <c r="UWN100" s="16"/>
      <c r="UWO100" s="16"/>
      <c r="UWP100" s="16"/>
      <c r="UWQ100" s="16"/>
      <c r="UWR100" s="16"/>
      <c r="UWS100" s="16"/>
      <c r="UWT100" s="16"/>
      <c r="UWU100" s="16"/>
      <c r="UWV100" s="16"/>
      <c r="UWW100" s="16"/>
      <c r="UWX100" s="16"/>
      <c r="UWY100" s="16"/>
      <c r="UWZ100" s="16"/>
      <c r="UXA100" s="16"/>
      <c r="UXB100" s="16"/>
      <c r="UXC100" s="16"/>
      <c r="UXD100" s="16"/>
      <c r="UXE100" s="16"/>
      <c r="UXF100" s="16"/>
      <c r="UXG100" s="16"/>
      <c r="UXH100" s="16"/>
      <c r="UXI100" s="16"/>
      <c r="UXJ100" s="16"/>
      <c r="UXK100" s="16"/>
      <c r="UXL100" s="16"/>
      <c r="UXM100" s="16"/>
      <c r="UXN100" s="16"/>
      <c r="UXO100" s="16"/>
      <c r="UXP100" s="16"/>
      <c r="UXQ100" s="16"/>
      <c r="UXR100" s="16"/>
      <c r="UXS100" s="16"/>
      <c r="UXT100" s="16"/>
      <c r="UXU100" s="16"/>
      <c r="UXV100" s="16"/>
      <c r="UXW100" s="16"/>
      <c r="UXX100" s="16"/>
      <c r="UXY100" s="16"/>
      <c r="UXZ100" s="16"/>
      <c r="UYA100" s="16"/>
      <c r="UYB100" s="16"/>
      <c r="UYC100" s="16"/>
      <c r="UYD100" s="16"/>
      <c r="UYE100" s="16"/>
      <c r="UYF100" s="16"/>
      <c r="UYG100" s="16"/>
      <c r="UYH100" s="16"/>
      <c r="UYI100" s="16"/>
      <c r="UYJ100" s="16"/>
      <c r="UYK100" s="16"/>
      <c r="UYL100" s="16"/>
      <c r="UYM100" s="16"/>
      <c r="UYN100" s="16"/>
      <c r="UYO100" s="16"/>
      <c r="UYP100" s="16"/>
      <c r="UYQ100" s="16"/>
      <c r="UYR100" s="16"/>
      <c r="UYS100" s="16"/>
      <c r="UYT100" s="16"/>
      <c r="UYU100" s="16"/>
      <c r="UYV100" s="16"/>
      <c r="UYW100" s="16"/>
      <c r="UYX100" s="16"/>
      <c r="UYY100" s="16"/>
      <c r="UYZ100" s="16"/>
      <c r="UZA100" s="16"/>
      <c r="UZB100" s="16"/>
      <c r="UZC100" s="16"/>
      <c r="UZD100" s="16"/>
      <c r="UZE100" s="16"/>
      <c r="UZF100" s="16"/>
      <c r="UZG100" s="16"/>
      <c r="UZH100" s="16"/>
      <c r="UZI100" s="16"/>
      <c r="UZJ100" s="16"/>
      <c r="UZK100" s="16"/>
      <c r="UZL100" s="16"/>
      <c r="UZM100" s="16"/>
      <c r="UZN100" s="16"/>
      <c r="UZO100" s="16"/>
      <c r="UZP100" s="16"/>
      <c r="UZQ100" s="16"/>
      <c r="UZR100" s="16"/>
      <c r="UZS100" s="16"/>
      <c r="UZT100" s="16"/>
      <c r="UZU100" s="16"/>
      <c r="UZV100" s="16"/>
      <c r="UZW100" s="16"/>
      <c r="UZX100" s="16"/>
      <c r="UZY100" s="16"/>
      <c r="UZZ100" s="16"/>
      <c r="VAA100" s="16"/>
      <c r="VAB100" s="16"/>
      <c r="VAC100" s="16"/>
      <c r="VAD100" s="16"/>
      <c r="VAE100" s="16"/>
      <c r="VAF100" s="16"/>
      <c r="VAG100" s="16"/>
      <c r="VAH100" s="16"/>
      <c r="VAI100" s="16"/>
      <c r="VAJ100" s="16"/>
      <c r="VAK100" s="16"/>
      <c r="VAL100" s="16"/>
      <c r="VAM100" s="16"/>
      <c r="VAN100" s="16"/>
      <c r="VAO100" s="16"/>
      <c r="VAP100" s="16"/>
      <c r="VAQ100" s="16"/>
      <c r="VAR100" s="16"/>
      <c r="VAS100" s="16"/>
      <c r="VAT100" s="16"/>
      <c r="VAU100" s="16"/>
      <c r="VAV100" s="16"/>
      <c r="VAW100" s="16"/>
      <c r="VAX100" s="16"/>
      <c r="VAY100" s="16"/>
      <c r="VAZ100" s="16"/>
      <c r="VBA100" s="16"/>
      <c r="VBB100" s="16"/>
      <c r="VBC100" s="16"/>
      <c r="VBD100" s="16"/>
      <c r="VBE100" s="16"/>
      <c r="VBF100" s="16"/>
      <c r="VBG100" s="16"/>
      <c r="VBH100" s="16"/>
      <c r="VBI100" s="16"/>
      <c r="VBJ100" s="16"/>
      <c r="VBK100" s="16"/>
      <c r="VBL100" s="16"/>
      <c r="VBM100" s="16"/>
      <c r="VBN100" s="16"/>
      <c r="VBO100" s="16"/>
      <c r="VBP100" s="16"/>
      <c r="VBQ100" s="16"/>
      <c r="VBR100" s="16"/>
      <c r="VBS100" s="16"/>
      <c r="VBT100" s="16"/>
      <c r="VBU100" s="16"/>
      <c r="VBV100" s="16"/>
      <c r="VBW100" s="16"/>
      <c r="VBX100" s="16"/>
      <c r="VBY100" s="16"/>
      <c r="VBZ100" s="16"/>
      <c r="VCA100" s="16"/>
      <c r="VCB100" s="16"/>
      <c r="VCC100" s="16"/>
      <c r="VCD100" s="16"/>
      <c r="VCE100" s="16"/>
      <c r="VCF100" s="16"/>
      <c r="VCG100" s="16"/>
      <c r="VCH100" s="16"/>
      <c r="VCI100" s="16"/>
      <c r="VCJ100" s="16"/>
      <c r="VCK100" s="16"/>
      <c r="VCL100" s="16"/>
      <c r="VCM100" s="16"/>
      <c r="VCN100" s="16"/>
      <c r="VCO100" s="16"/>
      <c r="VCP100" s="16"/>
      <c r="VCQ100" s="16"/>
      <c r="VCR100" s="16"/>
      <c r="VCS100" s="16"/>
      <c r="VCT100" s="16"/>
      <c r="VCU100" s="16"/>
      <c r="VCV100" s="16"/>
      <c r="VCW100" s="16"/>
      <c r="VCX100" s="16"/>
      <c r="VCY100" s="16"/>
      <c r="VCZ100" s="16"/>
      <c r="VDA100" s="16"/>
      <c r="VDB100" s="16"/>
      <c r="VDC100" s="16"/>
      <c r="VDD100" s="16"/>
      <c r="VDE100" s="16"/>
      <c r="VDF100" s="16"/>
      <c r="VDG100" s="16"/>
      <c r="VDH100" s="16"/>
      <c r="VDI100" s="16"/>
      <c r="VDJ100" s="16"/>
      <c r="VDK100" s="16"/>
      <c r="VDL100" s="16"/>
      <c r="VDM100" s="16"/>
      <c r="VDN100" s="16"/>
      <c r="VDO100" s="16"/>
      <c r="VDP100" s="16"/>
      <c r="VDQ100" s="16"/>
      <c r="VDR100" s="16"/>
      <c r="VDS100" s="16"/>
      <c r="VDT100" s="16"/>
      <c r="VDU100" s="16"/>
      <c r="VDV100" s="16"/>
      <c r="VDW100" s="16"/>
      <c r="VDX100" s="16"/>
      <c r="VDY100" s="16"/>
      <c r="VDZ100" s="16"/>
      <c r="VEA100" s="16"/>
      <c r="VEB100" s="16"/>
      <c r="VEC100" s="16"/>
      <c r="VED100" s="16"/>
      <c r="VEE100" s="16"/>
      <c r="VEF100" s="16"/>
      <c r="VEG100" s="16"/>
      <c r="VEH100" s="16"/>
      <c r="VEI100" s="16"/>
      <c r="VEJ100" s="16"/>
      <c r="VEK100" s="16"/>
      <c r="VEL100" s="16"/>
      <c r="VEM100" s="16"/>
      <c r="VEN100" s="16"/>
      <c r="VEO100" s="16"/>
      <c r="VEP100" s="16"/>
      <c r="VEQ100" s="16"/>
      <c r="VER100" s="16"/>
      <c r="VES100" s="16"/>
      <c r="VET100" s="16"/>
      <c r="VEU100" s="16"/>
      <c r="VEV100" s="16"/>
      <c r="VEW100" s="16"/>
      <c r="VEX100" s="16"/>
      <c r="VEY100" s="16"/>
      <c r="VEZ100" s="16"/>
      <c r="VFA100" s="16"/>
      <c r="VFB100" s="16"/>
      <c r="VFC100" s="16"/>
      <c r="VFD100" s="16"/>
      <c r="VFE100" s="16"/>
      <c r="VFF100" s="16"/>
      <c r="VFG100" s="16"/>
      <c r="VFH100" s="16"/>
      <c r="VFI100" s="16"/>
      <c r="VFJ100" s="16"/>
      <c r="VFK100" s="16"/>
      <c r="VFL100" s="16"/>
      <c r="VFM100" s="16"/>
      <c r="VFN100" s="16"/>
      <c r="VFO100" s="16"/>
      <c r="VFP100" s="16"/>
      <c r="VFQ100" s="16"/>
      <c r="VFR100" s="16"/>
      <c r="VFS100" s="16"/>
      <c r="VFT100" s="16"/>
      <c r="VFU100" s="16"/>
      <c r="VFV100" s="16"/>
      <c r="VFW100" s="16"/>
      <c r="VFX100" s="16"/>
      <c r="VFY100" s="16"/>
      <c r="VFZ100" s="16"/>
      <c r="VGA100" s="16"/>
      <c r="VGB100" s="16"/>
      <c r="VGC100" s="16"/>
      <c r="VGD100" s="16"/>
      <c r="VGE100" s="16"/>
      <c r="VGF100" s="16"/>
      <c r="VGG100" s="16"/>
      <c r="VGH100" s="16"/>
      <c r="VGI100" s="16"/>
      <c r="VGJ100" s="16"/>
      <c r="VGK100" s="16"/>
      <c r="VGL100" s="16"/>
      <c r="VGM100" s="16"/>
      <c r="VGN100" s="16"/>
      <c r="VGO100" s="16"/>
      <c r="VGP100" s="16"/>
      <c r="VGQ100" s="16"/>
      <c r="VGR100" s="16"/>
      <c r="VGS100" s="16"/>
      <c r="VGT100" s="16"/>
      <c r="VGU100" s="16"/>
      <c r="VGV100" s="16"/>
      <c r="VGW100" s="16"/>
      <c r="VGX100" s="16"/>
      <c r="VGY100" s="16"/>
      <c r="VGZ100" s="16"/>
      <c r="VHA100" s="16"/>
      <c r="VHB100" s="16"/>
      <c r="VHC100" s="16"/>
      <c r="VHD100" s="16"/>
      <c r="VHE100" s="16"/>
      <c r="VHF100" s="16"/>
      <c r="VHG100" s="16"/>
      <c r="VHH100" s="16"/>
      <c r="VHI100" s="16"/>
      <c r="VHJ100" s="16"/>
      <c r="VHK100" s="16"/>
      <c r="VHL100" s="16"/>
      <c r="VHM100" s="16"/>
      <c r="VHN100" s="16"/>
      <c r="VHO100" s="16"/>
      <c r="VHP100" s="16"/>
      <c r="VHQ100" s="16"/>
      <c r="VHR100" s="16"/>
      <c r="VHS100" s="16"/>
      <c r="VHT100" s="16"/>
      <c r="VHU100" s="16"/>
      <c r="VHV100" s="16"/>
      <c r="VHW100" s="16"/>
      <c r="VHX100" s="16"/>
      <c r="VHY100" s="16"/>
      <c r="VHZ100" s="16"/>
      <c r="VIA100" s="16"/>
      <c r="VIB100" s="16"/>
      <c r="VIC100" s="16"/>
      <c r="VID100" s="16"/>
      <c r="VIE100" s="16"/>
      <c r="VIF100" s="16"/>
      <c r="VIG100" s="16"/>
      <c r="VIH100" s="16"/>
      <c r="VII100" s="16"/>
      <c r="VIJ100" s="16"/>
      <c r="VIK100" s="16"/>
      <c r="VIL100" s="16"/>
      <c r="VIM100" s="16"/>
      <c r="VIN100" s="16"/>
      <c r="VIO100" s="16"/>
      <c r="VIP100" s="16"/>
      <c r="VIQ100" s="16"/>
      <c r="VIR100" s="16"/>
      <c r="VIS100" s="16"/>
      <c r="VIT100" s="16"/>
      <c r="VIU100" s="16"/>
      <c r="VIV100" s="16"/>
      <c r="VIW100" s="16"/>
      <c r="VIX100" s="16"/>
      <c r="VIY100" s="16"/>
      <c r="VIZ100" s="16"/>
      <c r="VJA100" s="16"/>
      <c r="VJB100" s="16"/>
      <c r="VJC100" s="16"/>
      <c r="VJD100" s="16"/>
      <c r="VJE100" s="16"/>
      <c r="VJF100" s="16"/>
      <c r="VJG100" s="16"/>
      <c r="VJH100" s="16"/>
      <c r="VJI100" s="16"/>
      <c r="VJJ100" s="16"/>
      <c r="VJK100" s="16"/>
      <c r="VJL100" s="16"/>
      <c r="VJM100" s="16"/>
      <c r="VJN100" s="16"/>
      <c r="VJO100" s="16"/>
      <c r="VJP100" s="16"/>
      <c r="VJQ100" s="16"/>
      <c r="VJR100" s="16"/>
      <c r="VJS100" s="16"/>
      <c r="VJT100" s="16"/>
      <c r="VJU100" s="16"/>
      <c r="VJV100" s="16"/>
      <c r="VJW100" s="16"/>
      <c r="VJX100" s="16"/>
      <c r="VJY100" s="16"/>
      <c r="VJZ100" s="16"/>
      <c r="VKA100" s="16"/>
      <c r="VKB100" s="16"/>
      <c r="VKC100" s="16"/>
      <c r="VKD100" s="16"/>
      <c r="VKE100" s="16"/>
      <c r="VKF100" s="16"/>
      <c r="VKG100" s="16"/>
      <c r="VKH100" s="16"/>
      <c r="VKI100" s="16"/>
      <c r="VKJ100" s="16"/>
      <c r="VKK100" s="16"/>
      <c r="VKL100" s="16"/>
      <c r="VKM100" s="16"/>
      <c r="VKN100" s="16"/>
      <c r="VKO100" s="16"/>
      <c r="VKP100" s="16"/>
      <c r="VKQ100" s="16"/>
      <c r="VKR100" s="16"/>
      <c r="VKS100" s="16"/>
      <c r="VKT100" s="16"/>
      <c r="VKU100" s="16"/>
      <c r="VKV100" s="16"/>
      <c r="VKW100" s="16"/>
      <c r="VKX100" s="16"/>
      <c r="VKY100" s="16"/>
      <c r="VKZ100" s="16"/>
      <c r="VLA100" s="16"/>
      <c r="VLB100" s="16"/>
      <c r="VLC100" s="16"/>
      <c r="VLD100" s="16"/>
      <c r="VLE100" s="16"/>
      <c r="VLF100" s="16"/>
      <c r="VLG100" s="16"/>
      <c r="VLH100" s="16"/>
      <c r="VLI100" s="16"/>
      <c r="VLJ100" s="16"/>
      <c r="VLK100" s="16"/>
      <c r="VLL100" s="16"/>
      <c r="VLM100" s="16"/>
      <c r="VLN100" s="16"/>
      <c r="VLO100" s="16"/>
      <c r="VLP100" s="16"/>
      <c r="VLQ100" s="16"/>
      <c r="VLR100" s="16"/>
      <c r="VLS100" s="16"/>
      <c r="VLT100" s="16"/>
      <c r="VLU100" s="16"/>
      <c r="VLV100" s="16"/>
      <c r="VLW100" s="16"/>
      <c r="VLX100" s="16"/>
      <c r="VLY100" s="16"/>
      <c r="VLZ100" s="16"/>
      <c r="VMA100" s="16"/>
      <c r="VMB100" s="16"/>
      <c r="VMC100" s="16"/>
      <c r="VMD100" s="16"/>
      <c r="VME100" s="16"/>
      <c r="VMF100" s="16"/>
      <c r="VMG100" s="16"/>
      <c r="VMH100" s="16"/>
      <c r="VMI100" s="16"/>
      <c r="VMJ100" s="16"/>
      <c r="VMK100" s="16"/>
      <c r="VML100" s="16"/>
      <c r="VMM100" s="16"/>
      <c r="VMN100" s="16"/>
      <c r="VMO100" s="16"/>
      <c r="VMP100" s="16"/>
      <c r="VMQ100" s="16"/>
      <c r="VMR100" s="16"/>
      <c r="VMS100" s="16"/>
      <c r="VMT100" s="16"/>
      <c r="VMU100" s="16"/>
      <c r="VMV100" s="16"/>
      <c r="VMW100" s="16"/>
      <c r="VMX100" s="16"/>
      <c r="VMY100" s="16"/>
      <c r="VMZ100" s="16"/>
      <c r="VNA100" s="16"/>
      <c r="VNB100" s="16"/>
      <c r="VNC100" s="16"/>
      <c r="VND100" s="16"/>
      <c r="VNE100" s="16"/>
      <c r="VNF100" s="16"/>
      <c r="VNG100" s="16"/>
      <c r="VNH100" s="16"/>
      <c r="VNI100" s="16"/>
      <c r="VNJ100" s="16"/>
      <c r="VNK100" s="16"/>
      <c r="VNL100" s="16"/>
      <c r="VNM100" s="16"/>
      <c r="VNN100" s="16"/>
      <c r="VNO100" s="16"/>
      <c r="VNP100" s="16"/>
      <c r="VNQ100" s="16"/>
      <c r="VNR100" s="16"/>
      <c r="VNS100" s="16"/>
      <c r="VNT100" s="16"/>
      <c r="VNU100" s="16"/>
      <c r="VNV100" s="16"/>
      <c r="VNW100" s="16"/>
      <c r="VNX100" s="16"/>
      <c r="VNY100" s="16"/>
      <c r="VNZ100" s="16"/>
      <c r="VOA100" s="16"/>
      <c r="VOB100" s="16"/>
      <c r="VOC100" s="16"/>
      <c r="VOD100" s="16"/>
      <c r="VOE100" s="16"/>
      <c r="VOF100" s="16"/>
      <c r="VOG100" s="16"/>
      <c r="VOH100" s="16"/>
      <c r="VOI100" s="16"/>
      <c r="VOJ100" s="16"/>
      <c r="VOK100" s="16"/>
      <c r="VOL100" s="16"/>
      <c r="VOM100" s="16"/>
      <c r="VON100" s="16"/>
      <c r="VOO100" s="16"/>
      <c r="VOP100" s="16"/>
      <c r="VOQ100" s="16"/>
      <c r="VOR100" s="16"/>
      <c r="VOS100" s="16"/>
      <c r="VOT100" s="16"/>
      <c r="VOU100" s="16"/>
      <c r="VOV100" s="16"/>
      <c r="VOW100" s="16"/>
      <c r="VOX100" s="16"/>
      <c r="VOY100" s="16"/>
      <c r="VOZ100" s="16"/>
      <c r="VPA100" s="16"/>
      <c r="VPB100" s="16"/>
      <c r="VPC100" s="16"/>
      <c r="VPD100" s="16"/>
      <c r="VPE100" s="16"/>
      <c r="VPF100" s="16"/>
      <c r="VPG100" s="16"/>
      <c r="VPH100" s="16"/>
      <c r="VPI100" s="16"/>
      <c r="VPJ100" s="16"/>
      <c r="VPK100" s="16"/>
      <c r="VPL100" s="16"/>
      <c r="VPM100" s="16"/>
      <c r="VPN100" s="16"/>
      <c r="VPO100" s="16"/>
      <c r="VPP100" s="16"/>
      <c r="VPQ100" s="16"/>
      <c r="VPR100" s="16"/>
      <c r="VPS100" s="16"/>
      <c r="VPT100" s="16"/>
      <c r="VPU100" s="16"/>
      <c r="VPV100" s="16"/>
      <c r="VPW100" s="16"/>
      <c r="VPX100" s="16"/>
      <c r="VPY100" s="16"/>
      <c r="VPZ100" s="16"/>
      <c r="VQA100" s="16"/>
      <c r="VQB100" s="16"/>
      <c r="VQC100" s="16"/>
      <c r="VQD100" s="16"/>
      <c r="VQE100" s="16"/>
      <c r="VQF100" s="16"/>
      <c r="VQG100" s="16"/>
      <c r="VQH100" s="16"/>
      <c r="VQI100" s="16"/>
      <c r="VQJ100" s="16"/>
      <c r="VQK100" s="16"/>
      <c r="VQL100" s="16"/>
      <c r="VQM100" s="16"/>
      <c r="VQN100" s="16"/>
      <c r="VQO100" s="16"/>
      <c r="VQP100" s="16"/>
      <c r="VQQ100" s="16"/>
      <c r="VQR100" s="16"/>
      <c r="VQS100" s="16"/>
      <c r="VQT100" s="16"/>
      <c r="VQU100" s="16"/>
      <c r="VQV100" s="16"/>
      <c r="VQW100" s="16"/>
      <c r="VQX100" s="16"/>
      <c r="VQY100" s="16"/>
      <c r="VQZ100" s="16"/>
      <c r="VRA100" s="16"/>
      <c r="VRB100" s="16"/>
      <c r="VRC100" s="16"/>
      <c r="VRD100" s="16"/>
      <c r="VRE100" s="16"/>
      <c r="VRF100" s="16"/>
      <c r="VRG100" s="16"/>
      <c r="VRH100" s="16"/>
      <c r="VRI100" s="16"/>
      <c r="VRJ100" s="16"/>
      <c r="VRK100" s="16"/>
      <c r="VRL100" s="16"/>
      <c r="VRM100" s="16"/>
      <c r="VRN100" s="16"/>
      <c r="VRO100" s="16"/>
      <c r="VRP100" s="16"/>
      <c r="VRQ100" s="16"/>
      <c r="VRR100" s="16"/>
      <c r="VRS100" s="16"/>
      <c r="VRT100" s="16"/>
      <c r="VRU100" s="16"/>
      <c r="VRV100" s="16"/>
      <c r="VRW100" s="16"/>
      <c r="VRX100" s="16"/>
      <c r="VRY100" s="16"/>
      <c r="VRZ100" s="16"/>
      <c r="VSA100" s="16"/>
      <c r="VSB100" s="16"/>
      <c r="VSC100" s="16"/>
      <c r="VSD100" s="16"/>
      <c r="VSE100" s="16"/>
      <c r="VSF100" s="16"/>
      <c r="VSG100" s="16"/>
      <c r="VSH100" s="16"/>
      <c r="VSI100" s="16"/>
      <c r="VSJ100" s="16"/>
      <c r="VSK100" s="16"/>
      <c r="VSL100" s="16"/>
      <c r="VSM100" s="16"/>
      <c r="VSN100" s="16"/>
      <c r="VSO100" s="16"/>
      <c r="VSP100" s="16"/>
      <c r="VSQ100" s="16"/>
      <c r="VSR100" s="16"/>
      <c r="VSS100" s="16"/>
      <c r="VST100" s="16"/>
      <c r="VSU100" s="16"/>
      <c r="VSV100" s="16"/>
      <c r="VSW100" s="16"/>
      <c r="VSX100" s="16"/>
      <c r="VSY100" s="16"/>
      <c r="VSZ100" s="16"/>
      <c r="VTA100" s="16"/>
      <c r="VTB100" s="16"/>
      <c r="VTC100" s="16"/>
      <c r="VTD100" s="16"/>
      <c r="VTE100" s="16"/>
      <c r="VTF100" s="16"/>
      <c r="VTG100" s="16"/>
      <c r="VTH100" s="16"/>
      <c r="VTI100" s="16"/>
      <c r="VTJ100" s="16"/>
      <c r="VTK100" s="16"/>
      <c r="VTL100" s="16"/>
      <c r="VTM100" s="16"/>
      <c r="VTN100" s="16"/>
      <c r="VTO100" s="16"/>
      <c r="VTP100" s="16"/>
      <c r="VTQ100" s="16"/>
      <c r="VTR100" s="16"/>
      <c r="VTS100" s="16"/>
      <c r="VTT100" s="16"/>
      <c r="VTU100" s="16"/>
      <c r="VTV100" s="16"/>
      <c r="VTW100" s="16"/>
      <c r="VTX100" s="16"/>
      <c r="VTY100" s="16"/>
      <c r="VTZ100" s="16"/>
      <c r="VUA100" s="16"/>
      <c r="VUB100" s="16"/>
      <c r="VUC100" s="16"/>
      <c r="VUD100" s="16"/>
      <c r="VUE100" s="16"/>
      <c r="VUF100" s="16"/>
      <c r="VUG100" s="16"/>
      <c r="VUH100" s="16"/>
      <c r="VUI100" s="16"/>
      <c r="VUJ100" s="16"/>
      <c r="VUK100" s="16"/>
      <c r="VUL100" s="16"/>
      <c r="VUM100" s="16"/>
      <c r="VUN100" s="16"/>
      <c r="VUO100" s="16"/>
      <c r="VUP100" s="16"/>
      <c r="VUQ100" s="16"/>
      <c r="VUR100" s="16"/>
      <c r="VUS100" s="16"/>
      <c r="VUT100" s="16"/>
      <c r="VUU100" s="16"/>
      <c r="VUV100" s="16"/>
      <c r="VUW100" s="16"/>
      <c r="VUX100" s="16"/>
      <c r="VUY100" s="16"/>
      <c r="VUZ100" s="16"/>
      <c r="VVA100" s="16"/>
      <c r="VVB100" s="16"/>
      <c r="VVC100" s="16"/>
      <c r="VVD100" s="16"/>
      <c r="VVE100" s="16"/>
      <c r="VVF100" s="16"/>
      <c r="VVG100" s="16"/>
      <c r="VVH100" s="16"/>
      <c r="VVI100" s="16"/>
      <c r="VVJ100" s="16"/>
      <c r="VVK100" s="16"/>
      <c r="VVL100" s="16"/>
      <c r="VVM100" s="16"/>
      <c r="VVN100" s="16"/>
      <c r="VVO100" s="16"/>
      <c r="VVP100" s="16"/>
      <c r="VVQ100" s="16"/>
      <c r="VVR100" s="16"/>
      <c r="VVS100" s="16"/>
      <c r="VVT100" s="16"/>
      <c r="VVU100" s="16"/>
      <c r="VVV100" s="16"/>
      <c r="VVW100" s="16"/>
      <c r="VVX100" s="16"/>
      <c r="VVY100" s="16"/>
      <c r="VVZ100" s="16"/>
      <c r="VWA100" s="16"/>
      <c r="VWB100" s="16"/>
      <c r="VWC100" s="16"/>
      <c r="VWD100" s="16"/>
      <c r="VWE100" s="16"/>
      <c r="VWF100" s="16"/>
      <c r="VWG100" s="16"/>
      <c r="VWH100" s="16"/>
      <c r="VWI100" s="16"/>
      <c r="VWJ100" s="16"/>
      <c r="VWK100" s="16"/>
      <c r="VWL100" s="16"/>
      <c r="VWM100" s="16"/>
      <c r="VWN100" s="16"/>
      <c r="VWO100" s="16"/>
      <c r="VWP100" s="16"/>
      <c r="VWQ100" s="16"/>
      <c r="VWR100" s="16"/>
      <c r="VWS100" s="16"/>
      <c r="VWT100" s="16"/>
      <c r="VWU100" s="16"/>
      <c r="VWV100" s="16"/>
      <c r="VWW100" s="16"/>
      <c r="VWX100" s="16"/>
      <c r="VWY100" s="16"/>
      <c r="VWZ100" s="16"/>
      <c r="VXA100" s="16"/>
      <c r="VXB100" s="16"/>
      <c r="VXC100" s="16"/>
      <c r="VXD100" s="16"/>
      <c r="VXE100" s="16"/>
      <c r="VXF100" s="16"/>
      <c r="VXG100" s="16"/>
      <c r="VXH100" s="16"/>
      <c r="VXI100" s="16"/>
      <c r="VXJ100" s="16"/>
      <c r="VXK100" s="16"/>
      <c r="VXL100" s="16"/>
      <c r="VXM100" s="16"/>
      <c r="VXN100" s="16"/>
      <c r="VXO100" s="16"/>
      <c r="VXP100" s="16"/>
      <c r="VXQ100" s="16"/>
      <c r="VXR100" s="16"/>
      <c r="VXS100" s="16"/>
      <c r="VXT100" s="16"/>
      <c r="VXU100" s="16"/>
      <c r="VXV100" s="16"/>
      <c r="VXW100" s="16"/>
      <c r="VXX100" s="16"/>
      <c r="VXY100" s="16"/>
      <c r="VXZ100" s="16"/>
      <c r="VYA100" s="16"/>
      <c r="VYB100" s="16"/>
      <c r="VYC100" s="16"/>
      <c r="VYD100" s="16"/>
      <c r="VYE100" s="16"/>
      <c r="VYF100" s="16"/>
      <c r="VYG100" s="16"/>
      <c r="VYH100" s="16"/>
      <c r="VYI100" s="16"/>
      <c r="VYJ100" s="16"/>
      <c r="VYK100" s="16"/>
      <c r="VYL100" s="16"/>
      <c r="VYM100" s="16"/>
      <c r="VYN100" s="16"/>
      <c r="VYO100" s="16"/>
      <c r="VYP100" s="16"/>
      <c r="VYQ100" s="16"/>
      <c r="VYR100" s="16"/>
      <c r="VYS100" s="16"/>
      <c r="VYT100" s="16"/>
      <c r="VYU100" s="16"/>
      <c r="VYV100" s="16"/>
      <c r="VYW100" s="16"/>
      <c r="VYX100" s="16"/>
      <c r="VYY100" s="16"/>
      <c r="VYZ100" s="16"/>
      <c r="VZA100" s="16"/>
      <c r="VZB100" s="16"/>
      <c r="VZC100" s="16"/>
      <c r="VZD100" s="16"/>
      <c r="VZE100" s="16"/>
      <c r="VZF100" s="16"/>
      <c r="VZG100" s="16"/>
      <c r="VZH100" s="16"/>
      <c r="VZI100" s="16"/>
      <c r="VZJ100" s="16"/>
      <c r="VZK100" s="16"/>
      <c r="VZL100" s="16"/>
      <c r="VZM100" s="16"/>
      <c r="VZN100" s="16"/>
      <c r="VZO100" s="16"/>
      <c r="VZP100" s="16"/>
      <c r="VZQ100" s="16"/>
      <c r="VZR100" s="16"/>
      <c r="VZS100" s="16"/>
      <c r="VZT100" s="16"/>
      <c r="VZU100" s="16"/>
      <c r="VZV100" s="16"/>
      <c r="VZW100" s="16"/>
      <c r="VZX100" s="16"/>
      <c r="VZY100" s="16"/>
      <c r="VZZ100" s="16"/>
      <c r="WAA100" s="16"/>
      <c r="WAB100" s="16"/>
      <c r="WAC100" s="16"/>
      <c r="WAD100" s="16"/>
      <c r="WAE100" s="16"/>
      <c r="WAF100" s="16"/>
      <c r="WAG100" s="16"/>
      <c r="WAH100" s="16"/>
      <c r="WAI100" s="16"/>
      <c r="WAJ100" s="16"/>
      <c r="WAK100" s="16"/>
      <c r="WAL100" s="16"/>
      <c r="WAM100" s="16"/>
      <c r="WAN100" s="16"/>
      <c r="WAO100" s="16"/>
      <c r="WAP100" s="16"/>
      <c r="WAQ100" s="16"/>
      <c r="WAR100" s="16"/>
      <c r="WAS100" s="16"/>
      <c r="WAT100" s="16"/>
      <c r="WAU100" s="16"/>
      <c r="WAV100" s="16"/>
      <c r="WAW100" s="16"/>
      <c r="WAX100" s="16"/>
      <c r="WAY100" s="16"/>
      <c r="WAZ100" s="16"/>
      <c r="WBA100" s="16"/>
      <c r="WBB100" s="16"/>
      <c r="WBC100" s="16"/>
      <c r="WBD100" s="16"/>
      <c r="WBE100" s="16"/>
      <c r="WBF100" s="16"/>
      <c r="WBG100" s="16"/>
      <c r="WBH100" s="16"/>
      <c r="WBI100" s="16"/>
      <c r="WBJ100" s="16"/>
      <c r="WBK100" s="16"/>
      <c r="WBL100" s="16"/>
      <c r="WBM100" s="16"/>
      <c r="WBN100" s="16"/>
      <c r="WBO100" s="16"/>
      <c r="WBP100" s="16"/>
      <c r="WBQ100" s="16"/>
      <c r="WBR100" s="16"/>
      <c r="WBS100" s="16"/>
      <c r="WBT100" s="16"/>
      <c r="WBU100" s="16"/>
      <c r="WBV100" s="16"/>
      <c r="WBW100" s="16"/>
      <c r="WBX100" s="16"/>
      <c r="WBY100" s="16"/>
      <c r="WBZ100" s="16"/>
      <c r="WCA100" s="16"/>
      <c r="WCB100" s="16"/>
      <c r="WCC100" s="16"/>
      <c r="WCD100" s="16"/>
      <c r="WCE100" s="16"/>
      <c r="WCF100" s="16"/>
      <c r="WCG100" s="16"/>
      <c r="WCH100" s="16"/>
      <c r="WCI100" s="16"/>
      <c r="WCJ100" s="16"/>
      <c r="WCK100" s="16"/>
      <c r="WCL100" s="16"/>
      <c r="WCM100" s="16"/>
      <c r="WCN100" s="16"/>
      <c r="WCO100" s="16"/>
      <c r="WCP100" s="16"/>
      <c r="WCQ100" s="16"/>
      <c r="WCR100" s="16"/>
      <c r="WCS100" s="16"/>
      <c r="WCT100" s="16"/>
      <c r="WCU100" s="16"/>
      <c r="WCV100" s="16"/>
      <c r="WCW100" s="16"/>
      <c r="WCX100" s="16"/>
      <c r="WCY100" s="16"/>
      <c r="WCZ100" s="16"/>
      <c r="WDA100" s="16"/>
      <c r="WDB100" s="16"/>
      <c r="WDC100" s="16"/>
      <c r="WDD100" s="16"/>
      <c r="WDE100" s="16"/>
      <c r="WDF100" s="16"/>
      <c r="WDG100" s="16"/>
      <c r="WDH100" s="16"/>
      <c r="WDI100" s="16"/>
      <c r="WDJ100" s="16"/>
      <c r="WDK100" s="16"/>
      <c r="WDL100" s="16"/>
      <c r="WDM100" s="16"/>
      <c r="WDN100" s="16"/>
      <c r="WDO100" s="16"/>
      <c r="WDP100" s="16"/>
      <c r="WDQ100" s="16"/>
      <c r="WDR100" s="16"/>
      <c r="WDS100" s="16"/>
      <c r="WDT100" s="16"/>
      <c r="WDU100" s="16"/>
      <c r="WDV100" s="16"/>
      <c r="WDW100" s="16"/>
      <c r="WDX100" s="16"/>
      <c r="WDY100" s="16"/>
      <c r="WDZ100" s="16"/>
      <c r="WEA100" s="16"/>
      <c r="WEB100" s="16"/>
      <c r="WEC100" s="16"/>
      <c r="WED100" s="16"/>
      <c r="WEE100" s="16"/>
      <c r="WEF100" s="16"/>
      <c r="WEG100" s="16"/>
      <c r="WEH100" s="16"/>
      <c r="WEI100" s="16"/>
      <c r="WEJ100" s="16"/>
      <c r="WEK100" s="16"/>
      <c r="WEL100" s="16"/>
      <c r="WEM100" s="16"/>
      <c r="WEN100" s="16"/>
      <c r="WEO100" s="16"/>
      <c r="WEP100" s="16"/>
      <c r="WEQ100" s="16"/>
      <c r="WER100" s="16"/>
      <c r="WES100" s="16"/>
      <c r="WET100" s="16"/>
      <c r="WEU100" s="16"/>
      <c r="WEV100" s="16"/>
      <c r="WEW100" s="16"/>
      <c r="WEX100" s="16"/>
      <c r="WEY100" s="16"/>
      <c r="WEZ100" s="16"/>
      <c r="WFA100" s="16"/>
      <c r="WFB100" s="16"/>
      <c r="WFC100" s="16"/>
      <c r="WFD100" s="16"/>
      <c r="WFE100" s="16"/>
      <c r="WFF100" s="16"/>
      <c r="WFG100" s="16"/>
      <c r="WFH100" s="16"/>
      <c r="WFI100" s="16"/>
      <c r="WFJ100" s="16"/>
      <c r="WFK100" s="16"/>
      <c r="WFL100" s="16"/>
      <c r="WFM100" s="16"/>
      <c r="WFN100" s="16"/>
      <c r="WFO100" s="16"/>
      <c r="WFP100" s="16"/>
      <c r="WFQ100" s="16"/>
      <c r="WFR100" s="16"/>
      <c r="WFS100" s="16"/>
      <c r="WFT100" s="16"/>
      <c r="WFU100" s="16"/>
      <c r="WFV100" s="16"/>
      <c r="WFW100" s="16"/>
      <c r="WFX100" s="16"/>
      <c r="WFY100" s="16"/>
      <c r="WFZ100" s="16"/>
      <c r="WGA100" s="16"/>
      <c r="WGB100" s="16"/>
      <c r="WGC100" s="16"/>
      <c r="WGD100" s="16"/>
      <c r="WGE100" s="16"/>
      <c r="WGF100" s="16"/>
      <c r="WGG100" s="16"/>
      <c r="WGH100" s="16"/>
      <c r="WGI100" s="16"/>
      <c r="WGJ100" s="16"/>
      <c r="WGK100" s="16"/>
      <c r="WGL100" s="16"/>
      <c r="WGM100" s="16"/>
      <c r="WGN100" s="16"/>
      <c r="WGO100" s="16"/>
      <c r="WGP100" s="16"/>
      <c r="WGQ100" s="16"/>
      <c r="WGR100" s="16"/>
      <c r="WGS100" s="16"/>
      <c r="WGT100" s="16"/>
      <c r="WGU100" s="16"/>
      <c r="WGV100" s="16"/>
      <c r="WGW100" s="16"/>
      <c r="WGX100" s="16"/>
      <c r="WGY100" s="16"/>
      <c r="WGZ100" s="16"/>
      <c r="WHA100" s="16"/>
      <c r="WHB100" s="16"/>
      <c r="WHC100" s="16"/>
      <c r="WHD100" s="16"/>
      <c r="WHE100" s="16"/>
      <c r="WHF100" s="16"/>
      <c r="WHG100" s="16"/>
      <c r="WHH100" s="16"/>
      <c r="WHI100" s="16"/>
      <c r="WHJ100" s="16"/>
      <c r="WHK100" s="16"/>
      <c r="WHL100" s="16"/>
      <c r="WHM100" s="16"/>
      <c r="WHN100" s="16"/>
      <c r="WHO100" s="16"/>
      <c r="WHP100" s="16"/>
      <c r="WHQ100" s="16"/>
      <c r="WHR100" s="16"/>
      <c r="WHS100" s="16"/>
      <c r="WHT100" s="16"/>
      <c r="WHU100" s="16"/>
      <c r="WHV100" s="16"/>
      <c r="WHW100" s="16"/>
      <c r="WHX100" s="16"/>
      <c r="WHY100" s="16"/>
      <c r="WHZ100" s="16"/>
      <c r="WIA100" s="16"/>
      <c r="WIB100" s="16"/>
      <c r="WIC100" s="16"/>
      <c r="WID100" s="16"/>
      <c r="WIE100" s="16"/>
      <c r="WIF100" s="16"/>
      <c r="WIG100" s="16"/>
      <c r="WIH100" s="16"/>
      <c r="WII100" s="16"/>
      <c r="WIJ100" s="16"/>
      <c r="WIK100" s="16"/>
      <c r="WIL100" s="16"/>
      <c r="WIM100" s="16"/>
      <c r="WIN100" s="16"/>
      <c r="WIO100" s="16"/>
      <c r="WIP100" s="16"/>
      <c r="WIQ100" s="16"/>
      <c r="WIR100" s="16"/>
      <c r="WIS100" s="16"/>
      <c r="WIT100" s="16"/>
      <c r="WIU100" s="16"/>
      <c r="WIV100" s="16"/>
      <c r="WIW100" s="16"/>
      <c r="WIX100" s="16"/>
      <c r="WIY100" s="16"/>
      <c r="WIZ100" s="16"/>
      <c r="WJA100" s="16"/>
      <c r="WJB100" s="16"/>
      <c r="WJC100" s="16"/>
      <c r="WJD100" s="16"/>
      <c r="WJE100" s="16"/>
      <c r="WJF100" s="16"/>
      <c r="WJG100" s="16"/>
      <c r="WJH100" s="16"/>
      <c r="WJI100" s="16"/>
      <c r="WJJ100" s="16"/>
      <c r="WJK100" s="16"/>
      <c r="WJL100" s="16"/>
      <c r="WJM100" s="16"/>
      <c r="WJN100" s="16"/>
      <c r="WJO100" s="16"/>
      <c r="WJP100" s="16"/>
      <c r="WJQ100" s="16"/>
      <c r="WJR100" s="16"/>
      <c r="WJS100" s="16"/>
      <c r="WJT100" s="16"/>
      <c r="WJU100" s="16"/>
      <c r="WJV100" s="16"/>
      <c r="WJW100" s="16"/>
      <c r="WJX100" s="16"/>
      <c r="WJY100" s="16"/>
      <c r="WJZ100" s="16"/>
      <c r="WKA100" s="16"/>
      <c r="WKB100" s="16"/>
      <c r="WKC100" s="16"/>
      <c r="WKD100" s="16"/>
      <c r="WKE100" s="16"/>
      <c r="WKF100" s="16"/>
      <c r="WKG100" s="16"/>
      <c r="WKH100" s="16"/>
      <c r="WKI100" s="16"/>
      <c r="WKJ100" s="16"/>
      <c r="WKK100" s="16"/>
      <c r="WKL100" s="16"/>
      <c r="WKM100" s="16"/>
      <c r="WKN100" s="16"/>
      <c r="WKO100" s="16"/>
      <c r="WKP100" s="16"/>
      <c r="WKQ100" s="16"/>
      <c r="WKR100" s="16"/>
      <c r="WKS100" s="16"/>
      <c r="WKT100" s="16"/>
      <c r="WKU100" s="16"/>
      <c r="WKV100" s="16"/>
      <c r="WKW100" s="16"/>
      <c r="WKX100" s="16"/>
      <c r="WKY100" s="16"/>
      <c r="WKZ100" s="16"/>
      <c r="WLA100" s="16"/>
      <c r="WLB100" s="16"/>
      <c r="WLC100" s="16"/>
      <c r="WLD100" s="16"/>
      <c r="WLE100" s="16"/>
      <c r="WLF100" s="16"/>
      <c r="WLG100" s="16"/>
      <c r="WLH100" s="16"/>
      <c r="WLI100" s="16"/>
      <c r="WLJ100" s="16"/>
      <c r="WLK100" s="16"/>
      <c r="WLL100" s="16"/>
      <c r="WLM100" s="16"/>
      <c r="WLN100" s="16"/>
      <c r="WLO100" s="16"/>
      <c r="WLP100" s="16"/>
      <c r="WLQ100" s="16"/>
      <c r="WLR100" s="16"/>
      <c r="WLS100" s="16"/>
      <c r="WLT100" s="16"/>
      <c r="WLU100" s="16"/>
      <c r="WLV100" s="16"/>
      <c r="WLW100" s="16"/>
      <c r="WLX100" s="16"/>
      <c r="WLY100" s="16"/>
      <c r="WLZ100" s="16"/>
      <c r="WMA100" s="16"/>
      <c r="WMB100" s="16"/>
      <c r="WMC100" s="16"/>
      <c r="WMD100" s="16"/>
      <c r="WME100" s="16"/>
      <c r="WMF100" s="16"/>
      <c r="WMG100" s="16"/>
      <c r="WMH100" s="16"/>
      <c r="WMI100" s="16"/>
      <c r="WMJ100" s="16"/>
      <c r="WMK100" s="16"/>
      <c r="WML100" s="16"/>
      <c r="WMM100" s="16"/>
      <c r="WMN100" s="16"/>
      <c r="WMO100" s="16"/>
      <c r="WMP100" s="16"/>
      <c r="WMQ100" s="16"/>
      <c r="WMR100" s="16"/>
      <c r="WMS100" s="16"/>
      <c r="WMT100" s="16"/>
      <c r="WMU100" s="16"/>
      <c r="WMV100" s="16"/>
      <c r="WMW100" s="16"/>
      <c r="WMX100" s="16"/>
      <c r="WMY100" s="16"/>
      <c r="WMZ100" s="16"/>
      <c r="WNA100" s="16"/>
      <c r="WNB100" s="16"/>
      <c r="WNC100" s="16"/>
      <c r="WND100" s="16"/>
      <c r="WNE100" s="16"/>
      <c r="WNF100" s="16"/>
      <c r="WNG100" s="16"/>
      <c r="WNH100" s="16"/>
      <c r="WNI100" s="16"/>
      <c r="WNJ100" s="16"/>
      <c r="WNK100" s="16"/>
      <c r="WNL100" s="16"/>
      <c r="WNM100" s="16"/>
      <c r="WNN100" s="16"/>
      <c r="WNO100" s="16"/>
      <c r="WNP100" s="16"/>
      <c r="WNQ100" s="16"/>
      <c r="WNR100" s="16"/>
      <c r="WNS100" s="16"/>
      <c r="WNT100" s="16"/>
      <c r="WNU100" s="16"/>
      <c r="WNV100" s="16"/>
      <c r="WNW100" s="16"/>
      <c r="WNX100" s="16"/>
      <c r="WNY100" s="16"/>
      <c r="WNZ100" s="16"/>
      <c r="WOA100" s="16"/>
      <c r="WOB100" s="16"/>
      <c r="WOC100" s="16"/>
      <c r="WOD100" s="16"/>
      <c r="WOE100" s="16"/>
      <c r="WOF100" s="16"/>
      <c r="WOG100" s="16"/>
      <c r="WOH100" s="16"/>
      <c r="WOI100" s="16"/>
      <c r="WOJ100" s="16"/>
      <c r="WOK100" s="16"/>
      <c r="WOL100" s="16"/>
      <c r="WOM100" s="16"/>
      <c r="WON100" s="16"/>
      <c r="WOO100" s="16"/>
      <c r="WOP100" s="16"/>
      <c r="WOQ100" s="16"/>
      <c r="WOR100" s="16"/>
      <c r="WOS100" s="16"/>
      <c r="WOT100" s="16"/>
      <c r="WOU100" s="16"/>
      <c r="WOV100" s="16"/>
      <c r="WOW100" s="16"/>
      <c r="WOX100" s="16"/>
      <c r="WOY100" s="16"/>
      <c r="WOZ100" s="16"/>
      <c r="WPA100" s="16"/>
      <c r="WPB100" s="16"/>
      <c r="WPC100" s="16"/>
      <c r="WPD100" s="16"/>
      <c r="WPE100" s="16"/>
      <c r="WPF100" s="16"/>
      <c r="WPG100" s="16"/>
      <c r="WPH100" s="16"/>
      <c r="WPI100" s="16"/>
      <c r="WPJ100" s="16"/>
      <c r="WPK100" s="16"/>
      <c r="WPL100" s="16"/>
      <c r="WPM100" s="16"/>
      <c r="WPN100" s="16"/>
      <c r="WPO100" s="16"/>
      <c r="WPP100" s="16"/>
      <c r="WPQ100" s="16"/>
      <c r="WPR100" s="16"/>
      <c r="WPS100" s="16"/>
      <c r="WPT100" s="16"/>
      <c r="WPU100" s="16"/>
      <c r="WPV100" s="16"/>
      <c r="WPW100" s="16"/>
      <c r="WPX100" s="16"/>
      <c r="WPY100" s="16"/>
      <c r="WPZ100" s="16"/>
      <c r="WQA100" s="16"/>
      <c r="WQB100" s="16"/>
      <c r="WQC100" s="16"/>
      <c r="WQD100" s="16"/>
      <c r="WQE100" s="16"/>
      <c r="WQF100" s="16"/>
      <c r="WQG100" s="16"/>
      <c r="WQH100" s="16"/>
      <c r="WQI100" s="16"/>
      <c r="WQJ100" s="16"/>
      <c r="WQK100" s="16"/>
      <c r="WQL100" s="16"/>
      <c r="WQM100" s="16"/>
      <c r="WQN100" s="16"/>
      <c r="WQO100" s="16"/>
      <c r="WQP100" s="16"/>
      <c r="WQQ100" s="16"/>
      <c r="WQR100" s="16"/>
      <c r="WQS100" s="16"/>
      <c r="WQT100" s="16"/>
      <c r="WQU100" s="16"/>
      <c r="WQV100" s="16"/>
      <c r="WQW100" s="16"/>
      <c r="WQX100" s="16"/>
      <c r="WQY100" s="16"/>
      <c r="WQZ100" s="16"/>
      <c r="WRA100" s="16"/>
      <c r="WRB100" s="16"/>
      <c r="WRC100" s="16"/>
      <c r="WRD100" s="16"/>
      <c r="WRE100" s="16"/>
      <c r="WRF100" s="16"/>
      <c r="WRG100" s="16"/>
      <c r="WRH100" s="16"/>
      <c r="WRI100" s="16"/>
      <c r="WRJ100" s="16"/>
      <c r="WRK100" s="16"/>
      <c r="WRL100" s="16"/>
      <c r="WRM100" s="16"/>
      <c r="WRN100" s="16"/>
      <c r="WRO100" s="16"/>
      <c r="WRP100" s="16"/>
      <c r="WRQ100" s="16"/>
      <c r="WRR100" s="16"/>
      <c r="WRS100" s="16"/>
      <c r="WRT100" s="16"/>
      <c r="WRU100" s="16"/>
      <c r="WRV100" s="16"/>
      <c r="WRW100" s="16"/>
      <c r="WRX100" s="16"/>
      <c r="WRY100" s="16"/>
      <c r="WRZ100" s="16"/>
      <c r="WSA100" s="16"/>
      <c r="WSB100" s="16"/>
      <c r="WSC100" s="16"/>
      <c r="WSD100" s="16"/>
      <c r="WSE100" s="16"/>
      <c r="WSF100" s="16"/>
      <c r="WSG100" s="16"/>
      <c r="WSH100" s="16"/>
      <c r="WSI100" s="16"/>
      <c r="WSJ100" s="16"/>
      <c r="WSK100" s="16"/>
      <c r="WSL100" s="16"/>
      <c r="WSM100" s="16"/>
      <c r="WSN100" s="16"/>
      <c r="WSO100" s="16"/>
      <c r="WSP100" s="16"/>
      <c r="WSQ100" s="16"/>
      <c r="WSR100" s="16"/>
      <c r="WSS100" s="16"/>
      <c r="WST100" s="16"/>
      <c r="WSU100" s="16"/>
      <c r="WSV100" s="16"/>
      <c r="WSW100" s="16"/>
      <c r="WSX100" s="16"/>
      <c r="WSY100" s="16"/>
      <c r="WSZ100" s="16"/>
      <c r="WTA100" s="16"/>
      <c r="WTB100" s="16"/>
      <c r="WTC100" s="16"/>
      <c r="WTD100" s="16"/>
      <c r="WTE100" s="16"/>
      <c r="WTF100" s="16"/>
      <c r="WTG100" s="16"/>
      <c r="WTH100" s="16"/>
      <c r="WTI100" s="16"/>
      <c r="WTJ100" s="16"/>
      <c r="WTK100" s="16"/>
      <c r="WTL100" s="16"/>
      <c r="WTM100" s="16"/>
      <c r="WTN100" s="16"/>
      <c r="WTO100" s="16"/>
      <c r="WTP100" s="16"/>
      <c r="WTQ100" s="16"/>
      <c r="WTR100" s="16"/>
      <c r="WTS100" s="16"/>
      <c r="WTT100" s="16"/>
      <c r="WTU100" s="16"/>
      <c r="WTV100" s="16"/>
      <c r="WTW100" s="16"/>
      <c r="WTX100" s="16"/>
      <c r="WTY100" s="16"/>
      <c r="WTZ100" s="16"/>
      <c r="WUA100" s="16"/>
      <c r="WUB100" s="16"/>
      <c r="WUC100" s="16"/>
      <c r="WUD100" s="16"/>
      <c r="WUE100" s="16"/>
      <c r="WUF100" s="16"/>
      <c r="WUG100" s="16"/>
      <c r="WUH100" s="16"/>
      <c r="WUI100" s="16"/>
      <c r="WUJ100" s="16"/>
      <c r="WUK100" s="16"/>
      <c r="WUL100" s="16"/>
      <c r="WUM100" s="16"/>
      <c r="WUN100" s="16"/>
      <c r="WUO100" s="16"/>
      <c r="WUP100" s="16"/>
      <c r="WUQ100" s="16"/>
      <c r="WUR100" s="16"/>
      <c r="WUS100" s="16"/>
      <c r="WUT100" s="16"/>
      <c r="WUU100" s="16"/>
      <c r="WUV100" s="16"/>
      <c r="WUW100" s="16"/>
      <c r="WUX100" s="16"/>
      <c r="WUY100" s="16"/>
      <c r="WUZ100" s="16"/>
      <c r="WVA100" s="16"/>
      <c r="WVB100" s="16"/>
      <c r="WVC100" s="16"/>
      <c r="WVD100" s="16"/>
      <c r="WVE100" s="16"/>
      <c r="WVF100" s="16"/>
      <c r="WVG100" s="16"/>
      <c r="WVH100" s="16"/>
      <c r="WVI100" s="16"/>
      <c r="WVJ100" s="16"/>
      <c r="WVK100" s="16"/>
      <c r="WVL100" s="16"/>
      <c r="WVM100" s="16"/>
      <c r="WVN100" s="16"/>
      <c r="WVO100" s="16"/>
      <c r="WVP100" s="16"/>
      <c r="WVQ100" s="16"/>
      <c r="WVR100" s="16"/>
      <c r="WVS100" s="16"/>
      <c r="WVT100" s="16"/>
      <c r="WVU100" s="16"/>
      <c r="WVV100" s="16"/>
      <c r="WVW100" s="16"/>
      <c r="WVX100" s="16"/>
      <c r="WVY100" s="16"/>
      <c r="WVZ100" s="16"/>
      <c r="WWA100" s="16"/>
      <c r="WWB100" s="16"/>
      <c r="WWC100" s="16"/>
      <c r="WWD100" s="16"/>
      <c r="WWE100" s="16"/>
      <c r="WWF100" s="16"/>
      <c r="WWG100" s="16"/>
      <c r="WWH100" s="16"/>
      <c r="WWI100" s="16"/>
      <c r="WWJ100" s="16"/>
      <c r="WWK100" s="16"/>
      <c r="WWL100" s="16"/>
      <c r="WWM100" s="16"/>
      <c r="WWN100" s="16"/>
      <c r="WWO100" s="16"/>
      <c r="WWP100" s="16"/>
      <c r="WWQ100" s="16"/>
      <c r="WWR100" s="16"/>
      <c r="WWS100" s="16"/>
      <c r="WWT100" s="16"/>
      <c r="WWU100" s="16"/>
      <c r="WWV100" s="16"/>
      <c r="WWW100" s="16"/>
      <c r="WWX100" s="16"/>
      <c r="WWY100" s="16"/>
      <c r="WWZ100" s="16"/>
      <c r="WXA100" s="16"/>
      <c r="WXB100" s="16"/>
      <c r="WXC100" s="16"/>
      <c r="WXD100" s="16"/>
      <c r="WXE100" s="16"/>
      <c r="WXF100" s="16"/>
      <c r="WXG100" s="16"/>
      <c r="WXH100" s="16"/>
      <c r="WXI100" s="16"/>
      <c r="WXJ100" s="16"/>
      <c r="WXK100" s="16"/>
      <c r="WXL100" s="16"/>
      <c r="WXM100" s="16"/>
      <c r="WXN100" s="16"/>
      <c r="WXO100" s="16"/>
      <c r="WXP100" s="16"/>
      <c r="WXQ100" s="16"/>
      <c r="WXR100" s="16"/>
      <c r="WXS100" s="16"/>
      <c r="WXT100" s="16"/>
      <c r="WXU100" s="16"/>
      <c r="WXV100" s="16"/>
      <c r="WXW100" s="16"/>
      <c r="WXX100" s="16"/>
      <c r="WXY100" s="16"/>
      <c r="WXZ100" s="16"/>
      <c r="WYA100" s="16"/>
      <c r="WYB100" s="16"/>
      <c r="WYC100" s="16"/>
      <c r="WYD100" s="16"/>
      <c r="WYE100" s="16"/>
      <c r="WYF100" s="16"/>
      <c r="WYG100" s="16"/>
      <c r="WYH100" s="16"/>
      <c r="WYI100" s="16"/>
      <c r="WYJ100" s="16"/>
      <c r="WYK100" s="16"/>
      <c r="WYL100" s="16"/>
      <c r="WYM100" s="16"/>
      <c r="WYN100" s="16"/>
      <c r="WYO100" s="16"/>
      <c r="WYP100" s="16"/>
      <c r="WYQ100" s="16"/>
      <c r="WYR100" s="16"/>
      <c r="WYS100" s="16"/>
      <c r="WYT100" s="16"/>
      <c r="WYU100" s="16"/>
      <c r="WYV100" s="16"/>
      <c r="WYW100" s="16"/>
      <c r="WYX100" s="16"/>
      <c r="WYY100" s="16"/>
      <c r="WYZ100" s="16"/>
      <c r="WZA100" s="16"/>
      <c r="WZB100" s="16"/>
      <c r="WZC100" s="16"/>
      <c r="WZD100" s="16"/>
      <c r="WZE100" s="16"/>
      <c r="WZF100" s="16"/>
      <c r="WZG100" s="16"/>
      <c r="WZH100" s="16"/>
      <c r="WZI100" s="16"/>
      <c r="WZJ100" s="16"/>
      <c r="WZK100" s="16"/>
      <c r="WZL100" s="16"/>
      <c r="WZM100" s="16"/>
      <c r="WZN100" s="16"/>
      <c r="WZO100" s="16"/>
      <c r="WZP100" s="16"/>
      <c r="WZQ100" s="16"/>
      <c r="WZR100" s="16"/>
      <c r="WZS100" s="16"/>
      <c r="WZT100" s="16"/>
      <c r="WZU100" s="16"/>
      <c r="WZV100" s="16"/>
      <c r="WZW100" s="16"/>
      <c r="WZX100" s="16"/>
      <c r="WZY100" s="16"/>
      <c r="WZZ100" s="16"/>
      <c r="XAA100" s="16"/>
      <c r="XAB100" s="16"/>
      <c r="XAC100" s="16"/>
      <c r="XAD100" s="16"/>
      <c r="XAE100" s="16"/>
      <c r="XAF100" s="16"/>
      <c r="XAG100" s="16"/>
      <c r="XAH100" s="16"/>
      <c r="XAI100" s="16"/>
      <c r="XAJ100" s="16"/>
      <c r="XAK100" s="16"/>
      <c r="XAL100" s="16"/>
      <c r="XAM100" s="16"/>
      <c r="XAN100" s="16"/>
      <c r="XAO100" s="16"/>
      <c r="XAP100" s="16"/>
      <c r="XAQ100" s="16"/>
      <c r="XAR100" s="16"/>
      <c r="XAS100" s="16"/>
      <c r="XAT100" s="16"/>
      <c r="XAU100" s="16"/>
      <c r="XAV100" s="16"/>
      <c r="XAW100" s="16"/>
      <c r="XAX100" s="16"/>
      <c r="XAY100" s="16"/>
      <c r="XAZ100" s="16"/>
      <c r="XBA100" s="16"/>
      <c r="XBB100" s="16"/>
      <c r="XBC100" s="16"/>
      <c r="XBD100" s="16"/>
      <c r="XBE100" s="16"/>
      <c r="XBF100" s="16"/>
      <c r="XBG100" s="16"/>
      <c r="XBH100" s="16"/>
      <c r="XBI100" s="16"/>
      <c r="XBJ100" s="16"/>
      <c r="XBK100" s="16"/>
      <c r="XBL100" s="16"/>
      <c r="XBM100" s="16"/>
      <c r="XBN100" s="16"/>
      <c r="XBO100" s="16"/>
      <c r="XBP100" s="16"/>
      <c r="XBQ100" s="16"/>
      <c r="XBR100" s="16"/>
      <c r="XBS100" s="16"/>
      <c r="XBT100" s="16"/>
      <c r="XBU100" s="16"/>
      <c r="XBV100" s="16"/>
      <c r="XBW100" s="16"/>
      <c r="XBX100" s="16"/>
      <c r="XBY100" s="16"/>
      <c r="XBZ100" s="16"/>
      <c r="XCA100" s="16"/>
      <c r="XCB100" s="16"/>
      <c r="XCC100" s="16"/>
      <c r="XCD100" s="16"/>
      <c r="XCE100" s="16"/>
      <c r="XCF100" s="16"/>
      <c r="XCG100" s="16"/>
      <c r="XCH100" s="16"/>
      <c r="XCI100" s="16"/>
      <c r="XCJ100" s="16"/>
      <c r="XCK100" s="16"/>
      <c r="XCL100" s="16"/>
      <c r="XCM100" s="16"/>
      <c r="XCN100" s="16"/>
      <c r="XCO100" s="16"/>
      <c r="XCP100" s="16"/>
      <c r="XCQ100" s="16"/>
      <c r="XCR100" s="16"/>
      <c r="XCS100" s="16"/>
      <c r="XCT100" s="16"/>
      <c r="XCU100" s="16"/>
      <c r="XCV100" s="16"/>
      <c r="XCW100" s="16"/>
      <c r="XCX100" s="16"/>
      <c r="XCY100" s="16"/>
      <c r="XCZ100" s="16"/>
      <c r="XDA100" s="16"/>
      <c r="XDB100" s="16"/>
      <c r="XDC100" s="16"/>
      <c r="XDD100" s="16"/>
      <c r="XDE100" s="16"/>
      <c r="XDF100" s="16"/>
      <c r="XDG100" s="16"/>
      <c r="XDH100" s="16"/>
      <c r="XDI100" s="16"/>
      <c r="XDJ100" s="16"/>
      <c r="XDK100" s="16"/>
      <c r="XDL100" s="16"/>
      <c r="XDM100" s="16"/>
      <c r="XDN100" s="16"/>
      <c r="XDO100" s="16"/>
      <c r="XDP100" s="16"/>
      <c r="XDQ100" s="16"/>
      <c r="XDR100" s="16"/>
      <c r="XDS100" s="16"/>
      <c r="XDT100" s="16"/>
      <c r="XDU100" s="16"/>
      <c r="XDV100" s="16"/>
      <c r="XDW100" s="16"/>
      <c r="XDX100" s="16"/>
      <c r="XDY100" s="16"/>
      <c r="XDZ100" s="16"/>
      <c r="XEA100" s="16"/>
      <c r="XEB100" s="16"/>
      <c r="XEC100" s="16"/>
      <c r="XED100" s="16"/>
      <c r="XEE100" s="16"/>
      <c r="XEF100" s="16"/>
      <c r="XEG100" s="16"/>
      <c r="XEH100" s="16"/>
      <c r="XEI100" s="16"/>
      <c r="XEJ100" s="16"/>
      <c r="XEK100" s="16"/>
      <c r="XEL100" s="16"/>
      <c r="XEM100" s="16"/>
      <c r="XEN100" s="16"/>
      <c r="XEO100" s="16"/>
      <c r="XEP100" s="16"/>
      <c r="XEQ100" s="16"/>
      <c r="XER100" s="16"/>
      <c r="XES100" s="16"/>
      <c r="XET100" s="16"/>
      <c r="XEU100" s="16"/>
      <c r="XEV100" s="16"/>
      <c r="XEW100" s="16"/>
      <c r="XEX100" s="16"/>
      <c r="XEY100" s="16"/>
      <c r="XEZ100" s="16"/>
      <c r="XFA100" s="16"/>
      <c r="XFB100" s="16"/>
      <c r="XFC100" s="16"/>
      <c r="XFD100" s="16"/>
    </row>
    <row r="101" spans="2:125 1104:16384" ht="15" x14ac:dyDescent="0.25">
      <c r="B101" s="514" t="s">
        <v>637</v>
      </c>
      <c r="E101" s="403"/>
      <c r="F101" s="403"/>
      <c r="G101" s="403"/>
      <c r="H101" s="403"/>
      <c r="I101" s="403"/>
      <c r="J101" s="403"/>
      <c r="K101" s="403"/>
      <c r="L101" s="403"/>
      <c r="M101" s="403"/>
      <c r="N101" s="403"/>
      <c r="O101" s="403"/>
      <c r="P101" s="486"/>
      <c r="Q101" s="344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10"/>
      <c r="AC101" s="109"/>
      <c r="AD101" s="108"/>
      <c r="AE101" s="108"/>
      <c r="AF101" s="108"/>
      <c r="AG101" s="108"/>
      <c r="AH101" s="108">
        <f t="shared" si="83"/>
        <v>0</v>
      </c>
      <c r="AI101" s="108">
        <f t="shared" si="87"/>
        <v>0</v>
      </c>
      <c r="AJ101" s="108">
        <f t="shared" si="87"/>
        <v>0</v>
      </c>
      <c r="AK101" s="108">
        <f t="shared" si="87"/>
        <v>0</v>
      </c>
      <c r="AL101" s="108">
        <f t="shared" si="87"/>
        <v>0</v>
      </c>
      <c r="AM101" s="108">
        <f t="shared" si="87"/>
        <v>0</v>
      </c>
      <c r="AN101" s="110">
        <f t="shared" si="87"/>
        <v>0</v>
      </c>
      <c r="AO101" s="109">
        <f t="shared" si="87"/>
        <v>0</v>
      </c>
      <c r="AP101" s="108">
        <f t="shared" si="87"/>
        <v>0</v>
      </c>
      <c r="AQ101" s="108">
        <f t="shared" si="87"/>
        <v>0</v>
      </c>
      <c r="AR101" s="108">
        <f t="shared" si="87"/>
        <v>0</v>
      </c>
      <c r="AS101" s="108">
        <f t="shared" si="88"/>
        <v>0</v>
      </c>
      <c r="AT101" s="108">
        <f t="shared" si="88"/>
        <v>0</v>
      </c>
      <c r="AU101" s="108">
        <f t="shared" si="88"/>
        <v>0</v>
      </c>
      <c r="AV101" s="108">
        <f t="shared" si="88"/>
        <v>0</v>
      </c>
      <c r="AW101" s="108">
        <f t="shared" si="88"/>
        <v>0</v>
      </c>
      <c r="AX101" s="108">
        <f t="shared" si="88"/>
        <v>0</v>
      </c>
      <c r="AY101" s="108">
        <f t="shared" si="88"/>
        <v>0</v>
      </c>
      <c r="AZ101" s="110">
        <f t="shared" si="88"/>
        <v>0</v>
      </c>
      <c r="BA101" s="109">
        <f t="shared" si="88"/>
        <v>0</v>
      </c>
      <c r="BB101" s="108">
        <f t="shared" si="88"/>
        <v>0</v>
      </c>
      <c r="BC101" s="108">
        <f t="shared" si="89"/>
        <v>0</v>
      </c>
      <c r="BD101" s="108">
        <f t="shared" si="89"/>
        <v>0</v>
      </c>
      <c r="BE101" s="108">
        <f t="shared" si="89"/>
        <v>0</v>
      </c>
      <c r="BF101" s="108">
        <f t="shared" si="89"/>
        <v>0</v>
      </c>
      <c r="BG101" s="108">
        <f t="shared" si="89"/>
        <v>0</v>
      </c>
      <c r="BH101" s="108">
        <f t="shared" si="89"/>
        <v>0</v>
      </c>
      <c r="BI101" s="108">
        <f t="shared" si="89"/>
        <v>0</v>
      </c>
      <c r="BJ101" s="108">
        <f t="shared" si="89"/>
        <v>0</v>
      </c>
      <c r="BK101" s="108">
        <f t="shared" si="89"/>
        <v>0</v>
      </c>
      <c r="BL101" s="110">
        <f t="shared" si="89"/>
        <v>0</v>
      </c>
      <c r="BM101" s="109">
        <f t="shared" si="90"/>
        <v>0</v>
      </c>
      <c r="BN101" s="108">
        <f t="shared" si="90"/>
        <v>0</v>
      </c>
      <c r="BO101" s="108">
        <f t="shared" si="90"/>
        <v>0</v>
      </c>
      <c r="BP101" s="108">
        <f t="shared" si="90"/>
        <v>0</v>
      </c>
      <c r="BQ101" s="108">
        <f t="shared" si="90"/>
        <v>0</v>
      </c>
      <c r="BR101" s="108">
        <f t="shared" si="90"/>
        <v>0</v>
      </c>
      <c r="BS101" s="108">
        <f t="shared" si="90"/>
        <v>0</v>
      </c>
      <c r="BT101" s="108">
        <f t="shared" si="90"/>
        <v>0</v>
      </c>
      <c r="BU101" s="108">
        <f t="shared" si="90"/>
        <v>0</v>
      </c>
      <c r="BV101" s="108">
        <f t="shared" si="90"/>
        <v>0</v>
      </c>
      <c r="BW101" s="108">
        <f t="shared" si="91"/>
        <v>0</v>
      </c>
      <c r="BX101" s="110">
        <f t="shared" si="91"/>
        <v>0</v>
      </c>
      <c r="BY101" s="109">
        <f t="shared" si="91"/>
        <v>0</v>
      </c>
      <c r="BZ101" s="108">
        <f t="shared" si="91"/>
        <v>0</v>
      </c>
      <c r="CA101" s="108">
        <f t="shared" si="91"/>
        <v>0</v>
      </c>
      <c r="CB101" s="108">
        <f t="shared" si="91"/>
        <v>0</v>
      </c>
      <c r="CC101" s="108">
        <f t="shared" si="91"/>
        <v>0</v>
      </c>
      <c r="CD101" s="108">
        <f t="shared" si="91"/>
        <v>0</v>
      </c>
      <c r="CE101" s="108">
        <f t="shared" si="91"/>
        <v>0</v>
      </c>
      <c r="CF101" s="108">
        <f t="shared" si="91"/>
        <v>0</v>
      </c>
      <c r="CG101" s="108">
        <f t="shared" si="92"/>
        <v>0</v>
      </c>
      <c r="CH101" s="108">
        <f t="shared" si="92"/>
        <v>0</v>
      </c>
      <c r="CI101" s="108">
        <f t="shared" si="92"/>
        <v>0</v>
      </c>
      <c r="CJ101" s="110">
        <f t="shared" si="92"/>
        <v>0</v>
      </c>
      <c r="CK101" s="109">
        <f t="shared" si="92"/>
        <v>0</v>
      </c>
      <c r="CL101" s="108">
        <f t="shared" si="92"/>
        <v>0</v>
      </c>
      <c r="CM101" s="108">
        <f t="shared" si="92"/>
        <v>0</v>
      </c>
      <c r="CN101" s="108">
        <f t="shared" si="92"/>
        <v>0</v>
      </c>
      <c r="CO101" s="108">
        <f t="shared" si="92"/>
        <v>0</v>
      </c>
      <c r="CP101" s="108">
        <f t="shared" si="92"/>
        <v>24.999999999999996</v>
      </c>
      <c r="CQ101" s="108">
        <f t="shared" si="93"/>
        <v>36.937499999999993</v>
      </c>
      <c r="CR101" s="108">
        <f t="shared" si="93"/>
        <v>60.639062499999994</v>
      </c>
      <c r="CS101" s="108">
        <f t="shared" si="93"/>
        <v>119.45895312499998</v>
      </c>
      <c r="CT101" s="108">
        <f t="shared" si="85"/>
        <v>188.26731012499999</v>
      </c>
      <c r="CU101" s="108">
        <f t="shared" si="82"/>
        <v>278.1649507096875</v>
      </c>
      <c r="CV101" s="110">
        <f t="shared" si="82"/>
        <v>399.57236148818646</v>
      </c>
      <c r="CW101" s="109">
        <f t="shared" si="82"/>
        <v>539.76517860461308</v>
      </c>
      <c r="CX101" s="108">
        <f t="shared" si="82"/>
        <v>3647.8380313502589</v>
      </c>
      <c r="CY101" s="108">
        <f t="shared" si="82"/>
        <v>656.25108102043055</v>
      </c>
      <c r="CZ101" s="108">
        <f t="shared" si="82"/>
        <v>722.86409397562284</v>
      </c>
      <c r="DA101" s="108">
        <f t="shared" si="82"/>
        <v>524.88737336595295</v>
      </c>
      <c r="DB101" s="108">
        <f t="shared" si="82"/>
        <v>299.09883871796393</v>
      </c>
      <c r="DC101" s="108">
        <f t="shared" si="82"/>
        <v>328.24358602559818</v>
      </c>
      <c r="DD101" s="108">
        <f t="shared" si="82"/>
        <v>399.95218481888264</v>
      </c>
      <c r="DE101" s="108">
        <f t="shared" si="82"/>
        <v>0</v>
      </c>
      <c r="DF101" s="108">
        <f t="shared" si="82"/>
        <v>0</v>
      </c>
      <c r="DG101" s="108">
        <f t="shared" si="82"/>
        <v>0</v>
      </c>
      <c r="DH101" s="110">
        <f t="shared" si="82"/>
        <v>0</v>
      </c>
      <c r="DI101" s="109">
        <f t="shared" si="82"/>
        <v>0</v>
      </c>
      <c r="DJ101" s="108">
        <f t="shared" si="82"/>
        <v>0</v>
      </c>
      <c r="DK101" s="108">
        <f t="shared" si="82"/>
        <v>0</v>
      </c>
      <c r="DL101" s="108">
        <f t="shared" si="82"/>
        <v>0</v>
      </c>
      <c r="DM101" s="108">
        <f t="shared" si="82"/>
        <v>0</v>
      </c>
      <c r="DN101" s="108">
        <f t="shared" si="82"/>
        <v>0</v>
      </c>
      <c r="DO101" s="108">
        <f t="shared" si="82"/>
        <v>0</v>
      </c>
      <c r="DP101" s="108">
        <f t="shared" si="82"/>
        <v>0</v>
      </c>
      <c r="DQ101" s="108">
        <f t="shared" si="82"/>
        <v>0</v>
      </c>
      <c r="DR101" s="108">
        <f t="shared" si="82"/>
        <v>0</v>
      </c>
      <c r="DS101" s="108">
        <f t="shared" si="82"/>
        <v>0</v>
      </c>
      <c r="DT101" s="110">
        <f t="shared" si="82"/>
        <v>0</v>
      </c>
      <c r="DU101" s="3"/>
    </row>
    <row r="102" spans="2:125 1104:16384" ht="15" x14ac:dyDescent="0.25">
      <c r="B102" s="514" t="s">
        <v>638</v>
      </c>
      <c r="E102" s="534"/>
      <c r="F102" s="534"/>
      <c r="G102" s="534"/>
      <c r="H102" s="534"/>
      <c r="I102" s="534"/>
      <c r="J102" s="534"/>
      <c r="K102" s="463"/>
      <c r="L102" s="463"/>
      <c r="M102" s="463"/>
      <c r="N102" s="463"/>
      <c r="O102" s="463"/>
      <c r="P102" s="487"/>
      <c r="Q102" s="474"/>
      <c r="R102" s="310"/>
      <c r="S102" s="310"/>
      <c r="T102" s="310"/>
      <c r="U102" s="310"/>
      <c r="V102" s="310"/>
      <c r="W102" s="310"/>
      <c r="X102" s="310"/>
      <c r="Y102" s="310"/>
      <c r="Z102" s="310"/>
      <c r="AA102" s="310"/>
      <c r="AB102" s="311"/>
      <c r="AC102" s="280"/>
      <c r="AD102" s="310"/>
      <c r="AE102" s="310"/>
      <c r="AF102" s="310"/>
      <c r="AG102" s="310"/>
      <c r="AH102" s="108">
        <f t="shared" si="83"/>
        <v>0</v>
      </c>
      <c r="AI102" s="108">
        <f t="shared" si="87"/>
        <v>0</v>
      </c>
      <c r="AJ102" s="108">
        <f t="shared" si="87"/>
        <v>0</v>
      </c>
      <c r="AK102" s="108">
        <f t="shared" si="87"/>
        <v>0</v>
      </c>
      <c r="AL102" s="108">
        <f t="shared" si="87"/>
        <v>0</v>
      </c>
      <c r="AM102" s="108">
        <f t="shared" si="87"/>
        <v>0</v>
      </c>
      <c r="AN102" s="110">
        <f t="shared" si="87"/>
        <v>0</v>
      </c>
      <c r="AO102" s="109">
        <f t="shared" si="87"/>
        <v>0</v>
      </c>
      <c r="AP102" s="108">
        <f t="shared" si="87"/>
        <v>0</v>
      </c>
      <c r="AQ102" s="108">
        <f t="shared" si="87"/>
        <v>0</v>
      </c>
      <c r="AR102" s="108">
        <f t="shared" si="87"/>
        <v>0</v>
      </c>
      <c r="AS102" s="108">
        <f t="shared" si="88"/>
        <v>0</v>
      </c>
      <c r="AT102" s="108">
        <f t="shared" si="88"/>
        <v>0</v>
      </c>
      <c r="AU102" s="108">
        <f t="shared" si="88"/>
        <v>0</v>
      </c>
      <c r="AV102" s="108">
        <f t="shared" si="88"/>
        <v>0</v>
      </c>
      <c r="AW102" s="108">
        <f t="shared" si="88"/>
        <v>0</v>
      </c>
      <c r="AX102" s="108">
        <f t="shared" si="88"/>
        <v>0</v>
      </c>
      <c r="AY102" s="108">
        <f t="shared" si="88"/>
        <v>0</v>
      </c>
      <c r="AZ102" s="110">
        <f t="shared" si="88"/>
        <v>0</v>
      </c>
      <c r="BA102" s="109">
        <f t="shared" si="88"/>
        <v>0</v>
      </c>
      <c r="BB102" s="108">
        <f t="shared" si="88"/>
        <v>0</v>
      </c>
      <c r="BC102" s="108">
        <f t="shared" si="89"/>
        <v>0</v>
      </c>
      <c r="BD102" s="108">
        <f t="shared" si="89"/>
        <v>0</v>
      </c>
      <c r="BE102" s="108">
        <f t="shared" si="89"/>
        <v>0</v>
      </c>
      <c r="BF102" s="108">
        <f t="shared" si="89"/>
        <v>0</v>
      </c>
      <c r="BG102" s="108">
        <f t="shared" si="89"/>
        <v>0</v>
      </c>
      <c r="BH102" s="108">
        <f t="shared" si="89"/>
        <v>0</v>
      </c>
      <c r="BI102" s="108">
        <f t="shared" si="89"/>
        <v>0</v>
      </c>
      <c r="BJ102" s="108">
        <f t="shared" si="89"/>
        <v>0</v>
      </c>
      <c r="BK102" s="108">
        <f t="shared" si="89"/>
        <v>0</v>
      </c>
      <c r="BL102" s="110">
        <f t="shared" si="89"/>
        <v>0</v>
      </c>
      <c r="BM102" s="109">
        <f t="shared" si="90"/>
        <v>0</v>
      </c>
      <c r="BN102" s="108">
        <f t="shared" si="90"/>
        <v>0</v>
      </c>
      <c r="BO102" s="108">
        <f t="shared" si="90"/>
        <v>0</v>
      </c>
      <c r="BP102" s="108">
        <f t="shared" si="90"/>
        <v>0</v>
      </c>
      <c r="BQ102" s="108">
        <f t="shared" si="90"/>
        <v>0</v>
      </c>
      <c r="BR102" s="108">
        <f t="shared" si="90"/>
        <v>0</v>
      </c>
      <c r="BS102" s="108">
        <f t="shared" si="90"/>
        <v>0</v>
      </c>
      <c r="BT102" s="108">
        <f t="shared" si="90"/>
        <v>0</v>
      </c>
      <c r="BU102" s="108">
        <f t="shared" si="90"/>
        <v>0</v>
      </c>
      <c r="BV102" s="108">
        <f t="shared" si="90"/>
        <v>0</v>
      </c>
      <c r="BW102" s="108">
        <f t="shared" si="91"/>
        <v>0</v>
      </c>
      <c r="BX102" s="110">
        <f t="shared" si="91"/>
        <v>0</v>
      </c>
      <c r="BY102" s="109">
        <f t="shared" si="91"/>
        <v>0</v>
      </c>
      <c r="BZ102" s="108">
        <f t="shared" si="91"/>
        <v>0</v>
      </c>
      <c r="CA102" s="108">
        <f t="shared" si="91"/>
        <v>0</v>
      </c>
      <c r="CB102" s="108">
        <f t="shared" si="91"/>
        <v>0</v>
      </c>
      <c r="CC102" s="108">
        <f t="shared" si="91"/>
        <v>0</v>
      </c>
      <c r="CD102" s="108">
        <f t="shared" si="91"/>
        <v>0</v>
      </c>
      <c r="CE102" s="108">
        <f t="shared" si="91"/>
        <v>0</v>
      </c>
      <c r="CF102" s="108">
        <f t="shared" si="91"/>
        <v>0</v>
      </c>
      <c r="CG102" s="108">
        <f t="shared" si="92"/>
        <v>0</v>
      </c>
      <c r="CH102" s="108">
        <f t="shared" si="92"/>
        <v>0</v>
      </c>
      <c r="CI102" s="108">
        <f t="shared" si="92"/>
        <v>0</v>
      </c>
      <c r="CJ102" s="110">
        <f t="shared" si="92"/>
        <v>0</v>
      </c>
      <c r="CK102" s="109">
        <f t="shared" si="92"/>
        <v>0</v>
      </c>
      <c r="CL102" s="108">
        <f t="shared" si="92"/>
        <v>0</v>
      </c>
      <c r="CM102" s="108">
        <f t="shared" si="92"/>
        <v>0</v>
      </c>
      <c r="CN102" s="108">
        <f t="shared" si="92"/>
        <v>0</v>
      </c>
      <c r="CO102" s="108">
        <f t="shared" si="92"/>
        <v>0</v>
      </c>
      <c r="CP102" s="108">
        <f t="shared" si="92"/>
        <v>0</v>
      </c>
      <c r="CQ102" s="108">
        <f t="shared" si="93"/>
        <v>0</v>
      </c>
      <c r="CR102" s="108">
        <f t="shared" si="93"/>
        <v>0</v>
      </c>
      <c r="CS102" s="108">
        <f t="shared" si="93"/>
        <v>0</v>
      </c>
      <c r="CT102" s="108">
        <f t="shared" si="85"/>
        <v>0</v>
      </c>
      <c r="CU102" s="108">
        <f t="shared" si="82"/>
        <v>0</v>
      </c>
      <c r="CV102" s="110">
        <f t="shared" si="82"/>
        <v>0</v>
      </c>
      <c r="CW102" s="109">
        <f t="shared" si="82"/>
        <v>0</v>
      </c>
      <c r="CX102" s="108">
        <f t="shared" si="82"/>
        <v>0</v>
      </c>
      <c r="CY102" s="108">
        <f t="shared" si="82"/>
        <v>0</v>
      </c>
      <c r="CZ102" s="108">
        <f t="shared" si="82"/>
        <v>0</v>
      </c>
      <c r="DA102" s="108">
        <f t="shared" si="82"/>
        <v>0</v>
      </c>
      <c r="DB102" s="108">
        <f t="shared" si="82"/>
        <v>24.999999999999996</v>
      </c>
      <c r="DC102" s="108">
        <f t="shared" si="82"/>
        <v>36.937499999999993</v>
      </c>
      <c r="DD102" s="108">
        <f t="shared" si="82"/>
        <v>60.639062499999994</v>
      </c>
      <c r="DE102" s="108">
        <f t="shared" si="82"/>
        <v>119.45895312499998</v>
      </c>
      <c r="DF102" s="108">
        <f t="shared" si="82"/>
        <v>188.26731012499999</v>
      </c>
      <c r="DG102" s="108">
        <f t="shared" si="82"/>
        <v>278.1649507096875</v>
      </c>
      <c r="DH102" s="110">
        <f t="shared" si="82"/>
        <v>399.57236148818646</v>
      </c>
      <c r="DI102" s="109">
        <f t="shared" si="82"/>
        <v>539.76517860461308</v>
      </c>
      <c r="DJ102" s="108">
        <f t="shared" si="82"/>
        <v>3647.8380313502589</v>
      </c>
      <c r="DK102" s="108">
        <f t="shared" si="82"/>
        <v>656.25108102043055</v>
      </c>
      <c r="DL102" s="108">
        <f t="shared" si="82"/>
        <v>722.86409397562284</v>
      </c>
      <c r="DM102" s="108">
        <f t="shared" si="82"/>
        <v>524.88737336595295</v>
      </c>
      <c r="DN102" s="108">
        <f t="shared" si="82"/>
        <v>299.09883871796393</v>
      </c>
      <c r="DO102" s="108">
        <f t="shared" si="82"/>
        <v>328.24358602559818</v>
      </c>
      <c r="DP102" s="108">
        <f t="shared" si="82"/>
        <v>399.95218481888264</v>
      </c>
      <c r="DQ102" s="108">
        <f t="shared" si="82"/>
        <v>0</v>
      </c>
      <c r="DR102" s="108">
        <f t="shared" si="82"/>
        <v>0</v>
      </c>
      <c r="DS102" s="108">
        <f t="shared" si="82"/>
        <v>0</v>
      </c>
      <c r="DT102" s="110">
        <f t="shared" si="82"/>
        <v>0</v>
      </c>
      <c r="DU102" s="3"/>
    </row>
    <row r="103" spans="2:125 1104:16384" ht="15" x14ac:dyDescent="0.25">
      <c r="B103" s="514" t="s">
        <v>639</v>
      </c>
      <c r="E103" s="534"/>
      <c r="F103" s="534"/>
      <c r="G103" s="534"/>
      <c r="H103" s="534"/>
      <c r="I103" s="534"/>
      <c r="J103" s="534"/>
      <c r="K103" s="403"/>
      <c r="L103" s="403"/>
      <c r="M103" s="403"/>
      <c r="N103" s="403"/>
      <c r="O103" s="403"/>
      <c r="P103" s="486"/>
      <c r="Q103" s="344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10"/>
      <c r="AC103" s="109"/>
      <c r="AD103" s="108"/>
      <c r="AE103" s="108"/>
      <c r="AF103" s="108"/>
      <c r="AG103" s="108"/>
      <c r="AH103" s="108">
        <f t="shared" si="83"/>
        <v>0</v>
      </c>
      <c r="AI103" s="108">
        <f t="shared" si="87"/>
        <v>0</v>
      </c>
      <c r="AJ103" s="108">
        <f t="shared" si="87"/>
        <v>0</v>
      </c>
      <c r="AK103" s="108">
        <f t="shared" si="87"/>
        <v>0</v>
      </c>
      <c r="AL103" s="108">
        <f t="shared" si="87"/>
        <v>0</v>
      </c>
      <c r="AM103" s="108">
        <f t="shared" si="87"/>
        <v>0</v>
      </c>
      <c r="AN103" s="110">
        <f t="shared" si="87"/>
        <v>0</v>
      </c>
      <c r="AO103" s="109">
        <f t="shared" si="87"/>
        <v>0</v>
      </c>
      <c r="AP103" s="108">
        <f t="shared" si="87"/>
        <v>0</v>
      </c>
      <c r="AQ103" s="108">
        <f t="shared" si="87"/>
        <v>0</v>
      </c>
      <c r="AR103" s="108">
        <f t="shared" si="87"/>
        <v>0</v>
      </c>
      <c r="AS103" s="108">
        <f t="shared" si="88"/>
        <v>0</v>
      </c>
      <c r="AT103" s="108">
        <f t="shared" si="88"/>
        <v>0</v>
      </c>
      <c r="AU103" s="108">
        <f t="shared" si="88"/>
        <v>0</v>
      </c>
      <c r="AV103" s="108">
        <f t="shared" si="88"/>
        <v>0</v>
      </c>
      <c r="AW103" s="108">
        <f t="shared" si="88"/>
        <v>0</v>
      </c>
      <c r="AX103" s="108">
        <f t="shared" si="88"/>
        <v>0</v>
      </c>
      <c r="AY103" s="108">
        <f t="shared" si="88"/>
        <v>0</v>
      </c>
      <c r="AZ103" s="110">
        <f t="shared" si="88"/>
        <v>0</v>
      </c>
      <c r="BA103" s="109">
        <f t="shared" si="88"/>
        <v>0</v>
      </c>
      <c r="BB103" s="108">
        <f t="shared" si="88"/>
        <v>0</v>
      </c>
      <c r="BC103" s="108">
        <f t="shared" si="89"/>
        <v>0</v>
      </c>
      <c r="BD103" s="108">
        <f t="shared" si="89"/>
        <v>0</v>
      </c>
      <c r="BE103" s="108">
        <f t="shared" si="89"/>
        <v>0</v>
      </c>
      <c r="BF103" s="108">
        <f t="shared" si="89"/>
        <v>0</v>
      </c>
      <c r="BG103" s="108">
        <f t="shared" si="89"/>
        <v>0</v>
      </c>
      <c r="BH103" s="108">
        <f t="shared" si="89"/>
        <v>0</v>
      </c>
      <c r="BI103" s="108">
        <f t="shared" si="89"/>
        <v>0</v>
      </c>
      <c r="BJ103" s="108">
        <f t="shared" si="89"/>
        <v>0</v>
      </c>
      <c r="BK103" s="108">
        <f t="shared" si="89"/>
        <v>0</v>
      </c>
      <c r="BL103" s="110">
        <f t="shared" si="89"/>
        <v>0</v>
      </c>
      <c r="BM103" s="109">
        <f t="shared" si="90"/>
        <v>0</v>
      </c>
      <c r="BN103" s="108">
        <f t="shared" si="90"/>
        <v>0</v>
      </c>
      <c r="BO103" s="108">
        <f t="shared" si="90"/>
        <v>0</v>
      </c>
      <c r="BP103" s="108">
        <f t="shared" si="90"/>
        <v>0</v>
      </c>
      <c r="BQ103" s="108">
        <f t="shared" si="90"/>
        <v>0</v>
      </c>
      <c r="BR103" s="108">
        <f t="shared" si="90"/>
        <v>0</v>
      </c>
      <c r="BS103" s="108">
        <f t="shared" si="90"/>
        <v>0</v>
      </c>
      <c r="BT103" s="108">
        <f t="shared" si="90"/>
        <v>0</v>
      </c>
      <c r="BU103" s="108">
        <f t="shared" si="90"/>
        <v>0</v>
      </c>
      <c r="BV103" s="108">
        <f t="shared" si="90"/>
        <v>0</v>
      </c>
      <c r="BW103" s="108">
        <f t="shared" si="91"/>
        <v>0</v>
      </c>
      <c r="BX103" s="110">
        <f t="shared" si="91"/>
        <v>0</v>
      </c>
      <c r="BY103" s="109">
        <f t="shared" si="91"/>
        <v>0</v>
      </c>
      <c r="BZ103" s="108">
        <f t="shared" si="91"/>
        <v>0</v>
      </c>
      <c r="CA103" s="108">
        <f t="shared" si="91"/>
        <v>0</v>
      </c>
      <c r="CB103" s="108">
        <f t="shared" si="91"/>
        <v>0</v>
      </c>
      <c r="CC103" s="108">
        <f t="shared" si="91"/>
        <v>0</v>
      </c>
      <c r="CD103" s="108">
        <f t="shared" si="91"/>
        <v>0</v>
      </c>
      <c r="CE103" s="108">
        <f t="shared" si="91"/>
        <v>0</v>
      </c>
      <c r="CF103" s="108">
        <f t="shared" si="91"/>
        <v>0</v>
      </c>
      <c r="CG103" s="108">
        <f t="shared" si="92"/>
        <v>0</v>
      </c>
      <c r="CH103" s="108">
        <f t="shared" si="92"/>
        <v>0</v>
      </c>
      <c r="CI103" s="108">
        <f t="shared" si="92"/>
        <v>0</v>
      </c>
      <c r="CJ103" s="110">
        <f t="shared" si="92"/>
        <v>0</v>
      </c>
      <c r="CK103" s="109">
        <f t="shared" si="92"/>
        <v>0</v>
      </c>
      <c r="CL103" s="108">
        <f t="shared" si="92"/>
        <v>0</v>
      </c>
      <c r="CM103" s="108">
        <f t="shared" si="92"/>
        <v>0</v>
      </c>
      <c r="CN103" s="108">
        <f t="shared" si="92"/>
        <v>0</v>
      </c>
      <c r="CO103" s="108">
        <f t="shared" si="92"/>
        <v>0</v>
      </c>
      <c r="CP103" s="108">
        <f t="shared" si="92"/>
        <v>0</v>
      </c>
      <c r="CQ103" s="108">
        <f t="shared" si="93"/>
        <v>0</v>
      </c>
      <c r="CR103" s="108">
        <f t="shared" si="93"/>
        <v>0</v>
      </c>
      <c r="CS103" s="108">
        <f t="shared" si="93"/>
        <v>0</v>
      </c>
      <c r="CT103" s="108">
        <f t="shared" si="85"/>
        <v>0</v>
      </c>
      <c r="CU103" s="108">
        <f t="shared" si="82"/>
        <v>0</v>
      </c>
      <c r="CV103" s="110">
        <f t="shared" si="82"/>
        <v>0</v>
      </c>
      <c r="CW103" s="109">
        <f t="shared" si="82"/>
        <v>0</v>
      </c>
      <c r="CX103" s="108">
        <f t="shared" si="82"/>
        <v>0</v>
      </c>
      <c r="CY103" s="108">
        <f t="shared" si="82"/>
        <v>0</v>
      </c>
      <c r="CZ103" s="108">
        <f t="shared" si="82"/>
        <v>0</v>
      </c>
      <c r="DA103" s="108">
        <f t="shared" si="82"/>
        <v>0</v>
      </c>
      <c r="DB103" s="108">
        <f t="shared" si="82"/>
        <v>0</v>
      </c>
      <c r="DC103" s="108">
        <f t="shared" si="82"/>
        <v>0</v>
      </c>
      <c r="DD103" s="108">
        <f t="shared" si="82"/>
        <v>0</v>
      </c>
      <c r="DE103" s="108">
        <f t="shared" si="82"/>
        <v>0</v>
      </c>
      <c r="DF103" s="108">
        <f t="shared" si="82"/>
        <v>0</v>
      </c>
      <c r="DG103" s="108">
        <f t="shared" si="82"/>
        <v>0</v>
      </c>
      <c r="DH103" s="110">
        <f t="shared" si="82"/>
        <v>0</v>
      </c>
      <c r="DI103" s="109">
        <f t="shared" si="82"/>
        <v>0</v>
      </c>
      <c r="DJ103" s="108">
        <f t="shared" si="82"/>
        <v>0</v>
      </c>
      <c r="DK103" s="108">
        <f t="shared" si="82"/>
        <v>0</v>
      </c>
      <c r="DL103" s="108">
        <f t="shared" si="82"/>
        <v>0</v>
      </c>
      <c r="DM103" s="108">
        <f t="shared" si="82"/>
        <v>0</v>
      </c>
      <c r="DN103" s="108">
        <f t="shared" si="82"/>
        <v>24.999999999999996</v>
      </c>
      <c r="DO103" s="108">
        <f t="shared" si="82"/>
        <v>36.937499999999993</v>
      </c>
      <c r="DP103" s="108">
        <f t="shared" si="82"/>
        <v>60.639062499999994</v>
      </c>
      <c r="DQ103" s="108">
        <f t="shared" si="82"/>
        <v>119.45895312499998</v>
      </c>
      <c r="DR103" s="108">
        <f t="shared" si="82"/>
        <v>188.26731012499999</v>
      </c>
      <c r="DS103" s="108">
        <f t="shared" si="82"/>
        <v>278.1649507096875</v>
      </c>
      <c r="DT103" s="110">
        <f t="shared" si="82"/>
        <v>399.57236148818646</v>
      </c>
      <c r="DU103" s="3"/>
    </row>
    <row r="104" spans="2:125 1104:16384" ht="15" x14ac:dyDescent="0.25">
      <c r="B104" s="514" t="s">
        <v>640</v>
      </c>
      <c r="E104" s="406"/>
      <c r="F104" s="406"/>
      <c r="G104" s="406"/>
      <c r="H104" s="406"/>
      <c r="I104" s="406"/>
      <c r="J104" s="406"/>
      <c r="K104" s="406"/>
      <c r="L104" s="406"/>
      <c r="M104" s="406"/>
      <c r="N104" s="406"/>
      <c r="O104" s="406"/>
      <c r="P104" s="488"/>
      <c r="Q104" s="792"/>
      <c r="R104" s="312"/>
      <c r="S104" s="312"/>
      <c r="T104" s="312"/>
      <c r="U104" s="312"/>
      <c r="V104" s="312"/>
      <c r="W104" s="312"/>
      <c r="X104" s="312"/>
      <c r="Y104" s="312"/>
      <c r="Z104" s="312"/>
      <c r="AA104" s="312"/>
      <c r="AB104" s="313"/>
      <c r="AC104" s="312"/>
      <c r="AD104" s="312"/>
      <c r="AE104" s="312"/>
      <c r="AF104" s="312"/>
      <c r="AG104" s="312"/>
      <c r="AH104" s="108">
        <f t="shared" si="83"/>
        <v>0</v>
      </c>
      <c r="AI104" s="108">
        <f t="shared" si="87"/>
        <v>0</v>
      </c>
      <c r="AJ104" s="108">
        <f t="shared" si="87"/>
        <v>0</v>
      </c>
      <c r="AK104" s="108">
        <f t="shared" si="87"/>
        <v>0</v>
      </c>
      <c r="AL104" s="108">
        <f t="shared" si="87"/>
        <v>0</v>
      </c>
      <c r="AM104" s="108">
        <f t="shared" si="87"/>
        <v>0</v>
      </c>
      <c r="AN104" s="110">
        <f t="shared" si="87"/>
        <v>0</v>
      </c>
      <c r="AO104" s="109">
        <f t="shared" si="87"/>
        <v>0</v>
      </c>
      <c r="AP104" s="108">
        <f t="shared" si="87"/>
        <v>0</v>
      </c>
      <c r="AQ104" s="108">
        <f t="shared" si="87"/>
        <v>0</v>
      </c>
      <c r="AR104" s="108">
        <f t="shared" si="87"/>
        <v>0</v>
      </c>
      <c r="AS104" s="108">
        <f t="shared" si="88"/>
        <v>0</v>
      </c>
      <c r="AT104" s="108">
        <f t="shared" si="88"/>
        <v>0</v>
      </c>
      <c r="AU104" s="108">
        <f t="shared" si="88"/>
        <v>0</v>
      </c>
      <c r="AV104" s="108">
        <f t="shared" si="88"/>
        <v>0</v>
      </c>
      <c r="AW104" s="108">
        <f t="shared" si="88"/>
        <v>0</v>
      </c>
      <c r="AX104" s="108">
        <f t="shared" si="88"/>
        <v>0</v>
      </c>
      <c r="AY104" s="108">
        <f t="shared" si="88"/>
        <v>0</v>
      </c>
      <c r="AZ104" s="110">
        <f t="shared" si="88"/>
        <v>0</v>
      </c>
      <c r="BA104" s="109">
        <f t="shared" si="88"/>
        <v>0</v>
      </c>
      <c r="BB104" s="108">
        <f t="shared" si="88"/>
        <v>0</v>
      </c>
      <c r="BC104" s="108">
        <f t="shared" si="89"/>
        <v>0</v>
      </c>
      <c r="BD104" s="108">
        <f t="shared" si="89"/>
        <v>0</v>
      </c>
      <c r="BE104" s="108">
        <f t="shared" si="89"/>
        <v>0</v>
      </c>
      <c r="BF104" s="108">
        <f t="shared" si="89"/>
        <v>0</v>
      </c>
      <c r="BG104" s="108">
        <f t="shared" si="89"/>
        <v>0</v>
      </c>
      <c r="BH104" s="108">
        <f t="shared" si="89"/>
        <v>0</v>
      </c>
      <c r="BI104" s="108">
        <f t="shared" si="89"/>
        <v>0</v>
      </c>
      <c r="BJ104" s="108">
        <f t="shared" si="89"/>
        <v>0</v>
      </c>
      <c r="BK104" s="108">
        <f t="shared" si="89"/>
        <v>0</v>
      </c>
      <c r="BL104" s="110">
        <f t="shared" si="89"/>
        <v>0</v>
      </c>
      <c r="BM104" s="109">
        <f t="shared" si="90"/>
        <v>0</v>
      </c>
      <c r="BN104" s="108">
        <f t="shared" si="90"/>
        <v>0</v>
      </c>
      <c r="BO104" s="108">
        <f t="shared" si="90"/>
        <v>0</v>
      </c>
      <c r="BP104" s="108">
        <f t="shared" si="90"/>
        <v>0</v>
      </c>
      <c r="BQ104" s="108">
        <f t="shared" si="90"/>
        <v>0</v>
      </c>
      <c r="BR104" s="108">
        <f t="shared" si="90"/>
        <v>0</v>
      </c>
      <c r="BS104" s="108">
        <f t="shared" si="90"/>
        <v>0</v>
      </c>
      <c r="BT104" s="108">
        <f t="shared" si="90"/>
        <v>0</v>
      </c>
      <c r="BU104" s="108">
        <f t="shared" si="90"/>
        <v>0</v>
      </c>
      <c r="BV104" s="108">
        <f t="shared" si="90"/>
        <v>0</v>
      </c>
      <c r="BW104" s="108">
        <f t="shared" si="91"/>
        <v>0</v>
      </c>
      <c r="BX104" s="110">
        <f t="shared" si="91"/>
        <v>0</v>
      </c>
      <c r="BY104" s="109">
        <f t="shared" si="91"/>
        <v>0</v>
      </c>
      <c r="BZ104" s="108">
        <f t="shared" si="91"/>
        <v>0</v>
      </c>
      <c r="CA104" s="108">
        <f t="shared" si="91"/>
        <v>0</v>
      </c>
      <c r="CB104" s="108">
        <f t="shared" si="91"/>
        <v>0</v>
      </c>
      <c r="CC104" s="108">
        <f t="shared" si="91"/>
        <v>0</v>
      </c>
      <c r="CD104" s="108">
        <f t="shared" si="91"/>
        <v>0</v>
      </c>
      <c r="CE104" s="108">
        <f t="shared" si="91"/>
        <v>0</v>
      </c>
      <c r="CF104" s="108">
        <f t="shared" si="91"/>
        <v>0</v>
      </c>
      <c r="CG104" s="108">
        <f t="shared" si="92"/>
        <v>0</v>
      </c>
      <c r="CH104" s="108">
        <f t="shared" si="92"/>
        <v>0</v>
      </c>
      <c r="CI104" s="108">
        <f t="shared" si="92"/>
        <v>0</v>
      </c>
      <c r="CJ104" s="110">
        <f t="shared" si="92"/>
        <v>0</v>
      </c>
      <c r="CK104" s="109">
        <f t="shared" si="92"/>
        <v>0</v>
      </c>
      <c r="CL104" s="108">
        <f t="shared" si="92"/>
        <v>0</v>
      </c>
      <c r="CM104" s="108">
        <f t="shared" si="92"/>
        <v>0</v>
      </c>
      <c r="CN104" s="108">
        <f t="shared" si="92"/>
        <v>0</v>
      </c>
      <c r="CO104" s="108">
        <f t="shared" si="92"/>
        <v>0</v>
      </c>
      <c r="CP104" s="108">
        <f t="shared" si="92"/>
        <v>0</v>
      </c>
      <c r="CQ104" s="108">
        <f t="shared" si="93"/>
        <v>0</v>
      </c>
      <c r="CR104" s="108">
        <f t="shared" si="93"/>
        <v>0</v>
      </c>
      <c r="CS104" s="108">
        <f t="shared" si="93"/>
        <v>0</v>
      </c>
      <c r="CT104" s="108">
        <f t="shared" si="85"/>
        <v>0</v>
      </c>
      <c r="CU104" s="108">
        <f t="shared" si="82"/>
        <v>0</v>
      </c>
      <c r="CV104" s="110">
        <f t="shared" si="82"/>
        <v>0</v>
      </c>
      <c r="CW104" s="109">
        <f t="shared" si="82"/>
        <v>0</v>
      </c>
      <c r="CX104" s="108">
        <f t="shared" si="82"/>
        <v>0</v>
      </c>
      <c r="CY104" s="108">
        <f t="shared" si="82"/>
        <v>0</v>
      </c>
      <c r="CZ104" s="108">
        <f t="shared" si="82"/>
        <v>0</v>
      </c>
      <c r="DA104" s="108">
        <f t="shared" si="82"/>
        <v>0</v>
      </c>
      <c r="DB104" s="108">
        <f t="shared" si="82"/>
        <v>0</v>
      </c>
      <c r="DC104" s="108">
        <f t="shared" si="82"/>
        <v>0</v>
      </c>
      <c r="DD104" s="108">
        <f t="shared" si="82"/>
        <v>0</v>
      </c>
      <c r="DE104" s="108">
        <f t="shared" si="82"/>
        <v>0</v>
      </c>
      <c r="DF104" s="108">
        <f t="shared" si="82"/>
        <v>0</v>
      </c>
      <c r="DG104" s="108">
        <f t="shared" si="82"/>
        <v>0</v>
      </c>
      <c r="DH104" s="110">
        <f t="shared" si="82"/>
        <v>0</v>
      </c>
      <c r="DI104" s="109">
        <f t="shared" si="82"/>
        <v>0</v>
      </c>
      <c r="DJ104" s="108">
        <f t="shared" si="82"/>
        <v>0</v>
      </c>
      <c r="DK104" s="108">
        <f t="shared" si="82"/>
        <v>0</v>
      </c>
      <c r="DL104" s="108">
        <f t="shared" si="82"/>
        <v>0</v>
      </c>
      <c r="DM104" s="108">
        <f t="shared" si="82"/>
        <v>0</v>
      </c>
      <c r="DN104" s="108">
        <f t="shared" si="82"/>
        <v>0</v>
      </c>
      <c r="DO104" s="108">
        <f t="shared" si="82"/>
        <v>0</v>
      </c>
      <c r="DP104" s="108">
        <f t="shared" si="82"/>
        <v>0</v>
      </c>
      <c r="DQ104" s="108">
        <f t="shared" si="82"/>
        <v>0</v>
      </c>
      <c r="DR104" s="108">
        <f t="shared" si="82"/>
        <v>0</v>
      </c>
      <c r="DS104" s="108">
        <f t="shared" si="82"/>
        <v>0</v>
      </c>
      <c r="DT104" s="110">
        <f t="shared" si="82"/>
        <v>0</v>
      </c>
      <c r="DU104" s="3"/>
    </row>
    <row r="105" spans="2:125 1104:16384" ht="19.5" thickBot="1" x14ac:dyDescent="0.35">
      <c r="B105" s="161" t="s">
        <v>652</v>
      </c>
      <c r="E105" s="527"/>
      <c r="F105" s="527"/>
      <c r="G105" s="527"/>
      <c r="H105" s="527"/>
      <c r="I105" s="527"/>
      <c r="J105" s="527"/>
      <c r="K105" s="527">
        <f>SUM(K94:K104)</f>
        <v>0</v>
      </c>
      <c r="L105" s="527">
        <f>SUM(L94:L104)</f>
        <v>0</v>
      </c>
      <c r="M105" s="527">
        <f>SUM(M94:M104)</f>
        <v>0</v>
      </c>
      <c r="N105" s="527">
        <f>SUM(N94:N104)</f>
        <v>0</v>
      </c>
      <c r="O105" s="527">
        <f t="shared" ref="O105:AT105" si="94">SUM(O99:O104)</f>
        <v>0</v>
      </c>
      <c r="P105" s="752">
        <f t="shared" si="94"/>
        <v>0</v>
      </c>
      <c r="Q105" s="793">
        <f t="shared" si="94"/>
        <v>0</v>
      </c>
      <c r="R105" s="391">
        <f t="shared" si="94"/>
        <v>0</v>
      </c>
      <c r="S105" s="391">
        <f t="shared" si="94"/>
        <v>0</v>
      </c>
      <c r="T105" s="391">
        <f t="shared" si="94"/>
        <v>0</v>
      </c>
      <c r="U105" s="391">
        <f t="shared" si="94"/>
        <v>0</v>
      </c>
      <c r="V105" s="391">
        <f t="shared" si="94"/>
        <v>0</v>
      </c>
      <c r="W105" s="391">
        <f t="shared" si="94"/>
        <v>0</v>
      </c>
      <c r="X105" s="391">
        <f t="shared" si="94"/>
        <v>0</v>
      </c>
      <c r="Y105" s="391">
        <f t="shared" si="94"/>
        <v>0</v>
      </c>
      <c r="Z105" s="391">
        <f t="shared" si="94"/>
        <v>0</v>
      </c>
      <c r="AA105" s="391">
        <f t="shared" si="94"/>
        <v>0</v>
      </c>
      <c r="AB105" s="757">
        <f t="shared" si="94"/>
        <v>0</v>
      </c>
      <c r="AC105" s="391">
        <f t="shared" si="94"/>
        <v>0</v>
      </c>
      <c r="AD105" s="391">
        <f t="shared" si="94"/>
        <v>0</v>
      </c>
      <c r="AE105" s="391">
        <f t="shared" si="94"/>
        <v>0</v>
      </c>
      <c r="AF105" s="391">
        <f t="shared" si="94"/>
        <v>0</v>
      </c>
      <c r="AG105" s="391">
        <f t="shared" si="94"/>
        <v>0</v>
      </c>
      <c r="AH105" s="391">
        <f t="shared" si="94"/>
        <v>0</v>
      </c>
      <c r="AI105" s="391">
        <f t="shared" si="94"/>
        <v>0</v>
      </c>
      <c r="AJ105" s="391">
        <f t="shared" si="94"/>
        <v>0</v>
      </c>
      <c r="AK105" s="391">
        <f t="shared" si="94"/>
        <v>0</v>
      </c>
      <c r="AL105" s="391">
        <f t="shared" si="94"/>
        <v>0</v>
      </c>
      <c r="AM105" s="391">
        <f t="shared" si="94"/>
        <v>0</v>
      </c>
      <c r="AN105" s="757">
        <f t="shared" si="94"/>
        <v>0</v>
      </c>
      <c r="AO105" s="391">
        <f t="shared" si="94"/>
        <v>0</v>
      </c>
      <c r="AP105" s="391">
        <f t="shared" si="94"/>
        <v>0</v>
      </c>
      <c r="AQ105" s="391">
        <f t="shared" si="94"/>
        <v>0</v>
      </c>
      <c r="AR105" s="391">
        <f t="shared" si="94"/>
        <v>0</v>
      </c>
      <c r="AS105" s="391">
        <f t="shared" si="94"/>
        <v>0</v>
      </c>
      <c r="AT105" s="391">
        <f t="shared" si="94"/>
        <v>0</v>
      </c>
      <c r="AU105" s="391">
        <f t="shared" ref="AU105:BZ105" si="95">SUM(AU99:AU104)</f>
        <v>0</v>
      </c>
      <c r="AV105" s="391">
        <f t="shared" si="95"/>
        <v>0</v>
      </c>
      <c r="AW105" s="391">
        <f t="shared" si="95"/>
        <v>0</v>
      </c>
      <c r="AX105" s="391">
        <f t="shared" si="95"/>
        <v>0</v>
      </c>
      <c r="AY105" s="391">
        <f t="shared" si="95"/>
        <v>0</v>
      </c>
      <c r="AZ105" s="757">
        <f t="shared" si="95"/>
        <v>0</v>
      </c>
      <c r="BA105" s="391">
        <f t="shared" si="95"/>
        <v>0</v>
      </c>
      <c r="BB105" s="391">
        <f t="shared" si="95"/>
        <v>0</v>
      </c>
      <c r="BC105" s="391">
        <f t="shared" si="95"/>
        <v>0</v>
      </c>
      <c r="BD105" s="391">
        <f t="shared" si="95"/>
        <v>0</v>
      </c>
      <c r="BE105" s="391">
        <f t="shared" si="95"/>
        <v>0</v>
      </c>
      <c r="BF105" s="391">
        <f t="shared" si="95"/>
        <v>0</v>
      </c>
      <c r="BG105" s="391">
        <f t="shared" si="95"/>
        <v>0</v>
      </c>
      <c r="BH105" s="391">
        <f t="shared" si="95"/>
        <v>0</v>
      </c>
      <c r="BI105" s="391">
        <f t="shared" si="95"/>
        <v>0</v>
      </c>
      <c r="BJ105" s="391">
        <f t="shared" si="95"/>
        <v>0</v>
      </c>
      <c r="BK105" s="391">
        <f t="shared" si="95"/>
        <v>0</v>
      </c>
      <c r="BL105" s="757">
        <f t="shared" si="95"/>
        <v>0</v>
      </c>
      <c r="BM105" s="391">
        <f t="shared" si="95"/>
        <v>0</v>
      </c>
      <c r="BN105" s="391">
        <f t="shared" si="95"/>
        <v>0</v>
      </c>
      <c r="BO105" s="391">
        <f t="shared" si="95"/>
        <v>0</v>
      </c>
      <c r="BP105" s="391">
        <f t="shared" si="95"/>
        <v>0</v>
      </c>
      <c r="BQ105" s="391">
        <f t="shared" si="95"/>
        <v>0</v>
      </c>
      <c r="BR105" s="391">
        <f t="shared" si="95"/>
        <v>24.999999999999996</v>
      </c>
      <c r="BS105" s="391">
        <f t="shared" si="95"/>
        <v>36.937499999999993</v>
      </c>
      <c r="BT105" s="391">
        <f t="shared" si="95"/>
        <v>60.639062499999994</v>
      </c>
      <c r="BU105" s="391">
        <f t="shared" si="95"/>
        <v>119.45895312499998</v>
      </c>
      <c r="BV105" s="391">
        <f t="shared" si="95"/>
        <v>188.26731012499999</v>
      </c>
      <c r="BW105" s="391">
        <f t="shared" si="95"/>
        <v>278.1649507096875</v>
      </c>
      <c r="BX105" s="757">
        <f t="shared" si="95"/>
        <v>399.57236148818646</v>
      </c>
      <c r="BY105" s="391">
        <f t="shared" si="95"/>
        <v>539.76517860461308</v>
      </c>
      <c r="BZ105" s="391">
        <f t="shared" si="95"/>
        <v>3647.8380313502589</v>
      </c>
      <c r="CA105" s="391">
        <f t="shared" ref="CA105:DF105" si="96">SUM(CA99:CA104)</f>
        <v>656.25108102043055</v>
      </c>
      <c r="CB105" s="391">
        <f t="shared" si="96"/>
        <v>722.86409397562284</v>
      </c>
      <c r="CC105" s="391">
        <f t="shared" si="96"/>
        <v>524.88737336595295</v>
      </c>
      <c r="CD105" s="391">
        <f t="shared" si="96"/>
        <v>324.09883871796393</v>
      </c>
      <c r="CE105" s="391">
        <f t="shared" si="96"/>
        <v>365.18108602559818</v>
      </c>
      <c r="CF105" s="391">
        <f t="shared" si="96"/>
        <v>460.59124731888267</v>
      </c>
      <c r="CG105" s="391">
        <f t="shared" si="96"/>
        <v>119.45895312499998</v>
      </c>
      <c r="CH105" s="391">
        <f t="shared" si="96"/>
        <v>188.26731012499999</v>
      </c>
      <c r="CI105" s="391">
        <f t="shared" si="96"/>
        <v>278.1649507096875</v>
      </c>
      <c r="CJ105" s="757">
        <f t="shared" si="96"/>
        <v>399.57236148818646</v>
      </c>
      <c r="CK105" s="391">
        <f t="shared" si="96"/>
        <v>539.76517860461308</v>
      </c>
      <c r="CL105" s="391">
        <f t="shared" si="96"/>
        <v>3647.8380313502589</v>
      </c>
      <c r="CM105" s="391">
        <f t="shared" si="96"/>
        <v>656.25108102043055</v>
      </c>
      <c r="CN105" s="391">
        <f t="shared" si="96"/>
        <v>722.86409397562284</v>
      </c>
      <c r="CO105" s="391">
        <f t="shared" si="96"/>
        <v>524.88737336595295</v>
      </c>
      <c r="CP105" s="391">
        <f t="shared" si="96"/>
        <v>324.09883871796393</v>
      </c>
      <c r="CQ105" s="391">
        <f t="shared" si="96"/>
        <v>365.18108602559818</v>
      </c>
      <c r="CR105" s="391">
        <f t="shared" si="96"/>
        <v>460.59124731888267</v>
      </c>
      <c r="CS105" s="391">
        <f t="shared" si="96"/>
        <v>119.45895312499998</v>
      </c>
      <c r="CT105" s="391">
        <f t="shared" si="96"/>
        <v>188.26731012499999</v>
      </c>
      <c r="CU105" s="391">
        <f t="shared" si="96"/>
        <v>278.1649507096875</v>
      </c>
      <c r="CV105" s="757">
        <f t="shared" si="96"/>
        <v>399.57236148818646</v>
      </c>
      <c r="CW105" s="391">
        <f t="shared" si="96"/>
        <v>539.76517860461308</v>
      </c>
      <c r="CX105" s="391">
        <f t="shared" si="96"/>
        <v>3647.8380313502589</v>
      </c>
      <c r="CY105" s="391">
        <f t="shared" si="96"/>
        <v>656.25108102043055</v>
      </c>
      <c r="CZ105" s="391">
        <f t="shared" si="96"/>
        <v>722.86409397562284</v>
      </c>
      <c r="DA105" s="391">
        <f t="shared" si="96"/>
        <v>524.88737336595295</v>
      </c>
      <c r="DB105" s="391">
        <f t="shared" si="96"/>
        <v>324.09883871796393</v>
      </c>
      <c r="DC105" s="391">
        <f t="shared" si="96"/>
        <v>365.18108602559818</v>
      </c>
      <c r="DD105" s="391">
        <f t="shared" si="96"/>
        <v>460.59124731888267</v>
      </c>
      <c r="DE105" s="391">
        <f t="shared" si="96"/>
        <v>119.45895312499998</v>
      </c>
      <c r="DF105" s="391">
        <f t="shared" si="96"/>
        <v>188.26731012499999</v>
      </c>
      <c r="DG105" s="391">
        <f t="shared" ref="DG105:DT105" si="97">SUM(DG99:DG104)</f>
        <v>278.1649507096875</v>
      </c>
      <c r="DH105" s="757">
        <f t="shared" si="97"/>
        <v>399.57236148818646</v>
      </c>
      <c r="DI105" s="391">
        <f t="shared" si="97"/>
        <v>539.76517860461308</v>
      </c>
      <c r="DJ105" s="391">
        <f t="shared" si="97"/>
        <v>3647.8380313502589</v>
      </c>
      <c r="DK105" s="391">
        <f t="shared" si="97"/>
        <v>656.25108102043055</v>
      </c>
      <c r="DL105" s="391">
        <f t="shared" si="97"/>
        <v>722.86409397562284</v>
      </c>
      <c r="DM105" s="391">
        <f t="shared" si="97"/>
        <v>524.88737336595295</v>
      </c>
      <c r="DN105" s="391">
        <f t="shared" si="97"/>
        <v>324.09883871796393</v>
      </c>
      <c r="DO105" s="391">
        <f t="shared" si="97"/>
        <v>365.18108602559818</v>
      </c>
      <c r="DP105" s="391">
        <f t="shared" si="97"/>
        <v>460.59124731888267</v>
      </c>
      <c r="DQ105" s="391">
        <f t="shared" si="97"/>
        <v>119.45895312499998</v>
      </c>
      <c r="DR105" s="391">
        <f t="shared" si="97"/>
        <v>188.26731012499999</v>
      </c>
      <c r="DS105" s="391">
        <f t="shared" si="97"/>
        <v>278.1649507096875</v>
      </c>
      <c r="DT105" s="757">
        <f t="shared" si="97"/>
        <v>399.57236148818646</v>
      </c>
      <c r="DU105" s="3"/>
    </row>
    <row r="106" spans="2:125 1104:16384" ht="15.75" thickBot="1" x14ac:dyDescent="0.3">
      <c r="B106" s="163"/>
      <c r="C106" s="85"/>
      <c r="D106" s="7"/>
      <c r="E106" s="537"/>
      <c r="F106" s="537"/>
      <c r="G106" s="537"/>
      <c r="H106" s="537"/>
      <c r="I106" s="537"/>
      <c r="J106" s="537"/>
      <c r="K106" s="537"/>
      <c r="L106" s="537"/>
      <c r="M106" s="537"/>
      <c r="N106" s="537"/>
      <c r="O106" s="537"/>
      <c r="P106" s="753"/>
      <c r="Q106" s="897"/>
      <c r="R106" s="898"/>
      <c r="S106" s="898"/>
      <c r="T106" s="898"/>
      <c r="U106" s="898"/>
      <c r="V106" s="898"/>
      <c r="W106" s="898"/>
      <c r="X106" s="898"/>
      <c r="Y106" s="898"/>
      <c r="Z106" s="898"/>
      <c r="AA106" s="898"/>
      <c r="AB106" s="899"/>
      <c r="AC106" s="392"/>
      <c r="AD106" s="392"/>
      <c r="AE106" s="392"/>
      <c r="AF106" s="392"/>
      <c r="AG106" s="392"/>
      <c r="AH106" s="392"/>
      <c r="AI106" s="392"/>
      <c r="AJ106" s="392"/>
      <c r="AK106" s="392"/>
      <c r="AL106" s="392"/>
      <c r="AM106" s="392"/>
      <c r="AN106" s="755"/>
      <c r="AO106" s="392"/>
      <c r="AP106" s="392"/>
      <c r="AQ106" s="392"/>
      <c r="AR106" s="392"/>
      <c r="AS106" s="392"/>
      <c r="AT106" s="392"/>
      <c r="AU106" s="392"/>
      <c r="AV106" s="392"/>
      <c r="AW106" s="392"/>
      <c r="AX106" s="392"/>
      <c r="AY106" s="392"/>
      <c r="AZ106" s="755"/>
      <c r="BA106" s="392"/>
      <c r="BB106" s="392"/>
      <c r="BC106" s="392"/>
      <c r="BD106" s="392"/>
      <c r="BE106" s="392"/>
      <c r="BF106" s="392"/>
      <c r="BG106" s="392"/>
      <c r="BH106" s="392"/>
      <c r="BI106" s="392"/>
      <c r="BJ106" s="392"/>
      <c r="BK106" s="392"/>
      <c r="BL106" s="755"/>
      <c r="BM106" s="392"/>
      <c r="BN106" s="392"/>
      <c r="BO106" s="392"/>
      <c r="BP106" s="392"/>
      <c r="BQ106" s="392"/>
      <c r="BR106" s="392"/>
      <c r="BS106" s="392"/>
      <c r="BT106" s="392"/>
      <c r="BU106" s="392"/>
      <c r="BV106" s="392"/>
      <c r="BW106" s="392"/>
      <c r="BX106" s="755"/>
      <c r="BY106" s="392"/>
      <c r="BZ106" s="392"/>
      <c r="CA106" s="392"/>
      <c r="CB106" s="392"/>
      <c r="CC106" s="392"/>
      <c r="CD106" s="392"/>
      <c r="CE106" s="392"/>
      <c r="CF106" s="392"/>
      <c r="CG106" s="392"/>
      <c r="CH106" s="392"/>
      <c r="CI106" s="392"/>
      <c r="CJ106" s="755"/>
      <c r="CK106" s="392"/>
      <c r="CL106" s="392"/>
      <c r="CM106" s="392"/>
      <c r="CN106" s="392"/>
      <c r="CO106" s="392"/>
      <c r="CP106" s="392"/>
      <c r="CQ106" s="392"/>
      <c r="CR106" s="392"/>
      <c r="CS106" s="392"/>
      <c r="CT106" s="392"/>
      <c r="CU106" s="392"/>
      <c r="CV106" s="755"/>
      <c r="CW106" s="393"/>
      <c r="CX106" s="392"/>
      <c r="CY106" s="392"/>
      <c r="CZ106" s="392"/>
      <c r="DA106" s="392"/>
      <c r="DB106" s="392"/>
      <c r="DC106" s="392"/>
      <c r="DD106" s="392"/>
      <c r="DE106" s="392"/>
      <c r="DF106" s="392"/>
      <c r="DG106" s="392"/>
      <c r="DH106" s="755"/>
      <c r="DI106" s="392"/>
      <c r="DJ106" s="392"/>
      <c r="DK106" s="392"/>
      <c r="DL106" s="392"/>
      <c r="DM106" s="392"/>
      <c r="DN106" s="392"/>
      <c r="DO106" s="392"/>
      <c r="DP106" s="392"/>
      <c r="DQ106" s="392"/>
      <c r="DR106" s="392"/>
      <c r="DS106" s="392"/>
      <c r="DT106" s="755"/>
      <c r="DU106" s="3"/>
    </row>
    <row r="107" spans="2:125 1104:16384" ht="18.75" x14ac:dyDescent="0.3">
      <c r="B107" s="161" t="s">
        <v>653</v>
      </c>
      <c r="C107" s="85"/>
      <c r="D107" s="7"/>
      <c r="E107" s="537"/>
      <c r="F107" s="537"/>
      <c r="G107" s="537"/>
      <c r="H107" s="537"/>
      <c r="I107" s="537"/>
      <c r="J107" s="537"/>
      <c r="K107" s="537"/>
      <c r="L107" s="537"/>
      <c r="M107" s="537"/>
      <c r="N107" s="537"/>
      <c r="O107" s="537"/>
      <c r="P107" s="753"/>
      <c r="Q107" s="797"/>
      <c r="R107" s="784"/>
      <c r="S107" s="784"/>
      <c r="T107" s="784"/>
      <c r="U107" s="784"/>
      <c r="V107" s="784"/>
      <c r="W107" s="784"/>
      <c r="X107" s="784"/>
      <c r="Y107" s="784"/>
      <c r="Z107" s="784"/>
      <c r="AA107" s="784"/>
      <c r="AB107" s="785"/>
      <c r="AC107" s="392"/>
      <c r="AD107" s="392"/>
      <c r="AE107" s="392"/>
      <c r="AF107" s="392"/>
      <c r="AG107" s="392"/>
      <c r="AH107" s="392"/>
      <c r="AI107" s="392"/>
      <c r="AJ107" s="392"/>
      <c r="AK107" s="392"/>
      <c r="AL107" s="392"/>
      <c r="AM107" s="392"/>
      <c r="AN107" s="755"/>
      <c r="AO107" s="392"/>
      <c r="AP107" s="392"/>
      <c r="AQ107" s="392"/>
      <c r="AR107" s="392"/>
      <c r="AS107" s="392"/>
      <c r="AT107" s="392"/>
      <c r="AU107" s="392"/>
      <c r="AV107" s="392"/>
      <c r="AW107" s="392"/>
      <c r="AX107" s="392"/>
      <c r="AY107" s="392"/>
      <c r="AZ107" s="755"/>
      <c r="BA107" s="392"/>
      <c r="BB107" s="392"/>
      <c r="BC107" s="392"/>
      <c r="BD107" s="392"/>
      <c r="BE107" s="392"/>
      <c r="BF107" s="392"/>
      <c r="BG107" s="392"/>
      <c r="BH107" s="392"/>
      <c r="BI107" s="392"/>
      <c r="BJ107" s="392"/>
      <c r="BK107" s="392"/>
      <c r="BL107" s="755"/>
      <c r="BM107" s="392"/>
      <c r="BN107" s="392"/>
      <c r="BO107" s="392"/>
      <c r="BP107" s="392"/>
      <c r="BQ107" s="392"/>
      <c r="BR107" s="392"/>
      <c r="BS107" s="392"/>
      <c r="BT107" s="392"/>
      <c r="BU107" s="392"/>
      <c r="BV107" s="392"/>
      <c r="BW107" s="392"/>
      <c r="BX107" s="755"/>
      <c r="BY107" s="392"/>
      <c r="BZ107" s="392"/>
      <c r="CA107" s="392"/>
      <c r="CB107" s="392"/>
      <c r="CC107" s="392"/>
      <c r="CD107" s="392"/>
      <c r="CE107" s="392"/>
      <c r="CF107" s="392"/>
      <c r="CG107" s="392"/>
      <c r="CH107" s="392"/>
      <c r="CI107" s="392"/>
      <c r="CJ107" s="755"/>
      <c r="CK107" s="392"/>
      <c r="CL107" s="392"/>
      <c r="CM107" s="392"/>
      <c r="CN107" s="392"/>
      <c r="CO107" s="392"/>
      <c r="CP107" s="392"/>
      <c r="CQ107" s="392"/>
      <c r="CR107" s="392"/>
      <c r="CS107" s="392"/>
      <c r="CT107" s="392"/>
      <c r="CU107" s="392"/>
      <c r="CV107" s="755"/>
      <c r="CW107" s="393"/>
      <c r="CX107" s="392"/>
      <c r="CY107" s="392"/>
      <c r="CZ107" s="392"/>
      <c r="DA107" s="392"/>
      <c r="DB107" s="392"/>
      <c r="DC107" s="392"/>
      <c r="DD107" s="392"/>
      <c r="DE107" s="392"/>
      <c r="DF107" s="392"/>
      <c r="DG107" s="392"/>
      <c r="DH107" s="755"/>
      <c r="DI107" s="392"/>
      <c r="DJ107" s="392"/>
      <c r="DK107" s="392"/>
      <c r="DL107" s="392"/>
      <c r="DM107" s="392"/>
      <c r="DN107" s="392"/>
      <c r="DO107" s="392"/>
      <c r="DP107" s="392"/>
      <c r="DQ107" s="392"/>
      <c r="DR107" s="392"/>
      <c r="DS107" s="392"/>
      <c r="DT107" s="755"/>
      <c r="DU107" s="3"/>
    </row>
    <row r="108" spans="2:125 1104:16384" ht="15" x14ac:dyDescent="0.25">
      <c r="B108" s="529" t="s">
        <v>384</v>
      </c>
      <c r="C108" s="503">
        <v>1.5</v>
      </c>
      <c r="D108" s="530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249"/>
      <c r="P108" s="754">
        <v>0</v>
      </c>
      <c r="Q108" s="790"/>
      <c r="R108" s="790"/>
      <c r="S108" s="790"/>
      <c r="T108" s="790"/>
      <c r="U108" s="790"/>
      <c r="V108" s="790"/>
      <c r="W108" s="790"/>
      <c r="X108" s="790"/>
      <c r="Y108" s="790"/>
      <c r="Z108" s="790"/>
      <c r="AA108" s="790"/>
      <c r="AB108" s="798"/>
      <c r="AC108" s="522"/>
      <c r="AD108" s="790"/>
      <c r="AE108" s="790"/>
      <c r="AF108" s="790"/>
      <c r="AG108" s="790"/>
      <c r="AH108" s="790"/>
      <c r="AI108" s="790"/>
      <c r="AJ108" s="790"/>
      <c r="AK108" s="790"/>
      <c r="AL108" s="790"/>
      <c r="AM108" s="790"/>
      <c r="AN108" s="798"/>
      <c r="AO108" s="522"/>
      <c r="AP108" s="790">
        <f>'Batch1 - S0 Smolts'!D64</f>
        <v>250.8</v>
      </c>
      <c r="AQ108" s="790">
        <f>'Batch1 - S0 Smolts'!E64</f>
        <v>275.209</v>
      </c>
      <c r="AR108" s="790">
        <f>'Batch1 - S0 Smolts'!F64</f>
        <v>459.10061999999999</v>
      </c>
      <c r="AS108" s="790">
        <f>'Batch1 - S0 Smolts'!G64</f>
        <v>719.9942013000001</v>
      </c>
      <c r="AT108" s="790">
        <f>'Batch1 - S0 Smolts'!H64</f>
        <v>1091.2690872270002</v>
      </c>
      <c r="AU108" s="790">
        <f>'Batch1 - S0 Smolts'!I64</f>
        <v>1552.8822190378203</v>
      </c>
      <c r="AV108" s="790">
        <f>'Batch1 - S0 Smolts'!J64</f>
        <v>2095.8289605815662</v>
      </c>
      <c r="AW108" s="790">
        <f>'Batch1 - S0 Smolts'!K64</f>
        <v>2662.4446662963178</v>
      </c>
      <c r="AX108" s="790">
        <f>'Batch1 - S0 Smolts'!L64</f>
        <v>3195.300833302656</v>
      </c>
      <c r="AY108" s="790">
        <f>'Batch1 - S0 Smolts'!M64</f>
        <v>3685.2402284570335</v>
      </c>
      <c r="AZ108" s="798">
        <f>'Batch1 - S0 Smolts'!N64</f>
        <v>4165.061305624994</v>
      </c>
      <c r="BA108" s="522">
        <f>'Batch1 - S0 Smolts'!O64</f>
        <v>4525.1688636602803</v>
      </c>
      <c r="BB108" s="790">
        <f>'Batch1 - S0 Smolts'!P64</f>
        <v>5056.1559801263338</v>
      </c>
      <c r="BC108" s="790">
        <f>'Batch1 - S0 Smolts'!Q64</f>
        <v>5831.5367076388766</v>
      </c>
      <c r="BD108" s="790">
        <f>'Batch1 - S0 Smolts'!R64</f>
        <v>6794.3741270849032</v>
      </c>
      <c r="BE108" s="790">
        <f>'Batch1 - S0 Smolts'!S64</f>
        <v>4599.8491769728289</v>
      </c>
      <c r="BF108" s="790">
        <f>'Batch1 - S0 Smolts'!T64</f>
        <v>1364.4389480830243</v>
      </c>
      <c r="BG108" s="790">
        <f>'Batch1 - S0 Smolts'!U64</f>
        <v>0</v>
      </c>
      <c r="BH108" s="790">
        <f>'Batch1 - S0 Smolts'!V64</f>
        <v>0</v>
      </c>
      <c r="BI108" s="790">
        <f>'Batch1 - S0 Smolts'!W64</f>
        <v>0</v>
      </c>
      <c r="BJ108" s="790"/>
      <c r="BK108" s="790"/>
      <c r="BL108" s="798"/>
      <c r="BM108" s="522"/>
      <c r="BN108" s="790"/>
      <c r="BO108" s="790"/>
      <c r="BP108" s="790"/>
      <c r="BQ108" s="790"/>
      <c r="BR108" s="790"/>
      <c r="BS108" s="790"/>
      <c r="BT108" s="790"/>
      <c r="BU108" s="790"/>
      <c r="BV108" s="790"/>
      <c r="BW108" s="790"/>
      <c r="BX108" s="798"/>
      <c r="BY108" s="522"/>
      <c r="BZ108" s="790"/>
      <c r="CA108" s="790"/>
      <c r="CB108" s="790"/>
      <c r="CC108" s="790"/>
      <c r="CD108" s="790"/>
      <c r="CE108" s="790"/>
      <c r="CF108" s="790"/>
      <c r="CG108" s="790"/>
      <c r="CH108" s="790"/>
      <c r="CI108" s="790"/>
      <c r="CJ108" s="798"/>
      <c r="CK108" s="522"/>
      <c r="CL108" s="790"/>
      <c r="CM108" s="790"/>
      <c r="CN108" s="790"/>
      <c r="CO108" s="790"/>
      <c r="CP108" s="790"/>
      <c r="CQ108" s="790"/>
      <c r="CR108" s="790"/>
      <c r="CS108" s="790"/>
      <c r="CT108" s="790"/>
      <c r="CU108" s="790"/>
      <c r="CV108" s="798"/>
      <c r="CW108" s="522"/>
      <c r="CX108" s="790"/>
      <c r="CY108" s="790"/>
      <c r="CZ108" s="790"/>
      <c r="DA108" s="790"/>
      <c r="DB108" s="790"/>
      <c r="DC108" s="790"/>
      <c r="DD108" s="790"/>
      <c r="DE108" s="790"/>
      <c r="DF108" s="790"/>
      <c r="DG108" s="790"/>
      <c r="DH108" s="798"/>
      <c r="DI108" s="522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8"/>
      <c r="DU108" s="3"/>
    </row>
    <row r="109" spans="2:125 1104:16384" ht="15" x14ac:dyDescent="0.25">
      <c r="B109" s="529" t="s">
        <v>385</v>
      </c>
      <c r="C109" s="538">
        <v>1.5</v>
      </c>
      <c r="D109" s="530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532"/>
      <c r="Q109" s="792"/>
      <c r="R109" s="312"/>
      <c r="S109" s="312"/>
      <c r="T109" s="312"/>
      <c r="U109" s="312"/>
      <c r="V109" s="312"/>
      <c r="W109" s="312"/>
      <c r="X109" s="312"/>
      <c r="Y109" s="312"/>
      <c r="Z109" s="312"/>
      <c r="AA109" s="312"/>
      <c r="AB109" s="313"/>
      <c r="AC109" s="312"/>
      <c r="AD109" s="312"/>
      <c r="AE109" s="312"/>
      <c r="AF109" s="312"/>
      <c r="AG109" s="312"/>
      <c r="AH109" s="312"/>
      <c r="AI109" s="312"/>
      <c r="AJ109" s="312"/>
      <c r="AK109" s="312"/>
      <c r="AL109" s="312"/>
      <c r="AM109" s="312"/>
      <c r="AN109" s="313"/>
      <c r="AO109" s="312"/>
      <c r="AP109" s="312"/>
      <c r="AQ109" s="312"/>
      <c r="AR109" s="312"/>
      <c r="AS109" s="312">
        <f>'Batch2 - S0 Smolts'!D64</f>
        <v>253</v>
      </c>
      <c r="AT109" s="312">
        <f>'Batch2 - S0 Smolts'!E64</f>
        <v>426.88799999999998</v>
      </c>
      <c r="AU109" s="312">
        <f>'Batch2 - S0 Smolts'!F64</f>
        <v>698.61527999999998</v>
      </c>
      <c r="AV109" s="312">
        <f>'Batch2 - S0 Smolts'!G64</f>
        <v>1043.8476642000001</v>
      </c>
      <c r="AW109" s="312">
        <f>'Batch2 - S0 Smolts'!H64</f>
        <v>1458.1847431800002</v>
      </c>
      <c r="AX109" s="312">
        <f>'Batch2 - S0 Smolts'!I64</f>
        <v>1868.3150520335403</v>
      </c>
      <c r="AY109" s="312">
        <f>'Batch2 - S0 Smolts'!J64</f>
        <v>2257.6693982635984</v>
      </c>
      <c r="AZ109" s="313">
        <f>'Batch2 - S0 Smolts'!K64</f>
        <v>2663.6563512485964</v>
      </c>
      <c r="BA109" s="312">
        <f>'Batch2 - S0 Smolts'!L64</f>
        <v>2971.9761118134452</v>
      </c>
      <c r="BB109" s="312">
        <f>'Batch2 - S0 Smolts'!M64</f>
        <v>3470.8174300893452</v>
      </c>
      <c r="BC109" s="312">
        <f>'Batch2 - S0 Smolts'!N64</f>
        <v>3132.0560021704914</v>
      </c>
      <c r="BD109" s="312">
        <f>'Batch2 - S0 Smolts'!O64</f>
        <v>2829.4690533568123</v>
      </c>
      <c r="BE109" s="312">
        <f>'Batch2 - S0 Smolts'!P64</f>
        <v>3338.3112593117157</v>
      </c>
      <c r="BF109" s="312">
        <f>'Batch2 - S0 Smolts'!Q64</f>
        <v>3899.2543245390775</v>
      </c>
      <c r="BG109" s="312">
        <f>'Batch2 - S0 Smolts'!R64</f>
        <v>4618.4321449779236</v>
      </c>
      <c r="BH109" s="312">
        <f>'Batch2 - S0 Smolts'!S64</f>
        <v>3058.9079849560208</v>
      </c>
      <c r="BI109" s="312">
        <f>'Batch2 - S0 Smolts'!T64</f>
        <v>806.09425540749658</v>
      </c>
      <c r="BJ109" s="312">
        <f>'Batch2 - S0 Smolts'!U64</f>
        <v>0</v>
      </c>
      <c r="BK109" s="312"/>
      <c r="BL109" s="313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3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3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2"/>
      <c r="CX109" s="312"/>
      <c r="CY109" s="312"/>
      <c r="CZ109" s="312"/>
      <c r="DA109" s="312"/>
      <c r="DB109" s="312"/>
      <c r="DC109" s="312"/>
      <c r="DD109" s="312"/>
      <c r="DE109" s="312"/>
      <c r="DF109" s="312"/>
      <c r="DG109" s="312"/>
      <c r="DH109" s="313"/>
      <c r="DI109" s="312"/>
      <c r="DJ109" s="312"/>
      <c r="DK109" s="312"/>
      <c r="DL109" s="312"/>
      <c r="DM109" s="312"/>
      <c r="DN109" s="312"/>
      <c r="DO109" s="312"/>
      <c r="DP109" s="312"/>
      <c r="DQ109" s="312"/>
      <c r="DR109" s="312"/>
      <c r="DS109" s="312"/>
      <c r="DT109" s="313"/>
      <c r="DU109" s="3"/>
    </row>
    <row r="110" spans="2:125 1104:16384" ht="15" x14ac:dyDescent="0.25">
      <c r="B110" s="529" t="s">
        <v>386</v>
      </c>
      <c r="C110" s="538">
        <v>1.5</v>
      </c>
      <c r="D110" s="530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532"/>
      <c r="Q110" s="792"/>
      <c r="R110" s="312"/>
      <c r="S110" s="312"/>
      <c r="T110" s="312"/>
      <c r="U110" s="312"/>
      <c r="V110" s="312"/>
      <c r="W110" s="312"/>
      <c r="X110" s="312"/>
      <c r="Y110" s="312"/>
      <c r="Z110" s="312"/>
      <c r="AA110" s="312"/>
      <c r="AB110" s="313"/>
      <c r="AC110" s="312"/>
      <c r="AD110" s="312"/>
      <c r="AE110" s="312"/>
      <c r="AF110" s="312"/>
      <c r="AG110" s="312"/>
      <c r="AH110" s="312"/>
      <c r="AI110" s="312"/>
      <c r="AJ110" s="312"/>
      <c r="AK110" s="312"/>
      <c r="AL110" s="312"/>
      <c r="AM110" s="312"/>
      <c r="AN110" s="313"/>
      <c r="AO110" s="312"/>
      <c r="AP110" s="312"/>
      <c r="AQ110" s="312"/>
      <c r="AR110" s="312"/>
      <c r="AS110" s="312"/>
      <c r="AT110" s="312"/>
      <c r="AU110" s="312"/>
      <c r="AV110" s="312">
        <f>'Batch 3 - S1 Smolts'!D64</f>
        <v>395.95266297069389</v>
      </c>
      <c r="AW110" s="312">
        <f>'Batch 3 - S1 Smolts'!E64</f>
        <v>628.07991163726331</v>
      </c>
      <c r="AX110" s="312">
        <f>'Batch 3 - S1 Smolts'!F64</f>
        <v>888.59944094297475</v>
      </c>
      <c r="AY110" s="312">
        <f>'Batch 3 - S1 Smolts'!G64</f>
        <v>1152.577418783404</v>
      </c>
      <c r="AZ110" s="313">
        <f>'Batch 3 - S1 Smolts'!H64</f>
        <v>1445.7642996864322</v>
      </c>
      <c r="BA110" s="312">
        <f>'Batch 3 - S1 Smolts'!I64</f>
        <v>1683.764333056338</v>
      </c>
      <c r="BB110" s="312">
        <f>'Batch 3 - S1 Smolts'!J64</f>
        <v>2054.5348018221111</v>
      </c>
      <c r="BC110" s="312">
        <f>'Batch 3 - S1 Smolts'!K64</f>
        <v>2339.3949930561889</v>
      </c>
      <c r="BD110" s="312">
        <f>'Batch 3 - S1 Smolts'!L64</f>
        <v>2749.7976392594628</v>
      </c>
      <c r="BE110" s="312">
        <f>'Batch 3 - S1 Smolts'!M64</f>
        <v>3413.2555260472327</v>
      </c>
      <c r="BF110" s="312">
        <f>'Batch 3 - S1 Smolts'!N64</f>
        <v>4135.5203267779571</v>
      </c>
      <c r="BG110" s="312">
        <f>'Batch 3 - S1 Smolts'!O64</f>
        <v>4908.1144522398354</v>
      </c>
      <c r="BH110" s="312">
        <f>'Batch 3 - S1 Smolts'!P64</f>
        <v>5689.0174382230689</v>
      </c>
      <c r="BI110" s="312">
        <f>'Batch 3 - S1 Smolts'!Q64</f>
        <v>6552.7327684403172</v>
      </c>
      <c r="BJ110" s="312">
        <f>'Batch 3 - S1 Smolts'!R64</f>
        <v>7311.7297261405238</v>
      </c>
      <c r="BK110" s="312">
        <f>'Batch 3 - S1 Smolts'!S64</f>
        <v>5657.8650116020563</v>
      </c>
      <c r="BL110" s="313">
        <f>'Batch 3 - S1 Smolts'!T64</f>
        <v>3443.8516003074433</v>
      </c>
      <c r="BM110" s="312">
        <f>'Batch 3 - S1 Smolts'!U64</f>
        <v>1064.1764749895408</v>
      </c>
      <c r="BN110" s="312">
        <f>'Batch 3 - S1 Smolts'!V64</f>
        <v>0</v>
      </c>
      <c r="BO110" s="312">
        <f>'Batch 3 - S1 Smolts'!W64</f>
        <v>0</v>
      </c>
      <c r="BP110" s="312"/>
      <c r="BQ110" s="312"/>
      <c r="BR110" s="312"/>
      <c r="BS110" s="312"/>
      <c r="BT110" s="312"/>
      <c r="BU110" s="312"/>
      <c r="BV110" s="312"/>
      <c r="BW110" s="312"/>
      <c r="BX110" s="313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3"/>
      <c r="CK110" s="312"/>
      <c r="CL110" s="312"/>
      <c r="CM110" s="312"/>
      <c r="CN110" s="312"/>
      <c r="CO110" s="312"/>
      <c r="CP110" s="312"/>
      <c r="CQ110" s="312"/>
      <c r="CR110" s="312"/>
      <c r="CS110" s="312"/>
      <c r="CT110" s="312"/>
      <c r="CU110" s="312"/>
      <c r="CV110" s="313"/>
      <c r="CW110" s="312"/>
      <c r="CX110" s="312"/>
      <c r="CY110" s="312"/>
      <c r="CZ110" s="312"/>
      <c r="DA110" s="312"/>
      <c r="DB110" s="312"/>
      <c r="DC110" s="312"/>
      <c r="DD110" s="312"/>
      <c r="DE110" s="312"/>
      <c r="DF110" s="312"/>
      <c r="DG110" s="312"/>
      <c r="DH110" s="313"/>
      <c r="DI110" s="312"/>
      <c r="DJ110" s="312"/>
      <c r="DK110" s="312"/>
      <c r="DL110" s="312"/>
      <c r="DM110" s="312"/>
      <c r="DN110" s="312"/>
      <c r="DO110" s="312"/>
      <c r="DP110" s="312"/>
      <c r="DQ110" s="312"/>
      <c r="DR110" s="312"/>
      <c r="DS110" s="312"/>
      <c r="DT110" s="313"/>
      <c r="DU110" s="3"/>
    </row>
    <row r="111" spans="2:125 1104:16384" ht="15" x14ac:dyDescent="0.25">
      <c r="B111" s="404" t="s">
        <v>372</v>
      </c>
      <c r="C111" s="85"/>
      <c r="D111" s="7"/>
      <c r="E111" s="403"/>
      <c r="F111" s="403"/>
      <c r="G111" s="403"/>
      <c r="H111" s="403"/>
      <c r="I111" s="403"/>
      <c r="J111" s="403"/>
      <c r="K111" s="403"/>
      <c r="L111" s="403">
        <f>SUM(L108:L110)</f>
        <v>0</v>
      </c>
      <c r="M111" s="403">
        <f>SUM(M108:M110)</f>
        <v>0</v>
      </c>
      <c r="N111" s="403">
        <f>SUM(N108:N110)</f>
        <v>0</v>
      </c>
      <c r="O111" s="403">
        <f>SUM(O108:O110)</f>
        <v>0</v>
      </c>
      <c r="P111" s="486">
        <f>SUM(P108:P110)</f>
        <v>0</v>
      </c>
      <c r="Q111" s="792"/>
      <c r="R111" s="312"/>
      <c r="S111" s="312"/>
      <c r="T111" s="312"/>
      <c r="U111" s="312"/>
      <c r="V111" s="312"/>
      <c r="W111" s="312"/>
      <c r="X111" s="312"/>
      <c r="Y111" s="312"/>
      <c r="Z111" s="312"/>
      <c r="AA111" s="312"/>
      <c r="AB111" s="313"/>
      <c r="AC111" s="312"/>
      <c r="AD111" s="312"/>
      <c r="AE111" s="312"/>
      <c r="AF111" s="312"/>
      <c r="AG111" s="312"/>
      <c r="AH111" s="312"/>
      <c r="AI111" s="312"/>
      <c r="AJ111" s="312"/>
      <c r="AK111" s="312"/>
      <c r="AL111" s="312"/>
      <c r="AM111" s="312"/>
      <c r="AN111" s="313"/>
      <c r="AO111" s="312"/>
      <c r="AP111" s="312">
        <f>SUM(AP108:AP110)</f>
        <v>250.8</v>
      </c>
      <c r="AQ111" s="312">
        <f t="shared" ref="AQ111:BO111" si="98">SUM(AQ108:AQ110)</f>
        <v>275.209</v>
      </c>
      <c r="AR111" s="312">
        <f t="shared" si="98"/>
        <v>459.10061999999999</v>
      </c>
      <c r="AS111" s="312">
        <f t="shared" si="98"/>
        <v>972.9942013000001</v>
      </c>
      <c r="AT111" s="312">
        <f t="shared" si="98"/>
        <v>1518.1570872270001</v>
      </c>
      <c r="AU111" s="312">
        <f t="shared" si="98"/>
        <v>2251.4974990378205</v>
      </c>
      <c r="AV111" s="312">
        <f t="shared" si="98"/>
        <v>3535.6292877522601</v>
      </c>
      <c r="AW111" s="312">
        <f t="shared" si="98"/>
        <v>4748.7093211135816</v>
      </c>
      <c r="AX111" s="312">
        <f t="shared" si="98"/>
        <v>5952.2153262791708</v>
      </c>
      <c r="AY111" s="312">
        <f t="shared" si="98"/>
        <v>7095.4870455040354</v>
      </c>
      <c r="AZ111" s="313">
        <f t="shared" si="98"/>
        <v>8274.4819565600228</v>
      </c>
      <c r="BA111" s="312">
        <f t="shared" si="98"/>
        <v>9180.9093085300647</v>
      </c>
      <c r="BB111" s="312">
        <f t="shared" si="98"/>
        <v>10581.508212037792</v>
      </c>
      <c r="BC111" s="312">
        <f t="shared" si="98"/>
        <v>11302.987702865556</v>
      </c>
      <c r="BD111" s="312">
        <f t="shared" si="98"/>
        <v>12373.640819701179</v>
      </c>
      <c r="BE111" s="312">
        <f t="shared" si="98"/>
        <v>11351.415962331777</v>
      </c>
      <c r="BF111" s="312">
        <f t="shared" si="98"/>
        <v>9399.21359940006</v>
      </c>
      <c r="BG111" s="312">
        <f t="shared" si="98"/>
        <v>9526.546597217759</v>
      </c>
      <c r="BH111" s="312">
        <f t="shared" si="98"/>
        <v>8747.9254231790892</v>
      </c>
      <c r="BI111" s="312">
        <f t="shared" si="98"/>
        <v>7358.8270238478135</v>
      </c>
      <c r="BJ111" s="312">
        <f t="shared" si="98"/>
        <v>7311.7297261405238</v>
      </c>
      <c r="BK111" s="312">
        <f t="shared" si="98"/>
        <v>5657.8650116020563</v>
      </c>
      <c r="BL111" s="313">
        <f t="shared" si="98"/>
        <v>3443.8516003074433</v>
      </c>
      <c r="BM111" s="312">
        <f t="shared" si="98"/>
        <v>1064.1764749895408</v>
      </c>
      <c r="BN111" s="312">
        <f t="shared" si="98"/>
        <v>0</v>
      </c>
      <c r="BO111" s="312">
        <f t="shared" si="98"/>
        <v>0</v>
      </c>
      <c r="BP111" s="312"/>
      <c r="BQ111" s="312"/>
      <c r="BR111" s="312"/>
      <c r="BS111" s="312"/>
      <c r="BT111" s="312"/>
      <c r="BU111" s="312"/>
      <c r="BV111" s="312"/>
      <c r="BW111" s="312"/>
      <c r="BX111" s="313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3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2"/>
      <c r="CX111" s="312"/>
      <c r="CY111" s="312"/>
      <c r="CZ111" s="312"/>
      <c r="DA111" s="312"/>
      <c r="DB111" s="312"/>
      <c r="DC111" s="312"/>
      <c r="DD111" s="312"/>
      <c r="DE111" s="312"/>
      <c r="DF111" s="312"/>
      <c r="DG111" s="312"/>
      <c r="DH111" s="313"/>
      <c r="DI111" s="312"/>
      <c r="DJ111" s="312"/>
      <c r="DK111" s="312"/>
      <c r="DL111" s="312"/>
      <c r="DM111" s="312"/>
      <c r="DN111" s="312"/>
      <c r="DO111" s="312"/>
      <c r="DP111" s="312"/>
      <c r="DQ111" s="312"/>
      <c r="DR111" s="312"/>
      <c r="DS111" s="312"/>
      <c r="DT111" s="313"/>
      <c r="DU111" s="3"/>
    </row>
    <row r="112" spans="2:125 1104:16384" ht="15" x14ac:dyDescent="0.25">
      <c r="B112" s="404" t="s">
        <v>387</v>
      </c>
      <c r="C112" s="85">
        <v>1</v>
      </c>
      <c r="D112" s="7"/>
      <c r="E112" s="403"/>
      <c r="F112" s="403"/>
      <c r="G112" s="403"/>
      <c r="H112" s="403"/>
      <c r="I112" s="403"/>
      <c r="J112" s="403"/>
      <c r="K112" s="403"/>
      <c r="L112" s="403"/>
      <c r="M112" s="403"/>
      <c r="N112" s="403"/>
      <c r="O112" s="403"/>
      <c r="P112" s="486"/>
      <c r="Q112" s="790"/>
      <c r="R112" s="310"/>
      <c r="S112" s="310"/>
      <c r="T112" s="310"/>
      <c r="U112" s="310"/>
      <c r="V112" s="310"/>
      <c r="W112" s="310"/>
      <c r="X112" s="310"/>
      <c r="Y112" s="310"/>
      <c r="Z112" s="310"/>
      <c r="AA112" s="312"/>
      <c r="AB112" s="313"/>
      <c r="AC112" s="312"/>
      <c r="AD112" s="312"/>
      <c r="AE112" s="312"/>
      <c r="AF112" s="312"/>
      <c r="AG112" s="312"/>
      <c r="AH112" s="312"/>
      <c r="AI112" s="312"/>
      <c r="AJ112" s="312"/>
      <c r="AK112" s="312"/>
      <c r="AL112" s="312"/>
      <c r="AM112" s="312"/>
      <c r="AN112" s="313"/>
      <c r="AO112" s="312">
        <f t="shared" ref="AO112:AZ114" si="99">AC111*$C112</f>
        <v>0</v>
      </c>
      <c r="AP112" s="312">
        <f t="shared" si="99"/>
        <v>0</v>
      </c>
      <c r="AQ112" s="312">
        <f t="shared" si="99"/>
        <v>0</v>
      </c>
      <c r="AR112" s="312">
        <f t="shared" si="99"/>
        <v>0</v>
      </c>
      <c r="AS112" s="312">
        <f t="shared" si="99"/>
        <v>0</v>
      </c>
      <c r="AT112" s="312">
        <f t="shared" si="99"/>
        <v>0</v>
      </c>
      <c r="AU112" s="312">
        <f t="shared" si="99"/>
        <v>0</v>
      </c>
      <c r="AV112" s="312">
        <f t="shared" si="99"/>
        <v>0</v>
      </c>
      <c r="AW112" s="312">
        <f t="shared" si="99"/>
        <v>0</v>
      </c>
      <c r="AX112" s="312">
        <f t="shared" si="99"/>
        <v>0</v>
      </c>
      <c r="AY112" s="312">
        <f t="shared" si="99"/>
        <v>0</v>
      </c>
      <c r="AZ112" s="313">
        <f t="shared" si="99"/>
        <v>0</v>
      </c>
      <c r="BA112" s="312"/>
      <c r="BB112" s="312">
        <f t="shared" ref="BB112:BT112" si="100">AP111</f>
        <v>250.8</v>
      </c>
      <c r="BC112" s="312">
        <f t="shared" si="100"/>
        <v>275.209</v>
      </c>
      <c r="BD112" s="312">
        <f t="shared" si="100"/>
        <v>459.10061999999999</v>
      </c>
      <c r="BE112" s="312">
        <f t="shared" si="100"/>
        <v>972.9942013000001</v>
      </c>
      <c r="BF112" s="312">
        <f t="shared" si="100"/>
        <v>1518.1570872270001</v>
      </c>
      <c r="BG112" s="312">
        <f t="shared" si="100"/>
        <v>2251.4974990378205</v>
      </c>
      <c r="BH112" s="312">
        <f t="shared" si="100"/>
        <v>3535.6292877522601</v>
      </c>
      <c r="BI112" s="312">
        <f t="shared" si="100"/>
        <v>4748.7093211135816</v>
      </c>
      <c r="BJ112" s="312">
        <f t="shared" si="100"/>
        <v>5952.2153262791708</v>
      </c>
      <c r="BK112" s="312">
        <f t="shared" si="100"/>
        <v>7095.4870455040354</v>
      </c>
      <c r="BL112" s="313">
        <f t="shared" si="100"/>
        <v>8274.4819565600228</v>
      </c>
      <c r="BM112" s="312">
        <f t="shared" si="100"/>
        <v>9180.9093085300647</v>
      </c>
      <c r="BN112" s="312">
        <f t="shared" si="100"/>
        <v>10581.508212037792</v>
      </c>
      <c r="BO112" s="312">
        <f t="shared" si="100"/>
        <v>11302.987702865556</v>
      </c>
      <c r="BP112" s="312">
        <f t="shared" si="100"/>
        <v>12373.640819701179</v>
      </c>
      <c r="BQ112" s="312">
        <f t="shared" si="100"/>
        <v>11351.415962331777</v>
      </c>
      <c r="BR112" s="312">
        <f t="shared" si="100"/>
        <v>9399.21359940006</v>
      </c>
      <c r="BS112" s="312">
        <f t="shared" si="100"/>
        <v>9526.546597217759</v>
      </c>
      <c r="BT112" s="312">
        <f t="shared" si="100"/>
        <v>8747.9254231790892</v>
      </c>
      <c r="BU112" s="312">
        <f t="shared" ref="BU112:BU120" si="101">BI111</f>
        <v>7358.8270238478135</v>
      </c>
      <c r="BV112" s="312">
        <f t="shared" ref="BV112:BV120" si="102">BJ111</f>
        <v>7311.7297261405238</v>
      </c>
      <c r="BW112" s="312">
        <f t="shared" ref="BW112:BW120" si="103">BK111</f>
        <v>5657.8650116020563</v>
      </c>
      <c r="BX112" s="313">
        <f t="shared" ref="BX112:BX120" si="104">BL111</f>
        <v>3443.8516003074433</v>
      </c>
      <c r="BY112" s="312">
        <f t="shared" ref="BY112:BY120" si="105">BM111</f>
        <v>1064.1764749895408</v>
      </c>
      <c r="BZ112" s="312">
        <f t="shared" ref="BZ112:BZ120" si="106">BN111</f>
        <v>0</v>
      </c>
      <c r="CA112" s="312">
        <f t="shared" ref="CA112:CA120" si="107">BO111</f>
        <v>0</v>
      </c>
      <c r="CB112" s="312">
        <f t="shared" ref="CB112:CB120" si="108">BP111</f>
        <v>0</v>
      </c>
      <c r="CC112" s="312"/>
      <c r="CD112" s="312"/>
      <c r="CE112" s="312"/>
      <c r="CF112" s="312"/>
      <c r="CG112" s="312"/>
      <c r="CH112" s="312"/>
      <c r="CI112" s="312"/>
      <c r="CJ112" s="313"/>
      <c r="CK112" s="312"/>
      <c r="CL112" s="312"/>
      <c r="CM112" s="312"/>
      <c r="CN112" s="312"/>
      <c r="CO112" s="312"/>
      <c r="CP112" s="312"/>
      <c r="CQ112" s="312"/>
      <c r="CR112" s="312"/>
      <c r="CS112" s="312"/>
      <c r="CT112" s="312"/>
      <c r="CU112" s="312"/>
      <c r="CV112" s="313"/>
      <c r="CW112" s="312"/>
      <c r="CX112" s="312"/>
      <c r="CY112" s="312"/>
      <c r="CZ112" s="312"/>
      <c r="DA112" s="312"/>
      <c r="DB112" s="312"/>
      <c r="DC112" s="312"/>
      <c r="DD112" s="312"/>
      <c r="DE112" s="312"/>
      <c r="DF112" s="312"/>
      <c r="DG112" s="312"/>
      <c r="DH112" s="313"/>
      <c r="DI112" s="312"/>
      <c r="DJ112" s="312"/>
      <c r="DK112" s="312"/>
      <c r="DL112" s="312"/>
      <c r="DM112" s="312"/>
      <c r="DN112" s="312"/>
      <c r="DO112" s="312"/>
      <c r="DP112" s="312"/>
      <c r="DQ112" s="312"/>
      <c r="DR112" s="312"/>
      <c r="DS112" s="312"/>
      <c r="DT112" s="313"/>
      <c r="DU112" s="3"/>
    </row>
    <row r="113" spans="2:125" ht="15" x14ac:dyDescent="0.25">
      <c r="B113" s="404" t="s">
        <v>388</v>
      </c>
      <c r="C113" s="85">
        <v>1</v>
      </c>
      <c r="D113" s="7"/>
      <c r="E113" s="403"/>
      <c r="F113" s="403"/>
      <c r="G113" s="403"/>
      <c r="H113" s="403"/>
      <c r="I113" s="403"/>
      <c r="J113" s="403"/>
      <c r="K113" s="403"/>
      <c r="L113" s="403"/>
      <c r="M113" s="403"/>
      <c r="N113" s="403"/>
      <c r="O113" s="403"/>
      <c r="P113" s="486"/>
      <c r="Q113" s="790"/>
      <c r="R113" s="310"/>
      <c r="S113" s="310"/>
      <c r="T113" s="310"/>
      <c r="U113" s="310"/>
      <c r="V113" s="310"/>
      <c r="W113" s="310"/>
      <c r="X113" s="310"/>
      <c r="Y113" s="310"/>
      <c r="Z113" s="310"/>
      <c r="AA113" s="310"/>
      <c r="AB113" s="311"/>
      <c r="AC113" s="280"/>
      <c r="AD113" s="310"/>
      <c r="AE113" s="310"/>
      <c r="AF113" s="310"/>
      <c r="AG113" s="310"/>
      <c r="AH113" s="310"/>
      <c r="AI113" s="310"/>
      <c r="AJ113" s="310"/>
      <c r="AK113" s="310"/>
      <c r="AL113" s="310"/>
      <c r="AM113" s="310"/>
      <c r="AN113" s="311"/>
      <c r="AO113" s="280">
        <f t="shared" si="99"/>
        <v>0</v>
      </c>
      <c r="AP113" s="310">
        <f t="shared" si="99"/>
        <v>0</v>
      </c>
      <c r="AQ113" s="310">
        <f t="shared" si="99"/>
        <v>0</v>
      </c>
      <c r="AR113" s="310"/>
      <c r="AS113" s="310">
        <f t="shared" si="99"/>
        <v>0</v>
      </c>
      <c r="AT113" s="310"/>
      <c r="AU113" s="310"/>
      <c r="AV113" s="310"/>
      <c r="AW113" s="310">
        <f t="shared" si="99"/>
        <v>0</v>
      </c>
      <c r="AX113" s="310"/>
      <c r="AY113" s="310">
        <f t="shared" si="99"/>
        <v>0</v>
      </c>
      <c r="AZ113" s="311">
        <f t="shared" si="99"/>
        <v>0</v>
      </c>
      <c r="BA113" s="280">
        <f t="shared" ref="BA113:BL113" si="109">AC111*$C113</f>
        <v>0</v>
      </c>
      <c r="BB113" s="280">
        <f t="shared" si="109"/>
        <v>0</v>
      </c>
      <c r="BC113" s="280">
        <f t="shared" si="109"/>
        <v>0</v>
      </c>
      <c r="BD113" s="280">
        <f t="shared" si="109"/>
        <v>0</v>
      </c>
      <c r="BE113" s="280">
        <f t="shared" si="109"/>
        <v>0</v>
      </c>
      <c r="BF113" s="280">
        <f t="shared" si="109"/>
        <v>0</v>
      </c>
      <c r="BG113" s="280">
        <f t="shared" si="109"/>
        <v>0</v>
      </c>
      <c r="BH113" s="280">
        <f t="shared" si="109"/>
        <v>0</v>
      </c>
      <c r="BI113" s="280">
        <f t="shared" si="109"/>
        <v>0</v>
      </c>
      <c r="BJ113" s="280">
        <f t="shared" si="109"/>
        <v>0</v>
      </c>
      <c r="BK113" s="280">
        <f t="shared" si="109"/>
        <v>0</v>
      </c>
      <c r="BL113" s="731">
        <f t="shared" si="109"/>
        <v>0</v>
      </c>
      <c r="BM113" s="280"/>
      <c r="BN113" s="310">
        <f t="shared" ref="BN113:BS113" si="110">BB112</f>
        <v>250.8</v>
      </c>
      <c r="BO113" s="310">
        <f t="shared" si="110"/>
        <v>275.209</v>
      </c>
      <c r="BP113" s="310">
        <f t="shared" si="110"/>
        <v>459.10061999999999</v>
      </c>
      <c r="BQ113" s="310">
        <f t="shared" si="110"/>
        <v>972.9942013000001</v>
      </c>
      <c r="BR113" s="310">
        <f t="shared" si="110"/>
        <v>1518.1570872270001</v>
      </c>
      <c r="BS113" s="310">
        <f t="shared" si="110"/>
        <v>2251.4974990378205</v>
      </c>
      <c r="BT113" s="310">
        <f t="shared" ref="BT113:BT120" si="111">BH112</f>
        <v>3535.6292877522601</v>
      </c>
      <c r="BU113" s="310">
        <f t="shared" si="101"/>
        <v>4748.7093211135816</v>
      </c>
      <c r="BV113" s="310">
        <f t="shared" si="102"/>
        <v>5952.2153262791708</v>
      </c>
      <c r="BW113" s="310">
        <f t="shared" si="103"/>
        <v>7095.4870455040354</v>
      </c>
      <c r="BX113" s="311">
        <f t="shared" si="104"/>
        <v>8274.4819565600228</v>
      </c>
      <c r="BY113" s="280">
        <f t="shared" si="105"/>
        <v>9180.9093085300647</v>
      </c>
      <c r="BZ113" s="310">
        <f t="shared" si="106"/>
        <v>10581.508212037792</v>
      </c>
      <c r="CA113" s="310">
        <f t="shared" si="107"/>
        <v>11302.987702865556</v>
      </c>
      <c r="CB113" s="310">
        <f t="shared" si="108"/>
        <v>12373.640819701179</v>
      </c>
      <c r="CC113" s="310">
        <f t="shared" ref="CC113:DT118" si="112">BQ112</f>
        <v>11351.415962331777</v>
      </c>
      <c r="CD113" s="310">
        <f t="shared" si="112"/>
        <v>9399.21359940006</v>
      </c>
      <c r="CE113" s="310">
        <f t="shared" si="112"/>
        <v>9526.546597217759</v>
      </c>
      <c r="CF113" s="310">
        <f t="shared" si="112"/>
        <v>8747.9254231790892</v>
      </c>
      <c r="CG113" s="310">
        <f t="shared" si="112"/>
        <v>7358.8270238478135</v>
      </c>
      <c r="CH113" s="310">
        <f t="shared" si="112"/>
        <v>7311.7297261405238</v>
      </c>
      <c r="CI113" s="310">
        <f t="shared" si="112"/>
        <v>5657.8650116020563</v>
      </c>
      <c r="CJ113" s="311">
        <f t="shared" si="112"/>
        <v>3443.8516003074433</v>
      </c>
      <c r="CK113" s="280">
        <f t="shared" si="112"/>
        <v>1064.1764749895408</v>
      </c>
      <c r="CL113" s="310">
        <f t="shared" si="112"/>
        <v>0</v>
      </c>
      <c r="CM113" s="310">
        <f t="shared" si="112"/>
        <v>0</v>
      </c>
      <c r="CN113" s="310">
        <f t="shared" si="112"/>
        <v>0</v>
      </c>
      <c r="CO113" s="310">
        <f t="shared" si="112"/>
        <v>0</v>
      </c>
      <c r="CP113" s="310">
        <f t="shared" si="112"/>
        <v>0</v>
      </c>
      <c r="CQ113" s="310">
        <f t="shared" si="112"/>
        <v>0</v>
      </c>
      <c r="CR113" s="310">
        <f t="shared" si="112"/>
        <v>0</v>
      </c>
      <c r="CS113" s="310">
        <f t="shared" si="112"/>
        <v>0</v>
      </c>
      <c r="CT113" s="310">
        <f t="shared" si="112"/>
        <v>0</v>
      </c>
      <c r="CU113" s="310">
        <f t="shared" si="112"/>
        <v>0</v>
      </c>
      <c r="CV113" s="311">
        <f t="shared" si="112"/>
        <v>0</v>
      </c>
      <c r="CW113" s="280">
        <f t="shared" si="112"/>
        <v>0</v>
      </c>
      <c r="CX113" s="310">
        <f t="shared" si="112"/>
        <v>0</v>
      </c>
      <c r="CY113" s="310">
        <f t="shared" si="112"/>
        <v>0</v>
      </c>
      <c r="CZ113" s="310">
        <f t="shared" si="112"/>
        <v>0</v>
      </c>
      <c r="DA113" s="310">
        <f t="shared" si="112"/>
        <v>0</v>
      </c>
      <c r="DB113" s="310">
        <f t="shared" si="112"/>
        <v>0</v>
      </c>
      <c r="DC113" s="310">
        <f t="shared" si="112"/>
        <v>0</v>
      </c>
      <c r="DD113" s="310">
        <f t="shared" si="112"/>
        <v>0</v>
      </c>
      <c r="DE113" s="310">
        <f t="shared" si="112"/>
        <v>0</v>
      </c>
      <c r="DF113" s="310">
        <f t="shared" si="112"/>
        <v>0</v>
      </c>
      <c r="DG113" s="310">
        <f t="shared" si="112"/>
        <v>0</v>
      </c>
      <c r="DH113" s="311">
        <f t="shared" si="112"/>
        <v>0</v>
      </c>
      <c r="DI113" s="280">
        <f t="shared" si="112"/>
        <v>0</v>
      </c>
      <c r="DJ113" s="310">
        <f t="shared" si="112"/>
        <v>0</v>
      </c>
      <c r="DK113" s="310">
        <f t="shared" si="112"/>
        <v>0</v>
      </c>
      <c r="DL113" s="310">
        <f t="shared" si="112"/>
        <v>0</v>
      </c>
      <c r="DM113" s="310">
        <f t="shared" si="112"/>
        <v>0</v>
      </c>
      <c r="DN113" s="310">
        <f t="shared" si="112"/>
        <v>0</v>
      </c>
      <c r="DO113" s="310">
        <f t="shared" si="112"/>
        <v>0</v>
      </c>
      <c r="DP113" s="310">
        <f t="shared" si="112"/>
        <v>0</v>
      </c>
      <c r="DQ113" s="310">
        <f t="shared" si="112"/>
        <v>0</v>
      </c>
      <c r="DR113" s="310">
        <f t="shared" si="112"/>
        <v>0</v>
      </c>
      <c r="DS113" s="310">
        <f t="shared" si="112"/>
        <v>0</v>
      </c>
      <c r="DT113" s="311">
        <f t="shared" si="112"/>
        <v>0</v>
      </c>
      <c r="DU113" s="3"/>
    </row>
    <row r="114" spans="2:125" ht="15" x14ac:dyDescent="0.25">
      <c r="B114" s="404" t="s">
        <v>389</v>
      </c>
      <c r="C114" s="85">
        <v>1</v>
      </c>
      <c r="D114" s="7"/>
      <c r="E114" s="534"/>
      <c r="F114" s="534"/>
      <c r="G114" s="534"/>
      <c r="H114" s="534"/>
      <c r="I114" s="534"/>
      <c r="J114" s="534"/>
      <c r="K114" s="463"/>
      <c r="L114" s="463"/>
      <c r="M114" s="463"/>
      <c r="N114" s="463"/>
      <c r="O114" s="463"/>
      <c r="P114" s="487"/>
      <c r="Q114" s="790"/>
      <c r="R114" s="310"/>
      <c r="S114" s="310"/>
      <c r="T114" s="310"/>
      <c r="U114" s="310"/>
      <c r="V114" s="310"/>
      <c r="W114" s="310"/>
      <c r="X114" s="310"/>
      <c r="Y114" s="310"/>
      <c r="Z114" s="310"/>
      <c r="AA114" s="310"/>
      <c r="AB114" s="311"/>
      <c r="AC114" s="280"/>
      <c r="AD114" s="310"/>
      <c r="AE114" s="310"/>
      <c r="AF114" s="310"/>
      <c r="AG114" s="310"/>
      <c r="AH114" s="310"/>
      <c r="AI114" s="310"/>
      <c r="AJ114" s="310"/>
      <c r="AK114" s="310"/>
      <c r="AL114" s="310"/>
      <c r="AM114" s="310"/>
      <c r="AN114" s="311"/>
      <c r="AO114" s="280"/>
      <c r="AP114" s="310"/>
      <c r="AQ114" s="310"/>
      <c r="AR114" s="310"/>
      <c r="AS114" s="310"/>
      <c r="AT114" s="310"/>
      <c r="AU114" s="310"/>
      <c r="AV114" s="310">
        <f>AJ113*$C114</f>
        <v>0</v>
      </c>
      <c r="AW114" s="310">
        <f t="shared" si="99"/>
        <v>0</v>
      </c>
      <c r="AX114" s="310">
        <f t="shared" si="99"/>
        <v>0</v>
      </c>
      <c r="AY114" s="310">
        <f t="shared" si="99"/>
        <v>0</v>
      </c>
      <c r="AZ114" s="311">
        <f t="shared" si="99"/>
        <v>0</v>
      </c>
      <c r="BA114" s="280">
        <f t="shared" ref="BA114:BM115" si="113">AO113*$C114</f>
        <v>0</v>
      </c>
      <c r="BB114" s="310">
        <f t="shared" si="113"/>
        <v>0</v>
      </c>
      <c r="BC114" s="310">
        <f t="shared" si="113"/>
        <v>0</v>
      </c>
      <c r="BD114" s="310">
        <f t="shared" si="113"/>
        <v>0</v>
      </c>
      <c r="BE114" s="310">
        <f t="shared" si="113"/>
        <v>0</v>
      </c>
      <c r="BF114" s="310">
        <f t="shared" si="113"/>
        <v>0</v>
      </c>
      <c r="BG114" s="310">
        <f t="shared" si="113"/>
        <v>0</v>
      </c>
      <c r="BH114" s="310">
        <f t="shared" si="113"/>
        <v>0</v>
      </c>
      <c r="BI114" s="310">
        <f t="shared" si="113"/>
        <v>0</v>
      </c>
      <c r="BJ114" s="310">
        <f t="shared" si="113"/>
        <v>0</v>
      </c>
      <c r="BK114" s="310">
        <f t="shared" si="113"/>
        <v>0</v>
      </c>
      <c r="BL114" s="311">
        <f t="shared" si="113"/>
        <v>0</v>
      </c>
      <c r="BM114" s="280">
        <f t="shared" si="113"/>
        <v>0</v>
      </c>
      <c r="BN114" s="310">
        <f t="shared" ref="BN114:BN120" si="114">BB113</f>
        <v>0</v>
      </c>
      <c r="BO114" s="310">
        <f t="shared" ref="BO114:BS120" si="115">BC113</f>
        <v>0</v>
      </c>
      <c r="BP114" s="310">
        <f t="shared" si="115"/>
        <v>0</v>
      </c>
      <c r="BQ114" s="310">
        <f t="shared" si="115"/>
        <v>0</v>
      </c>
      <c r="BR114" s="310">
        <f t="shared" si="115"/>
        <v>0</v>
      </c>
      <c r="BS114" s="310">
        <f t="shared" si="115"/>
        <v>0</v>
      </c>
      <c r="BT114" s="310">
        <f t="shared" si="111"/>
        <v>0</v>
      </c>
      <c r="BU114" s="310">
        <f t="shared" si="101"/>
        <v>0</v>
      </c>
      <c r="BV114" s="310">
        <f t="shared" si="102"/>
        <v>0</v>
      </c>
      <c r="BW114" s="310">
        <f t="shared" si="103"/>
        <v>0</v>
      </c>
      <c r="BX114" s="311">
        <f t="shared" si="104"/>
        <v>0</v>
      </c>
      <c r="BY114" s="280">
        <f t="shared" si="105"/>
        <v>0</v>
      </c>
      <c r="BZ114" s="310">
        <f t="shared" si="106"/>
        <v>250.8</v>
      </c>
      <c r="CA114" s="310">
        <f t="shared" si="107"/>
        <v>275.209</v>
      </c>
      <c r="CB114" s="310">
        <f t="shared" si="108"/>
        <v>459.10061999999999</v>
      </c>
      <c r="CC114" s="310">
        <f t="shared" si="112"/>
        <v>972.9942013000001</v>
      </c>
      <c r="CD114" s="310">
        <f t="shared" si="112"/>
        <v>1518.1570872270001</v>
      </c>
      <c r="CE114" s="310">
        <f t="shared" si="112"/>
        <v>2251.4974990378205</v>
      </c>
      <c r="CF114" s="310">
        <f t="shared" si="112"/>
        <v>3535.6292877522601</v>
      </c>
      <c r="CG114" s="310">
        <f t="shared" si="112"/>
        <v>4748.7093211135816</v>
      </c>
      <c r="CH114" s="310">
        <f t="shared" si="112"/>
        <v>5952.2153262791708</v>
      </c>
      <c r="CI114" s="310">
        <f t="shared" si="112"/>
        <v>7095.4870455040354</v>
      </c>
      <c r="CJ114" s="311">
        <f t="shared" si="112"/>
        <v>8274.4819565600228</v>
      </c>
      <c r="CK114" s="280">
        <f t="shared" si="112"/>
        <v>9180.9093085300647</v>
      </c>
      <c r="CL114" s="310">
        <f t="shared" si="112"/>
        <v>10581.508212037792</v>
      </c>
      <c r="CM114" s="310">
        <f t="shared" si="112"/>
        <v>11302.987702865556</v>
      </c>
      <c r="CN114" s="310">
        <f t="shared" si="112"/>
        <v>12373.640819701179</v>
      </c>
      <c r="CO114" s="310">
        <f t="shared" si="112"/>
        <v>11351.415962331777</v>
      </c>
      <c r="CP114" s="310">
        <f t="shared" si="112"/>
        <v>9399.21359940006</v>
      </c>
      <c r="CQ114" s="310">
        <f t="shared" si="112"/>
        <v>9526.546597217759</v>
      </c>
      <c r="CR114" s="310">
        <f t="shared" si="112"/>
        <v>8747.9254231790892</v>
      </c>
      <c r="CS114" s="310">
        <f t="shared" si="112"/>
        <v>7358.8270238478135</v>
      </c>
      <c r="CT114" s="310">
        <f t="shared" si="112"/>
        <v>7311.7297261405238</v>
      </c>
      <c r="CU114" s="310">
        <f t="shared" si="112"/>
        <v>5657.8650116020563</v>
      </c>
      <c r="CV114" s="311">
        <f t="shared" si="112"/>
        <v>3443.8516003074433</v>
      </c>
      <c r="CW114" s="280">
        <f t="shared" si="112"/>
        <v>1064.1764749895408</v>
      </c>
      <c r="CX114" s="310">
        <f t="shared" si="112"/>
        <v>0</v>
      </c>
      <c r="CY114" s="310">
        <f t="shared" si="112"/>
        <v>0</v>
      </c>
      <c r="CZ114" s="310">
        <f t="shared" si="112"/>
        <v>0</v>
      </c>
      <c r="DA114" s="310">
        <f t="shared" si="112"/>
        <v>0</v>
      </c>
      <c r="DB114" s="310">
        <f t="shared" si="112"/>
        <v>0</v>
      </c>
      <c r="DC114" s="310">
        <f t="shared" si="112"/>
        <v>0</v>
      </c>
      <c r="DD114" s="310">
        <f t="shared" si="112"/>
        <v>0</v>
      </c>
      <c r="DE114" s="310">
        <f t="shared" si="112"/>
        <v>0</v>
      </c>
      <c r="DF114" s="310">
        <f t="shared" si="112"/>
        <v>0</v>
      </c>
      <c r="DG114" s="310">
        <f t="shared" si="112"/>
        <v>0</v>
      </c>
      <c r="DH114" s="311">
        <f t="shared" si="112"/>
        <v>0</v>
      </c>
      <c r="DI114" s="280">
        <f t="shared" si="112"/>
        <v>0</v>
      </c>
      <c r="DJ114" s="310">
        <f t="shared" si="112"/>
        <v>0</v>
      </c>
      <c r="DK114" s="310">
        <f t="shared" si="112"/>
        <v>0</v>
      </c>
      <c r="DL114" s="310">
        <f t="shared" si="112"/>
        <v>0</v>
      </c>
      <c r="DM114" s="310">
        <f t="shared" si="112"/>
        <v>0</v>
      </c>
      <c r="DN114" s="310">
        <f t="shared" si="112"/>
        <v>0</v>
      </c>
      <c r="DO114" s="310">
        <f t="shared" si="112"/>
        <v>0</v>
      </c>
      <c r="DP114" s="310">
        <f t="shared" si="112"/>
        <v>0</v>
      </c>
      <c r="DQ114" s="310">
        <f t="shared" si="112"/>
        <v>0</v>
      </c>
      <c r="DR114" s="310">
        <f t="shared" si="112"/>
        <v>0</v>
      </c>
      <c r="DS114" s="310">
        <f t="shared" si="112"/>
        <v>0</v>
      </c>
      <c r="DT114" s="311">
        <f t="shared" si="112"/>
        <v>0</v>
      </c>
      <c r="DU114" s="3"/>
    </row>
    <row r="115" spans="2:125" ht="15" x14ac:dyDescent="0.25">
      <c r="B115" s="404" t="s">
        <v>390</v>
      </c>
      <c r="C115" s="85">
        <v>1</v>
      </c>
      <c r="D115" s="7"/>
      <c r="E115" s="534"/>
      <c r="F115" s="534"/>
      <c r="G115" s="534"/>
      <c r="H115" s="534"/>
      <c r="I115" s="534"/>
      <c r="J115" s="534"/>
      <c r="K115" s="403"/>
      <c r="L115" s="403"/>
      <c r="M115" s="403"/>
      <c r="N115" s="403"/>
      <c r="O115" s="403"/>
      <c r="P115" s="486"/>
      <c r="Q115" s="790"/>
      <c r="R115" s="310"/>
      <c r="S115" s="310"/>
      <c r="T115" s="310"/>
      <c r="U115" s="310"/>
      <c r="V115" s="310"/>
      <c r="W115" s="310"/>
      <c r="X115" s="310"/>
      <c r="Y115" s="310"/>
      <c r="Z115" s="310"/>
      <c r="AA115" s="310"/>
      <c r="AB115" s="311"/>
      <c r="AC115" s="280"/>
      <c r="AD115" s="310"/>
      <c r="AE115" s="310"/>
      <c r="AF115" s="310"/>
      <c r="AG115" s="310"/>
      <c r="AH115" s="310"/>
      <c r="AI115" s="310"/>
      <c r="AJ115" s="310"/>
      <c r="AK115" s="310"/>
      <c r="AL115" s="310"/>
      <c r="AM115" s="310"/>
      <c r="AN115" s="311"/>
      <c r="AO115" s="280"/>
      <c r="AP115" s="310"/>
      <c r="AQ115" s="310"/>
      <c r="AR115" s="310"/>
      <c r="AS115" s="310"/>
      <c r="AT115" s="310"/>
      <c r="AU115" s="310"/>
      <c r="AV115" s="310"/>
      <c r="AW115" s="310"/>
      <c r="AX115" s="310"/>
      <c r="AY115" s="310"/>
      <c r="AZ115" s="311"/>
      <c r="BA115" s="280"/>
      <c r="BB115" s="310"/>
      <c r="BC115" s="310"/>
      <c r="BD115" s="310"/>
      <c r="BE115" s="310"/>
      <c r="BF115" s="310"/>
      <c r="BG115" s="310"/>
      <c r="BH115" s="310">
        <f>AV114*$C115</f>
        <v>0</v>
      </c>
      <c r="BI115" s="310">
        <f t="shared" si="113"/>
        <v>0</v>
      </c>
      <c r="BJ115" s="310">
        <f t="shared" si="113"/>
        <v>0</v>
      </c>
      <c r="BK115" s="310">
        <f t="shared" si="113"/>
        <v>0</v>
      </c>
      <c r="BL115" s="311">
        <f t="shared" si="113"/>
        <v>0</v>
      </c>
      <c r="BM115" s="280">
        <f t="shared" si="113"/>
        <v>0</v>
      </c>
      <c r="BN115" s="310">
        <f t="shared" si="114"/>
        <v>0</v>
      </c>
      <c r="BO115" s="310">
        <f t="shared" si="115"/>
        <v>0</v>
      </c>
      <c r="BP115" s="310">
        <f t="shared" si="115"/>
        <v>0</v>
      </c>
      <c r="BQ115" s="310">
        <f t="shared" si="115"/>
        <v>0</v>
      </c>
      <c r="BR115" s="310">
        <f t="shared" si="115"/>
        <v>0</v>
      </c>
      <c r="BS115" s="310">
        <f t="shared" si="115"/>
        <v>0</v>
      </c>
      <c r="BT115" s="310">
        <f t="shared" si="111"/>
        <v>0</v>
      </c>
      <c r="BU115" s="310">
        <f t="shared" si="101"/>
        <v>0</v>
      </c>
      <c r="BV115" s="310">
        <f t="shared" si="102"/>
        <v>0</v>
      </c>
      <c r="BW115" s="310">
        <f t="shared" si="103"/>
        <v>0</v>
      </c>
      <c r="BX115" s="311">
        <f t="shared" si="104"/>
        <v>0</v>
      </c>
      <c r="BY115" s="280">
        <f t="shared" si="105"/>
        <v>0</v>
      </c>
      <c r="BZ115" s="310">
        <f t="shared" si="106"/>
        <v>0</v>
      </c>
      <c r="CA115" s="310">
        <f t="shared" si="107"/>
        <v>0</v>
      </c>
      <c r="CB115" s="310">
        <f t="shared" si="108"/>
        <v>0</v>
      </c>
      <c r="CC115" s="310">
        <f t="shared" si="112"/>
        <v>0</v>
      </c>
      <c r="CD115" s="310">
        <f t="shared" si="112"/>
        <v>0</v>
      </c>
      <c r="CE115" s="310">
        <f t="shared" si="112"/>
        <v>0</v>
      </c>
      <c r="CF115" s="310">
        <f t="shared" si="112"/>
        <v>0</v>
      </c>
      <c r="CG115" s="310">
        <f t="shared" si="112"/>
        <v>0</v>
      </c>
      <c r="CH115" s="310">
        <f t="shared" si="112"/>
        <v>0</v>
      </c>
      <c r="CI115" s="310">
        <f t="shared" si="112"/>
        <v>0</v>
      </c>
      <c r="CJ115" s="311">
        <f t="shared" si="112"/>
        <v>0</v>
      </c>
      <c r="CK115" s="280">
        <f t="shared" si="112"/>
        <v>0</v>
      </c>
      <c r="CL115" s="310">
        <f t="shared" si="112"/>
        <v>250.8</v>
      </c>
      <c r="CM115" s="310">
        <f t="shared" si="112"/>
        <v>275.209</v>
      </c>
      <c r="CN115" s="310">
        <f t="shared" si="112"/>
        <v>459.10061999999999</v>
      </c>
      <c r="CO115" s="310">
        <f t="shared" si="112"/>
        <v>972.9942013000001</v>
      </c>
      <c r="CP115" s="310">
        <f t="shared" si="112"/>
        <v>1518.1570872270001</v>
      </c>
      <c r="CQ115" s="310">
        <f t="shared" si="112"/>
        <v>2251.4974990378205</v>
      </c>
      <c r="CR115" s="310">
        <f t="shared" si="112"/>
        <v>3535.6292877522601</v>
      </c>
      <c r="CS115" s="310">
        <f t="shared" si="112"/>
        <v>4748.7093211135816</v>
      </c>
      <c r="CT115" s="310">
        <f t="shared" si="112"/>
        <v>5952.2153262791708</v>
      </c>
      <c r="CU115" s="310">
        <f t="shared" si="112"/>
        <v>7095.4870455040354</v>
      </c>
      <c r="CV115" s="311">
        <f t="shared" si="112"/>
        <v>8274.4819565600228</v>
      </c>
      <c r="CW115" s="280">
        <f t="shared" si="112"/>
        <v>9180.9093085300647</v>
      </c>
      <c r="CX115" s="310">
        <f t="shared" si="112"/>
        <v>10581.508212037792</v>
      </c>
      <c r="CY115" s="310">
        <f t="shared" si="112"/>
        <v>11302.987702865556</v>
      </c>
      <c r="CZ115" s="310">
        <f t="shared" si="112"/>
        <v>12373.640819701179</v>
      </c>
      <c r="DA115" s="310">
        <f t="shared" si="112"/>
        <v>11351.415962331777</v>
      </c>
      <c r="DB115" s="310">
        <f t="shared" si="112"/>
        <v>9399.21359940006</v>
      </c>
      <c r="DC115" s="310">
        <f t="shared" si="112"/>
        <v>9526.546597217759</v>
      </c>
      <c r="DD115" s="310">
        <f t="shared" si="112"/>
        <v>8747.9254231790892</v>
      </c>
      <c r="DE115" s="310">
        <f t="shared" si="112"/>
        <v>7358.8270238478135</v>
      </c>
      <c r="DF115" s="310">
        <f t="shared" si="112"/>
        <v>7311.7297261405238</v>
      </c>
      <c r="DG115" s="310">
        <f t="shared" si="112"/>
        <v>5657.8650116020563</v>
      </c>
      <c r="DH115" s="311">
        <f t="shared" si="112"/>
        <v>3443.8516003074433</v>
      </c>
      <c r="DI115" s="280">
        <f t="shared" si="112"/>
        <v>1064.1764749895408</v>
      </c>
      <c r="DJ115" s="310">
        <f t="shared" si="112"/>
        <v>0</v>
      </c>
      <c r="DK115" s="310">
        <f t="shared" si="112"/>
        <v>0</v>
      </c>
      <c r="DL115" s="310">
        <f t="shared" si="112"/>
        <v>0</v>
      </c>
      <c r="DM115" s="310">
        <f t="shared" si="112"/>
        <v>0</v>
      </c>
      <c r="DN115" s="310">
        <f t="shared" si="112"/>
        <v>0</v>
      </c>
      <c r="DO115" s="310">
        <f t="shared" si="112"/>
        <v>0</v>
      </c>
      <c r="DP115" s="310">
        <f t="shared" si="112"/>
        <v>0</v>
      </c>
      <c r="DQ115" s="310">
        <f t="shared" si="112"/>
        <v>0</v>
      </c>
      <c r="DR115" s="310">
        <f t="shared" si="112"/>
        <v>0</v>
      </c>
      <c r="DS115" s="310">
        <f t="shared" si="112"/>
        <v>0</v>
      </c>
      <c r="DT115" s="311">
        <f t="shared" si="112"/>
        <v>0</v>
      </c>
      <c r="DU115" s="3"/>
    </row>
    <row r="116" spans="2:125" ht="15" x14ac:dyDescent="0.25">
      <c r="B116" s="404" t="s">
        <v>391</v>
      </c>
      <c r="C116" s="85">
        <v>1</v>
      </c>
      <c r="D116" s="7"/>
      <c r="E116" s="406"/>
      <c r="F116" s="406"/>
      <c r="G116" s="406"/>
      <c r="H116" s="406"/>
      <c r="I116" s="406"/>
      <c r="J116" s="406"/>
      <c r="K116" s="406"/>
      <c r="L116" s="406"/>
      <c r="M116" s="406"/>
      <c r="N116" s="406"/>
      <c r="O116" s="406"/>
      <c r="P116" s="488"/>
      <c r="Q116" s="792"/>
      <c r="R116" s="312"/>
      <c r="S116" s="312"/>
      <c r="T116" s="312"/>
      <c r="U116" s="312"/>
      <c r="V116" s="312"/>
      <c r="W116" s="312"/>
      <c r="X116" s="312"/>
      <c r="Y116" s="312"/>
      <c r="Z116" s="312"/>
      <c r="AA116" s="312"/>
      <c r="AB116" s="313"/>
      <c r="AC116" s="312"/>
      <c r="AD116" s="312"/>
      <c r="AE116" s="312"/>
      <c r="AF116" s="312"/>
      <c r="AG116" s="312"/>
      <c r="AH116" s="312"/>
      <c r="AI116" s="312"/>
      <c r="AJ116" s="312"/>
      <c r="AK116" s="312"/>
      <c r="AL116" s="312"/>
      <c r="AM116" s="312"/>
      <c r="AN116" s="313"/>
      <c r="AO116" s="312"/>
      <c r="AP116" s="312"/>
      <c r="AQ116" s="312"/>
      <c r="AR116" s="312"/>
      <c r="AS116" s="312"/>
      <c r="AT116" s="312"/>
      <c r="AU116" s="312"/>
      <c r="AV116" s="312"/>
      <c r="AW116" s="312"/>
      <c r="AX116" s="312"/>
      <c r="AY116" s="312"/>
      <c r="AZ116" s="313"/>
      <c r="BA116" s="312"/>
      <c r="BB116" s="312"/>
      <c r="BC116" s="312"/>
      <c r="BD116" s="312"/>
      <c r="BE116" s="312"/>
      <c r="BF116" s="312"/>
      <c r="BG116" s="312"/>
      <c r="BH116" s="312"/>
      <c r="BI116" s="312"/>
      <c r="BJ116" s="312"/>
      <c r="BK116" s="312"/>
      <c r="BL116" s="313"/>
      <c r="BM116" s="312"/>
      <c r="BN116" s="310">
        <f t="shared" si="114"/>
        <v>0</v>
      </c>
      <c r="BO116" s="310">
        <f t="shared" si="115"/>
        <v>0</v>
      </c>
      <c r="BP116" s="310">
        <f t="shared" si="115"/>
        <v>0</v>
      </c>
      <c r="BQ116" s="310">
        <f t="shared" si="115"/>
        <v>0</v>
      </c>
      <c r="BR116" s="310">
        <f t="shared" si="115"/>
        <v>0</v>
      </c>
      <c r="BS116" s="310">
        <f t="shared" si="115"/>
        <v>0</v>
      </c>
      <c r="BT116" s="310">
        <f t="shared" si="111"/>
        <v>0</v>
      </c>
      <c r="BU116" s="310">
        <f t="shared" si="101"/>
        <v>0</v>
      </c>
      <c r="BV116" s="310">
        <f t="shared" si="102"/>
        <v>0</v>
      </c>
      <c r="BW116" s="310">
        <f t="shared" si="103"/>
        <v>0</v>
      </c>
      <c r="BX116" s="311">
        <f t="shared" si="104"/>
        <v>0</v>
      </c>
      <c r="BY116" s="280">
        <f t="shared" si="105"/>
        <v>0</v>
      </c>
      <c r="BZ116" s="310">
        <f t="shared" si="106"/>
        <v>0</v>
      </c>
      <c r="CA116" s="310">
        <f t="shared" si="107"/>
        <v>0</v>
      </c>
      <c r="CB116" s="310">
        <f t="shared" si="108"/>
        <v>0</v>
      </c>
      <c r="CC116" s="310">
        <f t="shared" si="112"/>
        <v>0</v>
      </c>
      <c r="CD116" s="310">
        <f t="shared" si="112"/>
        <v>0</v>
      </c>
      <c r="CE116" s="310">
        <f t="shared" si="112"/>
        <v>0</v>
      </c>
      <c r="CF116" s="310">
        <f t="shared" si="112"/>
        <v>0</v>
      </c>
      <c r="CG116" s="310">
        <f t="shared" si="112"/>
        <v>0</v>
      </c>
      <c r="CH116" s="310">
        <f t="shared" si="112"/>
        <v>0</v>
      </c>
      <c r="CI116" s="310">
        <f t="shared" si="112"/>
        <v>0</v>
      </c>
      <c r="CJ116" s="311">
        <f t="shared" si="112"/>
        <v>0</v>
      </c>
      <c r="CK116" s="280">
        <f t="shared" si="112"/>
        <v>0</v>
      </c>
      <c r="CL116" s="310">
        <f t="shared" si="112"/>
        <v>0</v>
      </c>
      <c r="CM116" s="310">
        <f t="shared" si="112"/>
        <v>0</v>
      </c>
      <c r="CN116" s="310">
        <f t="shared" si="112"/>
        <v>0</v>
      </c>
      <c r="CO116" s="310">
        <f t="shared" si="112"/>
        <v>0</v>
      </c>
      <c r="CP116" s="310">
        <f t="shared" si="112"/>
        <v>0</v>
      </c>
      <c r="CQ116" s="310">
        <f t="shared" si="112"/>
        <v>0</v>
      </c>
      <c r="CR116" s="310">
        <f t="shared" si="112"/>
        <v>0</v>
      </c>
      <c r="CS116" s="310">
        <f t="shared" si="112"/>
        <v>0</v>
      </c>
      <c r="CT116" s="310">
        <f t="shared" si="112"/>
        <v>0</v>
      </c>
      <c r="CU116" s="310">
        <f t="shared" si="112"/>
        <v>0</v>
      </c>
      <c r="CV116" s="311">
        <f t="shared" si="112"/>
        <v>0</v>
      </c>
      <c r="CW116" s="280">
        <f t="shared" si="112"/>
        <v>0</v>
      </c>
      <c r="CX116" s="310">
        <f t="shared" si="112"/>
        <v>250.8</v>
      </c>
      <c r="CY116" s="310">
        <f t="shared" si="112"/>
        <v>275.209</v>
      </c>
      <c r="CZ116" s="310">
        <f t="shared" si="112"/>
        <v>459.10061999999999</v>
      </c>
      <c r="DA116" s="310">
        <f t="shared" si="112"/>
        <v>972.9942013000001</v>
      </c>
      <c r="DB116" s="310">
        <f t="shared" si="112"/>
        <v>1518.1570872270001</v>
      </c>
      <c r="DC116" s="310">
        <f t="shared" si="112"/>
        <v>2251.4974990378205</v>
      </c>
      <c r="DD116" s="310">
        <f t="shared" si="112"/>
        <v>3535.6292877522601</v>
      </c>
      <c r="DE116" s="310">
        <f t="shared" si="112"/>
        <v>4748.7093211135816</v>
      </c>
      <c r="DF116" s="310">
        <f t="shared" si="112"/>
        <v>5952.2153262791708</v>
      </c>
      <c r="DG116" s="310">
        <f t="shared" si="112"/>
        <v>7095.4870455040354</v>
      </c>
      <c r="DH116" s="311">
        <f t="shared" si="112"/>
        <v>8274.4819565600228</v>
      </c>
      <c r="DI116" s="280">
        <f t="shared" si="112"/>
        <v>9180.9093085300647</v>
      </c>
      <c r="DJ116" s="310">
        <f t="shared" si="112"/>
        <v>10581.508212037792</v>
      </c>
      <c r="DK116" s="310">
        <f t="shared" si="112"/>
        <v>11302.987702865556</v>
      </c>
      <c r="DL116" s="310">
        <f t="shared" si="112"/>
        <v>12373.640819701179</v>
      </c>
      <c r="DM116" s="310">
        <f t="shared" si="112"/>
        <v>11351.415962331777</v>
      </c>
      <c r="DN116" s="310">
        <f t="shared" si="112"/>
        <v>9399.21359940006</v>
      </c>
      <c r="DO116" s="310">
        <f t="shared" si="112"/>
        <v>9526.546597217759</v>
      </c>
      <c r="DP116" s="310">
        <f t="shared" si="112"/>
        <v>8747.9254231790892</v>
      </c>
      <c r="DQ116" s="310">
        <f t="shared" si="112"/>
        <v>7358.8270238478135</v>
      </c>
      <c r="DR116" s="310">
        <f t="shared" si="112"/>
        <v>7311.7297261405238</v>
      </c>
      <c r="DS116" s="310">
        <f t="shared" si="112"/>
        <v>5657.8650116020563</v>
      </c>
      <c r="DT116" s="311">
        <f t="shared" si="112"/>
        <v>3443.8516003074433</v>
      </c>
      <c r="DU116" s="3"/>
    </row>
    <row r="117" spans="2:125" ht="15" x14ac:dyDescent="0.25">
      <c r="B117" s="404" t="s">
        <v>392</v>
      </c>
      <c r="C117" s="85">
        <v>1</v>
      </c>
      <c r="D117" s="7"/>
      <c r="E117" s="406"/>
      <c r="F117" s="406"/>
      <c r="G117" s="406"/>
      <c r="H117" s="406"/>
      <c r="I117" s="406"/>
      <c r="J117" s="406"/>
      <c r="K117" s="406"/>
      <c r="L117" s="406"/>
      <c r="M117" s="406"/>
      <c r="N117" s="406"/>
      <c r="O117" s="406"/>
      <c r="P117" s="488"/>
      <c r="Q117" s="792"/>
      <c r="R117" s="312"/>
      <c r="S117" s="312"/>
      <c r="T117" s="312"/>
      <c r="U117" s="312"/>
      <c r="V117" s="312"/>
      <c r="W117" s="312"/>
      <c r="X117" s="312"/>
      <c r="Y117" s="312"/>
      <c r="Z117" s="312"/>
      <c r="AA117" s="312"/>
      <c r="AB117" s="313"/>
      <c r="AC117" s="312"/>
      <c r="AD117" s="312"/>
      <c r="AE117" s="312"/>
      <c r="AF117" s="312"/>
      <c r="AG117" s="312"/>
      <c r="AH117" s="312"/>
      <c r="AI117" s="312"/>
      <c r="AJ117" s="312"/>
      <c r="AK117" s="312"/>
      <c r="AL117" s="312"/>
      <c r="AM117" s="312"/>
      <c r="AN117" s="313"/>
      <c r="AO117" s="312"/>
      <c r="AP117" s="312"/>
      <c r="AQ117" s="312"/>
      <c r="AR117" s="312"/>
      <c r="AS117" s="312"/>
      <c r="AT117" s="312"/>
      <c r="AU117" s="312"/>
      <c r="AV117" s="312"/>
      <c r="AW117" s="312"/>
      <c r="AX117" s="312"/>
      <c r="AY117" s="312"/>
      <c r="AZ117" s="313"/>
      <c r="BA117" s="312"/>
      <c r="BB117" s="312"/>
      <c r="BC117" s="312"/>
      <c r="BD117" s="312"/>
      <c r="BE117" s="312"/>
      <c r="BF117" s="312"/>
      <c r="BG117" s="312"/>
      <c r="BH117" s="312"/>
      <c r="BI117" s="312"/>
      <c r="BJ117" s="312"/>
      <c r="BK117" s="312"/>
      <c r="BL117" s="313"/>
      <c r="BM117" s="312"/>
      <c r="BN117" s="310">
        <f t="shared" si="114"/>
        <v>0</v>
      </c>
      <c r="BO117" s="310">
        <f t="shared" si="115"/>
        <v>0</v>
      </c>
      <c r="BP117" s="310">
        <f t="shared" si="115"/>
        <v>0</v>
      </c>
      <c r="BQ117" s="310">
        <f t="shared" si="115"/>
        <v>0</v>
      </c>
      <c r="BR117" s="310">
        <f t="shared" si="115"/>
        <v>0</v>
      </c>
      <c r="BS117" s="310">
        <f t="shared" si="115"/>
        <v>0</v>
      </c>
      <c r="BT117" s="310">
        <f t="shared" si="111"/>
        <v>0</v>
      </c>
      <c r="BU117" s="310">
        <f t="shared" si="101"/>
        <v>0</v>
      </c>
      <c r="BV117" s="310">
        <f t="shared" si="102"/>
        <v>0</v>
      </c>
      <c r="BW117" s="310">
        <f t="shared" si="103"/>
        <v>0</v>
      </c>
      <c r="BX117" s="311">
        <f t="shared" si="104"/>
        <v>0</v>
      </c>
      <c r="BY117" s="280">
        <f t="shared" si="105"/>
        <v>0</v>
      </c>
      <c r="BZ117" s="310">
        <f t="shared" si="106"/>
        <v>0</v>
      </c>
      <c r="CA117" s="310">
        <f t="shared" si="107"/>
        <v>0</v>
      </c>
      <c r="CB117" s="310">
        <f t="shared" si="108"/>
        <v>0</v>
      </c>
      <c r="CC117" s="310">
        <f t="shared" si="112"/>
        <v>0</v>
      </c>
      <c r="CD117" s="310">
        <f t="shared" si="112"/>
        <v>0</v>
      </c>
      <c r="CE117" s="310">
        <f t="shared" si="112"/>
        <v>0</v>
      </c>
      <c r="CF117" s="310">
        <f t="shared" si="112"/>
        <v>0</v>
      </c>
      <c r="CG117" s="310">
        <f t="shared" si="112"/>
        <v>0</v>
      </c>
      <c r="CH117" s="310">
        <f t="shared" si="112"/>
        <v>0</v>
      </c>
      <c r="CI117" s="310">
        <f t="shared" si="112"/>
        <v>0</v>
      </c>
      <c r="CJ117" s="311">
        <f t="shared" si="112"/>
        <v>0</v>
      </c>
      <c r="CK117" s="280">
        <f t="shared" si="112"/>
        <v>0</v>
      </c>
      <c r="CL117" s="310">
        <f t="shared" si="112"/>
        <v>0</v>
      </c>
      <c r="CM117" s="310">
        <f t="shared" si="112"/>
        <v>0</v>
      </c>
      <c r="CN117" s="310">
        <f t="shared" si="112"/>
        <v>0</v>
      </c>
      <c r="CO117" s="310">
        <f t="shared" si="112"/>
        <v>0</v>
      </c>
      <c r="CP117" s="310">
        <f t="shared" si="112"/>
        <v>0</v>
      </c>
      <c r="CQ117" s="310">
        <f t="shared" si="112"/>
        <v>0</v>
      </c>
      <c r="CR117" s="310">
        <f t="shared" si="112"/>
        <v>0</v>
      </c>
      <c r="CS117" s="310">
        <f t="shared" si="112"/>
        <v>0</v>
      </c>
      <c r="CT117" s="310">
        <f t="shared" si="112"/>
        <v>0</v>
      </c>
      <c r="CU117" s="310">
        <f t="shared" si="112"/>
        <v>0</v>
      </c>
      <c r="CV117" s="311">
        <f t="shared" si="112"/>
        <v>0</v>
      </c>
      <c r="CW117" s="280">
        <f t="shared" si="112"/>
        <v>0</v>
      </c>
      <c r="CX117" s="310">
        <f t="shared" si="112"/>
        <v>0</v>
      </c>
      <c r="CY117" s="310">
        <f t="shared" si="112"/>
        <v>0</v>
      </c>
      <c r="CZ117" s="310">
        <f t="shared" si="112"/>
        <v>0</v>
      </c>
      <c r="DA117" s="310">
        <f t="shared" si="112"/>
        <v>0</v>
      </c>
      <c r="DB117" s="310">
        <f t="shared" si="112"/>
        <v>0</v>
      </c>
      <c r="DC117" s="310">
        <f t="shared" si="112"/>
        <v>0</v>
      </c>
      <c r="DD117" s="310">
        <f t="shared" si="112"/>
        <v>0</v>
      </c>
      <c r="DE117" s="310">
        <f t="shared" si="112"/>
        <v>0</v>
      </c>
      <c r="DF117" s="310">
        <f t="shared" si="112"/>
        <v>0</v>
      </c>
      <c r="DG117" s="310">
        <f t="shared" si="112"/>
        <v>0</v>
      </c>
      <c r="DH117" s="311">
        <f t="shared" si="112"/>
        <v>0</v>
      </c>
      <c r="DI117" s="280">
        <f t="shared" si="112"/>
        <v>0</v>
      </c>
      <c r="DJ117" s="310">
        <f t="shared" si="112"/>
        <v>250.8</v>
      </c>
      <c r="DK117" s="310">
        <f t="shared" si="112"/>
        <v>275.209</v>
      </c>
      <c r="DL117" s="310">
        <f t="shared" si="112"/>
        <v>459.10061999999999</v>
      </c>
      <c r="DM117" s="310">
        <f t="shared" si="112"/>
        <v>972.9942013000001</v>
      </c>
      <c r="DN117" s="310">
        <f t="shared" si="112"/>
        <v>1518.1570872270001</v>
      </c>
      <c r="DO117" s="310">
        <f t="shared" si="112"/>
        <v>2251.4974990378205</v>
      </c>
      <c r="DP117" s="310">
        <f t="shared" si="112"/>
        <v>3535.6292877522601</v>
      </c>
      <c r="DQ117" s="310">
        <f t="shared" si="112"/>
        <v>4748.7093211135816</v>
      </c>
      <c r="DR117" s="310">
        <f t="shared" si="112"/>
        <v>5952.2153262791708</v>
      </c>
      <c r="DS117" s="310">
        <f t="shared" si="112"/>
        <v>7095.4870455040354</v>
      </c>
      <c r="DT117" s="311">
        <f t="shared" si="112"/>
        <v>8274.4819565600228</v>
      </c>
      <c r="DU117" s="3"/>
    </row>
    <row r="118" spans="2:125" ht="15" x14ac:dyDescent="0.25">
      <c r="B118" s="404" t="s">
        <v>393</v>
      </c>
      <c r="C118" s="85">
        <v>1</v>
      </c>
      <c r="D118" s="7"/>
      <c r="E118" s="406"/>
      <c r="F118" s="406"/>
      <c r="G118" s="406"/>
      <c r="H118" s="406"/>
      <c r="I118" s="406"/>
      <c r="J118" s="406"/>
      <c r="K118" s="406"/>
      <c r="L118" s="406"/>
      <c r="M118" s="406"/>
      <c r="N118" s="406"/>
      <c r="O118" s="406"/>
      <c r="P118" s="488"/>
      <c r="Q118" s="792"/>
      <c r="R118" s="312"/>
      <c r="S118" s="312"/>
      <c r="T118" s="312"/>
      <c r="U118" s="312"/>
      <c r="V118" s="312"/>
      <c r="W118" s="312"/>
      <c r="X118" s="312"/>
      <c r="Y118" s="312"/>
      <c r="Z118" s="312"/>
      <c r="AA118" s="312"/>
      <c r="AB118" s="313"/>
      <c r="AC118" s="312"/>
      <c r="AD118" s="312"/>
      <c r="AE118" s="312"/>
      <c r="AF118" s="312"/>
      <c r="AG118" s="312"/>
      <c r="AH118" s="312"/>
      <c r="AI118" s="312"/>
      <c r="AJ118" s="312"/>
      <c r="AK118" s="312"/>
      <c r="AL118" s="312"/>
      <c r="AM118" s="312"/>
      <c r="AN118" s="313"/>
      <c r="AO118" s="312"/>
      <c r="AP118" s="312"/>
      <c r="AQ118" s="312"/>
      <c r="AR118" s="312"/>
      <c r="AS118" s="312"/>
      <c r="AT118" s="312"/>
      <c r="AU118" s="312"/>
      <c r="AV118" s="312"/>
      <c r="AW118" s="312"/>
      <c r="AX118" s="312"/>
      <c r="AY118" s="312"/>
      <c r="AZ118" s="313"/>
      <c r="BA118" s="312"/>
      <c r="BB118" s="312"/>
      <c r="BC118" s="312"/>
      <c r="BD118" s="312"/>
      <c r="BE118" s="312"/>
      <c r="BF118" s="312"/>
      <c r="BG118" s="312"/>
      <c r="BH118" s="312"/>
      <c r="BI118" s="312"/>
      <c r="BJ118" s="312"/>
      <c r="BK118" s="312"/>
      <c r="BL118" s="313"/>
      <c r="BM118" s="312"/>
      <c r="BN118" s="310">
        <f t="shared" si="114"/>
        <v>0</v>
      </c>
      <c r="BO118" s="310">
        <f t="shared" si="115"/>
        <v>0</v>
      </c>
      <c r="BP118" s="310">
        <f t="shared" si="115"/>
        <v>0</v>
      </c>
      <c r="BQ118" s="310">
        <f t="shared" si="115"/>
        <v>0</v>
      </c>
      <c r="BR118" s="310">
        <f t="shared" si="115"/>
        <v>0</v>
      </c>
      <c r="BS118" s="310">
        <f t="shared" si="115"/>
        <v>0</v>
      </c>
      <c r="BT118" s="310">
        <f t="shared" si="111"/>
        <v>0</v>
      </c>
      <c r="BU118" s="310">
        <f t="shared" si="101"/>
        <v>0</v>
      </c>
      <c r="BV118" s="310">
        <f t="shared" si="102"/>
        <v>0</v>
      </c>
      <c r="BW118" s="310">
        <f t="shared" si="103"/>
        <v>0</v>
      </c>
      <c r="BX118" s="311">
        <f t="shared" si="104"/>
        <v>0</v>
      </c>
      <c r="BY118" s="280">
        <f t="shared" si="105"/>
        <v>0</v>
      </c>
      <c r="BZ118" s="310">
        <f t="shared" si="106"/>
        <v>0</v>
      </c>
      <c r="CA118" s="310">
        <f t="shared" si="107"/>
        <v>0</v>
      </c>
      <c r="CB118" s="310">
        <f t="shared" si="108"/>
        <v>0</v>
      </c>
      <c r="CC118" s="310">
        <f t="shared" si="112"/>
        <v>0</v>
      </c>
      <c r="CD118" s="310">
        <f t="shared" si="112"/>
        <v>0</v>
      </c>
      <c r="CE118" s="310">
        <f t="shared" si="112"/>
        <v>0</v>
      </c>
      <c r="CF118" s="310">
        <f t="shared" si="112"/>
        <v>0</v>
      </c>
      <c r="CG118" s="310">
        <f t="shared" si="112"/>
        <v>0</v>
      </c>
      <c r="CH118" s="310">
        <f t="shared" si="112"/>
        <v>0</v>
      </c>
      <c r="CI118" s="310">
        <f t="shared" si="112"/>
        <v>0</v>
      </c>
      <c r="CJ118" s="311">
        <f t="shared" si="112"/>
        <v>0</v>
      </c>
      <c r="CK118" s="280">
        <f t="shared" si="112"/>
        <v>0</v>
      </c>
      <c r="CL118" s="310">
        <f t="shared" si="112"/>
        <v>0</v>
      </c>
      <c r="CM118" s="310">
        <f t="shared" si="112"/>
        <v>0</v>
      </c>
      <c r="CN118" s="310">
        <f t="shared" si="112"/>
        <v>0</v>
      </c>
      <c r="CO118" s="310">
        <f t="shared" si="112"/>
        <v>0</v>
      </c>
      <c r="CP118" s="310">
        <f t="shared" si="112"/>
        <v>0</v>
      </c>
      <c r="CQ118" s="310">
        <f t="shared" si="112"/>
        <v>0</v>
      </c>
      <c r="CR118" s="310">
        <f t="shared" si="112"/>
        <v>0</v>
      </c>
      <c r="CS118" s="310">
        <f t="shared" si="112"/>
        <v>0</v>
      </c>
      <c r="CT118" s="310">
        <f t="shared" si="112"/>
        <v>0</v>
      </c>
      <c r="CU118" s="310">
        <f t="shared" si="112"/>
        <v>0</v>
      </c>
      <c r="CV118" s="311">
        <f t="shared" si="112"/>
        <v>0</v>
      </c>
      <c r="CW118" s="280">
        <f t="shared" si="112"/>
        <v>0</v>
      </c>
      <c r="CX118" s="310">
        <f t="shared" si="112"/>
        <v>0</v>
      </c>
      <c r="CY118" s="310">
        <f t="shared" si="112"/>
        <v>0</v>
      </c>
      <c r="CZ118" s="310">
        <f t="shared" si="112"/>
        <v>0</v>
      </c>
      <c r="DA118" s="310">
        <f t="shared" si="112"/>
        <v>0</v>
      </c>
      <c r="DB118" s="310">
        <f t="shared" si="112"/>
        <v>0</v>
      </c>
      <c r="DC118" s="310">
        <f t="shared" si="112"/>
        <v>0</v>
      </c>
      <c r="DD118" s="310">
        <f t="shared" si="112"/>
        <v>0</v>
      </c>
      <c r="DE118" s="310">
        <f t="shared" si="112"/>
        <v>0</v>
      </c>
      <c r="DF118" s="310">
        <f t="shared" si="112"/>
        <v>0</v>
      </c>
      <c r="DG118" s="310">
        <f t="shared" si="112"/>
        <v>0</v>
      </c>
      <c r="DH118" s="311">
        <f t="shared" si="112"/>
        <v>0</v>
      </c>
      <c r="DI118" s="280">
        <f t="shared" si="112"/>
        <v>0</v>
      </c>
      <c r="DJ118" s="310">
        <f t="shared" si="112"/>
        <v>0</v>
      </c>
      <c r="DK118" s="310">
        <f t="shared" si="112"/>
        <v>0</v>
      </c>
      <c r="DL118" s="310">
        <f t="shared" ref="DL118:DT120" si="116">CZ117</f>
        <v>0</v>
      </c>
      <c r="DM118" s="310">
        <f t="shared" si="116"/>
        <v>0</v>
      </c>
      <c r="DN118" s="310">
        <f t="shared" si="116"/>
        <v>0</v>
      </c>
      <c r="DO118" s="310">
        <f t="shared" si="116"/>
        <v>0</v>
      </c>
      <c r="DP118" s="310">
        <f t="shared" si="116"/>
        <v>0</v>
      </c>
      <c r="DQ118" s="310">
        <f t="shared" si="116"/>
        <v>0</v>
      </c>
      <c r="DR118" s="310">
        <f t="shared" si="116"/>
        <v>0</v>
      </c>
      <c r="DS118" s="310">
        <f t="shared" si="116"/>
        <v>0</v>
      </c>
      <c r="DT118" s="311">
        <f t="shared" si="116"/>
        <v>0</v>
      </c>
      <c r="DU118" s="3"/>
    </row>
    <row r="119" spans="2:125" ht="15" x14ac:dyDescent="0.25">
      <c r="B119" s="404" t="s">
        <v>394</v>
      </c>
      <c r="C119" s="85">
        <v>1</v>
      </c>
      <c r="D119" s="7"/>
      <c r="E119" s="406"/>
      <c r="F119" s="406"/>
      <c r="G119" s="406"/>
      <c r="H119" s="406"/>
      <c r="I119" s="406"/>
      <c r="J119" s="406"/>
      <c r="K119" s="406"/>
      <c r="L119" s="406"/>
      <c r="M119" s="406"/>
      <c r="N119" s="406"/>
      <c r="O119" s="406"/>
      <c r="P119" s="488"/>
      <c r="Q119" s="792"/>
      <c r="R119" s="312"/>
      <c r="S119" s="312"/>
      <c r="T119" s="312"/>
      <c r="U119" s="312"/>
      <c r="V119" s="312"/>
      <c r="W119" s="312"/>
      <c r="X119" s="312"/>
      <c r="Y119" s="312"/>
      <c r="Z119" s="312"/>
      <c r="AA119" s="312"/>
      <c r="AB119" s="313"/>
      <c r="AC119" s="312"/>
      <c r="AD119" s="312"/>
      <c r="AE119" s="312"/>
      <c r="AF119" s="312"/>
      <c r="AG119" s="312"/>
      <c r="AH119" s="312"/>
      <c r="AI119" s="312"/>
      <c r="AJ119" s="312"/>
      <c r="AK119" s="312"/>
      <c r="AL119" s="312"/>
      <c r="AM119" s="312"/>
      <c r="AN119" s="313"/>
      <c r="AO119" s="312"/>
      <c r="AP119" s="312"/>
      <c r="AQ119" s="312"/>
      <c r="AR119" s="312"/>
      <c r="AS119" s="312"/>
      <c r="AT119" s="312"/>
      <c r="AU119" s="312"/>
      <c r="AV119" s="312"/>
      <c r="AW119" s="312"/>
      <c r="AX119" s="312"/>
      <c r="AY119" s="312"/>
      <c r="AZ119" s="313"/>
      <c r="BA119" s="312"/>
      <c r="BB119" s="312"/>
      <c r="BC119" s="312"/>
      <c r="BD119" s="312"/>
      <c r="BE119" s="312"/>
      <c r="BF119" s="312"/>
      <c r="BG119" s="312"/>
      <c r="BH119" s="312"/>
      <c r="BI119" s="312"/>
      <c r="BJ119" s="312"/>
      <c r="BK119" s="312"/>
      <c r="BL119" s="313"/>
      <c r="BM119" s="312"/>
      <c r="BN119" s="310">
        <f t="shared" si="114"/>
        <v>0</v>
      </c>
      <c r="BO119" s="310">
        <f t="shared" si="115"/>
        <v>0</v>
      </c>
      <c r="BP119" s="310">
        <f t="shared" si="115"/>
        <v>0</v>
      </c>
      <c r="BQ119" s="310">
        <f t="shared" si="115"/>
        <v>0</v>
      </c>
      <c r="BR119" s="310">
        <f t="shared" si="115"/>
        <v>0</v>
      </c>
      <c r="BS119" s="310">
        <f t="shared" si="115"/>
        <v>0</v>
      </c>
      <c r="BT119" s="310">
        <f t="shared" si="111"/>
        <v>0</v>
      </c>
      <c r="BU119" s="310">
        <f t="shared" si="101"/>
        <v>0</v>
      </c>
      <c r="BV119" s="310">
        <f t="shared" si="102"/>
        <v>0</v>
      </c>
      <c r="BW119" s="310">
        <f t="shared" si="103"/>
        <v>0</v>
      </c>
      <c r="BX119" s="311">
        <f t="shared" si="104"/>
        <v>0</v>
      </c>
      <c r="BY119" s="280">
        <f t="shared" si="105"/>
        <v>0</v>
      </c>
      <c r="BZ119" s="310">
        <f t="shared" si="106"/>
        <v>0</v>
      </c>
      <c r="CA119" s="310">
        <f t="shared" si="107"/>
        <v>0</v>
      </c>
      <c r="CB119" s="310">
        <f t="shared" si="108"/>
        <v>0</v>
      </c>
      <c r="CC119" s="310">
        <f t="shared" ref="CC119:CL120" si="117">BQ118</f>
        <v>0</v>
      </c>
      <c r="CD119" s="310">
        <f t="shared" si="117"/>
        <v>0</v>
      </c>
      <c r="CE119" s="310">
        <f t="shared" si="117"/>
        <v>0</v>
      </c>
      <c r="CF119" s="310">
        <f t="shared" si="117"/>
        <v>0</v>
      </c>
      <c r="CG119" s="310">
        <f t="shared" si="117"/>
        <v>0</v>
      </c>
      <c r="CH119" s="310">
        <f t="shared" si="117"/>
        <v>0</v>
      </c>
      <c r="CI119" s="310">
        <f t="shared" si="117"/>
        <v>0</v>
      </c>
      <c r="CJ119" s="311">
        <f t="shared" si="117"/>
        <v>0</v>
      </c>
      <c r="CK119" s="280">
        <f t="shared" si="117"/>
        <v>0</v>
      </c>
      <c r="CL119" s="310">
        <f t="shared" si="117"/>
        <v>0</v>
      </c>
      <c r="CM119" s="310">
        <f t="shared" ref="CM119:CV120" si="118">CA118</f>
        <v>0</v>
      </c>
      <c r="CN119" s="310">
        <f t="shared" si="118"/>
        <v>0</v>
      </c>
      <c r="CO119" s="310">
        <f t="shared" si="118"/>
        <v>0</v>
      </c>
      <c r="CP119" s="310">
        <f t="shared" si="118"/>
        <v>0</v>
      </c>
      <c r="CQ119" s="310">
        <f t="shared" si="118"/>
        <v>0</v>
      </c>
      <c r="CR119" s="310">
        <f t="shared" si="118"/>
        <v>0</v>
      </c>
      <c r="CS119" s="310">
        <f t="shared" si="118"/>
        <v>0</v>
      </c>
      <c r="CT119" s="310">
        <f t="shared" si="118"/>
        <v>0</v>
      </c>
      <c r="CU119" s="310">
        <f t="shared" si="118"/>
        <v>0</v>
      </c>
      <c r="CV119" s="311">
        <f t="shared" si="118"/>
        <v>0</v>
      </c>
      <c r="CW119" s="280">
        <f t="shared" ref="CW119:DF120" si="119">CK118</f>
        <v>0</v>
      </c>
      <c r="CX119" s="310">
        <f t="shared" si="119"/>
        <v>0</v>
      </c>
      <c r="CY119" s="310">
        <f t="shared" si="119"/>
        <v>0</v>
      </c>
      <c r="CZ119" s="310">
        <f t="shared" si="119"/>
        <v>0</v>
      </c>
      <c r="DA119" s="310">
        <f t="shared" si="119"/>
        <v>0</v>
      </c>
      <c r="DB119" s="310">
        <f t="shared" si="119"/>
        <v>0</v>
      </c>
      <c r="DC119" s="310">
        <f t="shared" si="119"/>
        <v>0</v>
      </c>
      <c r="DD119" s="310">
        <f t="shared" si="119"/>
        <v>0</v>
      </c>
      <c r="DE119" s="310">
        <f t="shared" si="119"/>
        <v>0</v>
      </c>
      <c r="DF119" s="310">
        <f t="shared" si="119"/>
        <v>0</v>
      </c>
      <c r="DG119" s="310">
        <f t="shared" ref="DG119:DK120" si="120">CU118</f>
        <v>0</v>
      </c>
      <c r="DH119" s="311">
        <f t="shared" si="120"/>
        <v>0</v>
      </c>
      <c r="DI119" s="280">
        <f t="shared" si="120"/>
        <v>0</v>
      </c>
      <c r="DJ119" s="310">
        <f t="shared" si="120"/>
        <v>0</v>
      </c>
      <c r="DK119" s="310">
        <f t="shared" si="120"/>
        <v>0</v>
      </c>
      <c r="DL119" s="310">
        <f t="shared" si="116"/>
        <v>0</v>
      </c>
      <c r="DM119" s="310">
        <f t="shared" si="116"/>
        <v>0</v>
      </c>
      <c r="DN119" s="310">
        <f t="shared" si="116"/>
        <v>0</v>
      </c>
      <c r="DO119" s="310">
        <f t="shared" si="116"/>
        <v>0</v>
      </c>
      <c r="DP119" s="310">
        <f t="shared" si="116"/>
        <v>0</v>
      </c>
      <c r="DQ119" s="310">
        <f t="shared" si="116"/>
        <v>0</v>
      </c>
      <c r="DR119" s="310">
        <f t="shared" si="116"/>
        <v>0</v>
      </c>
      <c r="DS119" s="310">
        <f t="shared" si="116"/>
        <v>0</v>
      </c>
      <c r="DT119" s="311">
        <f t="shared" si="116"/>
        <v>0</v>
      </c>
      <c r="DU119" s="3"/>
    </row>
    <row r="120" spans="2:125" ht="15" x14ac:dyDescent="0.25">
      <c r="B120" s="404" t="s">
        <v>395</v>
      </c>
      <c r="C120" s="85">
        <v>1</v>
      </c>
      <c r="D120" s="7"/>
      <c r="E120" s="406"/>
      <c r="F120" s="406"/>
      <c r="G120" s="406"/>
      <c r="H120" s="406"/>
      <c r="I120" s="406"/>
      <c r="J120" s="406"/>
      <c r="K120" s="406"/>
      <c r="L120" s="406"/>
      <c r="M120" s="406"/>
      <c r="N120" s="406"/>
      <c r="O120" s="406"/>
      <c r="P120" s="488"/>
      <c r="Q120" s="792"/>
      <c r="R120" s="312"/>
      <c r="S120" s="312"/>
      <c r="T120" s="312"/>
      <c r="U120" s="312"/>
      <c r="V120" s="312"/>
      <c r="W120" s="312"/>
      <c r="X120" s="312"/>
      <c r="Y120" s="312"/>
      <c r="Z120" s="312"/>
      <c r="AA120" s="312"/>
      <c r="AB120" s="313"/>
      <c r="AC120" s="312"/>
      <c r="AD120" s="312"/>
      <c r="AE120" s="312"/>
      <c r="AF120" s="312"/>
      <c r="AG120" s="312"/>
      <c r="AH120" s="312"/>
      <c r="AI120" s="312"/>
      <c r="AJ120" s="312"/>
      <c r="AK120" s="312"/>
      <c r="AL120" s="312"/>
      <c r="AM120" s="312"/>
      <c r="AN120" s="313"/>
      <c r="AO120" s="312"/>
      <c r="AP120" s="312"/>
      <c r="AQ120" s="312"/>
      <c r="AR120" s="312"/>
      <c r="AS120" s="312"/>
      <c r="AT120" s="312"/>
      <c r="AU120" s="312"/>
      <c r="AV120" s="312"/>
      <c r="AW120" s="312"/>
      <c r="AX120" s="312"/>
      <c r="AY120" s="312"/>
      <c r="AZ120" s="313"/>
      <c r="BA120" s="312"/>
      <c r="BB120" s="312"/>
      <c r="BC120" s="312"/>
      <c r="BD120" s="312"/>
      <c r="BE120" s="312"/>
      <c r="BF120" s="312"/>
      <c r="BG120" s="312"/>
      <c r="BH120" s="312"/>
      <c r="BI120" s="312"/>
      <c r="BJ120" s="312"/>
      <c r="BK120" s="312"/>
      <c r="BL120" s="313"/>
      <c r="BM120" s="312"/>
      <c r="BN120" s="310">
        <f t="shared" si="114"/>
        <v>0</v>
      </c>
      <c r="BO120" s="310">
        <f t="shared" si="115"/>
        <v>0</v>
      </c>
      <c r="BP120" s="310">
        <f t="shared" si="115"/>
        <v>0</v>
      </c>
      <c r="BQ120" s="310">
        <f t="shared" si="115"/>
        <v>0</v>
      </c>
      <c r="BR120" s="310">
        <f t="shared" si="115"/>
        <v>0</v>
      </c>
      <c r="BS120" s="310">
        <f t="shared" si="115"/>
        <v>0</v>
      </c>
      <c r="BT120" s="310">
        <f t="shared" si="111"/>
        <v>0</v>
      </c>
      <c r="BU120" s="310">
        <f t="shared" si="101"/>
        <v>0</v>
      </c>
      <c r="BV120" s="310">
        <f t="shared" si="102"/>
        <v>0</v>
      </c>
      <c r="BW120" s="310">
        <f t="shared" si="103"/>
        <v>0</v>
      </c>
      <c r="BX120" s="311">
        <f t="shared" si="104"/>
        <v>0</v>
      </c>
      <c r="BY120" s="280">
        <f t="shared" si="105"/>
        <v>0</v>
      </c>
      <c r="BZ120" s="310">
        <f t="shared" si="106"/>
        <v>0</v>
      </c>
      <c r="CA120" s="310">
        <f t="shared" si="107"/>
        <v>0</v>
      </c>
      <c r="CB120" s="310">
        <f t="shared" si="108"/>
        <v>0</v>
      </c>
      <c r="CC120" s="310">
        <f t="shared" si="117"/>
        <v>0</v>
      </c>
      <c r="CD120" s="310">
        <f t="shared" si="117"/>
        <v>0</v>
      </c>
      <c r="CE120" s="310">
        <f t="shared" si="117"/>
        <v>0</v>
      </c>
      <c r="CF120" s="310">
        <f t="shared" si="117"/>
        <v>0</v>
      </c>
      <c r="CG120" s="310">
        <f t="shared" si="117"/>
        <v>0</v>
      </c>
      <c r="CH120" s="310">
        <f t="shared" si="117"/>
        <v>0</v>
      </c>
      <c r="CI120" s="310">
        <f t="shared" si="117"/>
        <v>0</v>
      </c>
      <c r="CJ120" s="311">
        <f t="shared" si="117"/>
        <v>0</v>
      </c>
      <c r="CK120" s="280">
        <f t="shared" si="117"/>
        <v>0</v>
      </c>
      <c r="CL120" s="310">
        <f t="shared" si="117"/>
        <v>0</v>
      </c>
      <c r="CM120" s="310">
        <f t="shared" si="118"/>
        <v>0</v>
      </c>
      <c r="CN120" s="310">
        <f t="shared" si="118"/>
        <v>0</v>
      </c>
      <c r="CO120" s="310">
        <f t="shared" si="118"/>
        <v>0</v>
      </c>
      <c r="CP120" s="310">
        <f t="shared" si="118"/>
        <v>0</v>
      </c>
      <c r="CQ120" s="310">
        <f t="shared" si="118"/>
        <v>0</v>
      </c>
      <c r="CR120" s="310">
        <f t="shared" si="118"/>
        <v>0</v>
      </c>
      <c r="CS120" s="310">
        <f t="shared" si="118"/>
        <v>0</v>
      </c>
      <c r="CT120" s="310">
        <f t="shared" si="118"/>
        <v>0</v>
      </c>
      <c r="CU120" s="310">
        <f t="shared" si="118"/>
        <v>0</v>
      </c>
      <c r="CV120" s="311">
        <f t="shared" si="118"/>
        <v>0</v>
      </c>
      <c r="CW120" s="280">
        <f t="shared" si="119"/>
        <v>0</v>
      </c>
      <c r="CX120" s="310">
        <f t="shared" si="119"/>
        <v>0</v>
      </c>
      <c r="CY120" s="310">
        <f t="shared" si="119"/>
        <v>0</v>
      </c>
      <c r="CZ120" s="310">
        <f t="shared" si="119"/>
        <v>0</v>
      </c>
      <c r="DA120" s="310">
        <f t="shared" si="119"/>
        <v>0</v>
      </c>
      <c r="DB120" s="310">
        <f t="shared" si="119"/>
        <v>0</v>
      </c>
      <c r="DC120" s="310">
        <f t="shared" si="119"/>
        <v>0</v>
      </c>
      <c r="DD120" s="310">
        <f t="shared" si="119"/>
        <v>0</v>
      </c>
      <c r="DE120" s="310">
        <f t="shared" si="119"/>
        <v>0</v>
      </c>
      <c r="DF120" s="310">
        <f t="shared" si="119"/>
        <v>0</v>
      </c>
      <c r="DG120" s="310">
        <f t="shared" si="120"/>
        <v>0</v>
      </c>
      <c r="DH120" s="311">
        <f t="shared" si="120"/>
        <v>0</v>
      </c>
      <c r="DI120" s="280">
        <f t="shared" si="120"/>
        <v>0</v>
      </c>
      <c r="DJ120" s="310">
        <f t="shared" si="120"/>
        <v>0</v>
      </c>
      <c r="DK120" s="310">
        <f t="shared" si="120"/>
        <v>0</v>
      </c>
      <c r="DL120" s="310">
        <f t="shared" si="116"/>
        <v>0</v>
      </c>
      <c r="DM120" s="310">
        <f t="shared" si="116"/>
        <v>0</v>
      </c>
      <c r="DN120" s="310">
        <f t="shared" si="116"/>
        <v>0</v>
      </c>
      <c r="DO120" s="310">
        <f t="shared" si="116"/>
        <v>0</v>
      </c>
      <c r="DP120" s="310">
        <f t="shared" si="116"/>
        <v>0</v>
      </c>
      <c r="DQ120" s="310">
        <f t="shared" si="116"/>
        <v>0</v>
      </c>
      <c r="DR120" s="310">
        <f t="shared" si="116"/>
        <v>0</v>
      </c>
      <c r="DS120" s="310">
        <f t="shared" si="116"/>
        <v>0</v>
      </c>
      <c r="DT120" s="311">
        <f t="shared" si="116"/>
        <v>0</v>
      </c>
      <c r="DU120" s="3"/>
    </row>
    <row r="121" spans="2:125" ht="19.5" thickBot="1" x14ac:dyDescent="0.35">
      <c r="B121" s="161" t="s">
        <v>654</v>
      </c>
      <c r="C121" s="85"/>
      <c r="D121" s="7">
        <v>1.5</v>
      </c>
      <c r="E121" s="527">
        <f t="shared" ref="E121:J121" si="121">SUM(E82:E110)</f>
        <v>0</v>
      </c>
      <c r="F121" s="527">
        <f t="shared" si="121"/>
        <v>0</v>
      </c>
      <c r="G121" s="527">
        <f t="shared" si="121"/>
        <v>0</v>
      </c>
      <c r="H121" s="527">
        <f t="shared" si="121"/>
        <v>0</v>
      </c>
      <c r="I121" s="527">
        <f t="shared" si="121"/>
        <v>0</v>
      </c>
      <c r="J121" s="527">
        <f t="shared" si="121"/>
        <v>0</v>
      </c>
      <c r="K121" s="527"/>
      <c r="L121" s="527">
        <f t="shared" ref="L121:AQ121" si="122">SUM(L111:L120)</f>
        <v>0</v>
      </c>
      <c r="M121" s="527">
        <f t="shared" si="122"/>
        <v>0</v>
      </c>
      <c r="N121" s="527">
        <f t="shared" si="122"/>
        <v>0</v>
      </c>
      <c r="O121" s="527">
        <f t="shared" si="122"/>
        <v>0</v>
      </c>
      <c r="P121" s="752">
        <f t="shared" si="122"/>
        <v>0</v>
      </c>
      <c r="Q121" s="793">
        <f t="shared" si="122"/>
        <v>0</v>
      </c>
      <c r="R121" s="391">
        <f t="shared" si="122"/>
        <v>0</v>
      </c>
      <c r="S121" s="391">
        <f t="shared" si="122"/>
        <v>0</v>
      </c>
      <c r="T121" s="391">
        <f t="shared" si="122"/>
        <v>0</v>
      </c>
      <c r="U121" s="391">
        <f t="shared" si="122"/>
        <v>0</v>
      </c>
      <c r="V121" s="391">
        <f t="shared" si="122"/>
        <v>0</v>
      </c>
      <c r="W121" s="391">
        <f t="shared" si="122"/>
        <v>0</v>
      </c>
      <c r="X121" s="391">
        <f t="shared" si="122"/>
        <v>0</v>
      </c>
      <c r="Y121" s="391">
        <f t="shared" si="122"/>
        <v>0</v>
      </c>
      <c r="Z121" s="391">
        <f t="shared" si="122"/>
        <v>0</v>
      </c>
      <c r="AA121" s="391">
        <f t="shared" si="122"/>
        <v>0</v>
      </c>
      <c r="AB121" s="757">
        <f t="shared" si="122"/>
        <v>0</v>
      </c>
      <c r="AC121" s="391">
        <f t="shared" si="122"/>
        <v>0</v>
      </c>
      <c r="AD121" s="391">
        <f t="shared" si="122"/>
        <v>0</v>
      </c>
      <c r="AE121" s="391">
        <f t="shared" si="122"/>
        <v>0</v>
      </c>
      <c r="AF121" s="391">
        <f t="shared" si="122"/>
        <v>0</v>
      </c>
      <c r="AG121" s="391">
        <f t="shared" si="122"/>
        <v>0</v>
      </c>
      <c r="AH121" s="391">
        <f t="shared" si="122"/>
        <v>0</v>
      </c>
      <c r="AI121" s="391">
        <f t="shared" si="122"/>
        <v>0</v>
      </c>
      <c r="AJ121" s="391">
        <f t="shared" si="122"/>
        <v>0</v>
      </c>
      <c r="AK121" s="391">
        <f t="shared" si="122"/>
        <v>0</v>
      </c>
      <c r="AL121" s="391">
        <f t="shared" si="122"/>
        <v>0</v>
      </c>
      <c r="AM121" s="391">
        <f t="shared" si="122"/>
        <v>0</v>
      </c>
      <c r="AN121" s="757">
        <f t="shared" si="122"/>
        <v>0</v>
      </c>
      <c r="AO121" s="391">
        <f t="shared" si="122"/>
        <v>0</v>
      </c>
      <c r="AP121" s="391">
        <f t="shared" si="122"/>
        <v>250.8</v>
      </c>
      <c r="AQ121" s="391">
        <f t="shared" si="122"/>
        <v>275.209</v>
      </c>
      <c r="AR121" s="391">
        <f t="shared" ref="AR121:BW121" si="123">SUM(AR111:AR120)</f>
        <v>459.10061999999999</v>
      </c>
      <c r="AS121" s="391">
        <f t="shared" si="123"/>
        <v>972.9942013000001</v>
      </c>
      <c r="AT121" s="391">
        <f t="shared" si="123"/>
        <v>1518.1570872270001</v>
      </c>
      <c r="AU121" s="391">
        <f t="shared" si="123"/>
        <v>2251.4974990378205</v>
      </c>
      <c r="AV121" s="391">
        <f t="shared" si="123"/>
        <v>3535.6292877522601</v>
      </c>
      <c r="AW121" s="391">
        <f t="shared" si="123"/>
        <v>4748.7093211135816</v>
      </c>
      <c r="AX121" s="391">
        <f t="shared" si="123"/>
        <v>5952.2153262791708</v>
      </c>
      <c r="AY121" s="391">
        <f t="shared" si="123"/>
        <v>7095.4870455040354</v>
      </c>
      <c r="AZ121" s="757">
        <f t="shared" si="123"/>
        <v>8274.4819565600228</v>
      </c>
      <c r="BA121" s="391">
        <f t="shared" si="123"/>
        <v>9180.9093085300647</v>
      </c>
      <c r="BB121" s="391">
        <f t="shared" si="123"/>
        <v>10832.308212037791</v>
      </c>
      <c r="BC121" s="391">
        <f t="shared" si="123"/>
        <v>11578.196702865556</v>
      </c>
      <c r="BD121" s="391">
        <f t="shared" si="123"/>
        <v>12832.741439701178</v>
      </c>
      <c r="BE121" s="391">
        <f t="shared" si="123"/>
        <v>12324.410163631777</v>
      </c>
      <c r="BF121" s="391">
        <f t="shared" si="123"/>
        <v>10917.37068662706</v>
      </c>
      <c r="BG121" s="391">
        <f t="shared" si="123"/>
        <v>11778.04409625558</v>
      </c>
      <c r="BH121" s="391">
        <f t="shared" si="123"/>
        <v>12283.554710931348</v>
      </c>
      <c r="BI121" s="391">
        <f t="shared" si="123"/>
        <v>12107.536344961394</v>
      </c>
      <c r="BJ121" s="391">
        <f t="shared" si="123"/>
        <v>13263.945052419695</v>
      </c>
      <c r="BK121" s="391">
        <f t="shared" si="123"/>
        <v>12753.352057106091</v>
      </c>
      <c r="BL121" s="757">
        <f t="shared" si="123"/>
        <v>11718.333556867467</v>
      </c>
      <c r="BM121" s="391">
        <f t="shared" si="123"/>
        <v>10245.085783519606</v>
      </c>
      <c r="BN121" s="391">
        <f t="shared" si="123"/>
        <v>10832.308212037791</v>
      </c>
      <c r="BO121" s="391">
        <f t="shared" si="123"/>
        <v>11578.196702865556</v>
      </c>
      <c r="BP121" s="391">
        <f t="shared" si="123"/>
        <v>12832.741439701178</v>
      </c>
      <c r="BQ121" s="391">
        <f t="shared" si="123"/>
        <v>12324.410163631777</v>
      </c>
      <c r="BR121" s="391">
        <f t="shared" si="123"/>
        <v>10917.37068662706</v>
      </c>
      <c r="BS121" s="391">
        <f t="shared" si="123"/>
        <v>11778.04409625558</v>
      </c>
      <c r="BT121" s="391">
        <f t="shared" si="123"/>
        <v>12283.554710931348</v>
      </c>
      <c r="BU121" s="391">
        <f t="shared" si="123"/>
        <v>12107.536344961394</v>
      </c>
      <c r="BV121" s="391">
        <f t="shared" si="123"/>
        <v>13263.945052419695</v>
      </c>
      <c r="BW121" s="391">
        <f t="shared" si="123"/>
        <v>12753.352057106091</v>
      </c>
      <c r="BX121" s="757">
        <f t="shared" ref="BX121:DC121" si="124">SUM(BX111:BX120)</f>
        <v>11718.333556867467</v>
      </c>
      <c r="BY121" s="391">
        <f t="shared" si="124"/>
        <v>10245.085783519606</v>
      </c>
      <c r="BZ121" s="391">
        <f t="shared" si="124"/>
        <v>10832.308212037791</v>
      </c>
      <c r="CA121" s="391">
        <f t="shared" si="124"/>
        <v>11578.196702865556</v>
      </c>
      <c r="CB121" s="391">
        <f t="shared" si="124"/>
        <v>12832.741439701178</v>
      </c>
      <c r="CC121" s="391">
        <f t="shared" si="124"/>
        <v>12324.410163631777</v>
      </c>
      <c r="CD121" s="391">
        <f t="shared" si="124"/>
        <v>10917.37068662706</v>
      </c>
      <c r="CE121" s="391">
        <f t="shared" si="124"/>
        <v>11778.04409625558</v>
      </c>
      <c r="CF121" s="391">
        <f t="shared" si="124"/>
        <v>12283.554710931348</v>
      </c>
      <c r="CG121" s="391">
        <f t="shared" si="124"/>
        <v>12107.536344961394</v>
      </c>
      <c r="CH121" s="391">
        <f t="shared" si="124"/>
        <v>13263.945052419695</v>
      </c>
      <c r="CI121" s="391">
        <f t="shared" si="124"/>
        <v>12753.352057106091</v>
      </c>
      <c r="CJ121" s="757">
        <f t="shared" si="124"/>
        <v>11718.333556867467</v>
      </c>
      <c r="CK121" s="391">
        <f t="shared" si="124"/>
        <v>10245.085783519606</v>
      </c>
      <c r="CL121" s="391">
        <f t="shared" si="124"/>
        <v>10832.308212037791</v>
      </c>
      <c r="CM121" s="391">
        <f t="shared" si="124"/>
        <v>11578.196702865556</v>
      </c>
      <c r="CN121" s="391">
        <f t="shared" si="124"/>
        <v>12832.741439701178</v>
      </c>
      <c r="CO121" s="391">
        <f t="shared" si="124"/>
        <v>12324.410163631777</v>
      </c>
      <c r="CP121" s="391">
        <f t="shared" si="124"/>
        <v>10917.37068662706</v>
      </c>
      <c r="CQ121" s="391">
        <f t="shared" si="124"/>
        <v>11778.04409625558</v>
      </c>
      <c r="CR121" s="391">
        <f t="shared" si="124"/>
        <v>12283.554710931348</v>
      </c>
      <c r="CS121" s="391">
        <f t="shared" si="124"/>
        <v>12107.536344961394</v>
      </c>
      <c r="CT121" s="391">
        <f t="shared" si="124"/>
        <v>13263.945052419695</v>
      </c>
      <c r="CU121" s="391">
        <f t="shared" si="124"/>
        <v>12753.352057106091</v>
      </c>
      <c r="CV121" s="757">
        <f t="shared" si="124"/>
        <v>11718.333556867467</v>
      </c>
      <c r="CW121" s="391">
        <f t="shared" si="124"/>
        <v>10245.085783519606</v>
      </c>
      <c r="CX121" s="391">
        <f t="shared" si="124"/>
        <v>10832.308212037791</v>
      </c>
      <c r="CY121" s="391">
        <f t="shared" si="124"/>
        <v>11578.196702865556</v>
      </c>
      <c r="CZ121" s="391">
        <f t="shared" si="124"/>
        <v>12832.741439701178</v>
      </c>
      <c r="DA121" s="391">
        <f t="shared" si="124"/>
        <v>12324.410163631777</v>
      </c>
      <c r="DB121" s="391">
        <f t="shared" si="124"/>
        <v>10917.37068662706</v>
      </c>
      <c r="DC121" s="391">
        <f t="shared" si="124"/>
        <v>11778.04409625558</v>
      </c>
      <c r="DD121" s="391">
        <f t="shared" ref="DD121:DT121" si="125">SUM(DD111:DD120)</f>
        <v>12283.554710931348</v>
      </c>
      <c r="DE121" s="391">
        <f t="shared" si="125"/>
        <v>12107.536344961394</v>
      </c>
      <c r="DF121" s="391">
        <f t="shared" si="125"/>
        <v>13263.945052419695</v>
      </c>
      <c r="DG121" s="391">
        <f t="shared" si="125"/>
        <v>12753.352057106091</v>
      </c>
      <c r="DH121" s="757">
        <f t="shared" si="125"/>
        <v>11718.333556867467</v>
      </c>
      <c r="DI121" s="391">
        <f t="shared" si="125"/>
        <v>10245.085783519606</v>
      </c>
      <c r="DJ121" s="391">
        <f t="shared" si="125"/>
        <v>10832.308212037791</v>
      </c>
      <c r="DK121" s="391">
        <f t="shared" si="125"/>
        <v>11578.196702865556</v>
      </c>
      <c r="DL121" s="391">
        <f t="shared" si="125"/>
        <v>12832.741439701178</v>
      </c>
      <c r="DM121" s="391">
        <f t="shared" si="125"/>
        <v>12324.410163631777</v>
      </c>
      <c r="DN121" s="391">
        <f t="shared" si="125"/>
        <v>10917.37068662706</v>
      </c>
      <c r="DO121" s="391">
        <f t="shared" si="125"/>
        <v>11778.04409625558</v>
      </c>
      <c r="DP121" s="391">
        <f t="shared" si="125"/>
        <v>12283.554710931348</v>
      </c>
      <c r="DQ121" s="391">
        <f t="shared" si="125"/>
        <v>12107.536344961394</v>
      </c>
      <c r="DR121" s="391">
        <f t="shared" si="125"/>
        <v>13263.945052419695</v>
      </c>
      <c r="DS121" s="391">
        <f t="shared" si="125"/>
        <v>12753.352057106091</v>
      </c>
      <c r="DT121" s="757">
        <f t="shared" si="125"/>
        <v>11718.333556867467</v>
      </c>
      <c r="DU121" s="3"/>
    </row>
    <row r="122" spans="2:125" ht="33" x14ac:dyDescent="0.3">
      <c r="B122" s="161" t="s">
        <v>657</v>
      </c>
      <c r="C122" s="3">
        <v>15</v>
      </c>
      <c r="D122" s="842"/>
      <c r="E122" s="484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694"/>
      <c r="Q122" s="541"/>
      <c r="R122" s="272"/>
      <c r="S122" s="272"/>
      <c r="T122" s="272"/>
      <c r="U122" s="272"/>
      <c r="V122" s="272"/>
      <c r="W122" s="272"/>
      <c r="X122" s="272"/>
      <c r="Y122" s="272"/>
      <c r="Z122" s="272"/>
      <c r="AA122" s="272"/>
      <c r="AB122" s="603"/>
      <c r="AC122" s="272"/>
      <c r="AD122" s="272"/>
      <c r="AE122" s="272"/>
      <c r="AF122" s="272"/>
      <c r="AG122" s="272"/>
      <c r="AH122" s="272"/>
      <c r="AI122" s="272"/>
      <c r="AJ122" s="272"/>
      <c r="AK122" s="272"/>
      <c r="AL122" s="272"/>
      <c r="AM122" s="272"/>
      <c r="AN122" s="603"/>
      <c r="AO122" s="272"/>
      <c r="AP122" s="272"/>
      <c r="AQ122" s="272"/>
      <c r="AR122" s="272"/>
      <c r="AS122" s="272"/>
      <c r="AT122" s="272"/>
      <c r="AU122" s="272"/>
      <c r="AV122" s="272"/>
      <c r="AW122" s="272"/>
      <c r="AX122" s="272"/>
      <c r="AY122" s="272"/>
      <c r="AZ122" s="603"/>
      <c r="BA122" s="272"/>
      <c r="BB122" s="272"/>
      <c r="BC122" s="272"/>
      <c r="BD122" s="272"/>
      <c r="BE122" s="272"/>
      <c r="BF122" s="272"/>
      <c r="BG122" s="272"/>
      <c r="BH122" s="272"/>
      <c r="BI122" s="272"/>
      <c r="BJ122" s="272"/>
      <c r="BK122" s="272"/>
      <c r="BL122" s="603"/>
      <c r="BM122" s="272"/>
      <c r="BN122" s="272"/>
      <c r="BO122" s="272"/>
      <c r="BP122" s="272"/>
      <c r="BQ122" s="272"/>
      <c r="BR122" s="272"/>
      <c r="BS122" s="272"/>
      <c r="BT122" s="272"/>
      <c r="BU122" s="272"/>
      <c r="BV122" s="272"/>
      <c r="BW122" s="272"/>
      <c r="BX122" s="603"/>
      <c r="BY122" s="272"/>
      <c r="BZ122" s="272"/>
      <c r="CA122" s="272"/>
      <c r="CB122" s="272"/>
      <c r="CC122" s="272"/>
      <c r="CD122" s="272"/>
      <c r="CE122" s="272"/>
      <c r="CF122" s="272"/>
      <c r="CG122" s="272"/>
      <c r="CH122" s="272"/>
      <c r="CI122" s="272"/>
      <c r="CJ122" s="603"/>
      <c r="CK122" s="272"/>
      <c r="CL122" s="272"/>
      <c r="CM122" s="272"/>
      <c r="CN122" s="272"/>
      <c r="CO122" s="272"/>
      <c r="CP122" s="272"/>
      <c r="CQ122" s="272"/>
      <c r="CR122" s="272"/>
      <c r="CS122" s="272"/>
      <c r="CT122" s="272"/>
      <c r="CU122" s="272"/>
      <c r="CV122" s="603"/>
      <c r="CW122" s="272"/>
      <c r="CX122" s="272"/>
      <c r="CY122" s="272"/>
      <c r="CZ122" s="272"/>
      <c r="DA122" s="272"/>
      <c r="DB122" s="272"/>
      <c r="DC122" s="272"/>
      <c r="DD122" s="272"/>
      <c r="DE122" s="272"/>
      <c r="DF122" s="272"/>
      <c r="DG122" s="272"/>
      <c r="DH122" s="603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603"/>
      <c r="DU122" s="3"/>
    </row>
    <row r="123" spans="2:125" ht="15" x14ac:dyDescent="0.25">
      <c r="B123" s="404" t="s">
        <v>372</v>
      </c>
      <c r="C123" s="3">
        <v>15</v>
      </c>
      <c r="D123" s="3"/>
      <c r="E123" s="403"/>
      <c r="F123" s="403"/>
      <c r="G123" s="403"/>
      <c r="H123" s="403"/>
      <c r="I123" s="403"/>
      <c r="J123" s="403"/>
      <c r="K123" s="403"/>
      <c r="L123" s="403"/>
      <c r="M123" s="403"/>
      <c r="N123" s="403"/>
      <c r="O123" s="403"/>
      <c r="P123" s="486"/>
      <c r="Q123" s="344"/>
      <c r="R123" s="109"/>
      <c r="S123" s="109"/>
      <c r="T123" s="109"/>
      <c r="U123" s="109"/>
      <c r="V123" s="900">
        <f>_xlfn.CEILING.MATH(V28/$C$122/$C$123,1)</f>
        <v>8</v>
      </c>
      <c r="W123" s="900">
        <f>_xlfn.CEILING.MATH(W28/$C$122/$C$123,1)</f>
        <v>15</v>
      </c>
      <c r="X123" s="109"/>
      <c r="Y123" s="109"/>
      <c r="Z123" s="109"/>
      <c r="AA123" s="109"/>
      <c r="AB123" s="695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695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695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695"/>
      <c r="BM123" s="109"/>
      <c r="BN123" s="109"/>
      <c r="BO123" s="109"/>
      <c r="BP123" s="109"/>
      <c r="BQ123" s="109"/>
      <c r="BR123" s="109"/>
      <c r="BS123" s="109"/>
      <c r="BT123" s="109"/>
      <c r="BU123" s="109"/>
      <c r="BV123" s="109"/>
      <c r="BW123" s="109"/>
      <c r="BX123" s="695"/>
      <c r="BY123" s="109"/>
      <c r="BZ123" s="109"/>
      <c r="CA123" s="109"/>
      <c r="CB123" s="109"/>
      <c r="CC123" s="109"/>
      <c r="CD123" s="109"/>
      <c r="CE123" s="109"/>
      <c r="CF123" s="109"/>
      <c r="CG123" s="109"/>
      <c r="CH123" s="109"/>
      <c r="CI123" s="109"/>
      <c r="CJ123" s="695"/>
      <c r="CK123" s="109"/>
      <c r="CL123" s="109"/>
      <c r="CM123" s="109"/>
      <c r="CN123" s="109"/>
      <c r="CO123" s="109"/>
      <c r="CP123" s="109"/>
      <c r="CQ123" s="109"/>
      <c r="CR123" s="109"/>
      <c r="CS123" s="109"/>
      <c r="CT123" s="109"/>
      <c r="CU123" s="109"/>
      <c r="CV123" s="695"/>
      <c r="CW123" s="109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09"/>
      <c r="DH123" s="695"/>
      <c r="DI123" s="109"/>
      <c r="DJ123" s="109"/>
      <c r="DK123" s="109"/>
      <c r="DL123" s="109"/>
      <c r="DM123" s="109"/>
      <c r="DN123" s="109"/>
      <c r="DO123" s="109"/>
      <c r="DP123" s="109"/>
      <c r="DQ123" s="387"/>
      <c r="DR123" s="387"/>
      <c r="DS123" s="387"/>
      <c r="DT123" s="743"/>
      <c r="DU123" s="3"/>
    </row>
    <row r="124" spans="2:125" ht="15" x14ac:dyDescent="0.25">
      <c r="B124" s="404" t="s">
        <v>387</v>
      </c>
      <c r="C124" s="3">
        <v>1</v>
      </c>
      <c r="D124" s="3"/>
      <c r="E124" s="403"/>
      <c r="F124" s="403"/>
      <c r="G124" s="403"/>
      <c r="H124" s="403"/>
      <c r="I124" s="403"/>
      <c r="J124" s="403"/>
      <c r="K124" s="403"/>
      <c r="L124" s="403"/>
      <c r="M124" s="403"/>
      <c r="N124" s="403"/>
      <c r="O124" s="403"/>
      <c r="P124" s="486"/>
      <c r="Q124" s="344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>
        <f>O123</f>
        <v>0</v>
      </c>
      <c r="AB124" s="110">
        <f t="shared" ref="AB124:BN127" si="126">P123</f>
        <v>0</v>
      </c>
      <c r="AC124" s="109">
        <f t="shared" si="126"/>
        <v>0</v>
      </c>
      <c r="AD124" s="108">
        <f t="shared" si="126"/>
        <v>0</v>
      </c>
      <c r="AE124" s="108">
        <f t="shared" si="126"/>
        <v>0</v>
      </c>
      <c r="AF124" s="108">
        <f t="shared" si="126"/>
        <v>0</v>
      </c>
      <c r="AG124" s="108">
        <f t="shared" si="126"/>
        <v>0</v>
      </c>
      <c r="AH124" s="108">
        <f t="shared" si="126"/>
        <v>8</v>
      </c>
      <c r="AI124" s="108">
        <f t="shared" si="126"/>
        <v>15</v>
      </c>
      <c r="AJ124" s="108">
        <f t="shared" si="126"/>
        <v>0</v>
      </c>
      <c r="AK124" s="108">
        <f t="shared" si="126"/>
        <v>0</v>
      </c>
      <c r="AL124" s="108">
        <f t="shared" si="126"/>
        <v>0</v>
      </c>
      <c r="AM124" s="108">
        <f t="shared" si="126"/>
        <v>0</v>
      </c>
      <c r="AN124" s="110">
        <f t="shared" si="126"/>
        <v>0</v>
      </c>
      <c r="AO124" s="109">
        <f t="shared" si="126"/>
        <v>0</v>
      </c>
      <c r="AP124" s="108">
        <f t="shared" si="126"/>
        <v>0</v>
      </c>
      <c r="AQ124" s="108">
        <f t="shared" si="126"/>
        <v>0</v>
      </c>
      <c r="AR124" s="108">
        <f t="shared" si="126"/>
        <v>0</v>
      </c>
      <c r="AS124" s="108">
        <f t="shared" si="126"/>
        <v>0</v>
      </c>
      <c r="AT124" s="108">
        <f t="shared" si="126"/>
        <v>0</v>
      </c>
      <c r="AU124" s="108">
        <f t="shared" si="126"/>
        <v>0</v>
      </c>
      <c r="AV124" s="108">
        <f t="shared" si="126"/>
        <v>0</v>
      </c>
      <c r="AW124" s="108">
        <f t="shared" si="126"/>
        <v>0</v>
      </c>
      <c r="AX124" s="108">
        <f t="shared" si="126"/>
        <v>0</v>
      </c>
      <c r="AY124" s="108">
        <f t="shared" si="126"/>
        <v>0</v>
      </c>
      <c r="AZ124" s="110">
        <f t="shared" si="126"/>
        <v>0</v>
      </c>
      <c r="BA124" s="109">
        <f t="shared" si="126"/>
        <v>0</v>
      </c>
      <c r="BB124" s="108">
        <f t="shared" si="126"/>
        <v>0</v>
      </c>
      <c r="BC124" s="108">
        <f t="shared" si="126"/>
        <v>0</v>
      </c>
      <c r="BD124" s="108">
        <f t="shared" si="126"/>
        <v>0</v>
      </c>
      <c r="BE124" s="108">
        <f t="shared" si="126"/>
        <v>0</v>
      </c>
      <c r="BF124" s="108">
        <f t="shared" si="126"/>
        <v>0</v>
      </c>
      <c r="BG124" s="108">
        <f t="shared" si="126"/>
        <v>0</v>
      </c>
      <c r="BH124" s="108">
        <f t="shared" si="126"/>
        <v>0</v>
      </c>
      <c r="BI124" s="108">
        <f t="shared" si="126"/>
        <v>0</v>
      </c>
      <c r="BJ124" s="108">
        <f t="shared" si="126"/>
        <v>0</v>
      </c>
      <c r="BK124" s="108">
        <f t="shared" si="126"/>
        <v>0</v>
      </c>
      <c r="BL124" s="110">
        <f t="shared" si="126"/>
        <v>0</v>
      </c>
      <c r="BM124" s="109">
        <f t="shared" si="126"/>
        <v>0</v>
      </c>
      <c r="BN124" s="108">
        <f t="shared" si="126"/>
        <v>0</v>
      </c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10"/>
      <c r="BY124" s="109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10"/>
      <c r="CK124" s="109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10"/>
      <c r="CW124" s="109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10"/>
      <c r="DI124" s="109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10"/>
      <c r="DU124" s="3"/>
    </row>
    <row r="125" spans="2:125" ht="15" x14ac:dyDescent="0.25">
      <c r="B125" s="404" t="s">
        <v>388</v>
      </c>
      <c r="E125" s="403"/>
      <c r="F125" s="403"/>
      <c r="G125" s="403"/>
      <c r="H125" s="403"/>
      <c r="I125" s="403"/>
      <c r="J125" s="403"/>
      <c r="K125" s="403"/>
      <c r="L125" s="403"/>
      <c r="M125" s="403"/>
      <c r="N125" s="403"/>
      <c r="O125" s="403"/>
      <c r="P125" s="486"/>
      <c r="Q125" s="344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10"/>
      <c r="AC125" s="109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>
        <f>AA124</f>
        <v>0</v>
      </c>
      <c r="AN125" s="110">
        <f t="shared" si="126"/>
        <v>0</v>
      </c>
      <c r="AO125" s="109">
        <f t="shared" si="126"/>
        <v>0</v>
      </c>
      <c r="AP125" s="108">
        <f t="shared" si="126"/>
        <v>0</v>
      </c>
      <c r="AQ125" s="108">
        <f t="shared" si="126"/>
        <v>0</v>
      </c>
      <c r="AR125" s="108">
        <f t="shared" si="126"/>
        <v>0</v>
      </c>
      <c r="AS125" s="108">
        <f t="shared" si="126"/>
        <v>0</v>
      </c>
      <c r="AT125" s="108">
        <f t="shared" si="126"/>
        <v>8</v>
      </c>
      <c r="AU125" s="108">
        <f t="shared" si="126"/>
        <v>15</v>
      </c>
      <c r="AV125" s="108">
        <f t="shared" si="126"/>
        <v>0</v>
      </c>
      <c r="AW125" s="108">
        <f t="shared" si="126"/>
        <v>0</v>
      </c>
      <c r="AX125" s="108">
        <f t="shared" si="126"/>
        <v>0</v>
      </c>
      <c r="AY125" s="108">
        <f t="shared" si="126"/>
        <v>0</v>
      </c>
      <c r="AZ125" s="110">
        <f t="shared" si="126"/>
        <v>0</v>
      </c>
      <c r="BA125" s="109">
        <f t="shared" si="126"/>
        <v>0</v>
      </c>
      <c r="BB125" s="108">
        <f t="shared" si="126"/>
        <v>0</v>
      </c>
      <c r="BC125" s="108">
        <f t="shared" si="126"/>
        <v>0</v>
      </c>
      <c r="BD125" s="108">
        <f t="shared" si="126"/>
        <v>0</v>
      </c>
      <c r="BE125" s="108">
        <f t="shared" si="126"/>
        <v>0</v>
      </c>
      <c r="BF125" s="108">
        <f t="shared" si="126"/>
        <v>0</v>
      </c>
      <c r="BG125" s="108">
        <f t="shared" si="126"/>
        <v>0</v>
      </c>
      <c r="BH125" s="108">
        <f t="shared" si="126"/>
        <v>0</v>
      </c>
      <c r="BI125" s="108">
        <f t="shared" si="126"/>
        <v>0</v>
      </c>
      <c r="BJ125" s="108">
        <f t="shared" si="126"/>
        <v>0</v>
      </c>
      <c r="BK125" s="108">
        <f t="shared" si="126"/>
        <v>0</v>
      </c>
      <c r="BL125" s="110">
        <f t="shared" si="126"/>
        <v>0</v>
      </c>
      <c r="BM125" s="109">
        <f t="shared" si="126"/>
        <v>0</v>
      </c>
      <c r="BN125" s="108">
        <f t="shared" si="126"/>
        <v>0</v>
      </c>
      <c r="BO125" s="108">
        <f t="shared" ref="BO125:CD128" si="127">BC124</f>
        <v>0</v>
      </c>
      <c r="BP125" s="108">
        <f t="shared" si="127"/>
        <v>0</v>
      </c>
      <c r="BQ125" s="108">
        <f t="shared" si="127"/>
        <v>0</v>
      </c>
      <c r="BR125" s="108">
        <f t="shared" si="127"/>
        <v>0</v>
      </c>
      <c r="BS125" s="108">
        <f t="shared" si="127"/>
        <v>0</v>
      </c>
      <c r="BT125" s="108">
        <f t="shared" si="127"/>
        <v>0</v>
      </c>
      <c r="BU125" s="108">
        <f t="shared" si="127"/>
        <v>0</v>
      </c>
      <c r="BV125" s="108">
        <f t="shared" si="127"/>
        <v>0</v>
      </c>
      <c r="BW125" s="108">
        <f t="shared" si="127"/>
        <v>0</v>
      </c>
      <c r="BX125" s="110">
        <f t="shared" si="127"/>
        <v>0</v>
      </c>
      <c r="BY125" s="109">
        <f t="shared" si="127"/>
        <v>0</v>
      </c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10"/>
      <c r="CK125" s="109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10"/>
      <c r="CW125" s="109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10"/>
      <c r="DI125" s="109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10"/>
      <c r="DU125" s="3"/>
    </row>
    <row r="126" spans="2:125" ht="15" x14ac:dyDescent="0.25">
      <c r="B126" s="404" t="s">
        <v>389</v>
      </c>
      <c r="E126" s="534"/>
      <c r="F126" s="534"/>
      <c r="G126" s="534"/>
      <c r="H126" s="534"/>
      <c r="I126" s="534"/>
      <c r="J126" s="534"/>
      <c r="K126" s="463"/>
      <c r="L126" s="463"/>
      <c r="M126" s="463"/>
      <c r="N126" s="463"/>
      <c r="O126" s="463"/>
      <c r="P126" s="487"/>
      <c r="Q126" s="474"/>
      <c r="R126" s="310"/>
      <c r="S126" s="310"/>
      <c r="T126" s="310"/>
      <c r="U126" s="310"/>
      <c r="V126" s="310"/>
      <c r="W126" s="310"/>
      <c r="X126" s="310"/>
      <c r="Y126" s="310"/>
      <c r="Z126" s="310"/>
      <c r="AA126" s="310"/>
      <c r="AB126" s="311"/>
      <c r="AC126" s="280"/>
      <c r="AD126" s="310"/>
      <c r="AE126" s="310"/>
      <c r="AF126" s="310"/>
      <c r="AG126" s="310"/>
      <c r="AH126" s="310"/>
      <c r="AI126" s="310"/>
      <c r="AJ126" s="310"/>
      <c r="AK126" s="310"/>
      <c r="AL126" s="310"/>
      <c r="AM126" s="310"/>
      <c r="AN126" s="311"/>
      <c r="AO126" s="280"/>
      <c r="AP126" s="310"/>
      <c r="AQ126" s="310"/>
      <c r="AR126" s="310"/>
      <c r="AS126" s="310"/>
      <c r="AT126" s="310"/>
      <c r="AU126" s="310"/>
      <c r="AV126" s="310"/>
      <c r="AW126" s="310"/>
      <c r="AX126" s="310"/>
      <c r="AY126" s="310">
        <f>AM125</f>
        <v>0</v>
      </c>
      <c r="AZ126" s="311">
        <f t="shared" si="126"/>
        <v>0</v>
      </c>
      <c r="BA126" s="280">
        <f t="shared" si="126"/>
        <v>0</v>
      </c>
      <c r="BB126" s="310">
        <f t="shared" si="126"/>
        <v>0</v>
      </c>
      <c r="BC126" s="310">
        <f t="shared" si="126"/>
        <v>0</v>
      </c>
      <c r="BD126" s="310">
        <f t="shared" si="126"/>
        <v>0</v>
      </c>
      <c r="BE126" s="310">
        <f t="shared" si="126"/>
        <v>0</v>
      </c>
      <c r="BF126" s="310">
        <f t="shared" si="126"/>
        <v>8</v>
      </c>
      <c r="BG126" s="310">
        <f t="shared" si="126"/>
        <v>15</v>
      </c>
      <c r="BH126" s="310">
        <f t="shared" si="126"/>
        <v>0</v>
      </c>
      <c r="BI126" s="310">
        <f t="shared" si="126"/>
        <v>0</v>
      </c>
      <c r="BJ126" s="310">
        <f t="shared" si="126"/>
        <v>0</v>
      </c>
      <c r="BK126" s="310">
        <f t="shared" si="126"/>
        <v>0</v>
      </c>
      <c r="BL126" s="311">
        <f t="shared" si="126"/>
        <v>0</v>
      </c>
      <c r="BM126" s="280">
        <f t="shared" si="126"/>
        <v>0</v>
      </c>
      <c r="BN126" s="310">
        <f t="shared" si="126"/>
        <v>0</v>
      </c>
      <c r="BO126" s="310">
        <f t="shared" si="127"/>
        <v>0</v>
      </c>
      <c r="BP126" s="310">
        <f t="shared" si="127"/>
        <v>0</v>
      </c>
      <c r="BQ126" s="310">
        <f t="shared" si="127"/>
        <v>0</v>
      </c>
      <c r="BR126" s="310">
        <f t="shared" si="127"/>
        <v>0</v>
      </c>
      <c r="BS126" s="310">
        <f t="shared" si="127"/>
        <v>0</v>
      </c>
      <c r="BT126" s="310">
        <f t="shared" si="127"/>
        <v>0</v>
      </c>
      <c r="BU126" s="310">
        <f t="shared" si="127"/>
        <v>0</v>
      </c>
      <c r="BV126" s="310">
        <f t="shared" si="127"/>
        <v>0</v>
      </c>
      <c r="BW126" s="310">
        <f t="shared" si="127"/>
        <v>0</v>
      </c>
      <c r="BX126" s="311">
        <f t="shared" si="127"/>
        <v>0</v>
      </c>
      <c r="BY126" s="280">
        <f t="shared" si="127"/>
        <v>0</v>
      </c>
      <c r="BZ126" s="310">
        <f t="shared" si="127"/>
        <v>0</v>
      </c>
      <c r="CA126" s="310">
        <f t="shared" si="127"/>
        <v>0</v>
      </c>
      <c r="CB126" s="310">
        <f t="shared" si="127"/>
        <v>0</v>
      </c>
      <c r="CC126" s="310">
        <f t="shared" si="127"/>
        <v>0</v>
      </c>
      <c r="CD126" s="310">
        <f t="shared" si="127"/>
        <v>0</v>
      </c>
      <c r="CE126" s="310">
        <f t="shared" ref="CE126:CT129" si="128">BS125</f>
        <v>0</v>
      </c>
      <c r="CF126" s="310">
        <f t="shared" si="128"/>
        <v>0</v>
      </c>
      <c r="CG126" s="310">
        <f t="shared" si="128"/>
        <v>0</v>
      </c>
      <c r="CH126" s="310">
        <f t="shared" si="128"/>
        <v>0</v>
      </c>
      <c r="CI126" s="310">
        <f t="shared" si="128"/>
        <v>0</v>
      </c>
      <c r="CJ126" s="311">
        <f t="shared" si="128"/>
        <v>0</v>
      </c>
      <c r="CK126" s="280">
        <f t="shared" si="128"/>
        <v>0</v>
      </c>
      <c r="CL126" s="310">
        <f t="shared" si="128"/>
        <v>0</v>
      </c>
      <c r="CM126" s="310">
        <f t="shared" si="128"/>
        <v>0</v>
      </c>
      <c r="CN126" s="310">
        <f t="shared" si="128"/>
        <v>0</v>
      </c>
      <c r="CO126" s="310">
        <f t="shared" si="128"/>
        <v>0</v>
      </c>
      <c r="CP126" s="310">
        <f t="shared" si="128"/>
        <v>0</v>
      </c>
      <c r="CQ126" s="310">
        <f t="shared" si="128"/>
        <v>0</v>
      </c>
      <c r="CR126" s="310">
        <f t="shared" si="128"/>
        <v>0</v>
      </c>
      <c r="CS126" s="310">
        <f t="shared" si="128"/>
        <v>0</v>
      </c>
      <c r="CT126" s="310">
        <f t="shared" si="128"/>
        <v>0</v>
      </c>
      <c r="CU126" s="310">
        <f t="shared" ref="CU126:DJ131" si="129">CI125</f>
        <v>0</v>
      </c>
      <c r="CV126" s="311">
        <f t="shared" si="129"/>
        <v>0</v>
      </c>
      <c r="CW126" s="280">
        <f t="shared" si="129"/>
        <v>0</v>
      </c>
      <c r="CX126" s="310">
        <f t="shared" si="129"/>
        <v>0</v>
      </c>
      <c r="CY126" s="310">
        <f t="shared" si="129"/>
        <v>0</v>
      </c>
      <c r="CZ126" s="310">
        <f t="shared" si="129"/>
        <v>0</v>
      </c>
      <c r="DA126" s="310">
        <f t="shared" si="129"/>
        <v>0</v>
      </c>
      <c r="DB126" s="310">
        <f t="shared" si="129"/>
        <v>0</v>
      </c>
      <c r="DC126" s="310">
        <f t="shared" si="129"/>
        <v>0</v>
      </c>
      <c r="DD126" s="310">
        <f t="shared" si="129"/>
        <v>0</v>
      </c>
      <c r="DE126" s="310">
        <f t="shared" si="129"/>
        <v>0</v>
      </c>
      <c r="DF126" s="310">
        <f t="shared" si="129"/>
        <v>0</v>
      </c>
      <c r="DG126" s="310">
        <f t="shared" si="129"/>
        <v>0</v>
      </c>
      <c r="DH126" s="311">
        <f t="shared" si="129"/>
        <v>0</v>
      </c>
      <c r="DI126" s="280">
        <f t="shared" si="129"/>
        <v>0</v>
      </c>
      <c r="DJ126" s="310">
        <f t="shared" si="129"/>
        <v>0</v>
      </c>
      <c r="DK126" s="310">
        <f t="shared" ref="DK126:DT131" si="130">CY125</f>
        <v>0</v>
      </c>
      <c r="DL126" s="310">
        <f t="shared" si="130"/>
        <v>0</v>
      </c>
      <c r="DM126" s="310"/>
      <c r="DN126" s="310"/>
      <c r="DO126" s="310"/>
      <c r="DP126" s="310"/>
      <c r="DQ126" s="310"/>
      <c r="DR126" s="310"/>
      <c r="DS126" s="310"/>
      <c r="DT126" s="311"/>
      <c r="DU126" s="3"/>
    </row>
    <row r="127" spans="2:125" ht="15" x14ac:dyDescent="0.25">
      <c r="B127" s="404" t="s">
        <v>390</v>
      </c>
      <c r="E127" s="534"/>
      <c r="F127" s="534"/>
      <c r="G127" s="534"/>
      <c r="H127" s="534"/>
      <c r="I127" s="534"/>
      <c r="J127" s="534"/>
      <c r="K127" s="403"/>
      <c r="L127" s="403"/>
      <c r="M127" s="403"/>
      <c r="N127" s="403"/>
      <c r="O127" s="403"/>
      <c r="P127" s="486"/>
      <c r="Q127" s="344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10"/>
      <c r="AC127" s="109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10"/>
      <c r="AO127" s="109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10"/>
      <c r="BA127" s="109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>
        <f>AY126</f>
        <v>0</v>
      </c>
      <c r="BL127" s="110">
        <f t="shared" si="126"/>
        <v>0</v>
      </c>
      <c r="BM127" s="109">
        <f t="shared" si="126"/>
        <v>0</v>
      </c>
      <c r="BN127" s="108">
        <f t="shared" si="126"/>
        <v>0</v>
      </c>
      <c r="BO127" s="108">
        <f t="shared" si="127"/>
        <v>0</v>
      </c>
      <c r="BP127" s="108">
        <f t="shared" si="127"/>
        <v>0</v>
      </c>
      <c r="BQ127" s="108">
        <f t="shared" si="127"/>
        <v>0</v>
      </c>
      <c r="BR127" s="108">
        <f t="shared" si="127"/>
        <v>8</v>
      </c>
      <c r="BS127" s="108">
        <f t="shared" si="127"/>
        <v>15</v>
      </c>
      <c r="BT127" s="108">
        <f t="shared" si="127"/>
        <v>0</v>
      </c>
      <c r="BU127" s="108">
        <f t="shared" si="127"/>
        <v>0</v>
      </c>
      <c r="BV127" s="108">
        <f t="shared" si="127"/>
        <v>0</v>
      </c>
      <c r="BW127" s="108">
        <f t="shared" si="127"/>
        <v>0</v>
      </c>
      <c r="BX127" s="110">
        <f t="shared" si="127"/>
        <v>0</v>
      </c>
      <c r="BY127" s="109">
        <f t="shared" si="127"/>
        <v>0</v>
      </c>
      <c r="BZ127" s="108">
        <f t="shared" si="127"/>
        <v>0</v>
      </c>
      <c r="CA127" s="108">
        <f t="shared" si="127"/>
        <v>0</v>
      </c>
      <c r="CB127" s="108">
        <f t="shared" si="127"/>
        <v>0</v>
      </c>
      <c r="CC127" s="108">
        <f t="shared" si="127"/>
        <v>0</v>
      </c>
      <c r="CD127" s="108">
        <f t="shared" si="127"/>
        <v>0</v>
      </c>
      <c r="CE127" s="108">
        <f t="shared" si="128"/>
        <v>0</v>
      </c>
      <c r="CF127" s="108">
        <f t="shared" si="128"/>
        <v>0</v>
      </c>
      <c r="CG127" s="108">
        <f t="shared" si="128"/>
        <v>0</v>
      </c>
      <c r="CH127" s="108">
        <f t="shared" si="128"/>
        <v>0</v>
      </c>
      <c r="CI127" s="108">
        <f t="shared" si="128"/>
        <v>0</v>
      </c>
      <c r="CJ127" s="110">
        <f t="shared" si="128"/>
        <v>0</v>
      </c>
      <c r="CK127" s="109">
        <f t="shared" si="128"/>
        <v>0</v>
      </c>
      <c r="CL127" s="108">
        <f t="shared" si="128"/>
        <v>0</v>
      </c>
      <c r="CM127" s="108">
        <f t="shared" si="128"/>
        <v>0</v>
      </c>
      <c r="CN127" s="108">
        <f t="shared" si="128"/>
        <v>0</v>
      </c>
      <c r="CO127" s="108">
        <f t="shared" si="128"/>
        <v>0</v>
      </c>
      <c r="CP127" s="108">
        <f t="shared" si="128"/>
        <v>0</v>
      </c>
      <c r="CQ127" s="108">
        <f t="shared" si="128"/>
        <v>0</v>
      </c>
      <c r="CR127" s="108">
        <f t="shared" si="128"/>
        <v>0</v>
      </c>
      <c r="CS127" s="108">
        <f t="shared" si="128"/>
        <v>0</v>
      </c>
      <c r="CT127" s="108">
        <f t="shared" si="128"/>
        <v>0</v>
      </c>
      <c r="CU127" s="108">
        <f t="shared" si="129"/>
        <v>0</v>
      </c>
      <c r="CV127" s="110">
        <f t="shared" si="129"/>
        <v>0</v>
      </c>
      <c r="CW127" s="109">
        <f t="shared" si="129"/>
        <v>0</v>
      </c>
      <c r="CX127" s="108">
        <f t="shared" si="129"/>
        <v>0</v>
      </c>
      <c r="CY127" s="108">
        <f t="shared" si="129"/>
        <v>0</v>
      </c>
      <c r="CZ127" s="108">
        <f t="shared" si="129"/>
        <v>0</v>
      </c>
      <c r="DA127" s="108">
        <f t="shared" si="129"/>
        <v>0</v>
      </c>
      <c r="DB127" s="108">
        <f t="shared" si="129"/>
        <v>0</v>
      </c>
      <c r="DC127" s="108">
        <f t="shared" si="129"/>
        <v>0</v>
      </c>
      <c r="DD127" s="108">
        <f t="shared" si="129"/>
        <v>0</v>
      </c>
      <c r="DE127" s="108">
        <f t="shared" si="129"/>
        <v>0</v>
      </c>
      <c r="DF127" s="108">
        <f t="shared" si="129"/>
        <v>0</v>
      </c>
      <c r="DG127" s="108">
        <f t="shared" si="129"/>
        <v>0</v>
      </c>
      <c r="DH127" s="110">
        <f t="shared" si="129"/>
        <v>0</v>
      </c>
      <c r="DI127" s="109">
        <f t="shared" si="129"/>
        <v>0</v>
      </c>
      <c r="DJ127" s="108">
        <f t="shared" si="129"/>
        <v>0</v>
      </c>
      <c r="DK127" s="108">
        <f t="shared" si="130"/>
        <v>0</v>
      </c>
      <c r="DL127" s="108">
        <f t="shared" si="130"/>
        <v>0</v>
      </c>
      <c r="DM127" s="108">
        <f t="shared" si="130"/>
        <v>0</v>
      </c>
      <c r="DN127" s="108">
        <f t="shared" si="130"/>
        <v>0</v>
      </c>
      <c r="DO127" s="108">
        <f t="shared" si="130"/>
        <v>0</v>
      </c>
      <c r="DP127" s="108">
        <f t="shared" si="130"/>
        <v>0</v>
      </c>
      <c r="DQ127" s="108">
        <f t="shared" si="130"/>
        <v>0</v>
      </c>
      <c r="DR127" s="108">
        <f t="shared" si="130"/>
        <v>0</v>
      </c>
      <c r="DS127" s="108">
        <f t="shared" si="130"/>
        <v>0</v>
      </c>
      <c r="DT127" s="110">
        <f t="shared" si="130"/>
        <v>0</v>
      </c>
      <c r="DU127" s="3"/>
    </row>
    <row r="128" spans="2:125" ht="15" x14ac:dyDescent="0.25">
      <c r="B128" s="404" t="s">
        <v>391</v>
      </c>
      <c r="E128" s="406"/>
      <c r="F128" s="406"/>
      <c r="G128" s="406"/>
      <c r="H128" s="406"/>
      <c r="I128" s="406"/>
      <c r="J128" s="406"/>
      <c r="K128" s="406"/>
      <c r="L128" s="406"/>
      <c r="M128" s="406"/>
      <c r="N128" s="406"/>
      <c r="O128" s="406"/>
      <c r="P128" s="488"/>
      <c r="Q128" s="79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2"/>
      <c r="AB128" s="313"/>
      <c r="AC128" s="312"/>
      <c r="AD128" s="312"/>
      <c r="AE128" s="312"/>
      <c r="AF128" s="312"/>
      <c r="AG128" s="312"/>
      <c r="AH128" s="312"/>
      <c r="AI128" s="312"/>
      <c r="AJ128" s="312"/>
      <c r="AK128" s="312"/>
      <c r="AL128" s="312"/>
      <c r="AM128" s="312"/>
      <c r="AN128" s="313"/>
      <c r="AO128" s="312"/>
      <c r="AP128" s="312"/>
      <c r="AQ128" s="312"/>
      <c r="AR128" s="312"/>
      <c r="AS128" s="312"/>
      <c r="AT128" s="312"/>
      <c r="AU128" s="312"/>
      <c r="AV128" s="312"/>
      <c r="AW128" s="312"/>
      <c r="AX128" s="312"/>
      <c r="AY128" s="312"/>
      <c r="AZ128" s="313"/>
      <c r="BA128" s="312"/>
      <c r="BB128" s="312"/>
      <c r="BC128" s="312"/>
      <c r="BD128" s="312"/>
      <c r="BE128" s="312"/>
      <c r="BF128" s="312"/>
      <c r="BG128" s="312"/>
      <c r="BH128" s="312"/>
      <c r="BI128" s="312"/>
      <c r="BJ128" s="312"/>
      <c r="BK128" s="312"/>
      <c r="BL128" s="313"/>
      <c r="BM128" s="312"/>
      <c r="BN128" s="312"/>
      <c r="BO128" s="312"/>
      <c r="BP128" s="312"/>
      <c r="BQ128" s="312"/>
      <c r="BR128" s="312"/>
      <c r="BS128" s="312"/>
      <c r="BT128" s="312"/>
      <c r="BU128" s="312"/>
      <c r="BV128" s="312"/>
      <c r="BW128" s="312">
        <f>BK127</f>
        <v>0</v>
      </c>
      <c r="BX128" s="313">
        <f t="shared" si="127"/>
        <v>0</v>
      </c>
      <c r="BY128" s="312">
        <f t="shared" si="127"/>
        <v>0</v>
      </c>
      <c r="BZ128" s="312">
        <f t="shared" si="127"/>
        <v>0</v>
      </c>
      <c r="CA128" s="312">
        <f t="shared" si="127"/>
        <v>0</v>
      </c>
      <c r="CB128" s="312">
        <f t="shared" si="127"/>
        <v>0</v>
      </c>
      <c r="CC128" s="312">
        <f t="shared" si="127"/>
        <v>0</v>
      </c>
      <c r="CD128" s="312">
        <f t="shared" si="127"/>
        <v>8</v>
      </c>
      <c r="CE128" s="312">
        <f t="shared" si="128"/>
        <v>15</v>
      </c>
      <c r="CF128" s="312">
        <f t="shared" si="128"/>
        <v>0</v>
      </c>
      <c r="CG128" s="312">
        <f t="shared" si="128"/>
        <v>0</v>
      </c>
      <c r="CH128" s="312">
        <f t="shared" si="128"/>
        <v>0</v>
      </c>
      <c r="CI128" s="312">
        <f t="shared" si="128"/>
        <v>0</v>
      </c>
      <c r="CJ128" s="313">
        <f t="shared" si="128"/>
        <v>0</v>
      </c>
      <c r="CK128" s="312">
        <f t="shared" si="128"/>
        <v>0</v>
      </c>
      <c r="CL128" s="312">
        <f t="shared" si="128"/>
        <v>0</v>
      </c>
      <c r="CM128" s="312">
        <f t="shared" si="128"/>
        <v>0</v>
      </c>
      <c r="CN128" s="312">
        <f t="shared" si="128"/>
        <v>0</v>
      </c>
      <c r="CO128" s="312">
        <f t="shared" si="128"/>
        <v>0</v>
      </c>
      <c r="CP128" s="312">
        <f t="shared" si="128"/>
        <v>0</v>
      </c>
      <c r="CQ128" s="312">
        <f t="shared" si="128"/>
        <v>0</v>
      </c>
      <c r="CR128" s="312">
        <f t="shared" si="128"/>
        <v>0</v>
      </c>
      <c r="CS128" s="312">
        <f t="shared" si="128"/>
        <v>0</v>
      </c>
      <c r="CT128" s="312">
        <f t="shared" si="128"/>
        <v>0</v>
      </c>
      <c r="CU128" s="312">
        <f t="shared" si="129"/>
        <v>0</v>
      </c>
      <c r="CV128" s="313">
        <f t="shared" si="129"/>
        <v>0</v>
      </c>
      <c r="CW128" s="312">
        <f t="shared" si="129"/>
        <v>0</v>
      </c>
      <c r="CX128" s="312">
        <f t="shared" si="129"/>
        <v>0</v>
      </c>
      <c r="CY128" s="312">
        <f t="shared" si="129"/>
        <v>0</v>
      </c>
      <c r="CZ128" s="312">
        <f t="shared" si="129"/>
        <v>0</v>
      </c>
      <c r="DA128" s="312">
        <f t="shared" si="129"/>
        <v>0</v>
      </c>
      <c r="DB128" s="312">
        <f t="shared" si="129"/>
        <v>0</v>
      </c>
      <c r="DC128" s="312">
        <f t="shared" si="129"/>
        <v>0</v>
      </c>
      <c r="DD128" s="312">
        <f t="shared" si="129"/>
        <v>0</v>
      </c>
      <c r="DE128" s="312">
        <f t="shared" si="129"/>
        <v>0</v>
      </c>
      <c r="DF128" s="312">
        <f t="shared" si="129"/>
        <v>0</v>
      </c>
      <c r="DG128" s="312">
        <f t="shared" si="129"/>
        <v>0</v>
      </c>
      <c r="DH128" s="313">
        <f t="shared" si="129"/>
        <v>0</v>
      </c>
      <c r="DI128" s="312">
        <f t="shared" si="129"/>
        <v>0</v>
      </c>
      <c r="DJ128" s="312">
        <f t="shared" si="129"/>
        <v>0</v>
      </c>
      <c r="DK128" s="312">
        <f t="shared" si="130"/>
        <v>0</v>
      </c>
      <c r="DL128" s="312">
        <f t="shared" si="130"/>
        <v>0</v>
      </c>
      <c r="DM128" s="312">
        <f t="shared" si="130"/>
        <v>0</v>
      </c>
      <c r="DN128" s="312">
        <f t="shared" si="130"/>
        <v>0</v>
      </c>
      <c r="DO128" s="312">
        <f t="shared" si="130"/>
        <v>0</v>
      </c>
      <c r="DP128" s="312">
        <f t="shared" si="130"/>
        <v>0</v>
      </c>
      <c r="DQ128" s="312">
        <f t="shared" si="130"/>
        <v>0</v>
      </c>
      <c r="DR128" s="312">
        <f t="shared" si="130"/>
        <v>0</v>
      </c>
      <c r="DS128" s="312">
        <f t="shared" si="130"/>
        <v>0</v>
      </c>
      <c r="DT128" s="313">
        <f t="shared" si="130"/>
        <v>0</v>
      </c>
      <c r="DU128" s="3"/>
    </row>
    <row r="129" spans="2:125" ht="15" x14ac:dyDescent="0.25">
      <c r="B129" s="404" t="s">
        <v>392</v>
      </c>
      <c r="E129" s="406"/>
      <c r="F129" s="406"/>
      <c r="G129" s="406"/>
      <c r="H129" s="406"/>
      <c r="I129" s="406"/>
      <c r="J129" s="406"/>
      <c r="K129" s="406"/>
      <c r="L129" s="406"/>
      <c r="M129" s="406"/>
      <c r="N129" s="406"/>
      <c r="O129" s="406"/>
      <c r="P129" s="488"/>
      <c r="Q129" s="792"/>
      <c r="R129" s="312"/>
      <c r="S129" s="312"/>
      <c r="T129" s="312"/>
      <c r="U129" s="312"/>
      <c r="V129" s="312"/>
      <c r="W129" s="312"/>
      <c r="X129" s="312"/>
      <c r="Y129" s="312"/>
      <c r="Z129" s="312"/>
      <c r="AA129" s="312"/>
      <c r="AB129" s="313"/>
      <c r="AC129" s="312"/>
      <c r="AD129" s="312"/>
      <c r="AE129" s="312"/>
      <c r="AF129" s="312"/>
      <c r="AG129" s="312"/>
      <c r="AH129" s="312"/>
      <c r="AI129" s="312"/>
      <c r="AJ129" s="312"/>
      <c r="AK129" s="312"/>
      <c r="AL129" s="312"/>
      <c r="AM129" s="312"/>
      <c r="AN129" s="313"/>
      <c r="AO129" s="312"/>
      <c r="AP129" s="312"/>
      <c r="AQ129" s="312"/>
      <c r="AR129" s="312"/>
      <c r="AS129" s="312"/>
      <c r="AT129" s="312"/>
      <c r="AU129" s="312"/>
      <c r="AV129" s="312"/>
      <c r="AW129" s="312"/>
      <c r="AX129" s="312"/>
      <c r="AY129" s="312"/>
      <c r="AZ129" s="313"/>
      <c r="BA129" s="312"/>
      <c r="BB129" s="312"/>
      <c r="BC129" s="312"/>
      <c r="BD129" s="312"/>
      <c r="BE129" s="312"/>
      <c r="BF129" s="312"/>
      <c r="BG129" s="312"/>
      <c r="BH129" s="312"/>
      <c r="BI129" s="312"/>
      <c r="BJ129" s="312"/>
      <c r="BK129" s="312"/>
      <c r="BL129" s="313"/>
      <c r="BM129" s="312"/>
      <c r="BN129" s="312"/>
      <c r="BO129" s="312"/>
      <c r="BP129" s="312"/>
      <c r="BQ129" s="312"/>
      <c r="BR129" s="312"/>
      <c r="BS129" s="312"/>
      <c r="BT129" s="312"/>
      <c r="BU129" s="312"/>
      <c r="BV129" s="312"/>
      <c r="BW129" s="312"/>
      <c r="BX129" s="313"/>
      <c r="BY129" s="312"/>
      <c r="BZ129" s="312"/>
      <c r="CA129" s="312"/>
      <c r="CB129" s="312"/>
      <c r="CC129" s="312"/>
      <c r="CD129" s="312"/>
      <c r="CE129" s="312"/>
      <c r="CF129" s="312"/>
      <c r="CG129" s="312"/>
      <c r="CH129" s="312"/>
      <c r="CI129" s="312">
        <f>BW128</f>
        <v>0</v>
      </c>
      <c r="CJ129" s="313">
        <f t="shared" si="128"/>
        <v>0</v>
      </c>
      <c r="CK129" s="312">
        <f t="shared" si="128"/>
        <v>0</v>
      </c>
      <c r="CL129" s="312">
        <f t="shared" si="128"/>
        <v>0</v>
      </c>
      <c r="CM129" s="312">
        <f t="shared" si="128"/>
        <v>0</v>
      </c>
      <c r="CN129" s="312">
        <f t="shared" si="128"/>
        <v>0</v>
      </c>
      <c r="CO129" s="312">
        <f t="shared" si="128"/>
        <v>0</v>
      </c>
      <c r="CP129" s="312">
        <f t="shared" si="128"/>
        <v>8</v>
      </c>
      <c r="CQ129" s="312">
        <f t="shared" si="128"/>
        <v>15</v>
      </c>
      <c r="CR129" s="312">
        <f t="shared" si="128"/>
        <v>0</v>
      </c>
      <c r="CS129" s="312">
        <f t="shared" si="128"/>
        <v>0</v>
      </c>
      <c r="CT129" s="312">
        <f t="shared" si="128"/>
        <v>0</v>
      </c>
      <c r="CU129" s="312">
        <f t="shared" si="129"/>
        <v>0</v>
      </c>
      <c r="CV129" s="313">
        <f t="shared" si="129"/>
        <v>0</v>
      </c>
      <c r="CW129" s="312">
        <f t="shared" si="129"/>
        <v>0</v>
      </c>
      <c r="CX129" s="312">
        <f t="shared" si="129"/>
        <v>0</v>
      </c>
      <c r="CY129" s="312">
        <f t="shared" si="129"/>
        <v>0</v>
      </c>
      <c r="CZ129" s="312">
        <f t="shared" si="129"/>
        <v>0</v>
      </c>
      <c r="DA129" s="312">
        <f t="shared" si="129"/>
        <v>0</v>
      </c>
      <c r="DB129" s="312">
        <f t="shared" si="129"/>
        <v>0</v>
      </c>
      <c r="DC129" s="312">
        <f t="shared" si="129"/>
        <v>0</v>
      </c>
      <c r="DD129" s="312">
        <f t="shared" si="129"/>
        <v>0</v>
      </c>
      <c r="DE129" s="312">
        <f t="shared" si="129"/>
        <v>0</v>
      </c>
      <c r="DF129" s="312">
        <f t="shared" si="129"/>
        <v>0</v>
      </c>
      <c r="DG129" s="312">
        <f t="shared" si="129"/>
        <v>0</v>
      </c>
      <c r="DH129" s="313">
        <f t="shared" si="129"/>
        <v>0</v>
      </c>
      <c r="DI129" s="312">
        <f t="shared" si="129"/>
        <v>0</v>
      </c>
      <c r="DJ129" s="312">
        <f t="shared" si="129"/>
        <v>0</v>
      </c>
      <c r="DK129" s="312">
        <f t="shared" si="130"/>
        <v>0</v>
      </c>
      <c r="DL129" s="312">
        <f t="shared" si="130"/>
        <v>0</v>
      </c>
      <c r="DM129" s="312">
        <f t="shared" si="130"/>
        <v>0</v>
      </c>
      <c r="DN129" s="312">
        <f t="shared" si="130"/>
        <v>0</v>
      </c>
      <c r="DO129" s="312">
        <f t="shared" si="130"/>
        <v>0</v>
      </c>
      <c r="DP129" s="312">
        <f t="shared" si="130"/>
        <v>0</v>
      </c>
      <c r="DQ129" s="312">
        <f t="shared" si="130"/>
        <v>0</v>
      </c>
      <c r="DR129" s="312">
        <f t="shared" si="130"/>
        <v>0</v>
      </c>
      <c r="DS129" s="312">
        <f t="shared" si="130"/>
        <v>0</v>
      </c>
      <c r="DT129" s="313">
        <f t="shared" si="130"/>
        <v>0</v>
      </c>
      <c r="DU129" s="3"/>
    </row>
    <row r="130" spans="2:125" ht="15" x14ac:dyDescent="0.25">
      <c r="B130" s="404" t="s">
        <v>393</v>
      </c>
      <c r="E130" s="406"/>
      <c r="F130" s="406"/>
      <c r="G130" s="406"/>
      <c r="H130" s="406"/>
      <c r="I130" s="406"/>
      <c r="J130" s="406"/>
      <c r="K130" s="406"/>
      <c r="L130" s="406"/>
      <c r="M130" s="406"/>
      <c r="N130" s="406"/>
      <c r="O130" s="406"/>
      <c r="P130" s="488"/>
      <c r="Q130" s="792"/>
      <c r="R130" s="312"/>
      <c r="S130" s="312"/>
      <c r="T130" s="312"/>
      <c r="U130" s="312"/>
      <c r="V130" s="312"/>
      <c r="W130" s="312"/>
      <c r="X130" s="312"/>
      <c r="Y130" s="312"/>
      <c r="Z130" s="312"/>
      <c r="AA130" s="312"/>
      <c r="AB130" s="313"/>
      <c r="AC130" s="312"/>
      <c r="AD130" s="312"/>
      <c r="AE130" s="312"/>
      <c r="AF130" s="312"/>
      <c r="AG130" s="312"/>
      <c r="AH130" s="312"/>
      <c r="AI130" s="312"/>
      <c r="AJ130" s="312"/>
      <c r="AK130" s="312"/>
      <c r="AL130" s="312"/>
      <c r="AM130" s="312"/>
      <c r="AN130" s="313"/>
      <c r="AO130" s="312"/>
      <c r="AP130" s="312"/>
      <c r="AQ130" s="312"/>
      <c r="AR130" s="312"/>
      <c r="AS130" s="312"/>
      <c r="AT130" s="312"/>
      <c r="AU130" s="312"/>
      <c r="AV130" s="312"/>
      <c r="AW130" s="312"/>
      <c r="AX130" s="312"/>
      <c r="AY130" s="312"/>
      <c r="AZ130" s="313"/>
      <c r="BA130" s="312"/>
      <c r="BB130" s="312"/>
      <c r="BC130" s="312"/>
      <c r="BD130" s="312"/>
      <c r="BE130" s="312"/>
      <c r="BF130" s="312"/>
      <c r="BG130" s="312"/>
      <c r="BH130" s="312"/>
      <c r="BI130" s="312"/>
      <c r="BJ130" s="312"/>
      <c r="BK130" s="312"/>
      <c r="BL130" s="313"/>
      <c r="BM130" s="312"/>
      <c r="BN130" s="312"/>
      <c r="BO130" s="312"/>
      <c r="BP130" s="312"/>
      <c r="BQ130" s="312"/>
      <c r="BR130" s="312"/>
      <c r="BS130" s="312"/>
      <c r="BT130" s="312"/>
      <c r="BU130" s="312"/>
      <c r="BV130" s="312"/>
      <c r="BW130" s="312"/>
      <c r="BX130" s="313"/>
      <c r="BY130" s="312"/>
      <c r="BZ130" s="312"/>
      <c r="CA130" s="312"/>
      <c r="CB130" s="312"/>
      <c r="CC130" s="312"/>
      <c r="CD130" s="312"/>
      <c r="CE130" s="312"/>
      <c r="CF130" s="312"/>
      <c r="CG130" s="312"/>
      <c r="CH130" s="312"/>
      <c r="CI130" s="312"/>
      <c r="CJ130" s="313"/>
      <c r="CK130" s="312"/>
      <c r="CL130" s="312"/>
      <c r="CM130" s="312"/>
      <c r="CN130" s="312"/>
      <c r="CO130" s="312"/>
      <c r="CP130" s="312"/>
      <c r="CQ130" s="312"/>
      <c r="CR130" s="312"/>
      <c r="CS130" s="312"/>
      <c r="CT130" s="312"/>
      <c r="CU130" s="312">
        <f>CI129</f>
        <v>0</v>
      </c>
      <c r="CV130" s="313">
        <f t="shared" si="129"/>
        <v>0</v>
      </c>
      <c r="CW130" s="312">
        <f t="shared" si="129"/>
        <v>0</v>
      </c>
      <c r="CX130" s="312">
        <f t="shared" si="129"/>
        <v>0</v>
      </c>
      <c r="CY130" s="312">
        <f t="shared" si="129"/>
        <v>0</v>
      </c>
      <c r="CZ130" s="312">
        <f t="shared" si="129"/>
        <v>0</v>
      </c>
      <c r="DA130" s="312">
        <f t="shared" si="129"/>
        <v>0</v>
      </c>
      <c r="DB130" s="312">
        <f t="shared" si="129"/>
        <v>8</v>
      </c>
      <c r="DC130" s="312">
        <f t="shared" si="129"/>
        <v>15</v>
      </c>
      <c r="DD130" s="312">
        <f t="shared" si="129"/>
        <v>0</v>
      </c>
      <c r="DE130" s="312">
        <f t="shared" si="129"/>
        <v>0</v>
      </c>
      <c r="DF130" s="312">
        <f t="shared" si="129"/>
        <v>0</v>
      </c>
      <c r="DG130" s="312">
        <f t="shared" si="129"/>
        <v>0</v>
      </c>
      <c r="DH130" s="313">
        <f t="shared" si="129"/>
        <v>0</v>
      </c>
      <c r="DI130" s="312">
        <f t="shared" si="129"/>
        <v>0</v>
      </c>
      <c r="DJ130" s="312">
        <f t="shared" si="129"/>
        <v>0</v>
      </c>
      <c r="DK130" s="312">
        <f t="shared" si="130"/>
        <v>0</v>
      </c>
      <c r="DL130" s="312">
        <f t="shared" si="130"/>
        <v>0</v>
      </c>
      <c r="DM130" s="312">
        <f t="shared" si="130"/>
        <v>0</v>
      </c>
      <c r="DN130" s="312">
        <f t="shared" si="130"/>
        <v>0</v>
      </c>
      <c r="DO130" s="312">
        <f t="shared" si="130"/>
        <v>0</v>
      </c>
      <c r="DP130" s="312">
        <f t="shared" si="130"/>
        <v>0</v>
      </c>
      <c r="DQ130" s="312">
        <f t="shared" si="130"/>
        <v>0</v>
      </c>
      <c r="DR130" s="312">
        <f t="shared" si="130"/>
        <v>0</v>
      </c>
      <c r="DS130" s="312">
        <f t="shared" si="130"/>
        <v>0</v>
      </c>
      <c r="DT130" s="313">
        <f t="shared" si="130"/>
        <v>0</v>
      </c>
      <c r="DU130" s="3"/>
    </row>
    <row r="131" spans="2:125" ht="15" x14ac:dyDescent="0.25">
      <c r="B131" s="404" t="s">
        <v>394</v>
      </c>
      <c r="E131" s="406"/>
      <c r="F131" s="406"/>
      <c r="G131" s="406"/>
      <c r="H131" s="406"/>
      <c r="I131" s="406"/>
      <c r="J131" s="406"/>
      <c r="K131" s="406"/>
      <c r="L131" s="406"/>
      <c r="M131" s="406"/>
      <c r="N131" s="406"/>
      <c r="O131" s="406"/>
      <c r="P131" s="488"/>
      <c r="Q131" s="344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10"/>
      <c r="AC131" s="109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10"/>
      <c r="AO131" s="109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10"/>
      <c r="BA131" s="109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10"/>
      <c r="BM131" s="109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10"/>
      <c r="BY131" s="109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10"/>
      <c r="CK131" s="109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10"/>
      <c r="CW131" s="109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>
        <f>CU130</f>
        <v>0</v>
      </c>
      <c r="DH131" s="110">
        <f t="shared" si="129"/>
        <v>0</v>
      </c>
      <c r="DI131" s="109">
        <f t="shared" si="129"/>
        <v>0</v>
      </c>
      <c r="DJ131" s="108">
        <f t="shared" si="129"/>
        <v>0</v>
      </c>
      <c r="DK131" s="108">
        <f t="shared" si="130"/>
        <v>0</v>
      </c>
      <c r="DL131" s="108">
        <f t="shared" si="130"/>
        <v>0</v>
      </c>
      <c r="DM131" s="108">
        <f t="shared" si="130"/>
        <v>0</v>
      </c>
      <c r="DN131" s="108">
        <f t="shared" si="130"/>
        <v>8</v>
      </c>
      <c r="DO131" s="108">
        <f t="shared" si="130"/>
        <v>15</v>
      </c>
      <c r="DP131" s="108">
        <f t="shared" si="130"/>
        <v>0</v>
      </c>
      <c r="DQ131" s="108">
        <f t="shared" si="130"/>
        <v>0</v>
      </c>
      <c r="DR131" s="108">
        <f t="shared" si="130"/>
        <v>0</v>
      </c>
      <c r="DS131" s="108">
        <f t="shared" si="130"/>
        <v>0</v>
      </c>
      <c r="DT131" s="110">
        <f t="shared" si="130"/>
        <v>0</v>
      </c>
      <c r="DU131" s="3"/>
    </row>
    <row r="132" spans="2:125" ht="15" x14ac:dyDescent="0.25">
      <c r="B132" s="404" t="s">
        <v>395</v>
      </c>
      <c r="E132" s="406"/>
      <c r="F132" s="406"/>
      <c r="G132" s="406"/>
      <c r="H132" s="406"/>
      <c r="I132" s="406"/>
      <c r="J132" s="406"/>
      <c r="K132" s="406"/>
      <c r="L132" s="406"/>
      <c r="M132" s="406"/>
      <c r="N132" s="406"/>
      <c r="O132" s="406"/>
      <c r="P132" s="488"/>
      <c r="Q132" s="344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10"/>
      <c r="AC132" s="109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10"/>
      <c r="AO132" s="109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10"/>
      <c r="BA132" s="109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10"/>
      <c r="BM132" s="109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10"/>
      <c r="BY132" s="109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10"/>
      <c r="CK132" s="109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10"/>
      <c r="CW132" s="109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10"/>
      <c r="DI132" s="109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10"/>
      <c r="DU132" s="3"/>
    </row>
    <row r="133" spans="2:125" ht="19.5" thickBot="1" x14ac:dyDescent="0.35">
      <c r="B133" s="161" t="s">
        <v>1473</v>
      </c>
      <c r="E133" s="527"/>
      <c r="F133" s="527"/>
      <c r="G133" s="527"/>
      <c r="H133" s="527"/>
      <c r="I133" s="527"/>
      <c r="J133" s="527"/>
      <c r="K133" s="527"/>
      <c r="L133" s="527"/>
      <c r="M133" s="527"/>
      <c r="N133" s="527"/>
      <c r="O133" s="527">
        <f>SUM(O123:O132)</f>
        <v>0</v>
      </c>
      <c r="P133" s="752">
        <f t="shared" ref="P133:CA133" si="131">SUM(P123:P132)</f>
        <v>0</v>
      </c>
      <c r="Q133" s="793">
        <f t="shared" si="131"/>
        <v>0</v>
      </c>
      <c r="R133" s="391">
        <f t="shared" si="131"/>
        <v>0</v>
      </c>
      <c r="S133" s="391">
        <f t="shared" si="131"/>
        <v>0</v>
      </c>
      <c r="T133" s="391">
        <f t="shared" si="131"/>
        <v>0</v>
      </c>
      <c r="U133" s="391">
        <f t="shared" si="131"/>
        <v>0</v>
      </c>
      <c r="V133" s="391">
        <f t="shared" si="131"/>
        <v>8</v>
      </c>
      <c r="W133" s="391">
        <f t="shared" si="131"/>
        <v>15</v>
      </c>
      <c r="X133" s="391">
        <f t="shared" si="131"/>
        <v>0</v>
      </c>
      <c r="Y133" s="391">
        <f t="shared" si="131"/>
        <v>0</v>
      </c>
      <c r="Z133" s="391">
        <f t="shared" si="131"/>
        <v>0</v>
      </c>
      <c r="AA133" s="391">
        <f t="shared" si="131"/>
        <v>0</v>
      </c>
      <c r="AB133" s="757">
        <f t="shared" si="131"/>
        <v>0</v>
      </c>
      <c r="AC133" s="391">
        <f t="shared" si="131"/>
        <v>0</v>
      </c>
      <c r="AD133" s="391">
        <f t="shared" si="131"/>
        <v>0</v>
      </c>
      <c r="AE133" s="391">
        <f t="shared" si="131"/>
        <v>0</v>
      </c>
      <c r="AF133" s="391">
        <f t="shared" si="131"/>
        <v>0</v>
      </c>
      <c r="AG133" s="391">
        <f t="shared" si="131"/>
        <v>0</v>
      </c>
      <c r="AH133" s="391">
        <f t="shared" si="131"/>
        <v>8</v>
      </c>
      <c r="AI133" s="391">
        <f t="shared" si="131"/>
        <v>15</v>
      </c>
      <c r="AJ133" s="391">
        <f t="shared" si="131"/>
        <v>0</v>
      </c>
      <c r="AK133" s="391">
        <f t="shared" si="131"/>
        <v>0</v>
      </c>
      <c r="AL133" s="391">
        <f t="shared" si="131"/>
        <v>0</v>
      </c>
      <c r="AM133" s="391">
        <f t="shared" si="131"/>
        <v>0</v>
      </c>
      <c r="AN133" s="757">
        <f t="shared" si="131"/>
        <v>0</v>
      </c>
      <c r="AO133" s="391">
        <f t="shared" si="131"/>
        <v>0</v>
      </c>
      <c r="AP133" s="391">
        <f t="shared" si="131"/>
        <v>0</v>
      </c>
      <c r="AQ133" s="391">
        <f t="shared" si="131"/>
        <v>0</v>
      </c>
      <c r="AR133" s="391">
        <f t="shared" si="131"/>
        <v>0</v>
      </c>
      <c r="AS133" s="391">
        <f t="shared" si="131"/>
        <v>0</v>
      </c>
      <c r="AT133" s="391">
        <f t="shared" si="131"/>
        <v>8</v>
      </c>
      <c r="AU133" s="391">
        <f t="shared" si="131"/>
        <v>15</v>
      </c>
      <c r="AV133" s="391">
        <f t="shared" si="131"/>
        <v>0</v>
      </c>
      <c r="AW133" s="391">
        <f t="shared" si="131"/>
        <v>0</v>
      </c>
      <c r="AX133" s="391">
        <f t="shared" si="131"/>
        <v>0</v>
      </c>
      <c r="AY133" s="391">
        <f t="shared" si="131"/>
        <v>0</v>
      </c>
      <c r="AZ133" s="757">
        <f t="shared" si="131"/>
        <v>0</v>
      </c>
      <c r="BA133" s="391">
        <f t="shared" si="131"/>
        <v>0</v>
      </c>
      <c r="BB133" s="391">
        <f t="shared" si="131"/>
        <v>0</v>
      </c>
      <c r="BC133" s="391">
        <f t="shared" si="131"/>
        <v>0</v>
      </c>
      <c r="BD133" s="391">
        <f t="shared" si="131"/>
        <v>0</v>
      </c>
      <c r="BE133" s="391">
        <f t="shared" si="131"/>
        <v>0</v>
      </c>
      <c r="BF133" s="391">
        <f t="shared" si="131"/>
        <v>8</v>
      </c>
      <c r="BG133" s="391">
        <f t="shared" si="131"/>
        <v>15</v>
      </c>
      <c r="BH133" s="391">
        <f t="shared" si="131"/>
        <v>0</v>
      </c>
      <c r="BI133" s="391">
        <f t="shared" si="131"/>
        <v>0</v>
      </c>
      <c r="BJ133" s="391">
        <f t="shared" si="131"/>
        <v>0</v>
      </c>
      <c r="BK133" s="391">
        <f t="shared" si="131"/>
        <v>0</v>
      </c>
      <c r="BL133" s="757">
        <f t="shared" si="131"/>
        <v>0</v>
      </c>
      <c r="BM133" s="391">
        <f t="shared" si="131"/>
        <v>0</v>
      </c>
      <c r="BN133" s="391">
        <f t="shared" si="131"/>
        <v>0</v>
      </c>
      <c r="BO133" s="391">
        <f t="shared" si="131"/>
        <v>0</v>
      </c>
      <c r="BP133" s="391">
        <f t="shared" si="131"/>
        <v>0</v>
      </c>
      <c r="BQ133" s="391">
        <f t="shared" si="131"/>
        <v>0</v>
      </c>
      <c r="BR133" s="391">
        <f t="shared" si="131"/>
        <v>8</v>
      </c>
      <c r="BS133" s="391">
        <f t="shared" si="131"/>
        <v>15</v>
      </c>
      <c r="BT133" s="391">
        <f t="shared" si="131"/>
        <v>0</v>
      </c>
      <c r="BU133" s="391">
        <f t="shared" si="131"/>
        <v>0</v>
      </c>
      <c r="BV133" s="391">
        <f t="shared" si="131"/>
        <v>0</v>
      </c>
      <c r="BW133" s="391">
        <f t="shared" si="131"/>
        <v>0</v>
      </c>
      <c r="BX133" s="757">
        <f t="shared" si="131"/>
        <v>0</v>
      </c>
      <c r="BY133" s="391">
        <f t="shared" si="131"/>
        <v>0</v>
      </c>
      <c r="BZ133" s="391">
        <f t="shared" si="131"/>
        <v>0</v>
      </c>
      <c r="CA133" s="391">
        <f t="shared" si="131"/>
        <v>0</v>
      </c>
      <c r="CB133" s="391">
        <f t="shared" ref="CB133:DT133" si="132">SUM(CB123:CB132)</f>
        <v>0</v>
      </c>
      <c r="CC133" s="391">
        <f t="shared" si="132"/>
        <v>0</v>
      </c>
      <c r="CD133" s="391">
        <f t="shared" si="132"/>
        <v>8</v>
      </c>
      <c r="CE133" s="391">
        <f t="shared" si="132"/>
        <v>15</v>
      </c>
      <c r="CF133" s="391">
        <f t="shared" si="132"/>
        <v>0</v>
      </c>
      <c r="CG133" s="391">
        <f t="shared" si="132"/>
        <v>0</v>
      </c>
      <c r="CH133" s="391">
        <f t="shared" si="132"/>
        <v>0</v>
      </c>
      <c r="CI133" s="391">
        <f t="shared" si="132"/>
        <v>0</v>
      </c>
      <c r="CJ133" s="757">
        <f t="shared" si="132"/>
        <v>0</v>
      </c>
      <c r="CK133" s="391">
        <f t="shared" si="132"/>
        <v>0</v>
      </c>
      <c r="CL133" s="391">
        <f t="shared" si="132"/>
        <v>0</v>
      </c>
      <c r="CM133" s="391">
        <f t="shared" si="132"/>
        <v>0</v>
      </c>
      <c r="CN133" s="391">
        <f t="shared" si="132"/>
        <v>0</v>
      </c>
      <c r="CO133" s="391">
        <f t="shared" si="132"/>
        <v>0</v>
      </c>
      <c r="CP133" s="391">
        <f t="shared" si="132"/>
        <v>8</v>
      </c>
      <c r="CQ133" s="391">
        <f t="shared" si="132"/>
        <v>15</v>
      </c>
      <c r="CR133" s="391">
        <f t="shared" si="132"/>
        <v>0</v>
      </c>
      <c r="CS133" s="391">
        <f t="shared" si="132"/>
        <v>0</v>
      </c>
      <c r="CT133" s="391">
        <f t="shared" si="132"/>
        <v>0</v>
      </c>
      <c r="CU133" s="391">
        <f t="shared" si="132"/>
        <v>0</v>
      </c>
      <c r="CV133" s="757">
        <f t="shared" si="132"/>
        <v>0</v>
      </c>
      <c r="CW133" s="391">
        <f t="shared" si="132"/>
        <v>0</v>
      </c>
      <c r="CX133" s="391">
        <f t="shared" si="132"/>
        <v>0</v>
      </c>
      <c r="CY133" s="391">
        <f t="shared" si="132"/>
        <v>0</v>
      </c>
      <c r="CZ133" s="391">
        <f t="shared" si="132"/>
        <v>0</v>
      </c>
      <c r="DA133" s="391">
        <f t="shared" si="132"/>
        <v>0</v>
      </c>
      <c r="DB133" s="391">
        <f t="shared" si="132"/>
        <v>8</v>
      </c>
      <c r="DC133" s="391">
        <f t="shared" si="132"/>
        <v>15</v>
      </c>
      <c r="DD133" s="391">
        <f t="shared" si="132"/>
        <v>0</v>
      </c>
      <c r="DE133" s="391">
        <f t="shared" si="132"/>
        <v>0</v>
      </c>
      <c r="DF133" s="391">
        <f t="shared" si="132"/>
        <v>0</v>
      </c>
      <c r="DG133" s="391">
        <f t="shared" si="132"/>
        <v>0</v>
      </c>
      <c r="DH133" s="757">
        <f t="shared" si="132"/>
        <v>0</v>
      </c>
      <c r="DI133" s="391">
        <f t="shared" si="132"/>
        <v>0</v>
      </c>
      <c r="DJ133" s="391">
        <f t="shared" si="132"/>
        <v>0</v>
      </c>
      <c r="DK133" s="391">
        <f t="shared" si="132"/>
        <v>0</v>
      </c>
      <c r="DL133" s="391">
        <f t="shared" si="132"/>
        <v>0</v>
      </c>
      <c r="DM133" s="391">
        <f t="shared" si="132"/>
        <v>0</v>
      </c>
      <c r="DN133" s="391">
        <f t="shared" si="132"/>
        <v>8</v>
      </c>
      <c r="DO133" s="391">
        <f t="shared" si="132"/>
        <v>15</v>
      </c>
      <c r="DP133" s="391">
        <f t="shared" si="132"/>
        <v>0</v>
      </c>
      <c r="DQ133" s="391">
        <f t="shared" si="132"/>
        <v>0</v>
      </c>
      <c r="DR133" s="391">
        <f t="shared" si="132"/>
        <v>0</v>
      </c>
      <c r="DS133" s="391">
        <f t="shared" si="132"/>
        <v>0</v>
      </c>
      <c r="DT133" s="757">
        <f t="shared" si="132"/>
        <v>0</v>
      </c>
      <c r="DU133" s="3"/>
    </row>
    <row r="134" spans="2:125" ht="15" x14ac:dyDescent="0.25">
      <c r="E134" s="484"/>
      <c r="F134" s="484"/>
      <c r="G134" s="484"/>
      <c r="H134" s="484"/>
      <c r="I134" s="484"/>
      <c r="J134" s="484"/>
      <c r="K134" s="484"/>
      <c r="L134" s="484"/>
      <c r="M134" s="484"/>
      <c r="N134" s="484"/>
      <c r="O134" s="484"/>
      <c r="P134" s="694"/>
      <c r="Q134" s="788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500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500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500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500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500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500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500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500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500"/>
      <c r="DU134" s="3"/>
    </row>
    <row r="135" spans="2:125" ht="18.75" x14ac:dyDescent="0.3">
      <c r="B135" s="161" t="s">
        <v>658</v>
      </c>
      <c r="C135" s="2">
        <v>50</v>
      </c>
      <c r="E135" s="484"/>
      <c r="F135" s="484"/>
      <c r="G135" s="484"/>
      <c r="H135" s="484"/>
      <c r="I135" s="484"/>
      <c r="J135" s="484"/>
      <c r="K135" s="484"/>
      <c r="L135" s="484"/>
      <c r="M135" s="484"/>
      <c r="N135" s="484"/>
      <c r="O135" s="484"/>
      <c r="P135" s="694"/>
      <c r="Q135" s="541"/>
      <c r="R135" s="272"/>
      <c r="S135" s="272"/>
      <c r="T135" s="272"/>
      <c r="U135" s="272"/>
      <c r="V135" s="272"/>
      <c r="W135" s="272"/>
      <c r="X135" s="272"/>
      <c r="Y135" s="272"/>
      <c r="Z135" s="272"/>
      <c r="AA135" s="272"/>
      <c r="AB135" s="603"/>
      <c r="AC135" s="272"/>
      <c r="AD135" s="272"/>
      <c r="AE135" s="272"/>
      <c r="AF135" s="272"/>
      <c r="AG135" s="272"/>
      <c r="AH135" s="272"/>
      <c r="AI135" s="272"/>
      <c r="AJ135" s="272"/>
      <c r="AK135" s="272"/>
      <c r="AL135" s="272"/>
      <c r="AM135" s="272"/>
      <c r="AN135" s="603"/>
      <c r="AO135" s="272"/>
      <c r="AP135" s="272"/>
      <c r="AQ135" s="272"/>
      <c r="AR135" s="272"/>
      <c r="AS135" s="272"/>
      <c r="AT135" s="272"/>
      <c r="AU135" s="272"/>
      <c r="AV135" s="272"/>
      <c r="AW135" s="272"/>
      <c r="AX135" s="272"/>
      <c r="AY135" s="272"/>
      <c r="AZ135" s="603"/>
      <c r="BA135" s="272"/>
      <c r="BB135" s="272"/>
      <c r="BC135" s="272"/>
      <c r="BD135" s="272"/>
      <c r="BE135" s="272"/>
      <c r="BF135" s="272"/>
      <c r="BG135" s="272"/>
      <c r="BH135" s="272"/>
      <c r="BI135" s="272"/>
      <c r="BJ135" s="272"/>
      <c r="BK135" s="272"/>
      <c r="BL135" s="603"/>
      <c r="BM135" s="272"/>
      <c r="BN135" s="272"/>
      <c r="BO135" s="272"/>
      <c r="BP135" s="272"/>
      <c r="BQ135" s="272"/>
      <c r="BR135" s="272"/>
      <c r="BS135" s="272"/>
      <c r="BT135" s="272"/>
      <c r="BU135" s="272"/>
      <c r="BV135" s="272"/>
      <c r="BW135" s="272"/>
      <c r="BX135" s="603"/>
      <c r="BY135" s="272"/>
      <c r="BZ135" s="272"/>
      <c r="CA135" s="272"/>
      <c r="CB135" s="272"/>
      <c r="CC135" s="272"/>
      <c r="CD135" s="272"/>
      <c r="CE135" s="272"/>
      <c r="CF135" s="272"/>
      <c r="CG135" s="272"/>
      <c r="CH135" s="272"/>
      <c r="CI135" s="272"/>
      <c r="CJ135" s="603"/>
      <c r="CK135" s="272"/>
      <c r="CL135" s="272"/>
      <c r="CM135" s="272"/>
      <c r="CN135" s="272"/>
      <c r="CO135" s="272"/>
      <c r="CP135" s="272"/>
      <c r="CQ135" s="272"/>
      <c r="CR135" s="272"/>
      <c r="CS135" s="272"/>
      <c r="CT135" s="272"/>
      <c r="CU135" s="272"/>
      <c r="CV135" s="603"/>
      <c r="CW135" s="272"/>
      <c r="CX135" s="272"/>
      <c r="CY135" s="272"/>
      <c r="CZ135" s="272"/>
      <c r="DA135" s="272"/>
      <c r="DB135" s="272"/>
      <c r="DC135" s="272"/>
      <c r="DD135" s="272"/>
      <c r="DE135" s="272"/>
      <c r="DF135" s="272"/>
      <c r="DG135" s="272"/>
      <c r="DH135" s="603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603"/>
      <c r="DU135" s="3"/>
    </row>
    <row r="136" spans="2:125" ht="15" x14ac:dyDescent="0.25">
      <c r="B136" s="404" t="s">
        <v>372</v>
      </c>
      <c r="C136" s="3">
        <v>200</v>
      </c>
      <c r="D136" s="3"/>
      <c r="E136" s="403"/>
      <c r="F136" s="403"/>
      <c r="G136" s="403"/>
      <c r="H136" s="403"/>
      <c r="I136" s="403"/>
      <c r="J136" s="403"/>
      <c r="K136" s="403"/>
      <c r="L136" s="403"/>
      <c r="M136" s="403"/>
      <c r="N136" s="403"/>
      <c r="O136" s="403"/>
      <c r="P136" s="486"/>
      <c r="Q136" s="344"/>
      <c r="R136" s="109"/>
      <c r="S136" s="109"/>
      <c r="T136" s="109"/>
      <c r="U136" s="109"/>
      <c r="V136" s="109"/>
      <c r="W136" s="109"/>
      <c r="X136" s="900">
        <f t="shared" ref="X136:AI136" si="133">_xlfn.CEILING.MATH(X18/$C$135/$C$136,1)</f>
        <v>1</v>
      </c>
      <c r="Y136" s="900">
        <f t="shared" si="133"/>
        <v>2</v>
      </c>
      <c r="Z136" s="900">
        <f t="shared" si="133"/>
        <v>2</v>
      </c>
      <c r="AA136" s="900">
        <f t="shared" si="133"/>
        <v>3</v>
      </c>
      <c r="AB136" s="1189">
        <f t="shared" si="133"/>
        <v>4</v>
      </c>
      <c r="AC136" s="900">
        <f t="shared" si="133"/>
        <v>6</v>
      </c>
      <c r="AD136" s="900">
        <f t="shared" si="133"/>
        <v>4</v>
      </c>
      <c r="AE136" s="900">
        <f t="shared" si="133"/>
        <v>5</v>
      </c>
      <c r="AF136" s="900">
        <f t="shared" si="133"/>
        <v>5</v>
      </c>
      <c r="AG136" s="900">
        <f t="shared" si="133"/>
        <v>3</v>
      </c>
      <c r="AH136" s="900">
        <f t="shared" si="133"/>
        <v>3</v>
      </c>
      <c r="AI136" s="900">
        <f t="shared" si="133"/>
        <v>4</v>
      </c>
      <c r="AJ136" s="900"/>
      <c r="AK136" s="900"/>
      <c r="AL136" s="900"/>
      <c r="AM136" s="900"/>
      <c r="AN136" s="1189"/>
      <c r="AO136" s="900"/>
      <c r="AP136" s="900"/>
      <c r="AQ136" s="900"/>
      <c r="AR136" s="900"/>
      <c r="AS136" s="900"/>
      <c r="AT136" s="109"/>
      <c r="AU136" s="109"/>
      <c r="AV136" s="109"/>
      <c r="AW136" s="109"/>
      <c r="AX136" s="109"/>
      <c r="AY136" s="109"/>
      <c r="AZ136" s="695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695"/>
      <c r="BM136" s="109"/>
      <c r="BN136" s="109"/>
      <c r="BO136" s="109"/>
      <c r="BP136" s="109"/>
      <c r="BQ136" s="109"/>
      <c r="BR136" s="109"/>
      <c r="BS136" s="109"/>
      <c r="BT136" s="109"/>
      <c r="BU136" s="109"/>
      <c r="BV136" s="109"/>
      <c r="BW136" s="109"/>
      <c r="BX136" s="695"/>
      <c r="BY136" s="109"/>
      <c r="BZ136" s="109"/>
      <c r="CA136" s="109"/>
      <c r="CB136" s="109"/>
      <c r="CC136" s="109"/>
      <c r="CD136" s="109"/>
      <c r="CE136" s="109"/>
      <c r="CF136" s="109"/>
      <c r="CG136" s="109"/>
      <c r="CH136" s="109"/>
      <c r="CI136" s="109"/>
      <c r="CJ136" s="695"/>
      <c r="CK136" s="109"/>
      <c r="CL136" s="109"/>
      <c r="CM136" s="109"/>
      <c r="CN136" s="109"/>
      <c r="CO136" s="109"/>
      <c r="CP136" s="109"/>
      <c r="CQ136" s="109"/>
      <c r="CR136" s="109"/>
      <c r="CS136" s="109"/>
      <c r="CT136" s="109"/>
      <c r="CU136" s="109"/>
      <c r="CV136" s="695"/>
      <c r="CW136" s="109"/>
      <c r="CX136" s="109"/>
      <c r="CY136" s="109"/>
      <c r="CZ136" s="109"/>
      <c r="DA136" s="109"/>
      <c r="DB136" s="109"/>
      <c r="DC136" s="109"/>
      <c r="DD136" s="109"/>
      <c r="DE136" s="109"/>
      <c r="DF136" s="109"/>
      <c r="DG136" s="109"/>
      <c r="DH136" s="695"/>
      <c r="DI136" s="109"/>
      <c r="DJ136" s="109"/>
      <c r="DK136" s="109"/>
      <c r="DL136" s="109"/>
      <c r="DM136" s="109"/>
      <c r="DN136" s="109"/>
      <c r="DO136" s="109"/>
      <c r="DP136" s="109"/>
      <c r="DQ136" s="387"/>
      <c r="DR136" s="387"/>
      <c r="DS136" s="387"/>
      <c r="DT136" s="743"/>
      <c r="DU136" s="3"/>
    </row>
    <row r="137" spans="2:125" ht="15" x14ac:dyDescent="0.25">
      <c r="B137" s="404" t="s">
        <v>387</v>
      </c>
      <c r="C137" s="3">
        <v>1</v>
      </c>
      <c r="D137" s="3"/>
      <c r="E137" s="403"/>
      <c r="F137" s="403"/>
      <c r="G137" s="403"/>
      <c r="H137" s="403"/>
      <c r="I137" s="403"/>
      <c r="J137" s="403"/>
      <c r="K137" s="403"/>
      <c r="L137" s="403"/>
      <c r="M137" s="403"/>
      <c r="N137" s="403"/>
      <c r="O137" s="403"/>
      <c r="P137" s="486"/>
      <c r="Q137" s="344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>
        <f>O136</f>
        <v>0</v>
      </c>
      <c r="AB137" s="110">
        <f t="shared" ref="AB137:BN140" si="134">P136</f>
        <v>0</v>
      </c>
      <c r="AC137" s="109">
        <f t="shared" si="134"/>
        <v>0</v>
      </c>
      <c r="AD137" s="108">
        <f t="shared" si="134"/>
        <v>0</v>
      </c>
      <c r="AE137" s="108">
        <f t="shared" si="134"/>
        <v>0</v>
      </c>
      <c r="AF137" s="108">
        <f t="shared" si="134"/>
        <v>0</v>
      </c>
      <c r="AG137" s="108">
        <f t="shared" si="134"/>
        <v>0</v>
      </c>
      <c r="AH137" s="108">
        <f t="shared" si="134"/>
        <v>0</v>
      </c>
      <c r="AI137" s="108">
        <f t="shared" si="134"/>
        <v>0</v>
      </c>
      <c r="AJ137" s="108">
        <f t="shared" si="134"/>
        <v>1</v>
      </c>
      <c r="AK137" s="108">
        <f t="shared" si="134"/>
        <v>2</v>
      </c>
      <c r="AL137" s="108">
        <f t="shared" si="134"/>
        <v>2</v>
      </c>
      <c r="AM137" s="108">
        <f t="shared" si="134"/>
        <v>3</v>
      </c>
      <c r="AN137" s="110">
        <f t="shared" si="134"/>
        <v>4</v>
      </c>
      <c r="AO137" s="109">
        <f t="shared" si="134"/>
        <v>6</v>
      </c>
      <c r="AP137" s="108">
        <f t="shared" si="134"/>
        <v>4</v>
      </c>
      <c r="AQ137" s="108">
        <f t="shared" si="134"/>
        <v>5</v>
      </c>
      <c r="AR137" s="108">
        <f t="shared" si="134"/>
        <v>5</v>
      </c>
      <c r="AS137" s="108">
        <f t="shared" si="134"/>
        <v>3</v>
      </c>
      <c r="AT137" s="108">
        <f t="shared" si="134"/>
        <v>3</v>
      </c>
      <c r="AU137" s="108">
        <f t="shared" si="134"/>
        <v>4</v>
      </c>
      <c r="AV137" s="108">
        <f t="shared" si="134"/>
        <v>0</v>
      </c>
      <c r="AW137" s="108">
        <f t="shared" si="134"/>
        <v>0</v>
      </c>
      <c r="AX137" s="108">
        <f t="shared" si="134"/>
        <v>0</v>
      </c>
      <c r="AY137" s="108">
        <f t="shared" si="134"/>
        <v>0</v>
      </c>
      <c r="AZ137" s="110">
        <f t="shared" si="134"/>
        <v>0</v>
      </c>
      <c r="BA137" s="109">
        <f t="shared" si="134"/>
        <v>0</v>
      </c>
      <c r="BB137" s="108">
        <f t="shared" si="134"/>
        <v>0</v>
      </c>
      <c r="BC137" s="108">
        <f t="shared" si="134"/>
        <v>0</v>
      </c>
      <c r="BD137" s="108">
        <f t="shared" si="134"/>
        <v>0</v>
      </c>
      <c r="BE137" s="108">
        <f t="shared" si="134"/>
        <v>0</v>
      </c>
      <c r="BF137" s="108">
        <f t="shared" si="134"/>
        <v>0</v>
      </c>
      <c r="BG137" s="108">
        <f t="shared" si="134"/>
        <v>0</v>
      </c>
      <c r="BH137" s="108">
        <f t="shared" si="134"/>
        <v>0</v>
      </c>
      <c r="BI137" s="108">
        <f t="shared" si="134"/>
        <v>0</v>
      </c>
      <c r="BJ137" s="108">
        <f t="shared" si="134"/>
        <v>0</v>
      </c>
      <c r="BK137" s="108">
        <f t="shared" si="134"/>
        <v>0</v>
      </c>
      <c r="BL137" s="110">
        <f t="shared" si="134"/>
        <v>0</v>
      </c>
      <c r="BM137" s="109">
        <f t="shared" si="134"/>
        <v>0</v>
      </c>
      <c r="BN137" s="108">
        <f t="shared" si="134"/>
        <v>0</v>
      </c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10"/>
      <c r="BY137" s="109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10"/>
      <c r="CK137" s="109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10"/>
      <c r="CW137" s="109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10"/>
      <c r="DI137" s="109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10"/>
      <c r="DU137" s="3"/>
    </row>
    <row r="138" spans="2:125" ht="15" x14ac:dyDescent="0.25">
      <c r="B138" s="404" t="s">
        <v>388</v>
      </c>
      <c r="E138" s="403"/>
      <c r="F138" s="403"/>
      <c r="G138" s="403"/>
      <c r="H138" s="403"/>
      <c r="I138" s="403"/>
      <c r="J138" s="403"/>
      <c r="K138" s="403"/>
      <c r="L138" s="403"/>
      <c r="M138" s="403"/>
      <c r="N138" s="403"/>
      <c r="O138" s="403"/>
      <c r="P138" s="486"/>
      <c r="Q138" s="344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10"/>
      <c r="AC138" s="109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>
        <f>AA137</f>
        <v>0</v>
      </c>
      <c r="AN138" s="110">
        <f t="shared" si="134"/>
        <v>0</v>
      </c>
      <c r="AO138" s="109">
        <f t="shared" si="134"/>
        <v>0</v>
      </c>
      <c r="AP138" s="108">
        <f t="shared" si="134"/>
        <v>0</v>
      </c>
      <c r="AQ138" s="108">
        <f t="shared" si="134"/>
        <v>0</v>
      </c>
      <c r="AR138" s="108">
        <f t="shared" si="134"/>
        <v>0</v>
      </c>
      <c r="AS138" s="108">
        <f t="shared" si="134"/>
        <v>0</v>
      </c>
      <c r="AT138" s="108">
        <f t="shared" si="134"/>
        <v>0</v>
      </c>
      <c r="AU138" s="108">
        <f t="shared" si="134"/>
        <v>0</v>
      </c>
      <c r="AV138" s="108">
        <f t="shared" si="134"/>
        <v>1</v>
      </c>
      <c r="AW138" s="108">
        <f t="shared" si="134"/>
        <v>2</v>
      </c>
      <c r="AX138" s="108">
        <f t="shared" si="134"/>
        <v>2</v>
      </c>
      <c r="AY138" s="108">
        <f t="shared" si="134"/>
        <v>3</v>
      </c>
      <c r="AZ138" s="110">
        <f t="shared" si="134"/>
        <v>4</v>
      </c>
      <c r="BA138" s="109">
        <f t="shared" si="134"/>
        <v>6</v>
      </c>
      <c r="BB138" s="108">
        <f t="shared" si="134"/>
        <v>4</v>
      </c>
      <c r="BC138" s="108">
        <f t="shared" si="134"/>
        <v>5</v>
      </c>
      <c r="BD138" s="108">
        <f t="shared" si="134"/>
        <v>5</v>
      </c>
      <c r="BE138" s="108">
        <f t="shared" si="134"/>
        <v>3</v>
      </c>
      <c r="BF138" s="108">
        <f t="shared" si="134"/>
        <v>3</v>
      </c>
      <c r="BG138" s="108">
        <f t="shared" si="134"/>
        <v>4</v>
      </c>
      <c r="BH138" s="108">
        <f t="shared" si="134"/>
        <v>0</v>
      </c>
      <c r="BI138" s="108">
        <f t="shared" si="134"/>
        <v>0</v>
      </c>
      <c r="BJ138" s="108">
        <f t="shared" si="134"/>
        <v>0</v>
      </c>
      <c r="BK138" s="108">
        <f t="shared" si="134"/>
        <v>0</v>
      </c>
      <c r="BL138" s="110">
        <f t="shared" si="134"/>
        <v>0</v>
      </c>
      <c r="BM138" s="109">
        <f t="shared" si="134"/>
        <v>0</v>
      </c>
      <c r="BN138" s="108">
        <f t="shared" si="134"/>
        <v>0</v>
      </c>
      <c r="BO138" s="108">
        <f t="shared" ref="BO138:CD141" si="135">BC137</f>
        <v>0</v>
      </c>
      <c r="BP138" s="108">
        <f t="shared" si="135"/>
        <v>0</v>
      </c>
      <c r="BQ138" s="108">
        <f t="shared" si="135"/>
        <v>0</v>
      </c>
      <c r="BR138" s="108">
        <f t="shared" si="135"/>
        <v>0</v>
      </c>
      <c r="BS138" s="108">
        <f t="shared" si="135"/>
        <v>0</v>
      </c>
      <c r="BT138" s="108">
        <f t="shared" si="135"/>
        <v>0</v>
      </c>
      <c r="BU138" s="108">
        <f t="shared" si="135"/>
        <v>0</v>
      </c>
      <c r="BV138" s="108">
        <f t="shared" si="135"/>
        <v>0</v>
      </c>
      <c r="BW138" s="108">
        <f t="shared" si="135"/>
        <v>0</v>
      </c>
      <c r="BX138" s="110">
        <f t="shared" si="135"/>
        <v>0</v>
      </c>
      <c r="BY138" s="109">
        <f t="shared" si="135"/>
        <v>0</v>
      </c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10"/>
      <c r="CK138" s="109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10"/>
      <c r="CW138" s="109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10"/>
      <c r="DI138" s="109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10"/>
      <c r="DU138" s="3"/>
    </row>
    <row r="139" spans="2:125" ht="15" x14ac:dyDescent="0.25">
      <c r="B139" s="404" t="s">
        <v>389</v>
      </c>
      <c r="E139" s="534"/>
      <c r="F139" s="534"/>
      <c r="G139" s="534"/>
      <c r="H139" s="534"/>
      <c r="I139" s="534"/>
      <c r="J139" s="534"/>
      <c r="K139" s="463"/>
      <c r="L139" s="463"/>
      <c r="M139" s="463"/>
      <c r="N139" s="463"/>
      <c r="O139" s="463"/>
      <c r="P139" s="487"/>
      <c r="Q139" s="474"/>
      <c r="R139" s="310"/>
      <c r="S139" s="310"/>
      <c r="T139" s="310"/>
      <c r="U139" s="310"/>
      <c r="V139" s="310"/>
      <c r="W139" s="310"/>
      <c r="X139" s="310"/>
      <c r="Y139" s="310"/>
      <c r="Z139" s="310"/>
      <c r="AA139" s="310"/>
      <c r="AB139" s="311"/>
      <c r="AC139" s="280"/>
      <c r="AD139" s="310"/>
      <c r="AE139" s="310"/>
      <c r="AF139" s="310"/>
      <c r="AG139" s="310"/>
      <c r="AH139" s="310"/>
      <c r="AI139" s="310"/>
      <c r="AJ139" s="310"/>
      <c r="AK139" s="310"/>
      <c r="AL139" s="310"/>
      <c r="AM139" s="310"/>
      <c r="AN139" s="311"/>
      <c r="AO139" s="280"/>
      <c r="AP139" s="310"/>
      <c r="AQ139" s="310"/>
      <c r="AR139" s="310"/>
      <c r="AS139" s="310"/>
      <c r="AT139" s="310"/>
      <c r="AU139" s="310"/>
      <c r="AV139" s="310"/>
      <c r="AW139" s="310"/>
      <c r="AX139" s="310"/>
      <c r="AY139" s="310">
        <f>AM138</f>
        <v>0</v>
      </c>
      <c r="AZ139" s="311">
        <f t="shared" si="134"/>
        <v>0</v>
      </c>
      <c r="BA139" s="280">
        <f t="shared" si="134"/>
        <v>0</v>
      </c>
      <c r="BB139" s="310">
        <f t="shared" si="134"/>
        <v>0</v>
      </c>
      <c r="BC139" s="310">
        <f t="shared" si="134"/>
        <v>0</v>
      </c>
      <c r="BD139" s="310">
        <f t="shared" si="134"/>
        <v>0</v>
      </c>
      <c r="BE139" s="310">
        <f t="shared" si="134"/>
        <v>0</v>
      </c>
      <c r="BF139" s="310">
        <f t="shared" si="134"/>
        <v>0</v>
      </c>
      <c r="BG139" s="310">
        <f t="shared" si="134"/>
        <v>0</v>
      </c>
      <c r="BH139" s="310">
        <f t="shared" si="134"/>
        <v>1</v>
      </c>
      <c r="BI139" s="310">
        <f t="shared" si="134"/>
        <v>2</v>
      </c>
      <c r="BJ139" s="310">
        <f t="shared" si="134"/>
        <v>2</v>
      </c>
      <c r="BK139" s="310">
        <f t="shared" si="134"/>
        <v>3</v>
      </c>
      <c r="BL139" s="311">
        <f t="shared" si="134"/>
        <v>4</v>
      </c>
      <c r="BM139" s="280">
        <f t="shared" si="134"/>
        <v>6</v>
      </c>
      <c r="BN139" s="310">
        <f t="shared" si="134"/>
        <v>4</v>
      </c>
      <c r="BO139" s="310">
        <f t="shared" si="135"/>
        <v>5</v>
      </c>
      <c r="BP139" s="310">
        <f t="shared" si="135"/>
        <v>5</v>
      </c>
      <c r="BQ139" s="310">
        <f t="shared" si="135"/>
        <v>3</v>
      </c>
      <c r="BR139" s="310">
        <f t="shared" si="135"/>
        <v>3</v>
      </c>
      <c r="BS139" s="310">
        <f t="shared" si="135"/>
        <v>4</v>
      </c>
      <c r="BT139" s="310">
        <f t="shared" si="135"/>
        <v>0</v>
      </c>
      <c r="BU139" s="310">
        <f t="shared" si="135"/>
        <v>0</v>
      </c>
      <c r="BV139" s="310">
        <f t="shared" si="135"/>
        <v>0</v>
      </c>
      <c r="BW139" s="310">
        <f t="shared" si="135"/>
        <v>0</v>
      </c>
      <c r="BX139" s="311">
        <f t="shared" si="135"/>
        <v>0</v>
      </c>
      <c r="BY139" s="280">
        <f t="shared" si="135"/>
        <v>0</v>
      </c>
      <c r="BZ139" s="310">
        <f t="shared" si="135"/>
        <v>0</v>
      </c>
      <c r="CA139" s="310">
        <f t="shared" si="135"/>
        <v>0</v>
      </c>
      <c r="CB139" s="310">
        <f t="shared" si="135"/>
        <v>0</v>
      </c>
      <c r="CC139" s="310">
        <f t="shared" si="135"/>
        <v>0</v>
      </c>
      <c r="CD139" s="310">
        <f t="shared" si="135"/>
        <v>0</v>
      </c>
      <c r="CE139" s="310">
        <f t="shared" ref="CE139:CT142" si="136">BS138</f>
        <v>0</v>
      </c>
      <c r="CF139" s="310">
        <f t="shared" si="136"/>
        <v>0</v>
      </c>
      <c r="CG139" s="310">
        <f t="shared" si="136"/>
        <v>0</v>
      </c>
      <c r="CH139" s="310">
        <f t="shared" si="136"/>
        <v>0</v>
      </c>
      <c r="CI139" s="310">
        <f t="shared" si="136"/>
        <v>0</v>
      </c>
      <c r="CJ139" s="311">
        <f t="shared" si="136"/>
        <v>0</v>
      </c>
      <c r="CK139" s="280">
        <f t="shared" si="136"/>
        <v>0</v>
      </c>
      <c r="CL139" s="310">
        <f t="shared" si="136"/>
        <v>0</v>
      </c>
      <c r="CM139" s="310">
        <f t="shared" si="136"/>
        <v>0</v>
      </c>
      <c r="CN139" s="310">
        <f t="shared" si="136"/>
        <v>0</v>
      </c>
      <c r="CO139" s="310">
        <f t="shared" si="136"/>
        <v>0</v>
      </c>
      <c r="CP139" s="310">
        <f t="shared" si="136"/>
        <v>0</v>
      </c>
      <c r="CQ139" s="310">
        <f t="shared" si="136"/>
        <v>0</v>
      </c>
      <c r="CR139" s="310">
        <f t="shared" si="136"/>
        <v>0</v>
      </c>
      <c r="CS139" s="310">
        <f t="shared" si="136"/>
        <v>0</v>
      </c>
      <c r="CT139" s="310">
        <f t="shared" si="136"/>
        <v>0</v>
      </c>
      <c r="CU139" s="310">
        <f t="shared" ref="CU139:DJ144" si="137">CI138</f>
        <v>0</v>
      </c>
      <c r="CV139" s="311">
        <f t="shared" si="137"/>
        <v>0</v>
      </c>
      <c r="CW139" s="280">
        <f t="shared" si="137"/>
        <v>0</v>
      </c>
      <c r="CX139" s="310">
        <f t="shared" si="137"/>
        <v>0</v>
      </c>
      <c r="CY139" s="310">
        <f t="shared" si="137"/>
        <v>0</v>
      </c>
      <c r="CZ139" s="310">
        <f t="shared" si="137"/>
        <v>0</v>
      </c>
      <c r="DA139" s="310">
        <f t="shared" si="137"/>
        <v>0</v>
      </c>
      <c r="DB139" s="310">
        <f t="shared" si="137"/>
        <v>0</v>
      </c>
      <c r="DC139" s="310">
        <f t="shared" si="137"/>
        <v>0</v>
      </c>
      <c r="DD139" s="310">
        <f t="shared" si="137"/>
        <v>0</v>
      </c>
      <c r="DE139" s="310">
        <f t="shared" si="137"/>
        <v>0</v>
      </c>
      <c r="DF139" s="310">
        <f t="shared" si="137"/>
        <v>0</v>
      </c>
      <c r="DG139" s="310">
        <f t="shared" si="137"/>
        <v>0</v>
      </c>
      <c r="DH139" s="311">
        <f t="shared" si="137"/>
        <v>0</v>
      </c>
      <c r="DI139" s="280">
        <f t="shared" si="137"/>
        <v>0</v>
      </c>
      <c r="DJ139" s="310">
        <f t="shared" si="137"/>
        <v>0</v>
      </c>
      <c r="DK139" s="310">
        <f t="shared" ref="DK139:DT144" si="138">CY138</f>
        <v>0</v>
      </c>
      <c r="DL139" s="310">
        <f t="shared" si="138"/>
        <v>0</v>
      </c>
      <c r="DM139" s="310"/>
      <c r="DN139" s="310"/>
      <c r="DO139" s="310"/>
      <c r="DP139" s="310"/>
      <c r="DQ139" s="310"/>
      <c r="DR139" s="310"/>
      <c r="DS139" s="310"/>
      <c r="DT139" s="311"/>
      <c r="DU139" s="3"/>
    </row>
    <row r="140" spans="2:125" ht="15" x14ac:dyDescent="0.25">
      <c r="B140" s="404" t="s">
        <v>390</v>
      </c>
      <c r="E140" s="534"/>
      <c r="F140" s="534"/>
      <c r="G140" s="534"/>
      <c r="H140" s="534"/>
      <c r="I140" s="534"/>
      <c r="J140" s="534"/>
      <c r="K140" s="403"/>
      <c r="L140" s="403"/>
      <c r="M140" s="403"/>
      <c r="N140" s="403"/>
      <c r="O140" s="403"/>
      <c r="P140" s="486"/>
      <c r="Q140" s="344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10"/>
      <c r="AC140" s="109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10"/>
      <c r="AO140" s="109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10"/>
      <c r="BA140" s="109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>
        <f>AY139</f>
        <v>0</v>
      </c>
      <c r="BL140" s="110">
        <f t="shared" si="134"/>
        <v>0</v>
      </c>
      <c r="BM140" s="109">
        <f t="shared" si="134"/>
        <v>0</v>
      </c>
      <c r="BN140" s="108">
        <f t="shared" si="134"/>
        <v>0</v>
      </c>
      <c r="BO140" s="108">
        <f t="shared" si="135"/>
        <v>0</v>
      </c>
      <c r="BP140" s="108">
        <f t="shared" si="135"/>
        <v>0</v>
      </c>
      <c r="BQ140" s="108">
        <f t="shared" si="135"/>
        <v>0</v>
      </c>
      <c r="BR140" s="108">
        <f t="shared" si="135"/>
        <v>0</v>
      </c>
      <c r="BS140" s="108">
        <f t="shared" si="135"/>
        <v>0</v>
      </c>
      <c r="BT140" s="108">
        <f t="shared" si="135"/>
        <v>1</v>
      </c>
      <c r="BU140" s="108">
        <f t="shared" si="135"/>
        <v>2</v>
      </c>
      <c r="BV140" s="108">
        <f t="shared" si="135"/>
        <v>2</v>
      </c>
      <c r="BW140" s="108">
        <f t="shared" si="135"/>
        <v>3</v>
      </c>
      <c r="BX140" s="110">
        <f t="shared" si="135"/>
        <v>4</v>
      </c>
      <c r="BY140" s="109">
        <f t="shared" si="135"/>
        <v>6</v>
      </c>
      <c r="BZ140" s="108">
        <f t="shared" si="135"/>
        <v>4</v>
      </c>
      <c r="CA140" s="108">
        <f t="shared" si="135"/>
        <v>5</v>
      </c>
      <c r="CB140" s="108">
        <f t="shared" si="135"/>
        <v>5</v>
      </c>
      <c r="CC140" s="108">
        <f t="shared" si="135"/>
        <v>3</v>
      </c>
      <c r="CD140" s="108">
        <f t="shared" si="135"/>
        <v>3</v>
      </c>
      <c r="CE140" s="108">
        <f t="shared" si="136"/>
        <v>4</v>
      </c>
      <c r="CF140" s="108">
        <f t="shared" si="136"/>
        <v>0</v>
      </c>
      <c r="CG140" s="108">
        <f t="shared" si="136"/>
        <v>0</v>
      </c>
      <c r="CH140" s="108">
        <f t="shared" si="136"/>
        <v>0</v>
      </c>
      <c r="CI140" s="108">
        <f t="shared" si="136"/>
        <v>0</v>
      </c>
      <c r="CJ140" s="110">
        <f t="shared" si="136"/>
        <v>0</v>
      </c>
      <c r="CK140" s="109">
        <f t="shared" si="136"/>
        <v>0</v>
      </c>
      <c r="CL140" s="108">
        <f t="shared" si="136"/>
        <v>0</v>
      </c>
      <c r="CM140" s="108">
        <f t="shared" si="136"/>
        <v>0</v>
      </c>
      <c r="CN140" s="108">
        <f t="shared" si="136"/>
        <v>0</v>
      </c>
      <c r="CO140" s="108">
        <f t="shared" si="136"/>
        <v>0</v>
      </c>
      <c r="CP140" s="108">
        <f t="shared" si="136"/>
        <v>0</v>
      </c>
      <c r="CQ140" s="108">
        <f t="shared" si="136"/>
        <v>0</v>
      </c>
      <c r="CR140" s="108">
        <f t="shared" si="136"/>
        <v>0</v>
      </c>
      <c r="CS140" s="108">
        <f t="shared" si="136"/>
        <v>0</v>
      </c>
      <c r="CT140" s="108">
        <f t="shared" si="136"/>
        <v>0</v>
      </c>
      <c r="CU140" s="108">
        <f t="shared" si="137"/>
        <v>0</v>
      </c>
      <c r="CV140" s="110">
        <f t="shared" si="137"/>
        <v>0</v>
      </c>
      <c r="CW140" s="109">
        <f t="shared" si="137"/>
        <v>0</v>
      </c>
      <c r="CX140" s="108">
        <f t="shared" si="137"/>
        <v>0</v>
      </c>
      <c r="CY140" s="108">
        <f t="shared" si="137"/>
        <v>0</v>
      </c>
      <c r="CZ140" s="108">
        <f t="shared" si="137"/>
        <v>0</v>
      </c>
      <c r="DA140" s="108">
        <f t="shared" si="137"/>
        <v>0</v>
      </c>
      <c r="DB140" s="108">
        <f t="shared" si="137"/>
        <v>0</v>
      </c>
      <c r="DC140" s="108">
        <f t="shared" si="137"/>
        <v>0</v>
      </c>
      <c r="DD140" s="108">
        <f t="shared" si="137"/>
        <v>0</v>
      </c>
      <c r="DE140" s="108">
        <f t="shared" si="137"/>
        <v>0</v>
      </c>
      <c r="DF140" s="108">
        <f t="shared" si="137"/>
        <v>0</v>
      </c>
      <c r="DG140" s="108">
        <f t="shared" si="137"/>
        <v>0</v>
      </c>
      <c r="DH140" s="110">
        <f t="shared" si="137"/>
        <v>0</v>
      </c>
      <c r="DI140" s="109">
        <f t="shared" si="137"/>
        <v>0</v>
      </c>
      <c r="DJ140" s="108">
        <f t="shared" si="137"/>
        <v>0</v>
      </c>
      <c r="DK140" s="108">
        <f t="shared" si="138"/>
        <v>0</v>
      </c>
      <c r="DL140" s="108">
        <f t="shared" si="138"/>
        <v>0</v>
      </c>
      <c r="DM140" s="108">
        <f t="shared" si="138"/>
        <v>0</v>
      </c>
      <c r="DN140" s="108">
        <f t="shared" si="138"/>
        <v>0</v>
      </c>
      <c r="DO140" s="108">
        <f t="shared" si="138"/>
        <v>0</v>
      </c>
      <c r="DP140" s="108">
        <f t="shared" si="138"/>
        <v>0</v>
      </c>
      <c r="DQ140" s="108">
        <f t="shared" si="138"/>
        <v>0</v>
      </c>
      <c r="DR140" s="108">
        <f t="shared" si="138"/>
        <v>0</v>
      </c>
      <c r="DS140" s="108">
        <f t="shared" si="138"/>
        <v>0</v>
      </c>
      <c r="DT140" s="110">
        <f t="shared" si="138"/>
        <v>0</v>
      </c>
      <c r="DU140" s="3"/>
    </row>
    <row r="141" spans="2:125" ht="15" x14ac:dyDescent="0.25">
      <c r="B141" s="404" t="s">
        <v>391</v>
      </c>
      <c r="E141" s="406"/>
      <c r="F141" s="406"/>
      <c r="G141" s="406"/>
      <c r="H141" s="406"/>
      <c r="I141" s="406"/>
      <c r="J141" s="406"/>
      <c r="K141" s="406"/>
      <c r="L141" s="406"/>
      <c r="M141" s="406"/>
      <c r="N141" s="406"/>
      <c r="O141" s="406"/>
      <c r="P141" s="488"/>
      <c r="Q141" s="792"/>
      <c r="R141" s="312"/>
      <c r="S141" s="312"/>
      <c r="T141" s="312"/>
      <c r="U141" s="312"/>
      <c r="V141" s="312"/>
      <c r="W141" s="312"/>
      <c r="X141" s="312"/>
      <c r="Y141" s="312"/>
      <c r="Z141" s="312"/>
      <c r="AA141" s="312"/>
      <c r="AB141" s="313"/>
      <c r="AC141" s="312"/>
      <c r="AD141" s="312"/>
      <c r="AE141" s="312"/>
      <c r="AF141" s="312"/>
      <c r="AG141" s="312"/>
      <c r="AH141" s="312"/>
      <c r="AI141" s="312"/>
      <c r="AJ141" s="312"/>
      <c r="AK141" s="312"/>
      <c r="AL141" s="312"/>
      <c r="AM141" s="312"/>
      <c r="AN141" s="313"/>
      <c r="AO141" s="312"/>
      <c r="AP141" s="312"/>
      <c r="AQ141" s="312"/>
      <c r="AR141" s="312"/>
      <c r="AS141" s="312"/>
      <c r="AT141" s="312"/>
      <c r="AU141" s="312"/>
      <c r="AV141" s="312"/>
      <c r="AW141" s="312"/>
      <c r="AX141" s="312"/>
      <c r="AY141" s="312"/>
      <c r="AZ141" s="313"/>
      <c r="BA141" s="312"/>
      <c r="BB141" s="312"/>
      <c r="BC141" s="312"/>
      <c r="BD141" s="312"/>
      <c r="BE141" s="312"/>
      <c r="BF141" s="312"/>
      <c r="BG141" s="312"/>
      <c r="BH141" s="312"/>
      <c r="BI141" s="312"/>
      <c r="BJ141" s="312"/>
      <c r="BK141" s="312"/>
      <c r="BL141" s="313"/>
      <c r="BM141" s="312"/>
      <c r="BN141" s="312"/>
      <c r="BO141" s="312"/>
      <c r="BP141" s="312"/>
      <c r="BQ141" s="312"/>
      <c r="BR141" s="312"/>
      <c r="BS141" s="312"/>
      <c r="BT141" s="312"/>
      <c r="BU141" s="312"/>
      <c r="BV141" s="312"/>
      <c r="BW141" s="312">
        <f>BK140</f>
        <v>0</v>
      </c>
      <c r="BX141" s="313">
        <f t="shared" si="135"/>
        <v>0</v>
      </c>
      <c r="BY141" s="312">
        <f t="shared" si="135"/>
        <v>0</v>
      </c>
      <c r="BZ141" s="312">
        <f t="shared" si="135"/>
        <v>0</v>
      </c>
      <c r="CA141" s="312">
        <f t="shared" si="135"/>
        <v>0</v>
      </c>
      <c r="CB141" s="312">
        <f t="shared" si="135"/>
        <v>0</v>
      </c>
      <c r="CC141" s="312">
        <f t="shared" si="135"/>
        <v>0</v>
      </c>
      <c r="CD141" s="312">
        <f t="shared" si="135"/>
        <v>0</v>
      </c>
      <c r="CE141" s="312">
        <f t="shared" si="136"/>
        <v>0</v>
      </c>
      <c r="CF141" s="312">
        <f t="shared" si="136"/>
        <v>1</v>
      </c>
      <c r="CG141" s="312">
        <f t="shared" si="136"/>
        <v>2</v>
      </c>
      <c r="CH141" s="312">
        <f t="shared" si="136"/>
        <v>2</v>
      </c>
      <c r="CI141" s="312">
        <f t="shared" si="136"/>
        <v>3</v>
      </c>
      <c r="CJ141" s="313">
        <f t="shared" si="136"/>
        <v>4</v>
      </c>
      <c r="CK141" s="312">
        <f t="shared" si="136"/>
        <v>6</v>
      </c>
      <c r="CL141" s="312">
        <f t="shared" si="136"/>
        <v>4</v>
      </c>
      <c r="CM141" s="312">
        <f t="shared" si="136"/>
        <v>5</v>
      </c>
      <c r="CN141" s="312">
        <f t="shared" si="136"/>
        <v>5</v>
      </c>
      <c r="CO141" s="312">
        <f t="shared" si="136"/>
        <v>3</v>
      </c>
      <c r="CP141" s="312">
        <f t="shared" si="136"/>
        <v>3</v>
      </c>
      <c r="CQ141" s="312">
        <f t="shared" si="136"/>
        <v>4</v>
      </c>
      <c r="CR141" s="312">
        <f t="shared" si="136"/>
        <v>0</v>
      </c>
      <c r="CS141" s="312">
        <f t="shared" si="136"/>
        <v>0</v>
      </c>
      <c r="CT141" s="312">
        <f t="shared" si="136"/>
        <v>0</v>
      </c>
      <c r="CU141" s="312">
        <f t="shared" si="137"/>
        <v>0</v>
      </c>
      <c r="CV141" s="313">
        <f t="shared" si="137"/>
        <v>0</v>
      </c>
      <c r="CW141" s="312">
        <f t="shared" si="137"/>
        <v>0</v>
      </c>
      <c r="CX141" s="312">
        <f t="shared" si="137"/>
        <v>0</v>
      </c>
      <c r="CY141" s="312">
        <f t="shared" si="137"/>
        <v>0</v>
      </c>
      <c r="CZ141" s="312">
        <f t="shared" si="137"/>
        <v>0</v>
      </c>
      <c r="DA141" s="312">
        <f t="shared" si="137"/>
        <v>0</v>
      </c>
      <c r="DB141" s="312">
        <f t="shared" si="137"/>
        <v>0</v>
      </c>
      <c r="DC141" s="312">
        <f t="shared" si="137"/>
        <v>0</v>
      </c>
      <c r="DD141" s="312">
        <f t="shared" si="137"/>
        <v>0</v>
      </c>
      <c r="DE141" s="312">
        <f t="shared" si="137"/>
        <v>0</v>
      </c>
      <c r="DF141" s="312">
        <f t="shared" si="137"/>
        <v>0</v>
      </c>
      <c r="DG141" s="312">
        <f t="shared" si="137"/>
        <v>0</v>
      </c>
      <c r="DH141" s="313">
        <f t="shared" si="137"/>
        <v>0</v>
      </c>
      <c r="DI141" s="312">
        <f t="shared" si="137"/>
        <v>0</v>
      </c>
      <c r="DJ141" s="312">
        <f t="shared" si="137"/>
        <v>0</v>
      </c>
      <c r="DK141" s="312">
        <f t="shared" si="138"/>
        <v>0</v>
      </c>
      <c r="DL141" s="312">
        <f t="shared" si="138"/>
        <v>0</v>
      </c>
      <c r="DM141" s="312">
        <f t="shared" si="138"/>
        <v>0</v>
      </c>
      <c r="DN141" s="312">
        <f t="shared" si="138"/>
        <v>0</v>
      </c>
      <c r="DO141" s="312">
        <f t="shared" si="138"/>
        <v>0</v>
      </c>
      <c r="DP141" s="312">
        <f t="shared" si="138"/>
        <v>0</v>
      </c>
      <c r="DQ141" s="312">
        <f t="shared" si="138"/>
        <v>0</v>
      </c>
      <c r="DR141" s="312">
        <f t="shared" si="138"/>
        <v>0</v>
      </c>
      <c r="DS141" s="312">
        <f t="shared" si="138"/>
        <v>0</v>
      </c>
      <c r="DT141" s="313">
        <f t="shared" si="138"/>
        <v>0</v>
      </c>
      <c r="DU141" s="3"/>
    </row>
    <row r="142" spans="2:125" ht="15" x14ac:dyDescent="0.25">
      <c r="B142" s="404" t="s">
        <v>392</v>
      </c>
      <c r="E142" s="406"/>
      <c r="F142" s="406"/>
      <c r="G142" s="406"/>
      <c r="H142" s="406"/>
      <c r="I142" s="406"/>
      <c r="J142" s="406"/>
      <c r="K142" s="406"/>
      <c r="L142" s="406"/>
      <c r="M142" s="406"/>
      <c r="N142" s="406"/>
      <c r="O142" s="406"/>
      <c r="P142" s="488"/>
      <c r="Q142" s="792"/>
      <c r="R142" s="312"/>
      <c r="S142" s="312"/>
      <c r="T142" s="312"/>
      <c r="U142" s="312"/>
      <c r="V142" s="312"/>
      <c r="W142" s="312"/>
      <c r="X142" s="312"/>
      <c r="Y142" s="312"/>
      <c r="Z142" s="312"/>
      <c r="AA142" s="312"/>
      <c r="AB142" s="313"/>
      <c r="AC142" s="312"/>
      <c r="AD142" s="312"/>
      <c r="AE142" s="312"/>
      <c r="AF142" s="312"/>
      <c r="AG142" s="312"/>
      <c r="AH142" s="312"/>
      <c r="AI142" s="312"/>
      <c r="AJ142" s="312"/>
      <c r="AK142" s="312"/>
      <c r="AL142" s="312"/>
      <c r="AM142" s="312"/>
      <c r="AN142" s="313"/>
      <c r="AO142" s="312"/>
      <c r="AP142" s="312"/>
      <c r="AQ142" s="312"/>
      <c r="AR142" s="312"/>
      <c r="AS142" s="312"/>
      <c r="AT142" s="312"/>
      <c r="AU142" s="312"/>
      <c r="AV142" s="312"/>
      <c r="AW142" s="312"/>
      <c r="AX142" s="312"/>
      <c r="AY142" s="312"/>
      <c r="AZ142" s="313"/>
      <c r="BA142" s="312"/>
      <c r="BB142" s="312"/>
      <c r="BC142" s="312"/>
      <c r="BD142" s="312"/>
      <c r="BE142" s="312"/>
      <c r="BF142" s="312"/>
      <c r="BG142" s="312"/>
      <c r="BH142" s="312"/>
      <c r="BI142" s="312"/>
      <c r="BJ142" s="312"/>
      <c r="BK142" s="312"/>
      <c r="BL142" s="313"/>
      <c r="BM142" s="312"/>
      <c r="BN142" s="312"/>
      <c r="BO142" s="312"/>
      <c r="BP142" s="312"/>
      <c r="BQ142" s="312"/>
      <c r="BR142" s="312"/>
      <c r="BS142" s="312"/>
      <c r="BT142" s="312"/>
      <c r="BU142" s="312"/>
      <c r="BV142" s="312"/>
      <c r="BW142" s="312"/>
      <c r="BX142" s="313"/>
      <c r="BY142" s="312"/>
      <c r="BZ142" s="312"/>
      <c r="CA142" s="312"/>
      <c r="CB142" s="312"/>
      <c r="CC142" s="312"/>
      <c r="CD142" s="312"/>
      <c r="CE142" s="312"/>
      <c r="CF142" s="312"/>
      <c r="CG142" s="312"/>
      <c r="CH142" s="312"/>
      <c r="CI142" s="312">
        <f>BW141</f>
        <v>0</v>
      </c>
      <c r="CJ142" s="313">
        <f t="shared" si="136"/>
        <v>0</v>
      </c>
      <c r="CK142" s="312">
        <f t="shared" si="136"/>
        <v>0</v>
      </c>
      <c r="CL142" s="312">
        <f t="shared" si="136"/>
        <v>0</v>
      </c>
      <c r="CM142" s="312">
        <f t="shared" si="136"/>
        <v>0</v>
      </c>
      <c r="CN142" s="312">
        <f t="shared" si="136"/>
        <v>0</v>
      </c>
      <c r="CO142" s="312">
        <f t="shared" si="136"/>
        <v>0</v>
      </c>
      <c r="CP142" s="312">
        <f t="shared" si="136"/>
        <v>0</v>
      </c>
      <c r="CQ142" s="312">
        <f t="shared" si="136"/>
        <v>0</v>
      </c>
      <c r="CR142" s="312">
        <f t="shared" si="136"/>
        <v>1</v>
      </c>
      <c r="CS142" s="312">
        <f t="shared" si="136"/>
        <v>2</v>
      </c>
      <c r="CT142" s="312">
        <f t="shared" si="136"/>
        <v>2</v>
      </c>
      <c r="CU142" s="312">
        <f t="shared" si="137"/>
        <v>3</v>
      </c>
      <c r="CV142" s="313">
        <f t="shared" si="137"/>
        <v>4</v>
      </c>
      <c r="CW142" s="312">
        <f t="shared" si="137"/>
        <v>6</v>
      </c>
      <c r="CX142" s="312">
        <f t="shared" si="137"/>
        <v>4</v>
      </c>
      <c r="CY142" s="312">
        <f t="shared" si="137"/>
        <v>5</v>
      </c>
      <c r="CZ142" s="312">
        <f t="shared" si="137"/>
        <v>5</v>
      </c>
      <c r="DA142" s="312">
        <f t="shared" si="137"/>
        <v>3</v>
      </c>
      <c r="DB142" s="312">
        <f t="shared" si="137"/>
        <v>3</v>
      </c>
      <c r="DC142" s="312">
        <f t="shared" si="137"/>
        <v>4</v>
      </c>
      <c r="DD142" s="312">
        <f t="shared" si="137"/>
        <v>0</v>
      </c>
      <c r="DE142" s="312">
        <f t="shared" si="137"/>
        <v>0</v>
      </c>
      <c r="DF142" s="312">
        <f t="shared" si="137"/>
        <v>0</v>
      </c>
      <c r="DG142" s="312">
        <f t="shared" si="137"/>
        <v>0</v>
      </c>
      <c r="DH142" s="313">
        <f t="shared" si="137"/>
        <v>0</v>
      </c>
      <c r="DI142" s="312">
        <f t="shared" si="137"/>
        <v>0</v>
      </c>
      <c r="DJ142" s="312">
        <f t="shared" si="137"/>
        <v>0</v>
      </c>
      <c r="DK142" s="312">
        <f t="shared" si="138"/>
        <v>0</v>
      </c>
      <c r="DL142" s="312">
        <f t="shared" si="138"/>
        <v>0</v>
      </c>
      <c r="DM142" s="312">
        <f t="shared" si="138"/>
        <v>0</v>
      </c>
      <c r="DN142" s="312">
        <f t="shared" si="138"/>
        <v>0</v>
      </c>
      <c r="DO142" s="312">
        <f t="shared" si="138"/>
        <v>0</v>
      </c>
      <c r="DP142" s="312">
        <f t="shared" si="138"/>
        <v>0</v>
      </c>
      <c r="DQ142" s="312">
        <f t="shared" si="138"/>
        <v>0</v>
      </c>
      <c r="DR142" s="312">
        <f t="shared" si="138"/>
        <v>0</v>
      </c>
      <c r="DS142" s="312">
        <f t="shared" si="138"/>
        <v>0</v>
      </c>
      <c r="DT142" s="313">
        <f t="shared" si="138"/>
        <v>0</v>
      </c>
      <c r="DU142" s="3"/>
    </row>
    <row r="143" spans="2:125" ht="15" x14ac:dyDescent="0.25">
      <c r="B143" s="404" t="s">
        <v>393</v>
      </c>
      <c r="E143" s="406"/>
      <c r="F143" s="406"/>
      <c r="G143" s="406"/>
      <c r="H143" s="406"/>
      <c r="I143" s="406"/>
      <c r="J143" s="406"/>
      <c r="K143" s="406"/>
      <c r="L143" s="406"/>
      <c r="M143" s="406"/>
      <c r="N143" s="406"/>
      <c r="O143" s="406"/>
      <c r="P143" s="488"/>
      <c r="Q143" s="792"/>
      <c r="R143" s="312"/>
      <c r="S143" s="312"/>
      <c r="T143" s="312"/>
      <c r="U143" s="312"/>
      <c r="V143" s="312"/>
      <c r="W143" s="312"/>
      <c r="X143" s="312"/>
      <c r="Y143" s="312"/>
      <c r="Z143" s="312"/>
      <c r="AA143" s="312"/>
      <c r="AB143" s="313"/>
      <c r="AC143" s="312"/>
      <c r="AD143" s="312"/>
      <c r="AE143" s="312"/>
      <c r="AF143" s="312"/>
      <c r="AG143" s="312"/>
      <c r="AH143" s="312"/>
      <c r="AI143" s="312"/>
      <c r="AJ143" s="312"/>
      <c r="AK143" s="312"/>
      <c r="AL143" s="312"/>
      <c r="AM143" s="312"/>
      <c r="AN143" s="313"/>
      <c r="AO143" s="312"/>
      <c r="AP143" s="312"/>
      <c r="AQ143" s="312"/>
      <c r="AR143" s="312"/>
      <c r="AS143" s="312"/>
      <c r="AT143" s="312"/>
      <c r="AU143" s="312"/>
      <c r="AV143" s="312"/>
      <c r="AW143" s="312"/>
      <c r="AX143" s="312"/>
      <c r="AY143" s="312"/>
      <c r="AZ143" s="313"/>
      <c r="BA143" s="312"/>
      <c r="BB143" s="312"/>
      <c r="BC143" s="312"/>
      <c r="BD143" s="312"/>
      <c r="BE143" s="312"/>
      <c r="BF143" s="312"/>
      <c r="BG143" s="312"/>
      <c r="BH143" s="312"/>
      <c r="BI143" s="312"/>
      <c r="BJ143" s="312"/>
      <c r="BK143" s="312"/>
      <c r="BL143" s="313"/>
      <c r="BM143" s="312"/>
      <c r="BN143" s="312"/>
      <c r="BO143" s="312"/>
      <c r="BP143" s="312"/>
      <c r="BQ143" s="312"/>
      <c r="BR143" s="312"/>
      <c r="BS143" s="312"/>
      <c r="BT143" s="312"/>
      <c r="BU143" s="312"/>
      <c r="BV143" s="312"/>
      <c r="BW143" s="312"/>
      <c r="BX143" s="313"/>
      <c r="BY143" s="312"/>
      <c r="BZ143" s="312"/>
      <c r="CA143" s="312"/>
      <c r="CB143" s="312"/>
      <c r="CC143" s="312"/>
      <c r="CD143" s="312"/>
      <c r="CE143" s="312"/>
      <c r="CF143" s="312"/>
      <c r="CG143" s="312"/>
      <c r="CH143" s="312"/>
      <c r="CI143" s="312"/>
      <c r="CJ143" s="313"/>
      <c r="CK143" s="312"/>
      <c r="CL143" s="312"/>
      <c r="CM143" s="312"/>
      <c r="CN143" s="312"/>
      <c r="CO143" s="312"/>
      <c r="CP143" s="312"/>
      <c r="CQ143" s="312"/>
      <c r="CR143" s="312"/>
      <c r="CS143" s="312"/>
      <c r="CT143" s="312"/>
      <c r="CU143" s="312">
        <f>CI142</f>
        <v>0</v>
      </c>
      <c r="CV143" s="313">
        <f t="shared" si="137"/>
        <v>0</v>
      </c>
      <c r="CW143" s="312">
        <f t="shared" si="137"/>
        <v>0</v>
      </c>
      <c r="CX143" s="312">
        <f t="shared" si="137"/>
        <v>0</v>
      </c>
      <c r="CY143" s="312">
        <f t="shared" si="137"/>
        <v>0</v>
      </c>
      <c r="CZ143" s="312">
        <f t="shared" si="137"/>
        <v>0</v>
      </c>
      <c r="DA143" s="312">
        <f t="shared" si="137"/>
        <v>0</v>
      </c>
      <c r="DB143" s="312">
        <f t="shared" si="137"/>
        <v>0</v>
      </c>
      <c r="DC143" s="312">
        <f t="shared" si="137"/>
        <v>0</v>
      </c>
      <c r="DD143" s="312">
        <f t="shared" si="137"/>
        <v>1</v>
      </c>
      <c r="DE143" s="312">
        <f t="shared" si="137"/>
        <v>2</v>
      </c>
      <c r="DF143" s="312">
        <f t="shared" si="137"/>
        <v>2</v>
      </c>
      <c r="DG143" s="312">
        <f t="shared" si="137"/>
        <v>3</v>
      </c>
      <c r="DH143" s="313">
        <f t="shared" si="137"/>
        <v>4</v>
      </c>
      <c r="DI143" s="312">
        <f t="shared" si="137"/>
        <v>6</v>
      </c>
      <c r="DJ143" s="312">
        <f t="shared" si="137"/>
        <v>4</v>
      </c>
      <c r="DK143" s="312">
        <f t="shared" si="138"/>
        <v>5</v>
      </c>
      <c r="DL143" s="312">
        <f t="shared" si="138"/>
        <v>5</v>
      </c>
      <c r="DM143" s="312">
        <f t="shared" si="138"/>
        <v>3</v>
      </c>
      <c r="DN143" s="312">
        <f t="shared" si="138"/>
        <v>3</v>
      </c>
      <c r="DO143" s="312">
        <f t="shared" si="138"/>
        <v>4</v>
      </c>
      <c r="DP143" s="312">
        <f t="shared" si="138"/>
        <v>0</v>
      </c>
      <c r="DQ143" s="312">
        <f t="shared" si="138"/>
        <v>0</v>
      </c>
      <c r="DR143" s="312">
        <f t="shared" si="138"/>
        <v>0</v>
      </c>
      <c r="DS143" s="312">
        <f t="shared" si="138"/>
        <v>0</v>
      </c>
      <c r="DT143" s="313">
        <f t="shared" si="138"/>
        <v>0</v>
      </c>
      <c r="DU143" s="3"/>
    </row>
    <row r="144" spans="2:125" ht="15" x14ac:dyDescent="0.25">
      <c r="B144" s="404" t="s">
        <v>394</v>
      </c>
      <c r="E144" s="406"/>
      <c r="F144" s="406"/>
      <c r="G144" s="406"/>
      <c r="H144" s="406"/>
      <c r="I144" s="406"/>
      <c r="J144" s="406"/>
      <c r="K144" s="406"/>
      <c r="L144" s="406"/>
      <c r="M144" s="406"/>
      <c r="N144" s="406"/>
      <c r="O144" s="406"/>
      <c r="P144" s="488"/>
      <c r="Q144" s="344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10"/>
      <c r="AC144" s="109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10"/>
      <c r="AO144" s="109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10"/>
      <c r="BA144" s="109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10"/>
      <c r="BM144" s="109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10"/>
      <c r="BY144" s="109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10"/>
      <c r="CK144" s="109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10"/>
      <c r="CW144" s="109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>
        <f>CU143</f>
        <v>0</v>
      </c>
      <c r="DH144" s="110">
        <f t="shared" si="137"/>
        <v>0</v>
      </c>
      <c r="DI144" s="109">
        <f t="shared" si="137"/>
        <v>0</v>
      </c>
      <c r="DJ144" s="108">
        <f t="shared" si="137"/>
        <v>0</v>
      </c>
      <c r="DK144" s="108">
        <f t="shared" si="138"/>
        <v>0</v>
      </c>
      <c r="DL144" s="108">
        <f t="shared" si="138"/>
        <v>0</v>
      </c>
      <c r="DM144" s="108">
        <f t="shared" si="138"/>
        <v>0</v>
      </c>
      <c r="DN144" s="108">
        <f t="shared" si="138"/>
        <v>0</v>
      </c>
      <c r="DO144" s="108">
        <f t="shared" si="138"/>
        <v>0</v>
      </c>
      <c r="DP144" s="108">
        <f t="shared" si="138"/>
        <v>1</v>
      </c>
      <c r="DQ144" s="108">
        <f t="shared" si="138"/>
        <v>2</v>
      </c>
      <c r="DR144" s="108">
        <f t="shared" si="138"/>
        <v>2</v>
      </c>
      <c r="DS144" s="108">
        <f t="shared" si="138"/>
        <v>3</v>
      </c>
      <c r="DT144" s="110">
        <f t="shared" si="138"/>
        <v>4</v>
      </c>
      <c r="DU144" s="3"/>
    </row>
    <row r="145" spans="2:125" ht="15" x14ac:dyDescent="0.25">
      <c r="B145" s="404" t="s">
        <v>395</v>
      </c>
      <c r="E145" s="406"/>
      <c r="F145" s="406"/>
      <c r="G145" s="406"/>
      <c r="H145" s="406"/>
      <c r="I145" s="406"/>
      <c r="J145" s="406"/>
      <c r="K145" s="406"/>
      <c r="L145" s="406"/>
      <c r="M145" s="406"/>
      <c r="N145" s="406"/>
      <c r="O145" s="406"/>
      <c r="P145" s="488"/>
      <c r="Q145" s="344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10"/>
      <c r="AC145" s="109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10"/>
      <c r="AO145" s="109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10"/>
      <c r="BA145" s="109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10"/>
      <c r="BM145" s="109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10"/>
      <c r="BY145" s="109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10"/>
      <c r="CK145" s="109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10"/>
      <c r="CW145" s="109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10"/>
      <c r="DI145" s="109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10"/>
      <c r="DU145" s="3"/>
    </row>
    <row r="146" spans="2:125" ht="19.5" thickBot="1" x14ac:dyDescent="0.35">
      <c r="B146" s="161" t="s">
        <v>655</v>
      </c>
      <c r="E146" s="527"/>
      <c r="F146" s="527"/>
      <c r="G146" s="527"/>
      <c r="H146" s="527"/>
      <c r="I146" s="527"/>
      <c r="J146" s="527"/>
      <c r="K146" s="527"/>
      <c r="L146" s="527"/>
      <c r="M146" s="527"/>
      <c r="N146" s="527"/>
      <c r="O146" s="527"/>
      <c r="P146" s="752"/>
      <c r="Q146" s="793"/>
      <c r="R146" s="391">
        <f>SUM(R136:R145)</f>
        <v>0</v>
      </c>
      <c r="S146" s="391">
        <f t="shared" ref="S146:CD146" si="139">SUM(S136:S145)</f>
        <v>0</v>
      </c>
      <c r="T146" s="391">
        <f t="shared" si="139"/>
        <v>0</v>
      </c>
      <c r="U146" s="391">
        <f t="shared" si="139"/>
        <v>0</v>
      </c>
      <c r="V146" s="391">
        <f t="shared" si="139"/>
        <v>0</v>
      </c>
      <c r="W146" s="391">
        <f t="shared" si="139"/>
        <v>0</v>
      </c>
      <c r="X146" s="391">
        <f t="shared" si="139"/>
        <v>1</v>
      </c>
      <c r="Y146" s="391">
        <f t="shared" si="139"/>
        <v>2</v>
      </c>
      <c r="Z146" s="391">
        <f t="shared" si="139"/>
        <v>2</v>
      </c>
      <c r="AA146" s="391">
        <f t="shared" si="139"/>
        <v>3</v>
      </c>
      <c r="AB146" s="757">
        <f t="shared" si="139"/>
        <v>4</v>
      </c>
      <c r="AC146" s="391">
        <f t="shared" si="139"/>
        <v>6</v>
      </c>
      <c r="AD146" s="391">
        <f t="shared" si="139"/>
        <v>4</v>
      </c>
      <c r="AE146" s="391">
        <f t="shared" si="139"/>
        <v>5</v>
      </c>
      <c r="AF146" s="391">
        <f t="shared" si="139"/>
        <v>5</v>
      </c>
      <c r="AG146" s="391">
        <f t="shared" si="139"/>
        <v>3</v>
      </c>
      <c r="AH146" s="391">
        <f t="shared" si="139"/>
        <v>3</v>
      </c>
      <c r="AI146" s="391">
        <f t="shared" si="139"/>
        <v>4</v>
      </c>
      <c r="AJ146" s="391">
        <f t="shared" si="139"/>
        <v>1</v>
      </c>
      <c r="AK146" s="391">
        <f t="shared" si="139"/>
        <v>2</v>
      </c>
      <c r="AL146" s="391">
        <f t="shared" si="139"/>
        <v>2</v>
      </c>
      <c r="AM146" s="391">
        <f t="shared" si="139"/>
        <v>3</v>
      </c>
      <c r="AN146" s="757">
        <f t="shared" si="139"/>
        <v>4</v>
      </c>
      <c r="AO146" s="391">
        <f t="shared" si="139"/>
        <v>6</v>
      </c>
      <c r="AP146" s="391">
        <f t="shared" si="139"/>
        <v>4</v>
      </c>
      <c r="AQ146" s="391">
        <f t="shared" si="139"/>
        <v>5</v>
      </c>
      <c r="AR146" s="391">
        <f t="shared" si="139"/>
        <v>5</v>
      </c>
      <c r="AS146" s="391">
        <f t="shared" si="139"/>
        <v>3</v>
      </c>
      <c r="AT146" s="391">
        <f t="shared" si="139"/>
        <v>3</v>
      </c>
      <c r="AU146" s="391">
        <f t="shared" si="139"/>
        <v>4</v>
      </c>
      <c r="AV146" s="391">
        <f t="shared" si="139"/>
        <v>1</v>
      </c>
      <c r="AW146" s="391">
        <f t="shared" si="139"/>
        <v>2</v>
      </c>
      <c r="AX146" s="391">
        <f t="shared" si="139"/>
        <v>2</v>
      </c>
      <c r="AY146" s="391">
        <f t="shared" si="139"/>
        <v>3</v>
      </c>
      <c r="AZ146" s="757">
        <f t="shared" si="139"/>
        <v>4</v>
      </c>
      <c r="BA146" s="391">
        <f t="shared" si="139"/>
        <v>6</v>
      </c>
      <c r="BB146" s="391">
        <f t="shared" si="139"/>
        <v>4</v>
      </c>
      <c r="BC146" s="391">
        <f t="shared" si="139"/>
        <v>5</v>
      </c>
      <c r="BD146" s="391">
        <f t="shared" si="139"/>
        <v>5</v>
      </c>
      <c r="BE146" s="391">
        <f t="shared" si="139"/>
        <v>3</v>
      </c>
      <c r="BF146" s="391">
        <f t="shared" si="139"/>
        <v>3</v>
      </c>
      <c r="BG146" s="391">
        <f t="shared" si="139"/>
        <v>4</v>
      </c>
      <c r="BH146" s="391">
        <f t="shared" si="139"/>
        <v>1</v>
      </c>
      <c r="BI146" s="391">
        <f t="shared" si="139"/>
        <v>2</v>
      </c>
      <c r="BJ146" s="391">
        <f t="shared" si="139"/>
        <v>2</v>
      </c>
      <c r="BK146" s="391">
        <f t="shared" si="139"/>
        <v>3</v>
      </c>
      <c r="BL146" s="757">
        <f t="shared" si="139"/>
        <v>4</v>
      </c>
      <c r="BM146" s="391">
        <f t="shared" si="139"/>
        <v>6</v>
      </c>
      <c r="BN146" s="391">
        <f t="shared" si="139"/>
        <v>4</v>
      </c>
      <c r="BO146" s="391">
        <f t="shared" si="139"/>
        <v>5</v>
      </c>
      <c r="BP146" s="391">
        <f t="shared" si="139"/>
        <v>5</v>
      </c>
      <c r="BQ146" s="391">
        <f t="shared" si="139"/>
        <v>3</v>
      </c>
      <c r="BR146" s="391">
        <f t="shared" si="139"/>
        <v>3</v>
      </c>
      <c r="BS146" s="391">
        <f t="shared" si="139"/>
        <v>4</v>
      </c>
      <c r="BT146" s="391">
        <f t="shared" si="139"/>
        <v>1</v>
      </c>
      <c r="BU146" s="391">
        <f t="shared" si="139"/>
        <v>2</v>
      </c>
      <c r="BV146" s="391">
        <f t="shared" si="139"/>
        <v>2</v>
      </c>
      <c r="BW146" s="391">
        <f t="shared" si="139"/>
        <v>3</v>
      </c>
      <c r="BX146" s="757">
        <f t="shared" si="139"/>
        <v>4</v>
      </c>
      <c r="BY146" s="391">
        <f t="shared" si="139"/>
        <v>6</v>
      </c>
      <c r="BZ146" s="391">
        <f t="shared" si="139"/>
        <v>4</v>
      </c>
      <c r="CA146" s="391">
        <f t="shared" si="139"/>
        <v>5</v>
      </c>
      <c r="CB146" s="391">
        <f t="shared" si="139"/>
        <v>5</v>
      </c>
      <c r="CC146" s="391">
        <f t="shared" si="139"/>
        <v>3</v>
      </c>
      <c r="CD146" s="391">
        <f t="shared" si="139"/>
        <v>3</v>
      </c>
      <c r="CE146" s="391">
        <f t="shared" ref="CE146:DT146" si="140">SUM(CE136:CE145)</f>
        <v>4</v>
      </c>
      <c r="CF146" s="391">
        <f t="shared" si="140"/>
        <v>1</v>
      </c>
      <c r="CG146" s="391">
        <f t="shared" si="140"/>
        <v>2</v>
      </c>
      <c r="CH146" s="391">
        <f t="shared" si="140"/>
        <v>2</v>
      </c>
      <c r="CI146" s="391">
        <f t="shared" si="140"/>
        <v>3</v>
      </c>
      <c r="CJ146" s="757">
        <f t="shared" si="140"/>
        <v>4</v>
      </c>
      <c r="CK146" s="391">
        <f t="shared" si="140"/>
        <v>6</v>
      </c>
      <c r="CL146" s="391">
        <f t="shared" si="140"/>
        <v>4</v>
      </c>
      <c r="CM146" s="391">
        <f t="shared" si="140"/>
        <v>5</v>
      </c>
      <c r="CN146" s="391">
        <f t="shared" si="140"/>
        <v>5</v>
      </c>
      <c r="CO146" s="391">
        <f t="shared" si="140"/>
        <v>3</v>
      </c>
      <c r="CP146" s="391">
        <f t="shared" si="140"/>
        <v>3</v>
      </c>
      <c r="CQ146" s="391">
        <f t="shared" si="140"/>
        <v>4</v>
      </c>
      <c r="CR146" s="391">
        <f t="shared" si="140"/>
        <v>1</v>
      </c>
      <c r="CS146" s="391">
        <f t="shared" si="140"/>
        <v>2</v>
      </c>
      <c r="CT146" s="391">
        <f t="shared" si="140"/>
        <v>2</v>
      </c>
      <c r="CU146" s="391">
        <f t="shared" si="140"/>
        <v>3</v>
      </c>
      <c r="CV146" s="757">
        <f t="shared" si="140"/>
        <v>4</v>
      </c>
      <c r="CW146" s="391">
        <f t="shared" si="140"/>
        <v>6</v>
      </c>
      <c r="CX146" s="391">
        <f t="shared" si="140"/>
        <v>4</v>
      </c>
      <c r="CY146" s="391">
        <f t="shared" si="140"/>
        <v>5</v>
      </c>
      <c r="CZ146" s="391">
        <f t="shared" si="140"/>
        <v>5</v>
      </c>
      <c r="DA146" s="391">
        <f t="shared" si="140"/>
        <v>3</v>
      </c>
      <c r="DB146" s="391">
        <f t="shared" si="140"/>
        <v>3</v>
      </c>
      <c r="DC146" s="391">
        <f t="shared" si="140"/>
        <v>4</v>
      </c>
      <c r="DD146" s="391">
        <f t="shared" si="140"/>
        <v>1</v>
      </c>
      <c r="DE146" s="391">
        <f t="shared" si="140"/>
        <v>2</v>
      </c>
      <c r="DF146" s="391">
        <f t="shared" si="140"/>
        <v>2</v>
      </c>
      <c r="DG146" s="391">
        <f t="shared" si="140"/>
        <v>3</v>
      </c>
      <c r="DH146" s="757">
        <f t="shared" si="140"/>
        <v>4</v>
      </c>
      <c r="DI146" s="391">
        <f t="shared" si="140"/>
        <v>6</v>
      </c>
      <c r="DJ146" s="391">
        <f t="shared" si="140"/>
        <v>4</v>
      </c>
      <c r="DK146" s="391">
        <f t="shared" si="140"/>
        <v>5</v>
      </c>
      <c r="DL146" s="391">
        <f t="shared" si="140"/>
        <v>5</v>
      </c>
      <c r="DM146" s="391">
        <f t="shared" si="140"/>
        <v>3</v>
      </c>
      <c r="DN146" s="391">
        <f t="shared" si="140"/>
        <v>3</v>
      </c>
      <c r="DO146" s="391">
        <f t="shared" si="140"/>
        <v>4</v>
      </c>
      <c r="DP146" s="391">
        <f t="shared" si="140"/>
        <v>1</v>
      </c>
      <c r="DQ146" s="391">
        <f t="shared" si="140"/>
        <v>2</v>
      </c>
      <c r="DR146" s="391">
        <f t="shared" si="140"/>
        <v>2</v>
      </c>
      <c r="DS146" s="391">
        <f t="shared" si="140"/>
        <v>3</v>
      </c>
      <c r="DT146" s="757">
        <f t="shared" si="140"/>
        <v>4</v>
      </c>
      <c r="DU146" s="3"/>
    </row>
    <row r="147" spans="2:125" ht="15" x14ac:dyDescent="0.25">
      <c r="E147" s="484"/>
      <c r="F147" s="484"/>
      <c r="G147" s="484"/>
      <c r="H147" s="484"/>
      <c r="I147" s="484"/>
      <c r="J147" s="484"/>
      <c r="K147" s="484"/>
      <c r="L147" s="484"/>
      <c r="M147" s="484"/>
      <c r="N147" s="484"/>
      <c r="O147" s="484"/>
      <c r="P147" s="694"/>
      <c r="Q147" s="788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500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500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500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500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500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500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500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500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500"/>
      <c r="DU147" s="3"/>
    </row>
    <row r="148" spans="2:125" ht="18.75" x14ac:dyDescent="0.3">
      <c r="B148" s="161" t="s">
        <v>659</v>
      </c>
      <c r="C148" s="2">
        <f>'Production calcs'!C21</f>
        <v>2976.8377500000001</v>
      </c>
      <c r="E148" s="484"/>
      <c r="F148" s="484"/>
      <c r="G148" s="484"/>
      <c r="H148" s="484"/>
      <c r="I148" s="484"/>
      <c r="J148" s="484"/>
      <c r="K148" s="484"/>
      <c r="L148" s="484"/>
      <c r="M148" s="484"/>
      <c r="N148" s="484"/>
      <c r="O148" s="484"/>
      <c r="P148" s="694"/>
      <c r="Q148" s="541"/>
      <c r="R148" s="272"/>
      <c r="S148" s="272"/>
      <c r="T148" s="272"/>
      <c r="U148" s="272"/>
      <c r="V148" s="272"/>
      <c r="W148" s="272"/>
      <c r="X148" s="272"/>
      <c r="Y148" s="272"/>
      <c r="Z148" s="272"/>
      <c r="AA148" s="272"/>
      <c r="AB148" s="603"/>
      <c r="AC148" s="272"/>
      <c r="AD148" s="272"/>
      <c r="AE148" s="272"/>
      <c r="AF148" s="272"/>
      <c r="AG148" s="272"/>
      <c r="AH148" s="272"/>
      <c r="AI148" s="272"/>
      <c r="AJ148" s="272"/>
      <c r="AK148" s="272"/>
      <c r="AL148" s="272"/>
      <c r="AM148" s="272"/>
      <c r="AN148" s="603"/>
      <c r="AO148" s="272"/>
      <c r="AP148" s="272"/>
      <c r="AQ148" s="272"/>
      <c r="AR148" s="272"/>
      <c r="AS148" s="272"/>
      <c r="AT148" s="272"/>
      <c r="AU148" s="272"/>
      <c r="AV148" s="272"/>
      <c r="AW148" s="272"/>
      <c r="AX148" s="272"/>
      <c r="AY148" s="272"/>
      <c r="AZ148" s="603"/>
      <c r="BA148" s="272"/>
      <c r="BB148" s="272"/>
      <c r="BC148" s="272"/>
      <c r="BD148" s="272"/>
      <c r="BE148" s="272"/>
      <c r="BF148" s="272"/>
      <c r="BG148" s="272"/>
      <c r="BH148" s="272"/>
      <c r="BI148" s="272"/>
      <c r="BJ148" s="272"/>
      <c r="BK148" s="272"/>
      <c r="BL148" s="603"/>
      <c r="BM148" s="272"/>
      <c r="BN148" s="272"/>
      <c r="BO148" s="272"/>
      <c r="BP148" s="272"/>
      <c r="BQ148" s="272"/>
      <c r="BR148" s="272"/>
      <c r="BS148" s="272"/>
      <c r="BT148" s="272"/>
      <c r="BU148" s="272"/>
      <c r="BV148" s="272"/>
      <c r="BW148" s="272"/>
      <c r="BX148" s="603"/>
      <c r="BY148" s="272"/>
      <c r="BZ148" s="272"/>
      <c r="CA148" s="272"/>
      <c r="CB148" s="272"/>
      <c r="CC148" s="272"/>
      <c r="CD148" s="272"/>
      <c r="CE148" s="272"/>
      <c r="CF148" s="272"/>
      <c r="CG148" s="272"/>
      <c r="CH148" s="272"/>
      <c r="CI148" s="272"/>
      <c r="CJ148" s="603"/>
      <c r="CK148" s="272"/>
      <c r="CL148" s="272"/>
      <c r="CM148" s="272"/>
      <c r="CN148" s="272"/>
      <c r="CO148" s="272"/>
      <c r="CP148" s="272"/>
      <c r="CQ148" s="272"/>
      <c r="CR148" s="272"/>
      <c r="CS148" s="272"/>
      <c r="CT148" s="272"/>
      <c r="CU148" s="272"/>
      <c r="CV148" s="603"/>
      <c r="CW148" s="272"/>
      <c r="CX148" s="272"/>
      <c r="CY148" s="272"/>
      <c r="CZ148" s="272"/>
      <c r="DA148" s="272"/>
      <c r="DB148" s="272"/>
      <c r="DC148" s="272"/>
      <c r="DD148" s="272"/>
      <c r="DE148" s="272"/>
      <c r="DF148" s="272"/>
      <c r="DG148" s="272"/>
      <c r="DH148" s="603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603"/>
      <c r="DU148" s="3"/>
    </row>
    <row r="149" spans="2:125" ht="15" x14ac:dyDescent="0.25">
      <c r="B149" s="787" t="s">
        <v>384</v>
      </c>
      <c r="C149" s="2">
        <v>15</v>
      </c>
      <c r="E149" s="463"/>
      <c r="F149" s="463"/>
      <c r="G149" s="463"/>
      <c r="H149" s="463"/>
      <c r="I149" s="463"/>
      <c r="J149" s="487"/>
      <c r="K149" s="463"/>
      <c r="L149" s="463"/>
      <c r="M149" s="463"/>
      <c r="N149" s="463"/>
      <c r="O149" s="463"/>
      <c r="P149" s="487"/>
      <c r="Q149" s="344"/>
      <c r="R149" s="109"/>
      <c r="S149" s="109"/>
      <c r="T149" s="109"/>
      <c r="U149" s="109">
        <f t="shared" ref="U149:AC149" si="141">U53/$C$114/$C$115</f>
        <v>0</v>
      </c>
      <c r="V149" s="109">
        <f t="shared" si="141"/>
        <v>0</v>
      </c>
      <c r="W149" s="109">
        <f t="shared" si="141"/>
        <v>0</v>
      </c>
      <c r="X149" s="109">
        <f t="shared" si="141"/>
        <v>0</v>
      </c>
      <c r="Y149" s="109">
        <f t="shared" si="141"/>
        <v>0</v>
      </c>
      <c r="Z149" s="109">
        <f t="shared" si="141"/>
        <v>0</v>
      </c>
      <c r="AA149" s="109">
        <f t="shared" si="141"/>
        <v>0</v>
      </c>
      <c r="AB149" s="695">
        <f t="shared" si="141"/>
        <v>0</v>
      </c>
      <c r="AC149" s="109">
        <f t="shared" si="141"/>
        <v>0</v>
      </c>
      <c r="AD149" s="109">
        <f t="shared" ref="AD149:AW149" si="142">_xlfn.CEILING.MATH(AD31/$C$148/$C$149,1)</f>
        <v>1</v>
      </c>
      <c r="AE149" s="109">
        <f t="shared" si="142"/>
        <v>1</v>
      </c>
      <c r="AF149" s="109">
        <f t="shared" si="142"/>
        <v>2</v>
      </c>
      <c r="AG149" s="109">
        <f t="shared" si="142"/>
        <v>3</v>
      </c>
      <c r="AH149" s="109">
        <f t="shared" si="142"/>
        <v>4</v>
      </c>
      <c r="AI149" s="109">
        <f t="shared" si="142"/>
        <v>5</v>
      </c>
      <c r="AJ149" s="109">
        <f t="shared" si="142"/>
        <v>6</v>
      </c>
      <c r="AK149" s="109">
        <f t="shared" si="142"/>
        <v>7</v>
      </c>
      <c r="AL149" s="109">
        <f t="shared" si="142"/>
        <v>8</v>
      </c>
      <c r="AM149" s="109">
        <f t="shared" si="142"/>
        <v>9</v>
      </c>
      <c r="AN149" s="695">
        <f t="shared" si="142"/>
        <v>10</v>
      </c>
      <c r="AO149" s="109">
        <f t="shared" si="142"/>
        <v>11</v>
      </c>
      <c r="AP149" s="109">
        <f t="shared" si="142"/>
        <v>12</v>
      </c>
      <c r="AQ149" s="109">
        <f t="shared" si="142"/>
        <v>14</v>
      </c>
      <c r="AR149" s="109">
        <f t="shared" si="142"/>
        <v>10</v>
      </c>
      <c r="AS149" s="109">
        <f t="shared" si="142"/>
        <v>3</v>
      </c>
      <c r="AT149" s="109">
        <f t="shared" si="142"/>
        <v>0</v>
      </c>
      <c r="AU149" s="109">
        <f t="shared" si="142"/>
        <v>0</v>
      </c>
      <c r="AV149" s="109">
        <f t="shared" si="142"/>
        <v>0</v>
      </c>
      <c r="AW149" s="109">
        <f t="shared" si="142"/>
        <v>0</v>
      </c>
      <c r="AX149" s="109"/>
      <c r="AY149" s="109"/>
      <c r="AZ149" s="695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695"/>
      <c r="BM149" s="109"/>
      <c r="BN149" s="109"/>
      <c r="BO149" s="109"/>
      <c r="BP149" s="109"/>
      <c r="BQ149" s="109"/>
      <c r="BR149" s="109"/>
      <c r="BS149" s="109"/>
      <c r="BT149" s="109"/>
      <c r="BU149" s="109"/>
      <c r="BV149" s="109"/>
      <c r="BW149" s="109"/>
      <c r="BX149" s="695"/>
      <c r="BY149" s="109"/>
      <c r="BZ149" s="109"/>
      <c r="CA149" s="109"/>
      <c r="CB149" s="109"/>
      <c r="CC149" s="109"/>
      <c r="CD149" s="109"/>
      <c r="CE149" s="109"/>
      <c r="CF149" s="109"/>
      <c r="CG149" s="109"/>
      <c r="CH149" s="109"/>
      <c r="CI149" s="109"/>
      <c r="CJ149" s="695"/>
      <c r="CK149" s="109"/>
      <c r="CL149" s="109"/>
      <c r="CM149" s="109"/>
      <c r="CN149" s="109"/>
      <c r="CO149" s="109"/>
      <c r="CP149" s="109"/>
      <c r="CQ149" s="109"/>
      <c r="CR149" s="109"/>
      <c r="CS149" s="109"/>
      <c r="CT149" s="109"/>
      <c r="CU149" s="109"/>
      <c r="CV149" s="695"/>
      <c r="CW149" s="109"/>
      <c r="CX149" s="109"/>
      <c r="CY149" s="109"/>
      <c r="CZ149" s="109"/>
      <c r="DA149" s="109"/>
      <c r="DB149" s="109"/>
      <c r="DC149" s="109"/>
      <c r="DD149" s="109"/>
      <c r="DE149" s="109"/>
      <c r="DF149" s="109"/>
      <c r="DG149" s="109"/>
      <c r="DH149" s="695"/>
      <c r="DI149" s="109"/>
      <c r="DJ149" s="109"/>
      <c r="DK149" s="109"/>
      <c r="DL149" s="109"/>
      <c r="DM149" s="109"/>
      <c r="DN149" s="109"/>
      <c r="DO149" s="109"/>
      <c r="DP149" s="109"/>
      <c r="DQ149" s="109"/>
      <c r="DR149" s="109"/>
      <c r="DS149" s="109"/>
      <c r="DT149" s="695"/>
      <c r="DU149" s="3"/>
    </row>
    <row r="150" spans="2:125" ht="15" x14ac:dyDescent="0.25">
      <c r="B150" s="787" t="s">
        <v>385</v>
      </c>
      <c r="E150" s="534"/>
      <c r="F150" s="534"/>
      <c r="G150" s="534"/>
      <c r="H150" s="534"/>
      <c r="I150" s="534"/>
      <c r="J150" s="534"/>
      <c r="K150" s="403"/>
      <c r="L150" s="403"/>
      <c r="M150" s="403"/>
      <c r="N150" s="403"/>
      <c r="O150" s="403"/>
      <c r="P150" s="486"/>
      <c r="Q150" s="344"/>
      <c r="R150" s="109"/>
      <c r="S150" s="109"/>
      <c r="T150" s="109"/>
      <c r="U150" s="109"/>
      <c r="V150" s="109"/>
      <c r="W150" s="109"/>
      <c r="X150" s="109">
        <f t="shared" ref="X150:AF150" si="143">X54/$C$114/$C$115</f>
        <v>0</v>
      </c>
      <c r="Y150" s="109">
        <f t="shared" si="143"/>
        <v>0</v>
      </c>
      <c r="Z150" s="109">
        <f t="shared" si="143"/>
        <v>0</v>
      </c>
      <c r="AA150" s="109">
        <f t="shared" si="143"/>
        <v>0</v>
      </c>
      <c r="AB150" s="695">
        <f t="shared" si="143"/>
        <v>0</v>
      </c>
      <c r="AC150" s="109">
        <f t="shared" si="143"/>
        <v>0</v>
      </c>
      <c r="AD150" s="109">
        <f t="shared" si="143"/>
        <v>0</v>
      </c>
      <c r="AE150" s="109">
        <f t="shared" si="143"/>
        <v>0</v>
      </c>
      <c r="AF150" s="109">
        <f t="shared" si="143"/>
        <v>0</v>
      </c>
      <c r="AG150" s="109">
        <f t="shared" ref="AG150:AX150" si="144">_xlfn.CEILING.MATH(AG32/$C$148/$C$149,1)</f>
        <v>1</v>
      </c>
      <c r="AH150" s="109">
        <f t="shared" si="144"/>
        <v>2</v>
      </c>
      <c r="AI150" s="109">
        <f t="shared" si="144"/>
        <v>3</v>
      </c>
      <c r="AJ150" s="109">
        <f t="shared" si="144"/>
        <v>3</v>
      </c>
      <c r="AK150" s="109">
        <f t="shared" si="144"/>
        <v>4</v>
      </c>
      <c r="AL150" s="109">
        <f t="shared" si="144"/>
        <v>5</v>
      </c>
      <c r="AM150" s="109">
        <f t="shared" si="144"/>
        <v>6</v>
      </c>
      <c r="AN150" s="695">
        <f t="shared" si="144"/>
        <v>7</v>
      </c>
      <c r="AO150" s="109">
        <f t="shared" si="144"/>
        <v>8</v>
      </c>
      <c r="AP150" s="109">
        <f t="shared" si="144"/>
        <v>7</v>
      </c>
      <c r="AQ150" s="109">
        <f t="shared" si="144"/>
        <v>6</v>
      </c>
      <c r="AR150" s="109">
        <f t="shared" si="144"/>
        <v>7</v>
      </c>
      <c r="AS150" s="109">
        <f t="shared" si="144"/>
        <v>8</v>
      </c>
      <c r="AT150" s="109">
        <f t="shared" si="144"/>
        <v>10</v>
      </c>
      <c r="AU150" s="109">
        <f t="shared" si="144"/>
        <v>7</v>
      </c>
      <c r="AV150" s="109">
        <f t="shared" si="144"/>
        <v>2</v>
      </c>
      <c r="AW150" s="109">
        <f t="shared" si="144"/>
        <v>0</v>
      </c>
      <c r="AX150" s="109">
        <f t="shared" si="144"/>
        <v>0</v>
      </c>
      <c r="AY150" s="109"/>
      <c r="AZ150" s="695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695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695"/>
      <c r="BY150" s="109"/>
      <c r="BZ150" s="109"/>
      <c r="CA150" s="109"/>
      <c r="CB150" s="109"/>
      <c r="CC150" s="109"/>
      <c r="CD150" s="109"/>
      <c r="CE150" s="109"/>
      <c r="CF150" s="109"/>
      <c r="CG150" s="109"/>
      <c r="CH150" s="109"/>
      <c r="CI150" s="109"/>
      <c r="CJ150" s="695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695"/>
      <c r="CW150" s="109"/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695"/>
      <c r="DI150" s="109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695"/>
      <c r="DU150" s="3"/>
    </row>
    <row r="151" spans="2:125" ht="15" x14ac:dyDescent="0.25">
      <c r="B151" s="787" t="s">
        <v>386</v>
      </c>
      <c r="E151" s="406"/>
      <c r="F151" s="406"/>
      <c r="G151" s="406"/>
      <c r="H151" s="406"/>
      <c r="I151" s="406"/>
      <c r="J151" s="406"/>
      <c r="K151" s="406"/>
      <c r="L151" s="406"/>
      <c r="M151" s="406"/>
      <c r="N151" s="406"/>
      <c r="O151" s="406"/>
      <c r="P151" s="488"/>
      <c r="Q151" s="344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>
        <f t="shared" ref="AA151:AH151" si="145">AA55/$C$114/$C$115</f>
        <v>0</v>
      </c>
      <c r="AB151" s="695">
        <f t="shared" si="145"/>
        <v>0</v>
      </c>
      <c r="AC151" s="109">
        <f t="shared" si="145"/>
        <v>0</v>
      </c>
      <c r="AD151" s="109">
        <f t="shared" si="145"/>
        <v>0</v>
      </c>
      <c r="AE151" s="109">
        <f t="shared" si="145"/>
        <v>0</v>
      </c>
      <c r="AF151" s="109">
        <f t="shared" si="145"/>
        <v>0</v>
      </c>
      <c r="AG151" s="109">
        <f t="shared" si="145"/>
        <v>0</v>
      </c>
      <c r="AH151" s="109">
        <f t="shared" si="145"/>
        <v>0</v>
      </c>
      <c r="AI151" s="109">
        <f t="shared" ref="AI151:BC151" si="146">_xlfn.CEILING.MATH(AI33/$C$148/$C$149,1)</f>
        <v>0</v>
      </c>
      <c r="AJ151" s="109">
        <f t="shared" si="146"/>
        <v>2</v>
      </c>
      <c r="AK151" s="109">
        <f t="shared" si="146"/>
        <v>2</v>
      </c>
      <c r="AL151" s="109">
        <f t="shared" si="146"/>
        <v>3</v>
      </c>
      <c r="AM151" s="109">
        <f t="shared" si="146"/>
        <v>3</v>
      </c>
      <c r="AN151" s="695">
        <f t="shared" si="146"/>
        <v>4</v>
      </c>
      <c r="AO151" s="109">
        <f t="shared" si="146"/>
        <v>5</v>
      </c>
      <c r="AP151" s="109">
        <f t="shared" si="146"/>
        <v>5</v>
      </c>
      <c r="AQ151" s="109">
        <f t="shared" si="146"/>
        <v>6</v>
      </c>
      <c r="AR151" s="109">
        <f t="shared" si="146"/>
        <v>7</v>
      </c>
      <c r="AS151" s="109">
        <f t="shared" si="146"/>
        <v>9</v>
      </c>
      <c r="AT151" s="109">
        <f t="shared" si="146"/>
        <v>10</v>
      </c>
      <c r="AU151" s="109">
        <f t="shared" si="146"/>
        <v>12</v>
      </c>
      <c r="AV151" s="109">
        <f t="shared" si="146"/>
        <v>14</v>
      </c>
      <c r="AW151" s="109">
        <f t="shared" si="146"/>
        <v>15</v>
      </c>
      <c r="AX151" s="109">
        <f t="shared" si="146"/>
        <v>12</v>
      </c>
      <c r="AY151" s="109">
        <f t="shared" si="146"/>
        <v>8</v>
      </c>
      <c r="AZ151" s="695">
        <f t="shared" si="146"/>
        <v>3</v>
      </c>
      <c r="BA151" s="109">
        <f t="shared" si="146"/>
        <v>0</v>
      </c>
      <c r="BB151" s="109">
        <f t="shared" si="146"/>
        <v>0</v>
      </c>
      <c r="BC151" s="109">
        <f t="shared" si="146"/>
        <v>0</v>
      </c>
      <c r="BD151" s="109"/>
      <c r="BE151" s="109"/>
      <c r="BF151" s="109"/>
      <c r="BG151" s="109"/>
      <c r="BH151" s="109"/>
      <c r="BI151" s="109"/>
      <c r="BJ151" s="109"/>
      <c r="BK151" s="109"/>
      <c r="BL151" s="695"/>
      <c r="BM151" s="109"/>
      <c r="BN151" s="109"/>
      <c r="BO151" s="109"/>
      <c r="BP151" s="109"/>
      <c r="BQ151" s="109"/>
      <c r="BR151" s="109"/>
      <c r="BS151" s="109"/>
      <c r="BT151" s="109"/>
      <c r="BU151" s="109"/>
      <c r="BV151" s="109"/>
      <c r="BW151" s="109"/>
      <c r="BX151" s="695"/>
      <c r="BY151" s="109"/>
      <c r="BZ151" s="109"/>
      <c r="CA151" s="109"/>
      <c r="CB151" s="109"/>
      <c r="CC151" s="109"/>
      <c r="CD151" s="109"/>
      <c r="CE151" s="109"/>
      <c r="CF151" s="109"/>
      <c r="CG151" s="109"/>
      <c r="CH151" s="109"/>
      <c r="CI151" s="109"/>
      <c r="CJ151" s="695"/>
      <c r="CK151" s="109"/>
      <c r="CL151" s="109"/>
      <c r="CM151" s="109"/>
      <c r="CN151" s="109"/>
      <c r="CO151" s="109"/>
      <c r="CP151" s="109"/>
      <c r="CQ151" s="109"/>
      <c r="CR151" s="109"/>
      <c r="CS151" s="109"/>
      <c r="CT151" s="109"/>
      <c r="CU151" s="109"/>
      <c r="CV151" s="695"/>
      <c r="CW151" s="109"/>
      <c r="CX151" s="109"/>
      <c r="CY151" s="109"/>
      <c r="CZ151" s="109"/>
      <c r="DA151" s="109"/>
      <c r="DB151" s="109"/>
      <c r="DC151" s="109"/>
      <c r="DD151" s="109"/>
      <c r="DE151" s="109"/>
      <c r="DF151" s="109"/>
      <c r="DG151" s="109"/>
      <c r="DH151" s="695"/>
      <c r="DI151" s="109"/>
      <c r="DJ151" s="109"/>
      <c r="DK151" s="109"/>
      <c r="DL151" s="109"/>
      <c r="DM151" s="109"/>
      <c r="DN151" s="109"/>
      <c r="DO151" s="109"/>
      <c r="DP151" s="109"/>
      <c r="DQ151" s="109"/>
      <c r="DR151" s="109"/>
      <c r="DS151" s="109"/>
      <c r="DT151" s="695"/>
      <c r="DU151" s="3"/>
    </row>
    <row r="152" spans="2:125" ht="15" x14ac:dyDescent="0.25">
      <c r="B152" s="787" t="s">
        <v>650</v>
      </c>
      <c r="E152" s="406"/>
      <c r="F152" s="406"/>
      <c r="G152" s="406"/>
      <c r="H152" s="406"/>
      <c r="I152" s="406"/>
      <c r="J152" s="406"/>
      <c r="K152" s="406"/>
      <c r="L152" s="406"/>
      <c r="M152" s="406"/>
      <c r="N152" s="406"/>
      <c r="O152" s="406"/>
      <c r="P152" s="488"/>
      <c r="Q152" s="344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695"/>
      <c r="AC152" s="109"/>
      <c r="AD152" s="109">
        <f>AD56/$C$114/$C$115</f>
        <v>0</v>
      </c>
      <c r="AE152" s="109">
        <f>AE56/$C$114/$C$115</f>
        <v>0</v>
      </c>
      <c r="AF152" s="109">
        <f>AF56/$C$114/$C$115</f>
        <v>0</v>
      </c>
      <c r="AG152" s="109">
        <f>AG56/$C$114/$C$115</f>
        <v>0</v>
      </c>
      <c r="AH152" s="109">
        <f>AH56/$C$114/$C$115</f>
        <v>0</v>
      </c>
      <c r="AI152" s="109">
        <f>_xlfn.CEILING.MATH(AI34/$C$148/$C$149,1)</f>
        <v>7</v>
      </c>
      <c r="AJ152" s="109">
        <f t="shared" ref="AJ152:AS152" si="147">AJ56/$C$114/$C$115</f>
        <v>0</v>
      </c>
      <c r="AK152" s="109">
        <f t="shared" si="147"/>
        <v>0</v>
      </c>
      <c r="AL152" s="109">
        <f t="shared" si="147"/>
        <v>0</v>
      </c>
      <c r="AM152" s="109">
        <f t="shared" si="147"/>
        <v>0</v>
      </c>
      <c r="AN152" s="695">
        <f t="shared" si="147"/>
        <v>0</v>
      </c>
      <c r="AO152" s="109">
        <f t="shared" si="147"/>
        <v>0</v>
      </c>
      <c r="AP152" s="109">
        <f t="shared" si="147"/>
        <v>0</v>
      </c>
      <c r="AQ152" s="109">
        <f t="shared" si="147"/>
        <v>0</v>
      </c>
      <c r="AR152" s="109">
        <f t="shared" si="147"/>
        <v>0</v>
      </c>
      <c r="AS152" s="109">
        <f t="shared" si="147"/>
        <v>0</v>
      </c>
      <c r="AT152" s="109">
        <f>_xlfn.CEILING.MATH(AT56/$C$115/$C$114,1)</f>
        <v>0</v>
      </c>
      <c r="AU152" s="109">
        <f>_xlfn.CEILING.MATH(AU56/$C$115/$C$114,1)</f>
        <v>0</v>
      </c>
      <c r="AV152" s="109"/>
      <c r="AW152" s="109"/>
      <c r="AX152" s="109"/>
      <c r="AY152" s="109"/>
      <c r="AZ152" s="695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695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09"/>
      <c r="BX152" s="695"/>
      <c r="BY152" s="109"/>
      <c r="BZ152" s="109"/>
      <c r="CA152" s="109"/>
      <c r="CB152" s="109"/>
      <c r="CC152" s="109"/>
      <c r="CD152" s="109"/>
      <c r="CE152" s="109"/>
      <c r="CF152" s="109"/>
      <c r="CG152" s="109"/>
      <c r="CH152" s="109"/>
      <c r="CI152" s="109"/>
      <c r="CJ152" s="695"/>
      <c r="CK152" s="109"/>
      <c r="CL152" s="109"/>
      <c r="CM152" s="109"/>
      <c r="CN152" s="109"/>
      <c r="CO152" s="109"/>
      <c r="CP152" s="109"/>
      <c r="CQ152" s="109"/>
      <c r="CR152" s="109"/>
      <c r="CS152" s="109"/>
      <c r="CT152" s="109"/>
      <c r="CU152" s="109"/>
      <c r="CV152" s="695"/>
      <c r="CW152" s="109"/>
      <c r="CX152" s="109"/>
      <c r="CY152" s="109"/>
      <c r="CZ152" s="109"/>
      <c r="DA152" s="109"/>
      <c r="DB152" s="109"/>
      <c r="DC152" s="109"/>
      <c r="DD152" s="109"/>
      <c r="DE152" s="109"/>
      <c r="DF152" s="109"/>
      <c r="DG152" s="109"/>
      <c r="DH152" s="695"/>
      <c r="DI152" s="109"/>
      <c r="DJ152" s="109"/>
      <c r="DK152" s="109"/>
      <c r="DL152" s="109"/>
      <c r="DM152" s="109"/>
      <c r="DN152" s="109"/>
      <c r="DO152" s="109"/>
      <c r="DP152" s="109"/>
      <c r="DQ152" s="109"/>
      <c r="DR152" s="109"/>
      <c r="DS152" s="109"/>
      <c r="DT152" s="695"/>
      <c r="DU152" s="3"/>
    </row>
    <row r="153" spans="2:125" ht="15" x14ac:dyDescent="0.25">
      <c r="B153" s="404" t="s">
        <v>372</v>
      </c>
      <c r="C153" s="3"/>
      <c r="D153" s="3"/>
      <c r="E153" s="403"/>
      <c r="F153" s="403"/>
      <c r="G153" s="403"/>
      <c r="H153" s="403"/>
      <c r="I153" s="403"/>
      <c r="J153" s="403"/>
      <c r="K153" s="403"/>
      <c r="L153" s="403"/>
      <c r="M153" s="403"/>
      <c r="N153" s="403"/>
      <c r="O153" s="403">
        <f>SUM(O149:O152)</f>
        <v>0</v>
      </c>
      <c r="P153" s="486">
        <f t="shared" ref="P153:BA153" si="148">SUM(P149:P152)</f>
        <v>0</v>
      </c>
      <c r="Q153" s="344">
        <f t="shared" si="148"/>
        <v>0</v>
      </c>
      <c r="R153" s="109">
        <f t="shared" si="148"/>
        <v>0</v>
      </c>
      <c r="S153" s="109">
        <f t="shared" si="148"/>
        <v>0</v>
      </c>
      <c r="T153" s="109">
        <f t="shared" si="148"/>
        <v>0</v>
      </c>
      <c r="U153" s="109">
        <f t="shared" si="148"/>
        <v>0</v>
      </c>
      <c r="V153" s="109">
        <f t="shared" si="148"/>
        <v>0</v>
      </c>
      <c r="W153" s="109">
        <f t="shared" si="148"/>
        <v>0</v>
      </c>
      <c r="X153" s="109">
        <f t="shared" si="148"/>
        <v>0</v>
      </c>
      <c r="Y153" s="109">
        <f t="shared" si="148"/>
        <v>0</v>
      </c>
      <c r="Z153" s="109">
        <f t="shared" si="148"/>
        <v>0</v>
      </c>
      <c r="AA153" s="109">
        <f t="shared" si="148"/>
        <v>0</v>
      </c>
      <c r="AB153" s="695">
        <f t="shared" si="148"/>
        <v>0</v>
      </c>
      <c r="AC153" s="109">
        <f t="shared" si="148"/>
        <v>0</v>
      </c>
      <c r="AD153" s="109">
        <f t="shared" si="148"/>
        <v>1</v>
      </c>
      <c r="AE153" s="109">
        <f t="shared" si="148"/>
        <v>1</v>
      </c>
      <c r="AF153" s="109">
        <f t="shared" si="148"/>
        <v>2</v>
      </c>
      <c r="AG153" s="109">
        <f t="shared" si="148"/>
        <v>4</v>
      </c>
      <c r="AH153" s="109">
        <f t="shared" si="148"/>
        <v>6</v>
      </c>
      <c r="AI153" s="109">
        <f t="shared" si="148"/>
        <v>15</v>
      </c>
      <c r="AJ153" s="109">
        <f t="shared" si="148"/>
        <v>11</v>
      </c>
      <c r="AK153" s="109">
        <f t="shared" si="148"/>
        <v>13</v>
      </c>
      <c r="AL153" s="109">
        <f t="shared" si="148"/>
        <v>16</v>
      </c>
      <c r="AM153" s="109">
        <f t="shared" si="148"/>
        <v>18</v>
      </c>
      <c r="AN153" s="695">
        <f t="shared" si="148"/>
        <v>21</v>
      </c>
      <c r="AO153" s="109">
        <f t="shared" si="148"/>
        <v>24</v>
      </c>
      <c r="AP153" s="109">
        <f t="shared" si="148"/>
        <v>24</v>
      </c>
      <c r="AQ153" s="109">
        <f t="shared" si="148"/>
        <v>26</v>
      </c>
      <c r="AR153" s="109">
        <f t="shared" si="148"/>
        <v>24</v>
      </c>
      <c r="AS153" s="109">
        <f t="shared" si="148"/>
        <v>20</v>
      </c>
      <c r="AT153" s="109">
        <f t="shared" si="148"/>
        <v>20</v>
      </c>
      <c r="AU153" s="109">
        <f t="shared" si="148"/>
        <v>19</v>
      </c>
      <c r="AV153" s="109">
        <f t="shared" si="148"/>
        <v>16</v>
      </c>
      <c r="AW153" s="109">
        <f t="shared" si="148"/>
        <v>15</v>
      </c>
      <c r="AX153" s="109">
        <f t="shared" si="148"/>
        <v>12</v>
      </c>
      <c r="AY153" s="109">
        <f t="shared" si="148"/>
        <v>8</v>
      </c>
      <c r="AZ153" s="695">
        <f t="shared" si="148"/>
        <v>3</v>
      </c>
      <c r="BA153" s="109">
        <f t="shared" si="148"/>
        <v>0</v>
      </c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695"/>
      <c r="BM153" s="109"/>
      <c r="BN153" s="109"/>
      <c r="BO153" s="109"/>
      <c r="BP153" s="109"/>
      <c r="BQ153" s="109"/>
      <c r="BR153" s="109"/>
      <c r="BS153" s="109"/>
      <c r="BT153" s="109"/>
      <c r="BU153" s="109"/>
      <c r="BV153" s="109"/>
      <c r="BW153" s="109"/>
      <c r="BX153" s="695"/>
      <c r="BY153" s="109"/>
      <c r="BZ153" s="109"/>
      <c r="CA153" s="109"/>
      <c r="CB153" s="109"/>
      <c r="CC153" s="109"/>
      <c r="CD153" s="109"/>
      <c r="CE153" s="109"/>
      <c r="CF153" s="109"/>
      <c r="CG153" s="109"/>
      <c r="CH153" s="109"/>
      <c r="CI153" s="109"/>
      <c r="CJ153" s="695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109"/>
      <c r="CU153" s="109"/>
      <c r="CV153" s="695"/>
      <c r="CW153" s="109"/>
      <c r="CX153" s="109"/>
      <c r="CY153" s="109"/>
      <c r="CZ153" s="109"/>
      <c r="DA153" s="109"/>
      <c r="DB153" s="109"/>
      <c r="DC153" s="109"/>
      <c r="DD153" s="109"/>
      <c r="DE153" s="109"/>
      <c r="DF153" s="109"/>
      <c r="DG153" s="109"/>
      <c r="DH153" s="695"/>
      <c r="DI153" s="109"/>
      <c r="DJ153" s="109"/>
      <c r="DK153" s="109"/>
      <c r="DL153" s="109"/>
      <c r="DM153" s="109"/>
      <c r="DN153" s="109"/>
      <c r="DO153" s="109"/>
      <c r="DP153" s="109"/>
      <c r="DQ153" s="387"/>
      <c r="DR153" s="387"/>
      <c r="DS153" s="387"/>
      <c r="DT153" s="743"/>
      <c r="DU153" s="3"/>
    </row>
    <row r="154" spans="2:125" ht="15" x14ac:dyDescent="0.25">
      <c r="B154" s="404" t="s">
        <v>387</v>
      </c>
      <c r="C154" s="3">
        <v>1</v>
      </c>
      <c r="D154" s="3"/>
      <c r="E154" s="403"/>
      <c r="F154" s="403"/>
      <c r="G154" s="403"/>
      <c r="H154" s="403"/>
      <c r="I154" s="403"/>
      <c r="J154" s="403"/>
      <c r="K154" s="403"/>
      <c r="L154" s="403"/>
      <c r="M154" s="403"/>
      <c r="N154" s="403"/>
      <c r="O154" s="403"/>
      <c r="P154" s="486"/>
      <c r="Q154" s="344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>
        <f>O153</f>
        <v>0</v>
      </c>
      <c r="AB154" s="110">
        <f t="shared" ref="AB154:BN157" si="149">P153</f>
        <v>0</v>
      </c>
      <c r="AC154" s="109">
        <f t="shared" si="149"/>
        <v>0</v>
      </c>
      <c r="AD154" s="108">
        <f t="shared" si="149"/>
        <v>0</v>
      </c>
      <c r="AE154" s="108">
        <f t="shared" si="149"/>
        <v>0</v>
      </c>
      <c r="AF154" s="108">
        <f t="shared" si="149"/>
        <v>0</v>
      </c>
      <c r="AG154" s="108">
        <f t="shared" si="149"/>
        <v>0</v>
      </c>
      <c r="AH154" s="108">
        <f t="shared" si="149"/>
        <v>0</v>
      </c>
      <c r="AI154" s="108">
        <f t="shared" si="149"/>
        <v>0</v>
      </c>
      <c r="AJ154" s="108">
        <f t="shared" si="149"/>
        <v>0</v>
      </c>
      <c r="AK154" s="108">
        <f t="shared" si="149"/>
        <v>0</v>
      </c>
      <c r="AL154" s="108">
        <f t="shared" si="149"/>
        <v>0</v>
      </c>
      <c r="AM154" s="108">
        <f t="shared" si="149"/>
        <v>0</v>
      </c>
      <c r="AN154" s="110">
        <f t="shared" si="149"/>
        <v>0</v>
      </c>
      <c r="AO154" s="109">
        <f t="shared" si="149"/>
        <v>0</v>
      </c>
      <c r="AP154" s="108">
        <f t="shared" si="149"/>
        <v>1</v>
      </c>
      <c r="AQ154" s="108">
        <f t="shared" si="149"/>
        <v>1</v>
      </c>
      <c r="AR154" s="108">
        <f t="shared" si="149"/>
        <v>2</v>
      </c>
      <c r="AS154" s="108">
        <f t="shared" si="149"/>
        <v>4</v>
      </c>
      <c r="AT154" s="108">
        <f t="shared" si="149"/>
        <v>6</v>
      </c>
      <c r="AU154" s="108">
        <f t="shared" si="149"/>
        <v>15</v>
      </c>
      <c r="AV154" s="108">
        <f t="shared" si="149"/>
        <v>11</v>
      </c>
      <c r="AW154" s="108">
        <f t="shared" si="149"/>
        <v>13</v>
      </c>
      <c r="AX154" s="108">
        <f t="shared" si="149"/>
        <v>16</v>
      </c>
      <c r="AY154" s="108">
        <f t="shared" si="149"/>
        <v>18</v>
      </c>
      <c r="AZ154" s="110">
        <f t="shared" si="149"/>
        <v>21</v>
      </c>
      <c r="BA154" s="109">
        <f t="shared" si="149"/>
        <v>24</v>
      </c>
      <c r="BB154" s="108">
        <f t="shared" si="149"/>
        <v>24</v>
      </c>
      <c r="BC154" s="108">
        <f t="shared" si="149"/>
        <v>26</v>
      </c>
      <c r="BD154" s="108">
        <f t="shared" si="149"/>
        <v>24</v>
      </c>
      <c r="BE154" s="108">
        <f t="shared" si="149"/>
        <v>20</v>
      </c>
      <c r="BF154" s="108">
        <f t="shared" si="149"/>
        <v>20</v>
      </c>
      <c r="BG154" s="108">
        <f t="shared" si="149"/>
        <v>19</v>
      </c>
      <c r="BH154" s="108">
        <f t="shared" si="149"/>
        <v>16</v>
      </c>
      <c r="BI154" s="108">
        <f t="shared" si="149"/>
        <v>15</v>
      </c>
      <c r="BJ154" s="108">
        <f t="shared" si="149"/>
        <v>12</v>
      </c>
      <c r="BK154" s="108">
        <f t="shared" si="149"/>
        <v>8</v>
      </c>
      <c r="BL154" s="110">
        <f t="shared" si="149"/>
        <v>3</v>
      </c>
      <c r="BM154" s="109">
        <f t="shared" si="149"/>
        <v>0</v>
      </c>
      <c r="BN154" s="108">
        <f t="shared" si="149"/>
        <v>0</v>
      </c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10"/>
      <c r="BY154" s="109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10"/>
      <c r="CK154" s="109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10"/>
      <c r="CW154" s="109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10"/>
      <c r="DI154" s="109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10"/>
      <c r="DU154" s="3"/>
    </row>
    <row r="155" spans="2:125" ht="15" x14ac:dyDescent="0.25">
      <c r="B155" s="404" t="s">
        <v>388</v>
      </c>
      <c r="E155" s="403"/>
      <c r="F155" s="403"/>
      <c r="G155" s="403"/>
      <c r="H155" s="403"/>
      <c r="I155" s="403"/>
      <c r="J155" s="403"/>
      <c r="K155" s="403"/>
      <c r="L155" s="403"/>
      <c r="M155" s="403"/>
      <c r="N155" s="403"/>
      <c r="O155" s="403"/>
      <c r="P155" s="486"/>
      <c r="Q155" s="344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10"/>
      <c r="AC155" s="109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>
        <f>AA154</f>
        <v>0</v>
      </c>
      <c r="AN155" s="110">
        <f t="shared" si="149"/>
        <v>0</v>
      </c>
      <c r="AO155" s="109">
        <f t="shared" si="149"/>
        <v>0</v>
      </c>
      <c r="AP155" s="108">
        <f t="shared" si="149"/>
        <v>0</v>
      </c>
      <c r="AQ155" s="108">
        <f t="shared" si="149"/>
        <v>0</v>
      </c>
      <c r="AR155" s="108">
        <f t="shared" si="149"/>
        <v>0</v>
      </c>
      <c r="AS155" s="108">
        <f t="shared" si="149"/>
        <v>0</v>
      </c>
      <c r="AT155" s="108">
        <f t="shared" si="149"/>
        <v>0</v>
      </c>
      <c r="AU155" s="108">
        <f t="shared" si="149"/>
        <v>0</v>
      </c>
      <c r="AV155" s="108">
        <f t="shared" si="149"/>
        <v>0</v>
      </c>
      <c r="AW155" s="108">
        <f t="shared" si="149"/>
        <v>0</v>
      </c>
      <c r="AX155" s="108">
        <f t="shared" si="149"/>
        <v>0</v>
      </c>
      <c r="AY155" s="108">
        <f t="shared" si="149"/>
        <v>0</v>
      </c>
      <c r="AZ155" s="110">
        <f t="shared" si="149"/>
        <v>0</v>
      </c>
      <c r="BA155" s="109">
        <f t="shared" si="149"/>
        <v>0</v>
      </c>
      <c r="BB155" s="108">
        <f t="shared" si="149"/>
        <v>1</v>
      </c>
      <c r="BC155" s="108">
        <f t="shared" si="149"/>
        <v>1</v>
      </c>
      <c r="BD155" s="108">
        <f t="shared" si="149"/>
        <v>2</v>
      </c>
      <c r="BE155" s="108">
        <f t="shared" si="149"/>
        <v>4</v>
      </c>
      <c r="BF155" s="108">
        <f t="shared" si="149"/>
        <v>6</v>
      </c>
      <c r="BG155" s="108">
        <f t="shared" si="149"/>
        <v>15</v>
      </c>
      <c r="BH155" s="108">
        <f t="shared" si="149"/>
        <v>11</v>
      </c>
      <c r="BI155" s="108">
        <f t="shared" si="149"/>
        <v>13</v>
      </c>
      <c r="BJ155" s="108">
        <f t="shared" si="149"/>
        <v>16</v>
      </c>
      <c r="BK155" s="108">
        <f t="shared" si="149"/>
        <v>18</v>
      </c>
      <c r="BL155" s="110">
        <f t="shared" si="149"/>
        <v>21</v>
      </c>
      <c r="BM155" s="109">
        <f t="shared" si="149"/>
        <v>24</v>
      </c>
      <c r="BN155" s="108">
        <f t="shared" si="149"/>
        <v>24</v>
      </c>
      <c r="BO155" s="108">
        <f t="shared" ref="BO155:CD158" si="150">BC154</f>
        <v>26</v>
      </c>
      <c r="BP155" s="108">
        <f t="shared" si="150"/>
        <v>24</v>
      </c>
      <c r="BQ155" s="108">
        <f t="shared" si="150"/>
        <v>20</v>
      </c>
      <c r="BR155" s="108">
        <f t="shared" si="150"/>
        <v>20</v>
      </c>
      <c r="BS155" s="108">
        <f t="shared" si="150"/>
        <v>19</v>
      </c>
      <c r="BT155" s="108">
        <f t="shared" si="150"/>
        <v>16</v>
      </c>
      <c r="BU155" s="108">
        <f t="shared" si="150"/>
        <v>15</v>
      </c>
      <c r="BV155" s="108">
        <f t="shared" si="150"/>
        <v>12</v>
      </c>
      <c r="BW155" s="108">
        <f t="shared" si="150"/>
        <v>8</v>
      </c>
      <c r="BX155" s="110">
        <f t="shared" si="150"/>
        <v>3</v>
      </c>
      <c r="BY155" s="109">
        <f t="shared" si="150"/>
        <v>0</v>
      </c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10"/>
      <c r="CK155" s="109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10"/>
      <c r="CW155" s="109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10"/>
      <c r="DI155" s="109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10"/>
      <c r="DU155" s="3"/>
    </row>
    <row r="156" spans="2:125" ht="15" x14ac:dyDescent="0.25">
      <c r="B156" s="404" t="s">
        <v>389</v>
      </c>
      <c r="E156" s="534"/>
      <c r="F156" s="534"/>
      <c r="G156" s="534"/>
      <c r="H156" s="534"/>
      <c r="I156" s="534"/>
      <c r="J156" s="534"/>
      <c r="K156" s="463"/>
      <c r="L156" s="463"/>
      <c r="M156" s="463"/>
      <c r="N156" s="463"/>
      <c r="O156" s="463"/>
      <c r="P156" s="487"/>
      <c r="Q156" s="474"/>
      <c r="R156" s="310"/>
      <c r="S156" s="310"/>
      <c r="T156" s="310"/>
      <c r="U156" s="310"/>
      <c r="V156" s="310"/>
      <c r="W156" s="310"/>
      <c r="X156" s="310"/>
      <c r="Y156" s="310"/>
      <c r="Z156" s="310"/>
      <c r="AA156" s="310"/>
      <c r="AB156" s="311"/>
      <c r="AC156" s="280"/>
      <c r="AD156" s="310"/>
      <c r="AE156" s="310"/>
      <c r="AF156" s="310"/>
      <c r="AG156" s="310"/>
      <c r="AH156" s="310"/>
      <c r="AI156" s="310"/>
      <c r="AJ156" s="310"/>
      <c r="AK156" s="310"/>
      <c r="AL156" s="310"/>
      <c r="AM156" s="310"/>
      <c r="AN156" s="311"/>
      <c r="AO156" s="280"/>
      <c r="AP156" s="310"/>
      <c r="AQ156" s="310"/>
      <c r="AR156" s="310"/>
      <c r="AS156" s="310"/>
      <c r="AT156" s="310"/>
      <c r="AU156" s="310"/>
      <c r="AV156" s="310"/>
      <c r="AW156" s="310"/>
      <c r="AX156" s="310"/>
      <c r="AY156" s="310">
        <f>AM155</f>
        <v>0</v>
      </c>
      <c r="AZ156" s="311">
        <f t="shared" si="149"/>
        <v>0</v>
      </c>
      <c r="BA156" s="280">
        <f t="shared" si="149"/>
        <v>0</v>
      </c>
      <c r="BB156" s="310">
        <f t="shared" si="149"/>
        <v>0</v>
      </c>
      <c r="BC156" s="310">
        <f t="shared" si="149"/>
        <v>0</v>
      </c>
      <c r="BD156" s="310">
        <f t="shared" si="149"/>
        <v>0</v>
      </c>
      <c r="BE156" s="310">
        <f t="shared" si="149"/>
        <v>0</v>
      </c>
      <c r="BF156" s="310">
        <f t="shared" si="149"/>
        <v>0</v>
      </c>
      <c r="BG156" s="310">
        <f t="shared" si="149"/>
        <v>0</v>
      </c>
      <c r="BH156" s="310">
        <f t="shared" si="149"/>
        <v>0</v>
      </c>
      <c r="BI156" s="310">
        <f t="shared" si="149"/>
        <v>0</v>
      </c>
      <c r="BJ156" s="310">
        <f t="shared" si="149"/>
        <v>0</v>
      </c>
      <c r="BK156" s="310">
        <f t="shared" si="149"/>
        <v>0</v>
      </c>
      <c r="BL156" s="311">
        <f t="shared" si="149"/>
        <v>0</v>
      </c>
      <c r="BM156" s="280">
        <f t="shared" si="149"/>
        <v>0</v>
      </c>
      <c r="BN156" s="310">
        <f t="shared" si="149"/>
        <v>1</v>
      </c>
      <c r="BO156" s="310">
        <f t="shared" si="150"/>
        <v>1</v>
      </c>
      <c r="BP156" s="310">
        <f t="shared" si="150"/>
        <v>2</v>
      </c>
      <c r="BQ156" s="310">
        <f t="shared" si="150"/>
        <v>4</v>
      </c>
      <c r="BR156" s="310">
        <f t="shared" si="150"/>
        <v>6</v>
      </c>
      <c r="BS156" s="310">
        <f t="shared" si="150"/>
        <v>15</v>
      </c>
      <c r="BT156" s="310">
        <f t="shared" si="150"/>
        <v>11</v>
      </c>
      <c r="BU156" s="310">
        <f t="shared" si="150"/>
        <v>13</v>
      </c>
      <c r="BV156" s="310">
        <f t="shared" si="150"/>
        <v>16</v>
      </c>
      <c r="BW156" s="310">
        <f t="shared" si="150"/>
        <v>18</v>
      </c>
      <c r="BX156" s="311">
        <f t="shared" si="150"/>
        <v>21</v>
      </c>
      <c r="BY156" s="280">
        <f t="shared" si="150"/>
        <v>24</v>
      </c>
      <c r="BZ156" s="310">
        <f t="shared" si="150"/>
        <v>24</v>
      </c>
      <c r="CA156" s="310">
        <f t="shared" si="150"/>
        <v>26</v>
      </c>
      <c r="CB156" s="310">
        <f t="shared" si="150"/>
        <v>24</v>
      </c>
      <c r="CC156" s="310">
        <f t="shared" si="150"/>
        <v>20</v>
      </c>
      <c r="CD156" s="310">
        <f t="shared" si="150"/>
        <v>20</v>
      </c>
      <c r="CE156" s="310">
        <f t="shared" ref="CE156:CT159" si="151">BS155</f>
        <v>19</v>
      </c>
      <c r="CF156" s="310">
        <f t="shared" si="151"/>
        <v>16</v>
      </c>
      <c r="CG156" s="310">
        <f t="shared" si="151"/>
        <v>15</v>
      </c>
      <c r="CH156" s="310">
        <f t="shared" si="151"/>
        <v>12</v>
      </c>
      <c r="CI156" s="310">
        <f t="shared" si="151"/>
        <v>8</v>
      </c>
      <c r="CJ156" s="311">
        <f t="shared" si="151"/>
        <v>3</v>
      </c>
      <c r="CK156" s="280">
        <f t="shared" si="151"/>
        <v>0</v>
      </c>
      <c r="CL156" s="310">
        <f t="shared" si="151"/>
        <v>0</v>
      </c>
      <c r="CM156" s="310">
        <f t="shared" si="151"/>
        <v>0</v>
      </c>
      <c r="CN156" s="310">
        <f t="shared" si="151"/>
        <v>0</v>
      </c>
      <c r="CO156" s="310">
        <f t="shared" si="151"/>
        <v>0</v>
      </c>
      <c r="CP156" s="310">
        <f t="shared" si="151"/>
        <v>0</v>
      </c>
      <c r="CQ156" s="310">
        <f t="shared" si="151"/>
        <v>0</v>
      </c>
      <c r="CR156" s="310">
        <f t="shared" si="151"/>
        <v>0</v>
      </c>
      <c r="CS156" s="310">
        <f t="shared" si="151"/>
        <v>0</v>
      </c>
      <c r="CT156" s="310">
        <f t="shared" si="151"/>
        <v>0</v>
      </c>
      <c r="CU156" s="310">
        <f t="shared" ref="CU156:DJ161" si="152">CI155</f>
        <v>0</v>
      </c>
      <c r="CV156" s="311">
        <f t="shared" si="152"/>
        <v>0</v>
      </c>
      <c r="CW156" s="280">
        <f t="shared" si="152"/>
        <v>0</v>
      </c>
      <c r="CX156" s="310">
        <f t="shared" si="152"/>
        <v>0</v>
      </c>
      <c r="CY156" s="310">
        <f t="shared" si="152"/>
        <v>0</v>
      </c>
      <c r="CZ156" s="310">
        <f t="shared" si="152"/>
        <v>0</v>
      </c>
      <c r="DA156" s="310">
        <f t="shared" si="152"/>
        <v>0</v>
      </c>
      <c r="DB156" s="310">
        <f t="shared" si="152"/>
        <v>0</v>
      </c>
      <c r="DC156" s="310">
        <f t="shared" si="152"/>
        <v>0</v>
      </c>
      <c r="DD156" s="310">
        <f t="shared" si="152"/>
        <v>0</v>
      </c>
      <c r="DE156" s="310">
        <f t="shared" si="152"/>
        <v>0</v>
      </c>
      <c r="DF156" s="310">
        <f t="shared" si="152"/>
        <v>0</v>
      </c>
      <c r="DG156" s="310">
        <f t="shared" si="152"/>
        <v>0</v>
      </c>
      <c r="DH156" s="311">
        <f t="shared" si="152"/>
        <v>0</v>
      </c>
      <c r="DI156" s="280">
        <f t="shared" si="152"/>
        <v>0</v>
      </c>
      <c r="DJ156" s="310">
        <f t="shared" si="152"/>
        <v>0</v>
      </c>
      <c r="DK156" s="310">
        <f t="shared" ref="DK156:DT161" si="153">CY155</f>
        <v>0</v>
      </c>
      <c r="DL156" s="310">
        <f t="shared" si="153"/>
        <v>0</v>
      </c>
      <c r="DM156" s="310"/>
      <c r="DN156" s="310"/>
      <c r="DO156" s="310"/>
      <c r="DP156" s="310"/>
      <c r="DQ156" s="310"/>
      <c r="DR156" s="310"/>
      <c r="DS156" s="310"/>
      <c r="DT156" s="311"/>
      <c r="DU156" s="3"/>
    </row>
    <row r="157" spans="2:125" ht="15" x14ac:dyDescent="0.25">
      <c r="B157" s="404" t="s">
        <v>390</v>
      </c>
      <c r="E157" s="534"/>
      <c r="F157" s="534"/>
      <c r="G157" s="534"/>
      <c r="H157" s="534"/>
      <c r="I157" s="534"/>
      <c r="J157" s="534"/>
      <c r="K157" s="403"/>
      <c r="L157" s="403"/>
      <c r="M157" s="403"/>
      <c r="N157" s="403"/>
      <c r="O157" s="403"/>
      <c r="P157" s="486"/>
      <c r="Q157" s="344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10"/>
      <c r="AC157" s="109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10"/>
      <c r="AO157" s="109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10"/>
      <c r="BA157" s="109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>
        <f>AY156</f>
        <v>0</v>
      </c>
      <c r="BL157" s="110">
        <f t="shared" si="149"/>
        <v>0</v>
      </c>
      <c r="BM157" s="109">
        <f t="shared" si="149"/>
        <v>0</v>
      </c>
      <c r="BN157" s="108">
        <f t="shared" si="149"/>
        <v>0</v>
      </c>
      <c r="BO157" s="108">
        <f t="shared" si="150"/>
        <v>0</v>
      </c>
      <c r="BP157" s="108">
        <f t="shared" si="150"/>
        <v>0</v>
      </c>
      <c r="BQ157" s="108">
        <f t="shared" si="150"/>
        <v>0</v>
      </c>
      <c r="BR157" s="108">
        <f t="shared" si="150"/>
        <v>0</v>
      </c>
      <c r="BS157" s="108">
        <f t="shared" si="150"/>
        <v>0</v>
      </c>
      <c r="BT157" s="108">
        <f t="shared" si="150"/>
        <v>0</v>
      </c>
      <c r="BU157" s="108">
        <f t="shared" si="150"/>
        <v>0</v>
      </c>
      <c r="BV157" s="108">
        <f t="shared" si="150"/>
        <v>0</v>
      </c>
      <c r="BW157" s="108">
        <f t="shared" si="150"/>
        <v>0</v>
      </c>
      <c r="BX157" s="110">
        <f t="shared" si="150"/>
        <v>0</v>
      </c>
      <c r="BY157" s="109">
        <f t="shared" si="150"/>
        <v>0</v>
      </c>
      <c r="BZ157" s="108">
        <f t="shared" si="150"/>
        <v>1</v>
      </c>
      <c r="CA157" s="108">
        <f t="shared" si="150"/>
        <v>1</v>
      </c>
      <c r="CB157" s="108">
        <f t="shared" si="150"/>
        <v>2</v>
      </c>
      <c r="CC157" s="108">
        <f t="shared" si="150"/>
        <v>4</v>
      </c>
      <c r="CD157" s="108">
        <f t="shared" si="150"/>
        <v>6</v>
      </c>
      <c r="CE157" s="108">
        <f t="shared" si="151"/>
        <v>15</v>
      </c>
      <c r="CF157" s="108">
        <f t="shared" si="151"/>
        <v>11</v>
      </c>
      <c r="CG157" s="108">
        <f t="shared" si="151"/>
        <v>13</v>
      </c>
      <c r="CH157" s="108">
        <f t="shared" si="151"/>
        <v>16</v>
      </c>
      <c r="CI157" s="108">
        <f t="shared" si="151"/>
        <v>18</v>
      </c>
      <c r="CJ157" s="110">
        <f t="shared" si="151"/>
        <v>21</v>
      </c>
      <c r="CK157" s="109">
        <f t="shared" si="151"/>
        <v>24</v>
      </c>
      <c r="CL157" s="108">
        <f t="shared" si="151"/>
        <v>24</v>
      </c>
      <c r="CM157" s="108">
        <f t="shared" si="151"/>
        <v>26</v>
      </c>
      <c r="CN157" s="108">
        <f t="shared" si="151"/>
        <v>24</v>
      </c>
      <c r="CO157" s="108">
        <f t="shared" si="151"/>
        <v>20</v>
      </c>
      <c r="CP157" s="108">
        <f t="shared" si="151"/>
        <v>20</v>
      </c>
      <c r="CQ157" s="108">
        <f t="shared" si="151"/>
        <v>19</v>
      </c>
      <c r="CR157" s="108">
        <f t="shared" si="151"/>
        <v>16</v>
      </c>
      <c r="CS157" s="108">
        <f t="shared" si="151"/>
        <v>15</v>
      </c>
      <c r="CT157" s="108">
        <f t="shared" si="151"/>
        <v>12</v>
      </c>
      <c r="CU157" s="108">
        <f t="shared" si="152"/>
        <v>8</v>
      </c>
      <c r="CV157" s="110">
        <f t="shared" si="152"/>
        <v>3</v>
      </c>
      <c r="CW157" s="109">
        <f t="shared" si="152"/>
        <v>0</v>
      </c>
      <c r="CX157" s="108">
        <f t="shared" si="152"/>
        <v>0</v>
      </c>
      <c r="CY157" s="108">
        <f t="shared" si="152"/>
        <v>0</v>
      </c>
      <c r="CZ157" s="108">
        <f t="shared" si="152"/>
        <v>0</v>
      </c>
      <c r="DA157" s="108">
        <f t="shared" si="152"/>
        <v>0</v>
      </c>
      <c r="DB157" s="108">
        <f t="shared" si="152"/>
        <v>0</v>
      </c>
      <c r="DC157" s="108">
        <f t="shared" si="152"/>
        <v>0</v>
      </c>
      <c r="DD157" s="108">
        <f t="shared" si="152"/>
        <v>0</v>
      </c>
      <c r="DE157" s="108">
        <f t="shared" si="152"/>
        <v>0</v>
      </c>
      <c r="DF157" s="108">
        <f t="shared" si="152"/>
        <v>0</v>
      </c>
      <c r="DG157" s="108">
        <f t="shared" si="152"/>
        <v>0</v>
      </c>
      <c r="DH157" s="110">
        <f t="shared" si="152"/>
        <v>0</v>
      </c>
      <c r="DI157" s="109">
        <f t="shared" si="152"/>
        <v>0</v>
      </c>
      <c r="DJ157" s="108">
        <f t="shared" si="152"/>
        <v>0</v>
      </c>
      <c r="DK157" s="108">
        <f t="shared" si="153"/>
        <v>0</v>
      </c>
      <c r="DL157" s="108">
        <f t="shared" si="153"/>
        <v>0</v>
      </c>
      <c r="DM157" s="108">
        <f t="shared" si="153"/>
        <v>0</v>
      </c>
      <c r="DN157" s="108">
        <f t="shared" si="153"/>
        <v>0</v>
      </c>
      <c r="DO157" s="108">
        <f t="shared" si="153"/>
        <v>0</v>
      </c>
      <c r="DP157" s="108">
        <f t="shared" si="153"/>
        <v>0</v>
      </c>
      <c r="DQ157" s="108">
        <f t="shared" si="153"/>
        <v>0</v>
      </c>
      <c r="DR157" s="108">
        <f t="shared" si="153"/>
        <v>0</v>
      </c>
      <c r="DS157" s="108">
        <f t="shared" si="153"/>
        <v>0</v>
      </c>
      <c r="DT157" s="110">
        <f t="shared" si="153"/>
        <v>0</v>
      </c>
      <c r="DU157" s="3"/>
    </row>
    <row r="158" spans="2:125" ht="15" x14ac:dyDescent="0.25">
      <c r="B158" s="404" t="s">
        <v>391</v>
      </c>
      <c r="E158" s="406"/>
      <c r="F158" s="406"/>
      <c r="G158" s="406"/>
      <c r="H158" s="406"/>
      <c r="I158" s="406"/>
      <c r="J158" s="406"/>
      <c r="K158" s="406"/>
      <c r="L158" s="406"/>
      <c r="M158" s="406"/>
      <c r="N158" s="406"/>
      <c r="O158" s="406"/>
      <c r="P158" s="488"/>
      <c r="Q158" s="792"/>
      <c r="R158" s="312"/>
      <c r="S158" s="312"/>
      <c r="T158" s="312"/>
      <c r="U158" s="312"/>
      <c r="V158" s="312"/>
      <c r="W158" s="312"/>
      <c r="X158" s="312"/>
      <c r="Y158" s="312"/>
      <c r="Z158" s="312"/>
      <c r="AA158" s="312"/>
      <c r="AB158" s="313"/>
      <c r="AC158" s="312"/>
      <c r="AD158" s="312"/>
      <c r="AE158" s="312"/>
      <c r="AF158" s="312"/>
      <c r="AG158" s="312"/>
      <c r="AH158" s="312"/>
      <c r="AI158" s="312"/>
      <c r="AJ158" s="312"/>
      <c r="AK158" s="312"/>
      <c r="AL158" s="312"/>
      <c r="AM158" s="312"/>
      <c r="AN158" s="313"/>
      <c r="AO158" s="312"/>
      <c r="AP158" s="312"/>
      <c r="AQ158" s="312"/>
      <c r="AR158" s="312"/>
      <c r="AS158" s="312"/>
      <c r="AT158" s="312"/>
      <c r="AU158" s="312"/>
      <c r="AV158" s="312"/>
      <c r="AW158" s="312"/>
      <c r="AX158" s="312"/>
      <c r="AY158" s="312"/>
      <c r="AZ158" s="313"/>
      <c r="BA158" s="312"/>
      <c r="BB158" s="312"/>
      <c r="BC158" s="312"/>
      <c r="BD158" s="312"/>
      <c r="BE158" s="312"/>
      <c r="BF158" s="312"/>
      <c r="BG158" s="312"/>
      <c r="BH158" s="312"/>
      <c r="BI158" s="312"/>
      <c r="BJ158" s="312"/>
      <c r="BK158" s="312"/>
      <c r="BL158" s="313"/>
      <c r="BM158" s="312"/>
      <c r="BN158" s="312"/>
      <c r="BO158" s="312"/>
      <c r="BP158" s="312"/>
      <c r="BQ158" s="312"/>
      <c r="BR158" s="312"/>
      <c r="BS158" s="312"/>
      <c r="BT158" s="312"/>
      <c r="BU158" s="312"/>
      <c r="BV158" s="312"/>
      <c r="BW158" s="312">
        <f>BK157</f>
        <v>0</v>
      </c>
      <c r="BX158" s="313">
        <f t="shared" si="150"/>
        <v>0</v>
      </c>
      <c r="BY158" s="312">
        <f t="shared" si="150"/>
        <v>0</v>
      </c>
      <c r="BZ158" s="312">
        <f t="shared" si="150"/>
        <v>0</v>
      </c>
      <c r="CA158" s="312">
        <f t="shared" si="150"/>
        <v>0</v>
      </c>
      <c r="CB158" s="312">
        <f t="shared" si="150"/>
        <v>0</v>
      </c>
      <c r="CC158" s="312">
        <f t="shared" si="150"/>
        <v>0</v>
      </c>
      <c r="CD158" s="312">
        <f t="shared" si="150"/>
        <v>0</v>
      </c>
      <c r="CE158" s="312">
        <f t="shared" si="151"/>
        <v>0</v>
      </c>
      <c r="CF158" s="312">
        <f t="shared" si="151"/>
        <v>0</v>
      </c>
      <c r="CG158" s="312">
        <f t="shared" si="151"/>
        <v>0</v>
      </c>
      <c r="CH158" s="312">
        <f t="shared" si="151"/>
        <v>0</v>
      </c>
      <c r="CI158" s="312">
        <f t="shared" si="151"/>
        <v>0</v>
      </c>
      <c r="CJ158" s="313">
        <f t="shared" si="151"/>
        <v>0</v>
      </c>
      <c r="CK158" s="312">
        <f t="shared" si="151"/>
        <v>0</v>
      </c>
      <c r="CL158" s="312">
        <f t="shared" si="151"/>
        <v>1</v>
      </c>
      <c r="CM158" s="312">
        <f t="shared" si="151"/>
        <v>1</v>
      </c>
      <c r="CN158" s="312">
        <f t="shared" si="151"/>
        <v>2</v>
      </c>
      <c r="CO158" s="312">
        <f t="shared" si="151"/>
        <v>4</v>
      </c>
      <c r="CP158" s="312">
        <f t="shared" si="151"/>
        <v>6</v>
      </c>
      <c r="CQ158" s="312">
        <f t="shared" si="151"/>
        <v>15</v>
      </c>
      <c r="CR158" s="312">
        <f t="shared" si="151"/>
        <v>11</v>
      </c>
      <c r="CS158" s="312">
        <f t="shared" si="151"/>
        <v>13</v>
      </c>
      <c r="CT158" s="312">
        <f t="shared" si="151"/>
        <v>16</v>
      </c>
      <c r="CU158" s="312">
        <f t="shared" si="152"/>
        <v>18</v>
      </c>
      <c r="CV158" s="313">
        <f t="shared" si="152"/>
        <v>21</v>
      </c>
      <c r="CW158" s="312">
        <f t="shared" si="152"/>
        <v>24</v>
      </c>
      <c r="CX158" s="312">
        <f t="shared" si="152"/>
        <v>24</v>
      </c>
      <c r="CY158" s="312">
        <f t="shared" si="152"/>
        <v>26</v>
      </c>
      <c r="CZ158" s="312">
        <f t="shared" si="152"/>
        <v>24</v>
      </c>
      <c r="DA158" s="312">
        <f t="shared" si="152"/>
        <v>20</v>
      </c>
      <c r="DB158" s="312">
        <f t="shared" si="152"/>
        <v>20</v>
      </c>
      <c r="DC158" s="312">
        <f t="shared" si="152"/>
        <v>19</v>
      </c>
      <c r="DD158" s="312">
        <f t="shared" si="152"/>
        <v>16</v>
      </c>
      <c r="DE158" s="312">
        <f t="shared" si="152"/>
        <v>15</v>
      </c>
      <c r="DF158" s="312">
        <f t="shared" si="152"/>
        <v>12</v>
      </c>
      <c r="DG158" s="312">
        <f t="shared" si="152"/>
        <v>8</v>
      </c>
      <c r="DH158" s="313">
        <f t="shared" si="152"/>
        <v>3</v>
      </c>
      <c r="DI158" s="312">
        <f t="shared" si="152"/>
        <v>0</v>
      </c>
      <c r="DJ158" s="312">
        <f t="shared" si="152"/>
        <v>0</v>
      </c>
      <c r="DK158" s="312">
        <f t="shared" si="153"/>
        <v>0</v>
      </c>
      <c r="DL158" s="312">
        <f t="shared" si="153"/>
        <v>0</v>
      </c>
      <c r="DM158" s="312">
        <f t="shared" si="153"/>
        <v>0</v>
      </c>
      <c r="DN158" s="312">
        <f t="shared" si="153"/>
        <v>0</v>
      </c>
      <c r="DO158" s="312">
        <f t="shared" si="153"/>
        <v>0</v>
      </c>
      <c r="DP158" s="312">
        <f t="shared" si="153"/>
        <v>0</v>
      </c>
      <c r="DQ158" s="312">
        <f t="shared" si="153"/>
        <v>0</v>
      </c>
      <c r="DR158" s="312">
        <f t="shared" si="153"/>
        <v>0</v>
      </c>
      <c r="DS158" s="312">
        <f t="shared" si="153"/>
        <v>0</v>
      </c>
      <c r="DT158" s="313">
        <f t="shared" si="153"/>
        <v>0</v>
      </c>
      <c r="DU158" s="3"/>
    </row>
    <row r="159" spans="2:125" ht="15" x14ac:dyDescent="0.25">
      <c r="B159" s="404" t="s">
        <v>392</v>
      </c>
      <c r="E159" s="406"/>
      <c r="F159" s="406"/>
      <c r="G159" s="406"/>
      <c r="H159" s="406"/>
      <c r="I159" s="406"/>
      <c r="J159" s="406"/>
      <c r="K159" s="406"/>
      <c r="L159" s="406"/>
      <c r="M159" s="406"/>
      <c r="N159" s="406"/>
      <c r="O159" s="406"/>
      <c r="P159" s="488"/>
      <c r="Q159" s="792"/>
      <c r="R159" s="312"/>
      <c r="S159" s="312"/>
      <c r="T159" s="312"/>
      <c r="U159" s="312"/>
      <c r="V159" s="312"/>
      <c r="W159" s="312"/>
      <c r="X159" s="312"/>
      <c r="Y159" s="312"/>
      <c r="Z159" s="312"/>
      <c r="AA159" s="312"/>
      <c r="AB159" s="313"/>
      <c r="AC159" s="312"/>
      <c r="AD159" s="312"/>
      <c r="AE159" s="312"/>
      <c r="AF159" s="312"/>
      <c r="AG159" s="312"/>
      <c r="AH159" s="312"/>
      <c r="AI159" s="312"/>
      <c r="AJ159" s="312"/>
      <c r="AK159" s="312"/>
      <c r="AL159" s="312"/>
      <c r="AM159" s="312"/>
      <c r="AN159" s="313"/>
      <c r="AO159" s="312"/>
      <c r="AP159" s="312"/>
      <c r="AQ159" s="312"/>
      <c r="AR159" s="312"/>
      <c r="AS159" s="312"/>
      <c r="AT159" s="312"/>
      <c r="AU159" s="312"/>
      <c r="AV159" s="312"/>
      <c r="AW159" s="312"/>
      <c r="AX159" s="312"/>
      <c r="AY159" s="312"/>
      <c r="AZ159" s="313"/>
      <c r="BA159" s="312"/>
      <c r="BB159" s="312"/>
      <c r="BC159" s="312"/>
      <c r="BD159" s="312"/>
      <c r="BE159" s="312"/>
      <c r="BF159" s="312"/>
      <c r="BG159" s="312"/>
      <c r="BH159" s="312"/>
      <c r="BI159" s="312"/>
      <c r="BJ159" s="312"/>
      <c r="BK159" s="312"/>
      <c r="BL159" s="313"/>
      <c r="BM159" s="312"/>
      <c r="BN159" s="312"/>
      <c r="BO159" s="312"/>
      <c r="BP159" s="312"/>
      <c r="BQ159" s="312"/>
      <c r="BR159" s="312"/>
      <c r="BS159" s="312"/>
      <c r="BT159" s="312"/>
      <c r="BU159" s="312"/>
      <c r="BV159" s="312"/>
      <c r="BW159" s="312"/>
      <c r="BX159" s="313"/>
      <c r="BY159" s="312"/>
      <c r="BZ159" s="312"/>
      <c r="CA159" s="312"/>
      <c r="CB159" s="312"/>
      <c r="CC159" s="312"/>
      <c r="CD159" s="312"/>
      <c r="CE159" s="312"/>
      <c r="CF159" s="312"/>
      <c r="CG159" s="312"/>
      <c r="CH159" s="312"/>
      <c r="CI159" s="312">
        <f>BW158</f>
        <v>0</v>
      </c>
      <c r="CJ159" s="313">
        <f t="shared" si="151"/>
        <v>0</v>
      </c>
      <c r="CK159" s="312">
        <f t="shared" si="151"/>
        <v>0</v>
      </c>
      <c r="CL159" s="312">
        <f t="shared" si="151"/>
        <v>0</v>
      </c>
      <c r="CM159" s="312">
        <f t="shared" si="151"/>
        <v>0</v>
      </c>
      <c r="CN159" s="312">
        <f t="shared" si="151"/>
        <v>0</v>
      </c>
      <c r="CO159" s="312">
        <f t="shared" si="151"/>
        <v>0</v>
      </c>
      <c r="CP159" s="312">
        <f t="shared" si="151"/>
        <v>0</v>
      </c>
      <c r="CQ159" s="312">
        <f t="shared" si="151"/>
        <v>0</v>
      </c>
      <c r="CR159" s="312">
        <f t="shared" si="151"/>
        <v>0</v>
      </c>
      <c r="CS159" s="312">
        <f t="shared" si="151"/>
        <v>0</v>
      </c>
      <c r="CT159" s="312">
        <f t="shared" si="151"/>
        <v>0</v>
      </c>
      <c r="CU159" s="312">
        <f t="shared" si="152"/>
        <v>0</v>
      </c>
      <c r="CV159" s="313">
        <f t="shared" si="152"/>
        <v>0</v>
      </c>
      <c r="CW159" s="312">
        <f t="shared" si="152"/>
        <v>0</v>
      </c>
      <c r="CX159" s="312">
        <f t="shared" si="152"/>
        <v>1</v>
      </c>
      <c r="CY159" s="312">
        <f t="shared" si="152"/>
        <v>1</v>
      </c>
      <c r="CZ159" s="312">
        <f t="shared" si="152"/>
        <v>2</v>
      </c>
      <c r="DA159" s="312">
        <f t="shared" si="152"/>
        <v>4</v>
      </c>
      <c r="DB159" s="312">
        <f t="shared" si="152"/>
        <v>6</v>
      </c>
      <c r="DC159" s="312">
        <f t="shared" si="152"/>
        <v>15</v>
      </c>
      <c r="DD159" s="312">
        <f t="shared" si="152"/>
        <v>11</v>
      </c>
      <c r="DE159" s="312">
        <f t="shared" si="152"/>
        <v>13</v>
      </c>
      <c r="DF159" s="312">
        <f t="shared" si="152"/>
        <v>16</v>
      </c>
      <c r="DG159" s="312">
        <f t="shared" si="152"/>
        <v>18</v>
      </c>
      <c r="DH159" s="313">
        <f t="shared" si="152"/>
        <v>21</v>
      </c>
      <c r="DI159" s="312">
        <f t="shared" si="152"/>
        <v>24</v>
      </c>
      <c r="DJ159" s="312">
        <f t="shared" si="152"/>
        <v>24</v>
      </c>
      <c r="DK159" s="312">
        <f t="shared" si="153"/>
        <v>26</v>
      </c>
      <c r="DL159" s="312">
        <f t="shared" si="153"/>
        <v>24</v>
      </c>
      <c r="DM159" s="312">
        <f t="shared" si="153"/>
        <v>20</v>
      </c>
      <c r="DN159" s="312">
        <f t="shared" si="153"/>
        <v>20</v>
      </c>
      <c r="DO159" s="312">
        <f t="shared" si="153"/>
        <v>19</v>
      </c>
      <c r="DP159" s="312">
        <f t="shared" si="153"/>
        <v>16</v>
      </c>
      <c r="DQ159" s="312">
        <f t="shared" si="153"/>
        <v>15</v>
      </c>
      <c r="DR159" s="312">
        <f t="shared" si="153"/>
        <v>12</v>
      </c>
      <c r="DS159" s="312">
        <f t="shared" si="153"/>
        <v>8</v>
      </c>
      <c r="DT159" s="313">
        <f t="shared" si="153"/>
        <v>3</v>
      </c>
      <c r="DU159" s="3"/>
    </row>
    <row r="160" spans="2:125" ht="15" x14ac:dyDescent="0.25">
      <c r="B160" s="404" t="s">
        <v>393</v>
      </c>
      <c r="E160" s="406"/>
      <c r="F160" s="406"/>
      <c r="G160" s="406"/>
      <c r="H160" s="406"/>
      <c r="I160" s="406"/>
      <c r="J160" s="406"/>
      <c r="K160" s="406"/>
      <c r="L160" s="406"/>
      <c r="M160" s="406"/>
      <c r="N160" s="406"/>
      <c r="O160" s="406"/>
      <c r="P160" s="488"/>
      <c r="Q160" s="792"/>
      <c r="R160" s="312"/>
      <c r="S160" s="312"/>
      <c r="T160" s="312"/>
      <c r="U160" s="312"/>
      <c r="V160" s="312"/>
      <c r="W160" s="312"/>
      <c r="X160" s="312"/>
      <c r="Y160" s="312"/>
      <c r="Z160" s="312"/>
      <c r="AA160" s="312"/>
      <c r="AB160" s="313"/>
      <c r="AC160" s="312"/>
      <c r="AD160" s="312"/>
      <c r="AE160" s="312"/>
      <c r="AF160" s="312"/>
      <c r="AG160" s="312"/>
      <c r="AH160" s="312"/>
      <c r="AI160" s="312"/>
      <c r="AJ160" s="312"/>
      <c r="AK160" s="312"/>
      <c r="AL160" s="312"/>
      <c r="AM160" s="312"/>
      <c r="AN160" s="313"/>
      <c r="AO160" s="312"/>
      <c r="AP160" s="312"/>
      <c r="AQ160" s="312"/>
      <c r="AR160" s="312"/>
      <c r="AS160" s="312"/>
      <c r="AT160" s="312"/>
      <c r="AU160" s="312"/>
      <c r="AV160" s="312"/>
      <c r="AW160" s="312"/>
      <c r="AX160" s="312"/>
      <c r="AY160" s="312"/>
      <c r="AZ160" s="313"/>
      <c r="BA160" s="312"/>
      <c r="BB160" s="312"/>
      <c r="BC160" s="312"/>
      <c r="BD160" s="312"/>
      <c r="BE160" s="312"/>
      <c r="BF160" s="312"/>
      <c r="BG160" s="312"/>
      <c r="BH160" s="312"/>
      <c r="BI160" s="312"/>
      <c r="BJ160" s="312"/>
      <c r="BK160" s="312"/>
      <c r="BL160" s="313"/>
      <c r="BM160" s="312"/>
      <c r="BN160" s="312"/>
      <c r="BO160" s="312"/>
      <c r="BP160" s="312"/>
      <c r="BQ160" s="312"/>
      <c r="BR160" s="312"/>
      <c r="BS160" s="312"/>
      <c r="BT160" s="312"/>
      <c r="BU160" s="312"/>
      <c r="BV160" s="312"/>
      <c r="BW160" s="312"/>
      <c r="BX160" s="313"/>
      <c r="BY160" s="312"/>
      <c r="BZ160" s="312"/>
      <c r="CA160" s="312"/>
      <c r="CB160" s="312"/>
      <c r="CC160" s="312"/>
      <c r="CD160" s="312"/>
      <c r="CE160" s="312"/>
      <c r="CF160" s="312"/>
      <c r="CG160" s="312"/>
      <c r="CH160" s="312"/>
      <c r="CI160" s="312"/>
      <c r="CJ160" s="313"/>
      <c r="CK160" s="312"/>
      <c r="CL160" s="312"/>
      <c r="CM160" s="312"/>
      <c r="CN160" s="312"/>
      <c r="CO160" s="312"/>
      <c r="CP160" s="312"/>
      <c r="CQ160" s="312"/>
      <c r="CR160" s="312"/>
      <c r="CS160" s="312"/>
      <c r="CT160" s="312"/>
      <c r="CU160" s="312">
        <f>CI159</f>
        <v>0</v>
      </c>
      <c r="CV160" s="313">
        <f t="shared" si="152"/>
        <v>0</v>
      </c>
      <c r="CW160" s="312">
        <f t="shared" si="152"/>
        <v>0</v>
      </c>
      <c r="CX160" s="312">
        <f t="shared" si="152"/>
        <v>0</v>
      </c>
      <c r="CY160" s="312">
        <f t="shared" si="152"/>
        <v>0</v>
      </c>
      <c r="CZ160" s="312">
        <f t="shared" si="152"/>
        <v>0</v>
      </c>
      <c r="DA160" s="312">
        <f t="shared" si="152"/>
        <v>0</v>
      </c>
      <c r="DB160" s="312">
        <f t="shared" si="152"/>
        <v>0</v>
      </c>
      <c r="DC160" s="312">
        <f t="shared" si="152"/>
        <v>0</v>
      </c>
      <c r="DD160" s="312">
        <f t="shared" si="152"/>
        <v>0</v>
      </c>
      <c r="DE160" s="312">
        <f t="shared" si="152"/>
        <v>0</v>
      </c>
      <c r="DF160" s="312">
        <f t="shared" si="152"/>
        <v>0</v>
      </c>
      <c r="DG160" s="312">
        <f t="shared" si="152"/>
        <v>0</v>
      </c>
      <c r="DH160" s="313">
        <f t="shared" si="152"/>
        <v>0</v>
      </c>
      <c r="DI160" s="312">
        <f t="shared" si="152"/>
        <v>0</v>
      </c>
      <c r="DJ160" s="312">
        <f t="shared" si="152"/>
        <v>1</v>
      </c>
      <c r="DK160" s="312">
        <f t="shared" si="153"/>
        <v>1</v>
      </c>
      <c r="DL160" s="312">
        <f t="shared" si="153"/>
        <v>2</v>
      </c>
      <c r="DM160" s="312">
        <f t="shared" si="153"/>
        <v>4</v>
      </c>
      <c r="DN160" s="312">
        <f t="shared" si="153"/>
        <v>6</v>
      </c>
      <c r="DO160" s="312">
        <f t="shared" si="153"/>
        <v>15</v>
      </c>
      <c r="DP160" s="312">
        <f t="shared" si="153"/>
        <v>11</v>
      </c>
      <c r="DQ160" s="312">
        <f t="shared" si="153"/>
        <v>13</v>
      </c>
      <c r="DR160" s="312">
        <f t="shared" si="153"/>
        <v>16</v>
      </c>
      <c r="DS160" s="312">
        <f t="shared" si="153"/>
        <v>18</v>
      </c>
      <c r="DT160" s="313">
        <f t="shared" si="153"/>
        <v>21</v>
      </c>
      <c r="DU160" s="3"/>
    </row>
    <row r="161" spans="2:125" ht="15" x14ac:dyDescent="0.25">
      <c r="B161" s="404" t="s">
        <v>394</v>
      </c>
      <c r="E161" s="406"/>
      <c r="F161" s="406"/>
      <c r="G161" s="406"/>
      <c r="H161" s="406"/>
      <c r="I161" s="406"/>
      <c r="J161" s="406"/>
      <c r="K161" s="406"/>
      <c r="L161" s="406"/>
      <c r="M161" s="406"/>
      <c r="N161" s="406"/>
      <c r="O161" s="406"/>
      <c r="P161" s="488"/>
      <c r="Q161" s="344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10"/>
      <c r="AC161" s="109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10"/>
      <c r="AO161" s="109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10"/>
      <c r="BA161" s="109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10"/>
      <c r="BM161" s="109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10"/>
      <c r="BY161" s="109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10"/>
      <c r="CK161" s="109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10"/>
      <c r="CW161" s="109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>
        <f>CU160</f>
        <v>0</v>
      </c>
      <c r="DH161" s="110">
        <f t="shared" si="152"/>
        <v>0</v>
      </c>
      <c r="DI161" s="109">
        <f t="shared" si="152"/>
        <v>0</v>
      </c>
      <c r="DJ161" s="108">
        <f t="shared" si="152"/>
        <v>0</v>
      </c>
      <c r="DK161" s="108">
        <f t="shared" si="153"/>
        <v>0</v>
      </c>
      <c r="DL161" s="108">
        <f t="shared" si="153"/>
        <v>0</v>
      </c>
      <c r="DM161" s="108">
        <f t="shared" si="153"/>
        <v>0</v>
      </c>
      <c r="DN161" s="108">
        <f t="shared" si="153"/>
        <v>0</v>
      </c>
      <c r="DO161" s="108">
        <f t="shared" si="153"/>
        <v>0</v>
      </c>
      <c r="DP161" s="108">
        <f t="shared" si="153"/>
        <v>0</v>
      </c>
      <c r="DQ161" s="108">
        <f t="shared" si="153"/>
        <v>0</v>
      </c>
      <c r="DR161" s="108">
        <f t="shared" si="153"/>
        <v>0</v>
      </c>
      <c r="DS161" s="108">
        <f t="shared" si="153"/>
        <v>0</v>
      </c>
      <c r="DT161" s="110">
        <f t="shared" si="153"/>
        <v>0</v>
      </c>
      <c r="DU161" s="3"/>
    </row>
    <row r="162" spans="2:125" ht="15" x14ac:dyDescent="0.25">
      <c r="B162" s="404" t="s">
        <v>395</v>
      </c>
      <c r="E162" s="406"/>
      <c r="F162" s="406"/>
      <c r="G162" s="406"/>
      <c r="H162" s="406"/>
      <c r="I162" s="406"/>
      <c r="J162" s="406"/>
      <c r="K162" s="406"/>
      <c r="L162" s="406"/>
      <c r="M162" s="406"/>
      <c r="N162" s="406"/>
      <c r="O162" s="406"/>
      <c r="P162" s="488"/>
      <c r="Q162" s="344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10"/>
      <c r="AC162" s="109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10"/>
      <c r="AO162" s="109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10"/>
      <c r="BA162" s="109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10"/>
      <c r="BM162" s="109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10"/>
      <c r="BY162" s="109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10"/>
      <c r="CK162" s="109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10"/>
      <c r="CW162" s="109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10"/>
      <c r="DI162" s="109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10"/>
      <c r="DU162" s="3"/>
    </row>
    <row r="163" spans="2:125" ht="19.5" thickBot="1" x14ac:dyDescent="0.35">
      <c r="B163" s="161" t="s">
        <v>656</v>
      </c>
      <c r="E163" s="527"/>
      <c r="F163" s="527"/>
      <c r="G163" s="527"/>
      <c r="H163" s="527"/>
      <c r="I163" s="527"/>
      <c r="J163" s="527"/>
      <c r="K163" s="527"/>
      <c r="L163" s="527"/>
      <c r="M163" s="527"/>
      <c r="N163" s="527"/>
      <c r="O163" s="527"/>
      <c r="P163" s="752"/>
      <c r="Q163" s="793"/>
      <c r="R163" s="391"/>
      <c r="S163" s="391"/>
      <c r="T163" s="391"/>
      <c r="U163" s="391">
        <f>SUM(U153:U162)</f>
        <v>0</v>
      </c>
      <c r="V163" s="391">
        <f t="shared" ref="V163:AC163" si="154">SUM(V153:V162)</f>
        <v>0</v>
      </c>
      <c r="W163" s="391">
        <f t="shared" si="154"/>
        <v>0</v>
      </c>
      <c r="X163" s="391">
        <f t="shared" si="154"/>
        <v>0</v>
      </c>
      <c r="Y163" s="391">
        <f t="shared" si="154"/>
        <v>0</v>
      </c>
      <c r="Z163" s="391">
        <f t="shared" si="154"/>
        <v>0</v>
      </c>
      <c r="AA163" s="391">
        <f t="shared" si="154"/>
        <v>0</v>
      </c>
      <c r="AB163" s="757">
        <f t="shared" si="154"/>
        <v>0</v>
      </c>
      <c r="AC163" s="391">
        <f t="shared" si="154"/>
        <v>0</v>
      </c>
      <c r="AD163" s="391">
        <f>SUM(AD153:AD162)</f>
        <v>1</v>
      </c>
      <c r="AE163" s="391">
        <f t="shared" ref="AE163:CP163" si="155">SUM(AE153:AE162)</f>
        <v>1</v>
      </c>
      <c r="AF163" s="391">
        <f t="shared" si="155"/>
        <v>2</v>
      </c>
      <c r="AG163" s="391">
        <f t="shared" si="155"/>
        <v>4</v>
      </c>
      <c r="AH163" s="391">
        <f t="shared" si="155"/>
        <v>6</v>
      </c>
      <c r="AI163" s="391">
        <f t="shared" si="155"/>
        <v>15</v>
      </c>
      <c r="AJ163" s="391">
        <f t="shared" si="155"/>
        <v>11</v>
      </c>
      <c r="AK163" s="391">
        <f t="shared" si="155"/>
        <v>13</v>
      </c>
      <c r="AL163" s="391">
        <f t="shared" si="155"/>
        <v>16</v>
      </c>
      <c r="AM163" s="391">
        <f t="shared" si="155"/>
        <v>18</v>
      </c>
      <c r="AN163" s="757">
        <f t="shared" si="155"/>
        <v>21</v>
      </c>
      <c r="AO163" s="391">
        <f t="shared" si="155"/>
        <v>24</v>
      </c>
      <c r="AP163" s="391">
        <f t="shared" si="155"/>
        <v>25</v>
      </c>
      <c r="AQ163" s="391">
        <f t="shared" si="155"/>
        <v>27</v>
      </c>
      <c r="AR163" s="391">
        <f t="shared" si="155"/>
        <v>26</v>
      </c>
      <c r="AS163" s="391">
        <f t="shared" si="155"/>
        <v>24</v>
      </c>
      <c r="AT163" s="391">
        <f t="shared" si="155"/>
        <v>26</v>
      </c>
      <c r="AU163" s="391">
        <f t="shared" si="155"/>
        <v>34</v>
      </c>
      <c r="AV163" s="391">
        <f t="shared" si="155"/>
        <v>27</v>
      </c>
      <c r="AW163" s="391">
        <f t="shared" si="155"/>
        <v>28</v>
      </c>
      <c r="AX163" s="391">
        <f t="shared" si="155"/>
        <v>28</v>
      </c>
      <c r="AY163" s="391">
        <f t="shared" si="155"/>
        <v>26</v>
      </c>
      <c r="AZ163" s="757">
        <f t="shared" si="155"/>
        <v>24</v>
      </c>
      <c r="BA163" s="391">
        <f t="shared" si="155"/>
        <v>24</v>
      </c>
      <c r="BB163" s="391">
        <f t="shared" si="155"/>
        <v>25</v>
      </c>
      <c r="BC163" s="391">
        <f t="shared" si="155"/>
        <v>27</v>
      </c>
      <c r="BD163" s="391">
        <f t="shared" si="155"/>
        <v>26</v>
      </c>
      <c r="BE163" s="391">
        <f t="shared" si="155"/>
        <v>24</v>
      </c>
      <c r="BF163" s="391">
        <f t="shared" si="155"/>
        <v>26</v>
      </c>
      <c r="BG163" s="391">
        <f t="shared" si="155"/>
        <v>34</v>
      </c>
      <c r="BH163" s="391">
        <f t="shared" si="155"/>
        <v>27</v>
      </c>
      <c r="BI163" s="391">
        <f t="shared" si="155"/>
        <v>28</v>
      </c>
      <c r="BJ163" s="391">
        <f t="shared" si="155"/>
        <v>28</v>
      </c>
      <c r="BK163" s="391">
        <f t="shared" si="155"/>
        <v>26</v>
      </c>
      <c r="BL163" s="757">
        <f t="shared" si="155"/>
        <v>24</v>
      </c>
      <c r="BM163" s="391">
        <f t="shared" si="155"/>
        <v>24</v>
      </c>
      <c r="BN163" s="391">
        <f t="shared" si="155"/>
        <v>25</v>
      </c>
      <c r="BO163" s="391">
        <f t="shared" si="155"/>
        <v>27</v>
      </c>
      <c r="BP163" s="391">
        <f t="shared" si="155"/>
        <v>26</v>
      </c>
      <c r="BQ163" s="391">
        <f t="shared" si="155"/>
        <v>24</v>
      </c>
      <c r="BR163" s="391">
        <f t="shared" si="155"/>
        <v>26</v>
      </c>
      <c r="BS163" s="391">
        <f t="shared" si="155"/>
        <v>34</v>
      </c>
      <c r="BT163" s="391">
        <f t="shared" si="155"/>
        <v>27</v>
      </c>
      <c r="BU163" s="391">
        <f t="shared" si="155"/>
        <v>28</v>
      </c>
      <c r="BV163" s="391">
        <f t="shared" si="155"/>
        <v>28</v>
      </c>
      <c r="BW163" s="391">
        <f t="shared" si="155"/>
        <v>26</v>
      </c>
      <c r="BX163" s="757">
        <f t="shared" si="155"/>
        <v>24</v>
      </c>
      <c r="BY163" s="391">
        <f t="shared" si="155"/>
        <v>24</v>
      </c>
      <c r="BZ163" s="391">
        <f t="shared" si="155"/>
        <v>25</v>
      </c>
      <c r="CA163" s="391">
        <f t="shared" si="155"/>
        <v>27</v>
      </c>
      <c r="CB163" s="391">
        <f t="shared" si="155"/>
        <v>26</v>
      </c>
      <c r="CC163" s="391">
        <f t="shared" si="155"/>
        <v>24</v>
      </c>
      <c r="CD163" s="391">
        <f t="shared" si="155"/>
        <v>26</v>
      </c>
      <c r="CE163" s="391">
        <f t="shared" si="155"/>
        <v>34</v>
      </c>
      <c r="CF163" s="391">
        <f t="shared" si="155"/>
        <v>27</v>
      </c>
      <c r="CG163" s="391">
        <f t="shared" si="155"/>
        <v>28</v>
      </c>
      <c r="CH163" s="391">
        <f t="shared" si="155"/>
        <v>28</v>
      </c>
      <c r="CI163" s="391">
        <f t="shared" si="155"/>
        <v>26</v>
      </c>
      <c r="CJ163" s="757">
        <f t="shared" si="155"/>
        <v>24</v>
      </c>
      <c r="CK163" s="391">
        <f t="shared" si="155"/>
        <v>24</v>
      </c>
      <c r="CL163" s="391">
        <f t="shared" si="155"/>
        <v>25</v>
      </c>
      <c r="CM163" s="391">
        <f t="shared" si="155"/>
        <v>27</v>
      </c>
      <c r="CN163" s="391">
        <f t="shared" si="155"/>
        <v>26</v>
      </c>
      <c r="CO163" s="391">
        <f t="shared" si="155"/>
        <v>24</v>
      </c>
      <c r="CP163" s="391">
        <f t="shared" si="155"/>
        <v>26</v>
      </c>
      <c r="CQ163" s="391">
        <f t="shared" ref="CQ163:DT163" si="156">SUM(CQ153:CQ162)</f>
        <v>34</v>
      </c>
      <c r="CR163" s="391">
        <f t="shared" si="156"/>
        <v>27</v>
      </c>
      <c r="CS163" s="391">
        <f t="shared" si="156"/>
        <v>28</v>
      </c>
      <c r="CT163" s="391">
        <f t="shared" si="156"/>
        <v>28</v>
      </c>
      <c r="CU163" s="391">
        <f t="shared" si="156"/>
        <v>26</v>
      </c>
      <c r="CV163" s="757">
        <f t="shared" si="156"/>
        <v>24</v>
      </c>
      <c r="CW163" s="391">
        <f t="shared" si="156"/>
        <v>24</v>
      </c>
      <c r="CX163" s="391">
        <f t="shared" si="156"/>
        <v>25</v>
      </c>
      <c r="CY163" s="391">
        <f t="shared" si="156"/>
        <v>27</v>
      </c>
      <c r="CZ163" s="391">
        <f t="shared" si="156"/>
        <v>26</v>
      </c>
      <c r="DA163" s="391">
        <f t="shared" si="156"/>
        <v>24</v>
      </c>
      <c r="DB163" s="391">
        <f t="shared" si="156"/>
        <v>26</v>
      </c>
      <c r="DC163" s="391">
        <f t="shared" si="156"/>
        <v>34</v>
      </c>
      <c r="DD163" s="391">
        <f t="shared" si="156"/>
        <v>27</v>
      </c>
      <c r="DE163" s="391">
        <f t="shared" si="156"/>
        <v>28</v>
      </c>
      <c r="DF163" s="391">
        <f t="shared" si="156"/>
        <v>28</v>
      </c>
      <c r="DG163" s="391">
        <f t="shared" si="156"/>
        <v>26</v>
      </c>
      <c r="DH163" s="757">
        <f t="shared" si="156"/>
        <v>24</v>
      </c>
      <c r="DI163" s="391">
        <f t="shared" si="156"/>
        <v>24</v>
      </c>
      <c r="DJ163" s="391">
        <f t="shared" si="156"/>
        <v>25</v>
      </c>
      <c r="DK163" s="391">
        <f t="shared" si="156"/>
        <v>27</v>
      </c>
      <c r="DL163" s="391">
        <f t="shared" si="156"/>
        <v>26</v>
      </c>
      <c r="DM163" s="391">
        <f t="shared" si="156"/>
        <v>24</v>
      </c>
      <c r="DN163" s="391">
        <f t="shared" si="156"/>
        <v>26</v>
      </c>
      <c r="DO163" s="391">
        <f t="shared" si="156"/>
        <v>34</v>
      </c>
      <c r="DP163" s="391">
        <f t="shared" si="156"/>
        <v>27</v>
      </c>
      <c r="DQ163" s="391">
        <f t="shared" si="156"/>
        <v>28</v>
      </c>
      <c r="DR163" s="391">
        <f t="shared" si="156"/>
        <v>28</v>
      </c>
      <c r="DS163" s="391">
        <f t="shared" si="156"/>
        <v>26</v>
      </c>
      <c r="DT163" s="757">
        <f t="shared" si="156"/>
        <v>24</v>
      </c>
      <c r="DU163" s="3"/>
    </row>
    <row r="164" spans="2:125" x14ac:dyDescent="0.2">
      <c r="DU164" s="3"/>
    </row>
  </sheetData>
  <mergeCells count="11">
    <mergeCell ref="A1:C3"/>
    <mergeCell ref="E2:P2"/>
    <mergeCell ref="Q2:AB2"/>
    <mergeCell ref="AC2:AN2"/>
    <mergeCell ref="AO2:AZ2"/>
    <mergeCell ref="DI2:DT2"/>
    <mergeCell ref="BA2:BL2"/>
    <mergeCell ref="BM2:BX2"/>
    <mergeCell ref="BY2:CJ2"/>
    <mergeCell ref="CK2:CV2"/>
    <mergeCell ref="CW2:DH2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S75"/>
  <sheetViews>
    <sheetView zoomScale="57" zoomScaleNormal="57" workbookViewId="0">
      <selection activeCell="L57" sqref="L57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85546875" style="2" customWidth="1"/>
    <col min="4" max="4" width="9.7109375" style="2" customWidth="1"/>
    <col min="5" max="5" width="9.7109375" style="2" bestFit="1" customWidth="1"/>
    <col min="6" max="16" width="9.140625" style="2"/>
    <col min="17" max="17" width="13.140625" style="2" customWidth="1"/>
    <col min="18" max="18" width="9.7109375" style="2" bestFit="1" customWidth="1"/>
    <col min="19" max="16384" width="9.140625" style="2"/>
  </cols>
  <sheetData>
    <row r="1" spans="2:19" ht="22.5" customHeight="1" x14ac:dyDescent="0.35">
      <c r="B1" s="543"/>
      <c r="P1" s="1486" t="s">
        <v>400</v>
      </c>
      <c r="Q1" s="1486"/>
      <c r="R1" s="1484" t="s">
        <v>384</v>
      </c>
      <c r="S1" s="1485"/>
    </row>
    <row r="2" spans="2:19" ht="22.5" customHeight="1" x14ac:dyDescent="0.35">
      <c r="B2" s="543"/>
      <c r="P2" s="1486" t="s">
        <v>627</v>
      </c>
      <c r="Q2" s="1486"/>
      <c r="R2" s="1484" t="s">
        <v>618</v>
      </c>
      <c r="S2" s="1485"/>
    </row>
    <row r="3" spans="2:19" ht="22.5" customHeight="1" x14ac:dyDescent="0.35">
      <c r="B3" s="543"/>
      <c r="P3" s="1482" t="s">
        <v>402</v>
      </c>
      <c r="Q3" s="1483"/>
      <c r="R3" s="1492" t="s">
        <v>603</v>
      </c>
      <c r="S3" s="1493"/>
    </row>
    <row r="4" spans="2:19" ht="22.5" customHeight="1" x14ac:dyDescent="0.35">
      <c r="B4" s="543"/>
      <c r="P4" s="1482" t="s">
        <v>403</v>
      </c>
      <c r="Q4" s="1483"/>
      <c r="R4" s="1494">
        <f>'Input data'!AD4*(1/1.5)</f>
        <v>833333.33333333326</v>
      </c>
      <c r="S4" s="1495"/>
    </row>
    <row r="5" spans="2:19" ht="22.5" customHeight="1" x14ac:dyDescent="0.35">
      <c r="B5" s="543"/>
      <c r="P5" s="1482" t="s">
        <v>404</v>
      </c>
      <c r="Q5" s="1483"/>
      <c r="R5" s="1484">
        <v>1</v>
      </c>
      <c r="S5" s="1485"/>
    </row>
    <row r="6" spans="2:19" ht="22.5" customHeight="1" x14ac:dyDescent="0.35">
      <c r="B6" s="543"/>
      <c r="P6" s="1482" t="s">
        <v>405</v>
      </c>
      <c r="Q6" s="1483"/>
      <c r="R6" s="1484">
        <f>'Input data'!AE4</f>
        <v>220000</v>
      </c>
      <c r="S6" s="1485"/>
    </row>
    <row r="7" spans="2:19" ht="22.5" customHeight="1" x14ac:dyDescent="0.35">
      <c r="B7" s="543"/>
      <c r="P7" s="838" t="s">
        <v>619</v>
      </c>
      <c r="Q7" s="839"/>
      <c r="R7" s="1484">
        <f>'Input data'!AF4</f>
        <v>60</v>
      </c>
      <c r="S7" s="1485"/>
    </row>
    <row r="8" spans="2:19" ht="22.5" customHeight="1" x14ac:dyDescent="0.35">
      <c r="B8" s="543"/>
      <c r="P8" s="1482" t="s">
        <v>620</v>
      </c>
      <c r="Q8" s="1483"/>
      <c r="R8" s="1484">
        <f>'Input data'!AG4</f>
        <v>105</v>
      </c>
      <c r="S8" s="1485"/>
    </row>
    <row r="9" spans="2:19" ht="22.5" customHeight="1" x14ac:dyDescent="0.35">
      <c r="B9" s="543"/>
      <c r="P9" s="1486" t="s">
        <v>1370</v>
      </c>
      <c r="Q9" s="1486"/>
      <c r="R9" s="1487">
        <f>SUM(L57:R58)</f>
        <v>664973.10396062152</v>
      </c>
      <c r="S9" s="1488"/>
    </row>
    <row r="10" spans="2:19" ht="22.5" customHeight="1" x14ac:dyDescent="0.35">
      <c r="B10" s="543"/>
      <c r="P10" s="1489"/>
      <c r="Q10" s="1489"/>
      <c r="R10" s="1489"/>
    </row>
    <row r="11" spans="2:19" ht="22.5" customHeight="1" x14ac:dyDescent="0.35">
      <c r="B11" s="543"/>
      <c r="P11" s="1490"/>
      <c r="Q11" s="1490"/>
      <c r="R11" s="1490"/>
    </row>
    <row r="12" spans="2:19" ht="22.5" customHeight="1" x14ac:dyDescent="0.35">
      <c r="B12" s="543"/>
      <c r="P12" s="1490"/>
      <c r="Q12" s="1490"/>
      <c r="R12" s="1490"/>
    </row>
    <row r="13" spans="2:19" ht="22.5" customHeight="1" x14ac:dyDescent="0.35">
      <c r="B13" s="543"/>
      <c r="P13" s="1490"/>
      <c r="Q13" s="1490"/>
      <c r="R13" s="1490"/>
    </row>
    <row r="14" spans="2:19" ht="22.5" customHeight="1" x14ac:dyDescent="0.35">
      <c r="B14" s="543"/>
      <c r="P14" s="1490"/>
      <c r="Q14" s="1490"/>
      <c r="R14" s="1490"/>
    </row>
    <row r="15" spans="2:19" ht="22.5" customHeight="1" x14ac:dyDescent="0.35">
      <c r="B15" s="543"/>
      <c r="P15" s="1490"/>
      <c r="Q15" s="1490"/>
      <c r="R15" s="1490"/>
    </row>
    <row r="16" spans="2:19" ht="22.5" customHeight="1" x14ac:dyDescent="0.35">
      <c r="B16" s="543"/>
      <c r="P16" s="1490"/>
      <c r="Q16" s="1490"/>
      <c r="R16" s="1490"/>
    </row>
    <row r="17" spans="2:18" hidden="1" x14ac:dyDescent="0.2">
      <c r="B17" s="1491" t="s">
        <v>408</v>
      </c>
      <c r="C17" s="1491"/>
      <c r="D17" s="599"/>
      <c r="E17" s="544" t="e">
        <f>MONTH(R3)</f>
        <v>#VALUE!</v>
      </c>
      <c r="F17" s="544" t="e">
        <f>E17+1</f>
        <v>#VALUE!</v>
      </c>
      <c r="G17" s="544" t="e">
        <f t="shared" ref="G17:R17" si="0">F17+1</f>
        <v>#VALUE!</v>
      </c>
      <c r="H17" s="544" t="e">
        <f t="shared" si="0"/>
        <v>#VALUE!</v>
      </c>
      <c r="I17" s="544" t="e">
        <f t="shared" si="0"/>
        <v>#VALUE!</v>
      </c>
      <c r="J17" s="544" t="e">
        <f t="shared" si="0"/>
        <v>#VALUE!</v>
      </c>
      <c r="K17" s="544" t="e">
        <f t="shared" si="0"/>
        <v>#VALUE!</v>
      </c>
      <c r="L17" s="544" t="e">
        <f t="shared" si="0"/>
        <v>#VALUE!</v>
      </c>
      <c r="M17" s="544" t="e">
        <f t="shared" si="0"/>
        <v>#VALUE!</v>
      </c>
      <c r="N17" s="544" t="e">
        <f t="shared" si="0"/>
        <v>#VALUE!</v>
      </c>
      <c r="O17" s="544" t="e">
        <f t="shared" si="0"/>
        <v>#VALUE!</v>
      </c>
      <c r="P17" s="544" t="e">
        <f t="shared" si="0"/>
        <v>#VALUE!</v>
      </c>
      <c r="Q17" s="544" t="e">
        <f t="shared" si="0"/>
        <v>#VALUE!</v>
      </c>
      <c r="R17" s="544" t="e">
        <f t="shared" si="0"/>
        <v>#VALUE!</v>
      </c>
    </row>
    <row r="18" spans="2:18" s="8" customFormat="1" ht="15" customHeight="1" x14ac:dyDescent="0.2">
      <c r="B18" s="545" t="s">
        <v>409</v>
      </c>
      <c r="C18" s="545"/>
      <c r="D18" s="545" t="s">
        <v>168</v>
      </c>
      <c r="E18" s="545" t="s">
        <v>169</v>
      </c>
      <c r="F18" s="545" t="s">
        <v>170</v>
      </c>
      <c r="G18" s="545" t="s">
        <v>171</v>
      </c>
      <c r="H18" s="545" t="s">
        <v>172</v>
      </c>
      <c r="I18" s="545" t="s">
        <v>173</v>
      </c>
      <c r="J18" s="545" t="s">
        <v>174</v>
      </c>
      <c r="K18" s="545" t="s">
        <v>175</v>
      </c>
      <c r="L18" s="545" t="s">
        <v>176</v>
      </c>
      <c r="M18" s="545" t="s">
        <v>177</v>
      </c>
      <c r="N18" s="545" t="s">
        <v>178</v>
      </c>
      <c r="O18" s="545" t="s">
        <v>167</v>
      </c>
      <c r="P18" s="545" t="s">
        <v>168</v>
      </c>
      <c r="Q18" s="545" t="s">
        <v>169</v>
      </c>
      <c r="R18" s="545" t="s">
        <v>170</v>
      </c>
    </row>
    <row r="19" spans="2:18" ht="15" customHeight="1" x14ac:dyDescent="0.2">
      <c r="B19" s="283" t="s">
        <v>410</v>
      </c>
      <c r="C19" s="283"/>
      <c r="D19" s="283">
        <v>31</v>
      </c>
      <c r="E19" s="283">
        <f>VLOOKUP(E18,'Input data'!$AA$5:$AC$16,3,FALSE)</f>
        <v>30</v>
      </c>
      <c r="F19" s="283">
        <f>VLOOKUP(F18,'Input data'!$AA$5:$AC$16,3,FALSE)</f>
        <v>31</v>
      </c>
      <c r="G19" s="283">
        <f>VLOOKUP(G18,'Input data'!$AA$5:$AC$16,3,FALSE)</f>
        <v>30</v>
      </c>
      <c r="H19" s="283">
        <f>VLOOKUP(H18,'Input data'!$AA$5:$AC$16,3,FALSE)</f>
        <v>31</v>
      </c>
      <c r="I19" s="283">
        <f>VLOOKUP(I18,'Input data'!$AA$5:$AC$16,3,FALSE)</f>
        <v>31</v>
      </c>
      <c r="J19" s="283">
        <f>VLOOKUP(J18,'Input data'!$AA$5:$AC$16,3,FALSE)</f>
        <v>28</v>
      </c>
      <c r="K19" s="283">
        <f>VLOOKUP(K18,'Input data'!$AA$5:$AC$16,3,FALSE)</f>
        <v>31</v>
      </c>
      <c r="L19" s="283">
        <f>VLOOKUP(L18,'Input data'!$AA$5:$AC$16,3,FALSE)</f>
        <v>30</v>
      </c>
      <c r="M19" s="283">
        <f>VLOOKUP(M18,'Input data'!$AA$5:$AC$16,3,FALSE)</f>
        <v>31</v>
      </c>
      <c r="N19" s="283">
        <f>VLOOKUP(N18,'Input data'!$AA$5:$AC$16,3,FALSE)</f>
        <v>30</v>
      </c>
      <c r="O19" s="283">
        <f>VLOOKUP(O18,'Input data'!$AA$5:$AC$16,3,FALSE)</f>
        <v>31</v>
      </c>
      <c r="P19" s="283">
        <f>VLOOKUP(P18,'Input data'!$AA$5:$AC$16,3,FALSE)</f>
        <v>31</v>
      </c>
      <c r="Q19" s="283">
        <f>VLOOKUP(Q18,'Input data'!$AA$5:$AC$16,3,FALSE)</f>
        <v>30</v>
      </c>
      <c r="R19" s="283">
        <f>VLOOKUP(R18,'Input data'!$AA$5:$AC$16,3,FALSE)</f>
        <v>31</v>
      </c>
    </row>
    <row r="20" spans="2:18" ht="15" customHeight="1" x14ac:dyDescent="0.2">
      <c r="B20" s="283" t="s">
        <v>411</v>
      </c>
      <c r="C20" s="283"/>
      <c r="D20" s="283">
        <v>16</v>
      </c>
      <c r="E20" s="283">
        <v>16</v>
      </c>
      <c r="F20" s="283">
        <v>17</v>
      </c>
      <c r="G20" s="283">
        <v>18</v>
      </c>
      <c r="H20" s="283">
        <v>19</v>
      </c>
      <c r="I20" s="283">
        <v>20</v>
      </c>
      <c r="J20" s="283">
        <v>20</v>
      </c>
      <c r="K20" s="283">
        <v>18</v>
      </c>
      <c r="L20" s="283">
        <v>17</v>
      </c>
      <c r="M20" s="283">
        <v>16</v>
      </c>
      <c r="N20" s="283">
        <v>15</v>
      </c>
      <c r="O20" s="283">
        <v>15</v>
      </c>
      <c r="P20" s="283">
        <v>16</v>
      </c>
      <c r="Q20" s="283">
        <v>16</v>
      </c>
      <c r="R20" s="283">
        <v>17</v>
      </c>
    </row>
    <row r="21" spans="2:18" ht="15" customHeight="1" x14ac:dyDescent="0.2">
      <c r="B21" s="283" t="s">
        <v>412</v>
      </c>
      <c r="C21" s="283"/>
      <c r="D21" s="283">
        <v>1</v>
      </c>
      <c r="E21" s="283">
        <f>D21+1</f>
        <v>2</v>
      </c>
      <c r="F21" s="283">
        <f>E21+1</f>
        <v>3</v>
      </c>
      <c r="G21" s="283">
        <f>F21+1</f>
        <v>4</v>
      </c>
      <c r="H21" s="283">
        <f t="shared" ref="H21:R21" si="1">G21+1</f>
        <v>5</v>
      </c>
      <c r="I21" s="283">
        <f t="shared" si="1"/>
        <v>6</v>
      </c>
      <c r="J21" s="283">
        <f t="shared" si="1"/>
        <v>7</v>
      </c>
      <c r="K21" s="283">
        <f t="shared" si="1"/>
        <v>8</v>
      </c>
      <c r="L21" s="283">
        <f t="shared" si="1"/>
        <v>9</v>
      </c>
      <c r="M21" s="283">
        <f t="shared" si="1"/>
        <v>10</v>
      </c>
      <c r="N21" s="283">
        <f t="shared" si="1"/>
        <v>11</v>
      </c>
      <c r="O21" s="283">
        <f t="shared" si="1"/>
        <v>12</v>
      </c>
      <c r="P21" s="283">
        <f t="shared" si="1"/>
        <v>13</v>
      </c>
      <c r="Q21" s="283">
        <f t="shared" si="1"/>
        <v>14</v>
      </c>
      <c r="R21" s="283">
        <f t="shared" si="1"/>
        <v>15</v>
      </c>
    </row>
    <row r="22" spans="2:18" ht="3" customHeight="1" x14ac:dyDescent="0.2">
      <c r="B22" s="545"/>
      <c r="C22" s="545"/>
      <c r="D22" s="545"/>
      <c r="E22" s="545"/>
      <c r="F22" s="545"/>
      <c r="G22" s="545"/>
      <c r="H22" s="545"/>
      <c r="I22" s="545"/>
      <c r="J22" s="545"/>
      <c r="K22" s="545"/>
      <c r="L22" s="545"/>
      <c r="M22" s="545"/>
      <c r="N22" s="545"/>
      <c r="O22" s="545"/>
      <c r="P22" s="545"/>
      <c r="Q22" s="545"/>
      <c r="R22" s="545"/>
    </row>
    <row r="23" spans="2:18" ht="15" hidden="1" customHeight="1" x14ac:dyDescent="0.25">
      <c r="B23" s="546" t="s">
        <v>413</v>
      </c>
      <c r="C23" s="545"/>
      <c r="D23" s="545"/>
      <c r="E23" s="545"/>
      <c r="F23" s="545"/>
      <c r="G23" s="545"/>
      <c r="H23" s="545"/>
      <c r="I23" s="545"/>
      <c r="J23" s="545"/>
      <c r="K23" s="545"/>
      <c r="L23" s="545"/>
      <c r="M23" s="545"/>
      <c r="N23" s="545"/>
      <c r="O23" s="545"/>
      <c r="P23" s="545"/>
      <c r="Q23" s="545"/>
      <c r="R23" s="545"/>
    </row>
    <row r="24" spans="2:18" ht="15" hidden="1" customHeight="1" x14ac:dyDescent="0.2">
      <c r="B24" s="545" t="s">
        <v>414</v>
      </c>
      <c r="C24" s="545"/>
      <c r="D24" s="545"/>
      <c r="E24" s="545"/>
      <c r="F24" s="545"/>
      <c r="G24" s="545"/>
      <c r="H24" s="545"/>
      <c r="I24" s="545"/>
      <c r="J24" s="545"/>
      <c r="K24" s="545"/>
      <c r="L24" s="545"/>
      <c r="M24" s="545"/>
      <c r="N24" s="545"/>
      <c r="O24" s="545"/>
      <c r="P24" s="545"/>
      <c r="Q24" s="545"/>
      <c r="R24" s="545"/>
    </row>
    <row r="25" spans="2:18" ht="12.75" hidden="1" customHeight="1" x14ac:dyDescent="0.2">
      <c r="B25" s="547" t="s">
        <v>415</v>
      </c>
      <c r="C25" s="547"/>
      <c r="D25" s="547"/>
      <c r="E25" s="548">
        <f>R4</f>
        <v>833333.33333333326</v>
      </c>
      <c r="F25" s="547">
        <f t="shared" ref="F25:R25" si="2">E32</f>
        <v>833333.33333333326</v>
      </c>
      <c r="G25" s="547">
        <f t="shared" si="2"/>
        <v>833333.33333333326</v>
      </c>
      <c r="H25" s="547">
        <f t="shared" si="2"/>
        <v>833333.33333333326</v>
      </c>
      <c r="I25" s="547">
        <f t="shared" si="2"/>
        <v>833333.33333333326</v>
      </c>
      <c r="J25" s="547">
        <f t="shared" si="2"/>
        <v>833333.33333333326</v>
      </c>
      <c r="K25" s="547">
        <f t="shared" si="2"/>
        <v>833333.33333333326</v>
      </c>
      <c r="L25" s="547">
        <f t="shared" si="2"/>
        <v>833333.33333333326</v>
      </c>
      <c r="M25" s="547">
        <f t="shared" si="2"/>
        <v>833333.33333333326</v>
      </c>
      <c r="N25" s="547">
        <f t="shared" si="2"/>
        <v>833333.33333333326</v>
      </c>
      <c r="O25" s="547">
        <f t="shared" si="2"/>
        <v>833333.33333333326</v>
      </c>
      <c r="P25" s="547">
        <f t="shared" si="2"/>
        <v>833333.33333333326</v>
      </c>
      <c r="Q25" s="547">
        <f t="shared" si="2"/>
        <v>833333.33333333326</v>
      </c>
      <c r="R25" s="547">
        <f t="shared" si="2"/>
        <v>833333.33333333326</v>
      </c>
    </row>
    <row r="26" spans="2:18" ht="12.75" hidden="1" customHeight="1" x14ac:dyDescent="0.2">
      <c r="B26" s="548" t="s">
        <v>416</v>
      </c>
      <c r="C26" s="548"/>
      <c r="D26" s="548"/>
      <c r="E26" s="548"/>
      <c r="F26" s="548"/>
      <c r="G26" s="548"/>
      <c r="H26" s="548"/>
      <c r="I26" s="548"/>
      <c r="J26" s="548"/>
      <c r="K26" s="548"/>
      <c r="L26" s="548"/>
      <c r="M26" s="548"/>
      <c r="N26" s="548"/>
      <c r="O26" s="548"/>
      <c r="P26" s="548"/>
      <c r="Q26" s="548"/>
      <c r="R26" s="548"/>
    </row>
    <row r="27" spans="2:18" s="268" customFormat="1" ht="12.75" hidden="1" customHeight="1" x14ac:dyDescent="0.2">
      <c r="B27" s="548" t="s">
        <v>417</v>
      </c>
      <c r="C27" s="548"/>
      <c r="D27" s="548"/>
      <c r="E27" s="548"/>
      <c r="F27" s="548"/>
      <c r="G27" s="548"/>
      <c r="H27" s="548"/>
      <c r="I27" s="548"/>
      <c r="J27" s="548"/>
      <c r="K27" s="548"/>
      <c r="L27" s="548"/>
      <c r="M27" s="548"/>
      <c r="N27" s="548"/>
      <c r="O27" s="548"/>
      <c r="P27" s="548"/>
      <c r="Q27" s="548"/>
      <c r="R27" s="548"/>
    </row>
    <row r="28" spans="2:18" s="268" customFormat="1" ht="15" hidden="1" customHeight="1" x14ac:dyDescent="0.2">
      <c r="B28" s="547" t="s">
        <v>418</v>
      </c>
      <c r="C28" s="547"/>
      <c r="D28" s="547"/>
      <c r="E28" s="547">
        <f>E27</f>
        <v>0</v>
      </c>
      <c r="F28" s="547">
        <f t="shared" ref="F28:R28" si="3">E28+F27</f>
        <v>0</v>
      </c>
      <c r="G28" s="547">
        <f t="shared" si="3"/>
        <v>0</v>
      </c>
      <c r="H28" s="547">
        <f t="shared" si="3"/>
        <v>0</v>
      </c>
      <c r="I28" s="547">
        <f t="shared" si="3"/>
        <v>0</v>
      </c>
      <c r="J28" s="547">
        <f t="shared" si="3"/>
        <v>0</v>
      </c>
      <c r="K28" s="547">
        <f t="shared" si="3"/>
        <v>0</v>
      </c>
      <c r="L28" s="547">
        <f t="shared" si="3"/>
        <v>0</v>
      </c>
      <c r="M28" s="547">
        <f t="shared" si="3"/>
        <v>0</v>
      </c>
      <c r="N28" s="547">
        <f t="shared" si="3"/>
        <v>0</v>
      </c>
      <c r="O28" s="547">
        <f t="shared" si="3"/>
        <v>0</v>
      </c>
      <c r="P28" s="547">
        <f t="shared" si="3"/>
        <v>0</v>
      </c>
      <c r="Q28" s="547">
        <f t="shared" si="3"/>
        <v>0</v>
      </c>
      <c r="R28" s="547">
        <f t="shared" si="3"/>
        <v>0</v>
      </c>
    </row>
    <row r="29" spans="2:18" s="268" customFormat="1" ht="15" hidden="1" customHeight="1" x14ac:dyDescent="0.2">
      <c r="B29" s="547" t="s">
        <v>419</v>
      </c>
      <c r="C29" s="547"/>
      <c r="D29" s="547"/>
      <c r="E29" s="547">
        <f t="shared" ref="E29:R29" si="4">IF(E27&gt;0,(E27/E25),(0))</f>
        <v>0</v>
      </c>
      <c r="F29" s="547">
        <f t="shared" si="4"/>
        <v>0</v>
      </c>
      <c r="G29" s="547">
        <f t="shared" si="4"/>
        <v>0</v>
      </c>
      <c r="H29" s="547">
        <f t="shared" si="4"/>
        <v>0</v>
      </c>
      <c r="I29" s="547">
        <f t="shared" si="4"/>
        <v>0</v>
      </c>
      <c r="J29" s="547">
        <f t="shared" si="4"/>
        <v>0</v>
      </c>
      <c r="K29" s="547">
        <f t="shared" si="4"/>
        <v>0</v>
      </c>
      <c r="L29" s="547">
        <f t="shared" si="4"/>
        <v>0</v>
      </c>
      <c r="M29" s="547">
        <f t="shared" si="4"/>
        <v>0</v>
      </c>
      <c r="N29" s="547">
        <f t="shared" si="4"/>
        <v>0</v>
      </c>
      <c r="O29" s="547">
        <f t="shared" si="4"/>
        <v>0</v>
      </c>
      <c r="P29" s="547">
        <f t="shared" si="4"/>
        <v>0</v>
      </c>
      <c r="Q29" s="547">
        <f t="shared" si="4"/>
        <v>0</v>
      </c>
      <c r="R29" s="547">
        <f t="shared" si="4"/>
        <v>0</v>
      </c>
    </row>
    <row r="30" spans="2:18" s="268" customFormat="1" ht="15" hidden="1" customHeight="1" x14ac:dyDescent="0.2">
      <c r="B30" s="547" t="s">
        <v>420</v>
      </c>
      <c r="C30" s="547"/>
      <c r="D30" s="547"/>
      <c r="E30" s="547">
        <f t="shared" ref="E30:R30" si="5">E28/$E25</f>
        <v>0</v>
      </c>
      <c r="F30" s="547">
        <f t="shared" si="5"/>
        <v>0</v>
      </c>
      <c r="G30" s="547">
        <f t="shared" si="5"/>
        <v>0</v>
      </c>
      <c r="H30" s="547">
        <f t="shared" si="5"/>
        <v>0</v>
      </c>
      <c r="I30" s="547">
        <f t="shared" si="5"/>
        <v>0</v>
      </c>
      <c r="J30" s="547">
        <f t="shared" si="5"/>
        <v>0</v>
      </c>
      <c r="K30" s="547">
        <f t="shared" si="5"/>
        <v>0</v>
      </c>
      <c r="L30" s="547">
        <f t="shared" si="5"/>
        <v>0</v>
      </c>
      <c r="M30" s="547">
        <f t="shared" si="5"/>
        <v>0</v>
      </c>
      <c r="N30" s="547">
        <f t="shared" si="5"/>
        <v>0</v>
      </c>
      <c r="O30" s="547">
        <f t="shared" si="5"/>
        <v>0</v>
      </c>
      <c r="P30" s="547">
        <f t="shared" si="5"/>
        <v>0</v>
      </c>
      <c r="Q30" s="547">
        <f t="shared" si="5"/>
        <v>0</v>
      </c>
      <c r="R30" s="547">
        <f t="shared" si="5"/>
        <v>0</v>
      </c>
    </row>
    <row r="31" spans="2:18" hidden="1" x14ac:dyDescent="0.2">
      <c r="B31" s="548" t="s">
        <v>421</v>
      </c>
      <c r="C31" s="548"/>
      <c r="D31" s="548"/>
      <c r="E31" s="548">
        <v>0</v>
      </c>
      <c r="F31" s="548">
        <v>0</v>
      </c>
      <c r="G31" s="548">
        <v>0</v>
      </c>
      <c r="H31" s="548">
        <v>0</v>
      </c>
      <c r="I31" s="548">
        <v>0</v>
      </c>
      <c r="J31" s="548">
        <v>0</v>
      </c>
      <c r="K31" s="548">
        <v>0</v>
      </c>
      <c r="L31" s="548">
        <v>0</v>
      </c>
      <c r="M31" s="548">
        <v>0</v>
      </c>
      <c r="N31" s="548">
        <v>0</v>
      </c>
      <c r="O31" s="548">
        <v>0</v>
      </c>
      <c r="P31" s="548">
        <v>0</v>
      </c>
      <c r="Q31" s="548">
        <v>0</v>
      </c>
      <c r="R31" s="548">
        <v>0</v>
      </c>
    </row>
    <row r="32" spans="2:18" ht="15" hidden="1" customHeight="1" x14ac:dyDescent="0.2">
      <c r="B32" s="547" t="s">
        <v>422</v>
      </c>
      <c r="C32" s="547"/>
      <c r="D32" s="547"/>
      <c r="E32" s="547">
        <f t="shared" ref="E32:R32" si="6">E25-E26-E27-E31</f>
        <v>833333.33333333326</v>
      </c>
      <c r="F32" s="547">
        <f t="shared" si="6"/>
        <v>833333.33333333326</v>
      </c>
      <c r="G32" s="547">
        <f t="shared" si="6"/>
        <v>833333.33333333326</v>
      </c>
      <c r="H32" s="547">
        <f t="shared" si="6"/>
        <v>833333.33333333326</v>
      </c>
      <c r="I32" s="547">
        <f t="shared" si="6"/>
        <v>833333.33333333326</v>
      </c>
      <c r="J32" s="547">
        <f t="shared" si="6"/>
        <v>833333.33333333326</v>
      </c>
      <c r="K32" s="547">
        <f t="shared" si="6"/>
        <v>833333.33333333326</v>
      </c>
      <c r="L32" s="547">
        <f t="shared" si="6"/>
        <v>833333.33333333326</v>
      </c>
      <c r="M32" s="547">
        <f t="shared" si="6"/>
        <v>833333.33333333326</v>
      </c>
      <c r="N32" s="547">
        <f t="shared" si="6"/>
        <v>833333.33333333326</v>
      </c>
      <c r="O32" s="547">
        <f t="shared" si="6"/>
        <v>833333.33333333326</v>
      </c>
      <c r="P32" s="547">
        <f t="shared" si="6"/>
        <v>833333.33333333326</v>
      </c>
      <c r="Q32" s="547">
        <f t="shared" si="6"/>
        <v>833333.33333333326</v>
      </c>
      <c r="R32" s="547">
        <f t="shared" si="6"/>
        <v>833333.33333333326</v>
      </c>
    </row>
    <row r="33" spans="2:18" ht="15" hidden="1" customHeight="1" x14ac:dyDescent="0.2">
      <c r="B33" s="545" t="s">
        <v>423</v>
      </c>
      <c r="C33" s="545"/>
      <c r="D33" s="545"/>
      <c r="E33" s="545"/>
      <c r="F33" s="545"/>
      <c r="G33" s="545"/>
      <c r="H33" s="545"/>
      <c r="I33" s="545"/>
      <c r="J33" s="545"/>
      <c r="K33" s="545"/>
      <c r="L33" s="545"/>
      <c r="M33" s="545"/>
      <c r="N33" s="545"/>
      <c r="O33" s="545"/>
      <c r="P33" s="545"/>
      <c r="Q33" s="545"/>
      <c r="R33" s="545"/>
    </row>
    <row r="34" spans="2:18" ht="12.75" hidden="1" customHeight="1" x14ac:dyDescent="0.2">
      <c r="B34" s="547" t="s">
        <v>424</v>
      </c>
      <c r="C34" s="547"/>
      <c r="D34" s="547"/>
      <c r="E34" s="548">
        <f>R5</f>
        <v>1</v>
      </c>
      <c r="F34" s="547">
        <f>E37</f>
        <v>0</v>
      </c>
      <c r="G34" s="547">
        <f>F37</f>
        <v>0</v>
      </c>
      <c r="H34" s="547">
        <f t="shared" ref="H34:R34" si="7">G37</f>
        <v>0</v>
      </c>
      <c r="I34" s="547">
        <f t="shared" si="7"/>
        <v>0</v>
      </c>
      <c r="J34" s="547">
        <f t="shared" si="7"/>
        <v>0</v>
      </c>
      <c r="K34" s="547">
        <f t="shared" si="7"/>
        <v>0</v>
      </c>
      <c r="L34" s="547">
        <f t="shared" si="7"/>
        <v>0</v>
      </c>
      <c r="M34" s="547">
        <f t="shared" si="7"/>
        <v>0</v>
      </c>
      <c r="N34" s="547">
        <f t="shared" si="7"/>
        <v>0</v>
      </c>
      <c r="O34" s="547">
        <f t="shared" si="7"/>
        <v>0</v>
      </c>
      <c r="P34" s="547">
        <f t="shared" si="7"/>
        <v>0</v>
      </c>
      <c r="Q34" s="547">
        <f t="shared" si="7"/>
        <v>0</v>
      </c>
      <c r="R34" s="547">
        <f t="shared" si="7"/>
        <v>0</v>
      </c>
    </row>
    <row r="35" spans="2:18" ht="12.75" hidden="1" customHeight="1" x14ac:dyDescent="0.2">
      <c r="B35" s="547" t="s">
        <v>425</v>
      </c>
      <c r="C35" s="547"/>
      <c r="D35" s="547"/>
      <c r="E35" s="547">
        <f t="shared" ref="E35:R35" si="8">(E25*E34)/1000</f>
        <v>833.33333333333326</v>
      </c>
      <c r="F35" s="547">
        <f t="shared" si="8"/>
        <v>0</v>
      </c>
      <c r="G35" s="547">
        <f t="shared" si="8"/>
        <v>0</v>
      </c>
      <c r="H35" s="547">
        <f t="shared" si="8"/>
        <v>0</v>
      </c>
      <c r="I35" s="547">
        <f t="shared" si="8"/>
        <v>0</v>
      </c>
      <c r="J35" s="547">
        <f t="shared" si="8"/>
        <v>0</v>
      </c>
      <c r="K35" s="547">
        <f t="shared" si="8"/>
        <v>0</v>
      </c>
      <c r="L35" s="547">
        <f t="shared" si="8"/>
        <v>0</v>
      </c>
      <c r="M35" s="547">
        <f t="shared" si="8"/>
        <v>0</v>
      </c>
      <c r="N35" s="547">
        <f t="shared" si="8"/>
        <v>0</v>
      </c>
      <c r="O35" s="547">
        <f t="shared" si="8"/>
        <v>0</v>
      </c>
      <c r="P35" s="547">
        <f t="shared" si="8"/>
        <v>0</v>
      </c>
      <c r="Q35" s="547">
        <f t="shared" si="8"/>
        <v>0</v>
      </c>
      <c r="R35" s="547">
        <f t="shared" si="8"/>
        <v>0</v>
      </c>
    </row>
    <row r="36" spans="2:18" ht="12.75" hidden="1" customHeight="1" x14ac:dyDescent="0.2">
      <c r="B36" s="547" t="s">
        <v>426</v>
      </c>
      <c r="C36" s="547"/>
      <c r="D36" s="547"/>
      <c r="E36" s="547">
        <f t="shared" ref="E36:R36" si="9">((E37/E34)^(1/E19)-1)*100</f>
        <v>-100</v>
      </c>
      <c r="F36" s="547" t="e">
        <f t="shared" si="9"/>
        <v>#DIV/0!</v>
      </c>
      <c r="G36" s="547" t="e">
        <f t="shared" si="9"/>
        <v>#DIV/0!</v>
      </c>
      <c r="H36" s="547" t="e">
        <f t="shared" si="9"/>
        <v>#DIV/0!</v>
      </c>
      <c r="I36" s="547" t="e">
        <f t="shared" si="9"/>
        <v>#DIV/0!</v>
      </c>
      <c r="J36" s="547" t="e">
        <f t="shared" si="9"/>
        <v>#DIV/0!</v>
      </c>
      <c r="K36" s="547" t="e">
        <f t="shared" si="9"/>
        <v>#DIV/0!</v>
      </c>
      <c r="L36" s="547" t="e">
        <f t="shared" si="9"/>
        <v>#DIV/0!</v>
      </c>
      <c r="M36" s="547" t="e">
        <f t="shared" si="9"/>
        <v>#DIV/0!</v>
      </c>
      <c r="N36" s="547" t="e">
        <f t="shared" si="9"/>
        <v>#DIV/0!</v>
      </c>
      <c r="O36" s="547" t="e">
        <f t="shared" si="9"/>
        <v>#DIV/0!</v>
      </c>
      <c r="P36" s="547" t="e">
        <f t="shared" si="9"/>
        <v>#DIV/0!</v>
      </c>
      <c r="Q36" s="547" t="e">
        <f t="shared" si="9"/>
        <v>#DIV/0!</v>
      </c>
      <c r="R36" s="547" t="e">
        <f t="shared" si="9"/>
        <v>#DIV/0!</v>
      </c>
    </row>
    <row r="37" spans="2:18" ht="15" hidden="1" customHeight="1" x14ac:dyDescent="0.2">
      <c r="B37" s="548" t="s">
        <v>427</v>
      </c>
      <c r="C37" s="548"/>
      <c r="D37" s="548"/>
      <c r="E37" s="548"/>
      <c r="F37" s="548"/>
      <c r="G37" s="548"/>
      <c r="H37" s="548"/>
      <c r="I37" s="548"/>
      <c r="J37" s="548"/>
      <c r="K37" s="548"/>
      <c r="L37" s="548"/>
      <c r="M37" s="548"/>
      <c r="N37" s="548"/>
      <c r="O37" s="548"/>
      <c r="P37" s="548"/>
      <c r="Q37" s="548"/>
      <c r="R37" s="548"/>
    </row>
    <row r="38" spans="2:18" ht="15" hidden="1" customHeight="1" x14ac:dyDescent="0.2">
      <c r="B38" s="548" t="s">
        <v>428</v>
      </c>
      <c r="C38" s="548"/>
      <c r="D38" s="548"/>
      <c r="E38" s="548"/>
      <c r="F38" s="548"/>
      <c r="G38" s="548"/>
      <c r="H38" s="548"/>
      <c r="I38" s="548"/>
      <c r="J38" s="548"/>
      <c r="K38" s="548"/>
      <c r="L38" s="548"/>
      <c r="M38" s="548"/>
      <c r="N38" s="548"/>
      <c r="O38" s="548"/>
      <c r="P38" s="548"/>
      <c r="Q38" s="548"/>
      <c r="R38" s="548"/>
    </row>
    <row r="39" spans="2:18" ht="15" hidden="1" customHeight="1" x14ac:dyDescent="0.2">
      <c r="B39" s="548" t="s">
        <v>429</v>
      </c>
      <c r="C39" s="548"/>
      <c r="D39" s="548"/>
      <c r="E39" s="548"/>
      <c r="F39" s="548"/>
      <c r="G39" s="548"/>
      <c r="H39" s="548"/>
      <c r="I39" s="548"/>
      <c r="J39" s="548"/>
      <c r="K39" s="548"/>
      <c r="L39" s="548"/>
      <c r="M39" s="548"/>
      <c r="N39" s="548"/>
      <c r="O39" s="548"/>
      <c r="P39" s="548"/>
      <c r="Q39" s="548"/>
      <c r="R39" s="548"/>
    </row>
    <row r="40" spans="2:18" ht="15" hidden="1" customHeight="1" x14ac:dyDescent="0.2">
      <c r="B40" s="547" t="s">
        <v>430</v>
      </c>
      <c r="C40" s="547"/>
      <c r="D40" s="547"/>
      <c r="E40" s="547">
        <f t="shared" ref="E40:P40" si="10">(E32*E37)/1000</f>
        <v>0</v>
      </c>
      <c r="F40" s="547">
        <f t="shared" si="10"/>
        <v>0</v>
      </c>
      <c r="G40" s="547">
        <f t="shared" si="10"/>
        <v>0</v>
      </c>
      <c r="H40" s="547">
        <f t="shared" si="10"/>
        <v>0</v>
      </c>
      <c r="I40" s="547">
        <f t="shared" si="10"/>
        <v>0</v>
      </c>
      <c r="J40" s="547">
        <f t="shared" si="10"/>
        <v>0</v>
      </c>
      <c r="K40" s="547">
        <f t="shared" si="10"/>
        <v>0</v>
      </c>
      <c r="L40" s="547">
        <f t="shared" si="10"/>
        <v>0</v>
      </c>
      <c r="M40" s="547">
        <f t="shared" si="10"/>
        <v>0</v>
      </c>
      <c r="N40" s="547">
        <f t="shared" si="10"/>
        <v>0</v>
      </c>
      <c r="O40" s="547">
        <f t="shared" si="10"/>
        <v>0</v>
      </c>
      <c r="P40" s="547">
        <f t="shared" si="10"/>
        <v>0</v>
      </c>
      <c r="Q40" s="547"/>
      <c r="R40" s="547"/>
    </row>
    <row r="41" spans="2:18" ht="15" hidden="1" customHeight="1" x14ac:dyDescent="0.2">
      <c r="B41" s="545" t="s">
        <v>431</v>
      </c>
      <c r="C41" s="545"/>
      <c r="D41" s="545"/>
      <c r="E41" s="545"/>
      <c r="F41" s="545"/>
      <c r="G41" s="545"/>
      <c r="H41" s="545"/>
      <c r="I41" s="545"/>
      <c r="J41" s="545"/>
      <c r="K41" s="545"/>
      <c r="L41" s="545"/>
      <c r="M41" s="545"/>
      <c r="N41" s="545"/>
      <c r="O41" s="545"/>
      <c r="P41" s="545"/>
      <c r="Q41" s="545"/>
      <c r="R41" s="545"/>
    </row>
    <row r="42" spans="2:18" ht="12.75" hidden="1" customHeight="1" x14ac:dyDescent="0.2">
      <c r="B42" s="548" t="s">
        <v>432</v>
      </c>
      <c r="C42" s="548"/>
      <c r="D42" s="548"/>
      <c r="E42" s="548"/>
      <c r="F42" s="548"/>
      <c r="G42" s="548"/>
      <c r="H42" s="548"/>
      <c r="I42" s="548"/>
      <c r="J42" s="548"/>
      <c r="K42" s="548"/>
      <c r="L42" s="548"/>
      <c r="M42" s="548"/>
      <c r="N42" s="548"/>
      <c r="O42" s="548"/>
      <c r="P42" s="548"/>
      <c r="Q42" s="548"/>
      <c r="R42" s="548"/>
    </row>
    <row r="43" spans="2:18" ht="12.75" hidden="1" customHeight="1" x14ac:dyDescent="0.2">
      <c r="B43" s="547" t="s">
        <v>433</v>
      </c>
      <c r="C43" s="547"/>
      <c r="D43" s="547"/>
      <c r="E43" s="547">
        <f t="shared" ref="E43:R43" si="11">IF(E42&gt;0,(E42/(E40-E35)),(0))</f>
        <v>0</v>
      </c>
      <c r="F43" s="547">
        <f t="shared" si="11"/>
        <v>0</v>
      </c>
      <c r="G43" s="547">
        <f t="shared" si="11"/>
        <v>0</v>
      </c>
      <c r="H43" s="547">
        <f t="shared" si="11"/>
        <v>0</v>
      </c>
      <c r="I43" s="547">
        <f t="shared" si="11"/>
        <v>0</v>
      </c>
      <c r="J43" s="547">
        <f t="shared" si="11"/>
        <v>0</v>
      </c>
      <c r="K43" s="547">
        <f t="shared" si="11"/>
        <v>0</v>
      </c>
      <c r="L43" s="547">
        <f t="shared" si="11"/>
        <v>0</v>
      </c>
      <c r="M43" s="547">
        <f t="shared" si="11"/>
        <v>0</v>
      </c>
      <c r="N43" s="547">
        <f t="shared" si="11"/>
        <v>0</v>
      </c>
      <c r="O43" s="547">
        <f t="shared" si="11"/>
        <v>0</v>
      </c>
      <c r="P43" s="547">
        <f t="shared" si="11"/>
        <v>0</v>
      </c>
      <c r="Q43" s="547">
        <f t="shared" si="11"/>
        <v>0</v>
      </c>
      <c r="R43" s="547">
        <f t="shared" si="11"/>
        <v>0</v>
      </c>
    </row>
    <row r="44" spans="2:18" s="268" customFormat="1" ht="12.75" hidden="1" customHeight="1" x14ac:dyDescent="0.2">
      <c r="B44" s="547" t="s">
        <v>434</v>
      </c>
      <c r="C44" s="547"/>
      <c r="D44" s="547"/>
      <c r="E44" s="547">
        <f>E42</f>
        <v>0</v>
      </c>
      <c r="F44" s="547">
        <f>(E44+F42)</f>
        <v>0</v>
      </c>
      <c r="G44" s="547">
        <f>(F44+G42)</f>
        <v>0</v>
      </c>
      <c r="H44" s="547">
        <f t="shared" ref="H44:R44" si="12">(G44+H42)</f>
        <v>0</v>
      </c>
      <c r="I44" s="547">
        <f t="shared" si="12"/>
        <v>0</v>
      </c>
      <c r="J44" s="547">
        <f t="shared" si="12"/>
        <v>0</v>
      </c>
      <c r="K44" s="547">
        <f t="shared" si="12"/>
        <v>0</v>
      </c>
      <c r="L44" s="547">
        <f t="shared" si="12"/>
        <v>0</v>
      </c>
      <c r="M44" s="547">
        <f t="shared" si="12"/>
        <v>0</v>
      </c>
      <c r="N44" s="547">
        <f t="shared" si="12"/>
        <v>0</v>
      </c>
      <c r="O44" s="547">
        <f t="shared" si="12"/>
        <v>0</v>
      </c>
      <c r="P44" s="547">
        <f t="shared" si="12"/>
        <v>0</v>
      </c>
      <c r="Q44" s="547">
        <f t="shared" si="12"/>
        <v>0</v>
      </c>
      <c r="R44" s="547">
        <f t="shared" si="12"/>
        <v>0</v>
      </c>
    </row>
    <row r="45" spans="2:18" s="268" customFormat="1" ht="15" hidden="1" customHeight="1" x14ac:dyDescent="0.2">
      <c r="B45" s="547" t="s">
        <v>435</v>
      </c>
      <c r="C45" s="547"/>
      <c r="D45" s="547"/>
      <c r="E45" s="547">
        <f>E43</f>
        <v>0</v>
      </c>
      <c r="F45" s="547">
        <f t="shared" ref="F45:R45" si="13">IF(F42&gt;0,(F44/(F40-$E35)),(0))</f>
        <v>0</v>
      </c>
      <c r="G45" s="547">
        <f t="shared" si="13"/>
        <v>0</v>
      </c>
      <c r="H45" s="547">
        <f t="shared" si="13"/>
        <v>0</v>
      </c>
      <c r="I45" s="547">
        <f t="shared" si="13"/>
        <v>0</v>
      </c>
      <c r="J45" s="547">
        <f t="shared" si="13"/>
        <v>0</v>
      </c>
      <c r="K45" s="547">
        <f t="shared" si="13"/>
        <v>0</v>
      </c>
      <c r="L45" s="547">
        <f t="shared" si="13"/>
        <v>0</v>
      </c>
      <c r="M45" s="547">
        <f t="shared" si="13"/>
        <v>0</v>
      </c>
      <c r="N45" s="547">
        <f t="shared" si="13"/>
        <v>0</v>
      </c>
      <c r="O45" s="547">
        <f t="shared" si="13"/>
        <v>0</v>
      </c>
      <c r="P45" s="547">
        <f t="shared" si="13"/>
        <v>0</v>
      </c>
      <c r="Q45" s="547">
        <f t="shared" si="13"/>
        <v>0</v>
      </c>
      <c r="R45" s="547">
        <f t="shared" si="13"/>
        <v>0</v>
      </c>
    </row>
    <row r="46" spans="2:18" ht="15" hidden="1" customHeight="1" x14ac:dyDescent="0.2">
      <c r="B46" s="545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N46" s="545"/>
      <c r="O46" s="545"/>
      <c r="P46" s="545"/>
      <c r="Q46" s="545"/>
      <c r="R46" s="545"/>
    </row>
    <row r="47" spans="2:18" s="200" customFormat="1" ht="13.5" hidden="1" thickBot="1" x14ac:dyDescent="0.25">
      <c r="B47" s="1481"/>
      <c r="C47" s="1481"/>
      <c r="D47" s="598"/>
      <c r="E47" s="549"/>
      <c r="F47" s="549"/>
      <c r="G47" s="549"/>
      <c r="H47" s="549"/>
      <c r="I47" s="549"/>
      <c r="J47" s="549"/>
      <c r="K47" s="549"/>
      <c r="L47" s="549"/>
      <c r="M47" s="549"/>
      <c r="N47" s="549"/>
      <c r="O47" s="549"/>
      <c r="P47" s="549"/>
      <c r="Q47" s="549"/>
      <c r="R47" s="549"/>
    </row>
    <row r="48" spans="2:18" ht="16.5" thickBot="1" x14ac:dyDescent="0.3">
      <c r="B48" s="5" t="s">
        <v>436</v>
      </c>
    </row>
    <row r="49" spans="2:18" ht="16.5" customHeight="1" thickBot="1" x14ac:dyDescent="0.3">
      <c r="B49" s="5"/>
      <c r="D49" s="1496" t="s">
        <v>599</v>
      </c>
      <c r="E49" s="1504"/>
      <c r="F49" s="1504"/>
      <c r="G49" s="1504"/>
      <c r="H49" s="1504"/>
      <c r="I49" s="1504"/>
      <c r="J49" s="1504"/>
      <c r="K49" s="1504"/>
      <c r="L49" s="1504"/>
      <c r="M49" s="1504"/>
      <c r="N49" s="1504"/>
      <c r="O49" s="1504"/>
      <c r="P49" s="1504"/>
      <c r="Q49" s="1504"/>
      <c r="R49" s="1505"/>
    </row>
    <row r="50" spans="2:18" ht="15" customHeight="1" thickBot="1" x14ac:dyDescent="0.3">
      <c r="B50" s="545" t="s">
        <v>519</v>
      </c>
      <c r="C50" s="545"/>
      <c r="D50" s="1496" t="s">
        <v>601</v>
      </c>
      <c r="E50" s="1497"/>
      <c r="F50" s="1497"/>
      <c r="G50" s="1497"/>
      <c r="H50" s="1497"/>
      <c r="I50" s="1497"/>
      <c r="J50" s="1497"/>
      <c r="K50" s="1498"/>
      <c r="L50" s="1499" t="s">
        <v>602</v>
      </c>
      <c r="M50" s="1500"/>
      <c r="N50" s="1500"/>
      <c r="O50" s="1500"/>
      <c r="P50" s="1501"/>
      <c r="Q50" s="1502" t="s">
        <v>604</v>
      </c>
      <c r="R50" s="1503"/>
    </row>
    <row r="51" spans="2:18" ht="15" customHeight="1" x14ac:dyDescent="0.2">
      <c r="B51" s="547" t="s">
        <v>415</v>
      </c>
      <c r="C51" s="547"/>
      <c r="D51" s="629">
        <f>R4</f>
        <v>833333.33333333326</v>
      </c>
      <c r="E51" s="822">
        <f>D59</f>
        <v>820833.33333333326</v>
      </c>
      <c r="F51" s="773">
        <f>E59</f>
        <v>808520.83333333326</v>
      </c>
      <c r="G51" s="826">
        <f>F59</f>
        <v>796393.02083333326</v>
      </c>
      <c r="H51" s="827">
        <f t="shared" ref="H51:R51" si="14">G59</f>
        <v>784447.1255208333</v>
      </c>
      <c r="I51" s="830">
        <f t="shared" si="14"/>
        <v>772680.41863802075</v>
      </c>
      <c r="J51" s="830">
        <f t="shared" si="14"/>
        <v>761090.2123584504</v>
      </c>
      <c r="K51" s="631">
        <f t="shared" si="14"/>
        <v>749673.85917307367</v>
      </c>
      <c r="L51" s="629">
        <f t="shared" si="14"/>
        <v>738428.75128547754</v>
      </c>
      <c r="M51" s="630">
        <f t="shared" si="14"/>
        <v>470430.88245192159</v>
      </c>
      <c r="N51" s="630">
        <f t="shared" si="14"/>
        <v>463374.41921514279</v>
      </c>
      <c r="O51" s="630">
        <f t="shared" si="14"/>
        <v>456423.80292691564</v>
      </c>
      <c r="P51" s="631">
        <f t="shared" si="14"/>
        <v>231859.56489764649</v>
      </c>
      <c r="Q51" s="830">
        <f t="shared" si="14"/>
        <v>229540.96924867004</v>
      </c>
      <c r="R51" s="631">
        <f t="shared" si="14"/>
        <v>227245.55955618335</v>
      </c>
    </row>
    <row r="52" spans="2:18" ht="15" customHeight="1" x14ac:dyDescent="0.2">
      <c r="B52" s="547" t="s">
        <v>625</v>
      </c>
      <c r="C52" s="547"/>
      <c r="D52" s="632">
        <f>VLOOKUP(D21,'Input data'!$R$5:$U$52,4,FALSE)*D51</f>
        <v>0</v>
      </c>
      <c r="E52" s="627">
        <f>VLOOKUP(E21,'Input data'!$R$5:$U$52,4,FALSE)*E51</f>
        <v>0</v>
      </c>
      <c r="F52" s="769">
        <f>VLOOKUP(F21,'Input data'!$R$5:$U$52,4,FALSE)*F51</f>
        <v>0</v>
      </c>
      <c r="G52" s="677">
        <f>VLOOKUP(G21,'Input data'!$R$5:$U$52,4,FALSE)*G51</f>
        <v>0</v>
      </c>
      <c r="H52" s="627"/>
      <c r="I52" s="627">
        <f>VLOOKUP(I21,'Input data'!$R$5:$U$52,4,FALSE)*I51</f>
        <v>0</v>
      </c>
      <c r="J52" s="627">
        <f>VLOOKUP(J21,'Input data'!$R$5:$U$52,4,FALSE)*J51</f>
        <v>0</v>
      </c>
      <c r="K52" s="633">
        <f>VLOOKUP(K21,'Input data'!$R$5:$U$52,4,FALSE)*K51</f>
        <v>0</v>
      </c>
      <c r="L52" s="632">
        <f>'Input data'!AE21*'Smolt Production'!L51</f>
        <v>36921.437564273881</v>
      </c>
      <c r="M52" s="547">
        <f>VLOOKUP(M21,'Input data'!$R$5:$U$52,4,FALSE)*M51</f>
        <v>0</v>
      </c>
      <c r="N52" s="547">
        <f>VLOOKUP(N21,'Input data'!$R$5:$U$52,4,FALSE)*N51</f>
        <v>0</v>
      </c>
      <c r="O52" s="547">
        <f>VLOOKUP(O21,'Input data'!$R$5:$U$52,4,FALSE)*O51</f>
        <v>0</v>
      </c>
      <c r="P52" s="633">
        <f>VLOOKUP(P21,'Input data'!$R$5:$U$52,4,FALSE)*P51</f>
        <v>0</v>
      </c>
      <c r="Q52" s="627">
        <f>VLOOKUP(Q21,'Input data'!$R$5:$U$52,4,FALSE)*Q51</f>
        <v>0</v>
      </c>
      <c r="R52" s="633">
        <f>VLOOKUP(R21,'Input data'!$R$5:$U$52,4,FALSE)*R51</f>
        <v>0</v>
      </c>
    </row>
    <row r="53" spans="2:18" s="268" customFormat="1" ht="15" customHeight="1" x14ac:dyDescent="0.2">
      <c r="B53" s="547" t="s">
        <v>417</v>
      </c>
      <c r="C53" s="547"/>
      <c r="D53" s="632">
        <f t="shared" ref="D53:R53" si="15">D51*D55</f>
        <v>12499.999999999998</v>
      </c>
      <c r="E53" s="547">
        <f t="shared" si="15"/>
        <v>12312.499999999998</v>
      </c>
      <c r="F53" s="769">
        <f t="shared" si="15"/>
        <v>12127.812499999998</v>
      </c>
      <c r="G53" s="677">
        <f t="shared" si="15"/>
        <v>11945.895312499999</v>
      </c>
      <c r="H53" s="627">
        <f t="shared" si="15"/>
        <v>11766.706882812499</v>
      </c>
      <c r="I53" s="627">
        <f t="shared" si="15"/>
        <v>11590.206279570311</v>
      </c>
      <c r="J53" s="627">
        <f t="shared" si="15"/>
        <v>11416.353185376756</v>
      </c>
      <c r="K53" s="633">
        <f t="shared" si="15"/>
        <v>11245.107887596105</v>
      </c>
      <c r="L53" s="632">
        <f t="shared" si="15"/>
        <v>11076.431269282162</v>
      </c>
      <c r="M53" s="547">
        <f t="shared" si="15"/>
        <v>7056.4632367788236</v>
      </c>
      <c r="N53" s="547">
        <f t="shared" si="15"/>
        <v>6950.6162882271419</v>
      </c>
      <c r="O53" s="547">
        <f t="shared" si="15"/>
        <v>4564.2380292691569</v>
      </c>
      <c r="P53" s="633">
        <f t="shared" si="15"/>
        <v>2318.5956489764649</v>
      </c>
      <c r="Q53" s="627">
        <f t="shared" si="15"/>
        <v>2295.4096924867004</v>
      </c>
      <c r="R53" s="633">
        <f t="shared" si="15"/>
        <v>2272.4555955618334</v>
      </c>
    </row>
    <row r="54" spans="2:18" s="268" customFormat="1" ht="15" customHeight="1" x14ac:dyDescent="0.2">
      <c r="B54" s="547" t="s">
        <v>437</v>
      </c>
      <c r="C54" s="547"/>
      <c r="D54" s="632">
        <f>C54+D53</f>
        <v>12499.999999999998</v>
      </c>
      <c r="E54" s="547">
        <f>D54+E53</f>
        <v>24812.499999999996</v>
      </c>
      <c r="F54" s="769">
        <f>E54+F53</f>
        <v>36940.312499999993</v>
      </c>
      <c r="G54" s="677">
        <f>F54+G53</f>
        <v>48886.20781249999</v>
      </c>
      <c r="H54" s="627">
        <f t="shared" ref="H54:R54" si="16">G54+H53</f>
        <v>60652.914695312487</v>
      </c>
      <c r="I54" s="627">
        <f t="shared" si="16"/>
        <v>72243.120974882797</v>
      </c>
      <c r="J54" s="627">
        <f t="shared" si="16"/>
        <v>83659.47416025956</v>
      </c>
      <c r="K54" s="633">
        <f t="shared" si="16"/>
        <v>94904.582047855671</v>
      </c>
      <c r="L54" s="632">
        <f t="shared" si="16"/>
        <v>105981.01331713784</v>
      </c>
      <c r="M54" s="547">
        <f t="shared" si="16"/>
        <v>113037.47655391667</v>
      </c>
      <c r="N54" s="547">
        <f t="shared" si="16"/>
        <v>119988.09284214381</v>
      </c>
      <c r="O54" s="547">
        <f t="shared" si="16"/>
        <v>124552.33087141297</v>
      </c>
      <c r="P54" s="633">
        <f t="shared" si="16"/>
        <v>126870.92652038943</v>
      </c>
      <c r="Q54" s="627">
        <f t="shared" si="16"/>
        <v>129166.33621287614</v>
      </c>
      <c r="R54" s="633">
        <f t="shared" si="16"/>
        <v>131438.79180843796</v>
      </c>
    </row>
    <row r="55" spans="2:18" s="268" customFormat="1" ht="15" customHeight="1" x14ac:dyDescent="0.2">
      <c r="B55" s="547" t="s">
        <v>438</v>
      </c>
      <c r="C55" s="547"/>
      <c r="D55" s="776">
        <f>VLOOKUP(D63,'Input data'!$R$5:$T$52,3,FALSE)</f>
        <v>1.4999999999999999E-2</v>
      </c>
      <c r="E55" s="770">
        <f>VLOOKUP(E63,'Input data'!$R$5:$T$52,3,FALSE)</f>
        <v>1.4999999999999999E-2</v>
      </c>
      <c r="F55" s="770">
        <f>VLOOKUP(F63,'Input data'!$R$5:$T$52,3,FALSE)</f>
        <v>1.4999999999999999E-2</v>
      </c>
      <c r="G55" s="821">
        <f>VLOOKUP(G63,'Input data'!$R$5:$T$52,3,FALSE)</f>
        <v>1.4999999999999999E-2</v>
      </c>
      <c r="H55" s="551">
        <f>VLOOKUP(H63,'Input data'!$R$5:$T$56,3,FALSE)</f>
        <v>1.4999999999999999E-2</v>
      </c>
      <c r="I55" s="628">
        <f>VLOOKUP(I63,'Input data'!$R$5:$T$56,3,FALSE)</f>
        <v>1.4999999999999999E-2</v>
      </c>
      <c r="J55" s="551">
        <f>VLOOKUP(J63,'Input data'!$R$5:$T$56,3,FALSE)</f>
        <v>1.4999999999999999E-2</v>
      </c>
      <c r="K55" s="635">
        <f>VLOOKUP(K63,'Input data'!$R$5:$T$56,3,FALSE)</f>
        <v>1.4999999999999999E-2</v>
      </c>
      <c r="L55" s="634">
        <f>VLOOKUP(L63,'Input data'!$R$5:$T$56,3,FALSE)</f>
        <v>1.4999999999999999E-2</v>
      </c>
      <c r="M55" s="551">
        <f>VLOOKUP(M63,'Input data'!$R$5:$T$56,3,FALSE)</f>
        <v>1.4999999999999999E-2</v>
      </c>
      <c r="N55" s="551">
        <f>VLOOKUP(N63,'Input data'!$R$5:$T$56,3,FALSE)</f>
        <v>1.4999999999999999E-2</v>
      </c>
      <c r="O55" s="551">
        <f>VLOOKUP(O63,'Input data'!$R$5:$T$56,3,FALSE)</f>
        <v>0.01</v>
      </c>
      <c r="P55" s="635">
        <f>VLOOKUP(P63,'Input data'!$R$5:$T$56,3,FALSE)</f>
        <v>0.01</v>
      </c>
      <c r="Q55" s="628">
        <f>VLOOKUP(Q63,'Input data'!$R$5:$T$56,3,FALSE)</f>
        <v>0.01</v>
      </c>
      <c r="R55" s="635">
        <f>VLOOKUP(R63,'Input data'!$R$5:$T$56,3,FALSE)</f>
        <v>0.01</v>
      </c>
    </row>
    <row r="56" spans="2:18" s="268" customFormat="1" ht="15" customHeight="1" x14ac:dyDescent="0.2">
      <c r="B56" s="547" t="s">
        <v>420</v>
      </c>
      <c r="C56" s="547"/>
      <c r="D56" s="649">
        <f>D54/$E51</f>
        <v>1.5228426395939085E-2</v>
      </c>
      <c r="E56" s="676">
        <f t="shared" ref="E56:R56" si="17">E54/$E51</f>
        <v>3.0228426395939086E-2</v>
      </c>
      <c r="F56" s="771">
        <f>F54/$E51</f>
        <v>4.5003426395939079E-2</v>
      </c>
      <c r="G56" s="676">
        <f t="shared" si="17"/>
        <v>5.955680139593908E-2</v>
      </c>
      <c r="H56" s="650">
        <f t="shared" si="17"/>
        <v>7.3891875770939072E-2</v>
      </c>
      <c r="I56" s="650">
        <f t="shared" si="17"/>
        <v>8.8011924030314076E-2</v>
      </c>
      <c r="J56" s="650">
        <f t="shared" si="17"/>
        <v>0.10192017156579845</v>
      </c>
      <c r="K56" s="823">
        <f t="shared" si="17"/>
        <v>0.11561979538825057</v>
      </c>
      <c r="L56" s="649">
        <f t="shared" si="17"/>
        <v>0.1291139248533659</v>
      </c>
      <c r="M56" s="648">
        <f t="shared" si="17"/>
        <v>0.13771063133472083</v>
      </c>
      <c r="N56" s="648">
        <f t="shared" si="17"/>
        <v>0.14617838721885543</v>
      </c>
      <c r="O56" s="648">
        <f t="shared" si="17"/>
        <v>0.15173888024943713</v>
      </c>
      <c r="P56" s="823">
        <f t="shared" si="17"/>
        <v>0.15456356530402776</v>
      </c>
      <c r="Q56" s="650">
        <f t="shared" si="17"/>
        <v>0.15736000350807247</v>
      </c>
      <c r="R56" s="823">
        <f t="shared" si="17"/>
        <v>0.16012847733007674</v>
      </c>
    </row>
    <row r="57" spans="2:18" ht="15" customHeight="1" x14ac:dyDescent="0.2">
      <c r="B57" s="547" t="s">
        <v>611</v>
      </c>
      <c r="C57" s="547"/>
      <c r="D57" s="675">
        <f t="shared" ref="D57:J57" si="18">IF(D61&gt;$R$8,IF(D51&gt;$R$6,$R$6,D51-D53),0)</f>
        <v>0</v>
      </c>
      <c r="E57" s="136">
        <f t="shared" si="18"/>
        <v>0</v>
      </c>
      <c r="F57" s="170">
        <f t="shared" si="18"/>
        <v>0</v>
      </c>
      <c r="G57" s="677">
        <f t="shared" si="18"/>
        <v>0</v>
      </c>
      <c r="H57" s="627">
        <f t="shared" si="18"/>
        <v>0</v>
      </c>
      <c r="I57" s="627">
        <f t="shared" si="18"/>
        <v>0</v>
      </c>
      <c r="J57" s="627">
        <f t="shared" si="18"/>
        <v>0</v>
      </c>
      <c r="K57" s="633"/>
      <c r="L57" s="632">
        <f>IF(L61&gt;$Q$7,IF(L51&gt;$R$6,$R$6,L51-L53),0)</f>
        <v>220000</v>
      </c>
      <c r="M57" s="547"/>
      <c r="N57" s="547"/>
      <c r="O57" s="547">
        <f>IF(O51&gt;R6,L57,O51-O53)</f>
        <v>220000</v>
      </c>
      <c r="P57" s="633"/>
      <c r="Q57" s="627"/>
      <c r="R57" s="633"/>
    </row>
    <row r="58" spans="2:18" ht="15" customHeight="1" x14ac:dyDescent="0.2">
      <c r="B58" s="547" t="s">
        <v>612</v>
      </c>
      <c r="C58" s="547"/>
      <c r="D58" s="632"/>
      <c r="E58" s="677"/>
      <c r="F58" s="769"/>
      <c r="G58" s="677"/>
      <c r="H58" s="627"/>
      <c r="I58" s="627"/>
      <c r="J58" s="627"/>
      <c r="K58" s="633"/>
      <c r="L58" s="632"/>
      <c r="M58" s="547"/>
      <c r="N58" s="547"/>
      <c r="O58" s="547"/>
      <c r="P58" s="633"/>
      <c r="Q58" s="627"/>
      <c r="R58" s="633">
        <f>R51-R53</f>
        <v>224973.10396062152</v>
      </c>
    </row>
    <row r="59" spans="2:18" ht="15" customHeight="1" thickBot="1" x14ac:dyDescent="0.25">
      <c r="B59" s="547" t="s">
        <v>623</v>
      </c>
      <c r="C59" s="547"/>
      <c r="D59" s="637">
        <f>D51-D52-D53-D57</f>
        <v>820833.33333333326</v>
      </c>
      <c r="E59" s="678">
        <f t="shared" ref="E59:Q59" si="19">E51-E52-E53-E57</f>
        <v>808520.83333333326</v>
      </c>
      <c r="F59" s="772">
        <f t="shared" si="19"/>
        <v>796393.02083333326</v>
      </c>
      <c r="G59" s="678">
        <f t="shared" si="19"/>
        <v>784447.1255208333</v>
      </c>
      <c r="H59" s="828">
        <f t="shared" si="19"/>
        <v>772680.41863802075</v>
      </c>
      <c r="I59" s="828">
        <f t="shared" si="19"/>
        <v>761090.2123584504</v>
      </c>
      <c r="J59" s="828">
        <f t="shared" si="19"/>
        <v>749673.85917307367</v>
      </c>
      <c r="K59" s="639">
        <f t="shared" si="19"/>
        <v>738428.75128547754</v>
      </c>
      <c r="L59" s="637">
        <f t="shared" si="19"/>
        <v>470430.88245192159</v>
      </c>
      <c r="M59" s="638">
        <f t="shared" si="19"/>
        <v>463374.41921514279</v>
      </c>
      <c r="N59" s="638">
        <f t="shared" si="19"/>
        <v>456423.80292691564</v>
      </c>
      <c r="O59" s="638">
        <f t="shared" si="19"/>
        <v>231859.56489764649</v>
      </c>
      <c r="P59" s="639">
        <f t="shared" si="19"/>
        <v>229540.96924867004</v>
      </c>
      <c r="Q59" s="828">
        <f t="shared" si="19"/>
        <v>227245.55955618335</v>
      </c>
      <c r="R59" s="639">
        <f>R51-R52-R53-R57-R58</f>
        <v>0</v>
      </c>
    </row>
    <row r="60" spans="2:18" ht="15" customHeight="1" thickBot="1" x14ac:dyDescent="0.3">
      <c r="B60" s="545" t="s">
        <v>439</v>
      </c>
      <c r="C60" s="545"/>
      <c r="D60" s="1496" t="s">
        <v>601</v>
      </c>
      <c r="E60" s="1497"/>
      <c r="F60" s="1497"/>
      <c r="G60" s="1497"/>
      <c r="H60" s="1497"/>
      <c r="I60" s="1497"/>
      <c r="J60" s="1497"/>
      <c r="K60" s="1498"/>
      <c r="L60" s="1499" t="s">
        <v>602</v>
      </c>
      <c r="M60" s="1500"/>
      <c r="N60" s="1500"/>
      <c r="O60" s="1500"/>
      <c r="P60" s="1501"/>
      <c r="Q60" s="1502" t="s">
        <v>604</v>
      </c>
      <c r="R60" s="1503"/>
    </row>
    <row r="61" spans="2:18" ht="15" customHeight="1" x14ac:dyDescent="0.2">
      <c r="B61" s="547" t="s">
        <v>440</v>
      </c>
      <c r="C61" s="547"/>
      <c r="D61" s="629">
        <f>R5</f>
        <v>1</v>
      </c>
      <c r="E61" s="630">
        <f>D65</f>
        <v>2.0269156782882156</v>
      </c>
      <c r="F61" s="630">
        <f>E65</f>
        <v>4.0158126066183799</v>
      </c>
      <c r="G61" s="826">
        <f>F65</f>
        <v>8.5209352134193672</v>
      </c>
      <c r="H61" s="827">
        <f t="shared" ref="H61:M61" si="20">G65</f>
        <v>13.743044895875244</v>
      </c>
      <c r="I61" s="830">
        <f t="shared" si="20"/>
        <v>21.381896797860446</v>
      </c>
      <c r="J61" s="830">
        <f t="shared" si="20"/>
        <v>31.037081768432127</v>
      </c>
      <c r="K61" s="631">
        <f t="shared" si="20"/>
        <v>43.27506717742957</v>
      </c>
      <c r="L61" s="629">
        <f t="shared" si="20"/>
        <v>68.505058960747817</v>
      </c>
      <c r="M61" s="630">
        <f t="shared" si="20"/>
        <v>83.847573952179545</v>
      </c>
      <c r="N61" s="630">
        <f>M65</f>
        <v>93.637522624670709</v>
      </c>
      <c r="O61" s="630">
        <f>N65</f>
        <v>104.49551550559518</v>
      </c>
      <c r="P61" s="631">
        <f>O65</f>
        <v>116.77521919335275</v>
      </c>
      <c r="Q61" s="629">
        <f>P65</f>
        <v>129.56700825272554</v>
      </c>
      <c r="R61" s="631">
        <f>Q65</f>
        <v>159.99660976692255</v>
      </c>
    </row>
    <row r="62" spans="2:18" ht="15" customHeight="1" x14ac:dyDescent="0.2">
      <c r="B62" s="547" t="s">
        <v>441</v>
      </c>
      <c r="C62" s="547"/>
      <c r="D62" s="679">
        <f>ROUNDUP(D61*1.1,0)</f>
        <v>2</v>
      </c>
      <c r="E62" s="547">
        <f>ROUNDUP(E61*1.1,0)</f>
        <v>3</v>
      </c>
      <c r="F62" s="547">
        <f t="shared" ref="F62:R62" si="21">ROUNDUP(F61*1.1,0)</f>
        <v>5</v>
      </c>
      <c r="G62" s="677">
        <f t="shared" si="21"/>
        <v>10</v>
      </c>
      <c r="H62" s="627">
        <f t="shared" si="21"/>
        <v>16</v>
      </c>
      <c r="I62" s="627">
        <f t="shared" si="21"/>
        <v>24</v>
      </c>
      <c r="J62" s="627">
        <f t="shared" si="21"/>
        <v>35</v>
      </c>
      <c r="K62" s="633">
        <f t="shared" si="21"/>
        <v>48</v>
      </c>
      <c r="L62" s="632">
        <f t="shared" si="21"/>
        <v>76</v>
      </c>
      <c r="M62" s="547">
        <f t="shared" si="21"/>
        <v>93</v>
      </c>
      <c r="N62" s="547">
        <f t="shared" si="21"/>
        <v>104</v>
      </c>
      <c r="O62" s="547">
        <f t="shared" si="21"/>
        <v>115</v>
      </c>
      <c r="P62" s="767">
        <f t="shared" si="21"/>
        <v>129</v>
      </c>
      <c r="Q62" s="632">
        <f t="shared" si="21"/>
        <v>143</v>
      </c>
      <c r="R62" s="633">
        <f t="shared" si="21"/>
        <v>176</v>
      </c>
    </row>
    <row r="63" spans="2:18" ht="15" customHeight="1" x14ac:dyDescent="0.2">
      <c r="B63" s="547" t="s">
        <v>442</v>
      </c>
      <c r="C63" s="547"/>
      <c r="D63" s="632">
        <f>IF(D62&gt;0,(VLOOKUP(D62,'Input data'!$W$5:$X$5509,2,FALSE)),(0))</f>
        <v>1</v>
      </c>
      <c r="E63" s="627">
        <f>IF(E62&gt;0,(VLOOKUP(E62,'Input data'!$W$5:$X$5509,2,FALSE)),(0))</f>
        <v>1</v>
      </c>
      <c r="F63" s="627">
        <f>IF(F62&gt;0,(VLOOKUP(F62,'Input data'!$W$5:$X$5509,2,FALSE)),(0))</f>
        <v>1</v>
      </c>
      <c r="G63" s="627">
        <f>IF(G62&gt;0,(VLOOKUP(G62,'Input data'!$W$5:$X$5509,2,FALSE)),(0))</f>
        <v>2</v>
      </c>
      <c r="H63" s="627">
        <f>IF(H62&gt;0,(VLOOKUP(H62,'Input data'!$W$5:$X$5509,2,FALSE)),(0))</f>
        <v>3</v>
      </c>
      <c r="I63" s="627">
        <f>IF(I62&gt;0,(VLOOKUP(I62,'Input data'!$W$5:$X$5509,2,FALSE)),(0))</f>
        <v>3</v>
      </c>
      <c r="J63" s="547">
        <f>IF(J62&gt;0,(VLOOKUP(J62,'Input data'!$W$5:$X$5509,2,FALSE)),(0))</f>
        <v>4</v>
      </c>
      <c r="K63" s="633">
        <f>IF(K62&gt;0,(VLOOKUP(K62,'Input data'!$W$5:$X$5509,2,FALSE)),(0))</f>
        <v>4</v>
      </c>
      <c r="L63" s="632">
        <f>IF(L62&gt;0,(VLOOKUP(L62,'Input data'!$W$5:$X$5509,2,FALSE)),(0))</f>
        <v>7</v>
      </c>
      <c r="M63" s="547">
        <f>IF(M62&gt;0,(VLOOKUP(M62,'Input data'!$W$5:$X$5509,2,FALSE)),(0))</f>
        <v>9</v>
      </c>
      <c r="N63" s="547">
        <f>IF(N62&gt;0,(VLOOKUP(N62,'Input data'!$W$5:$X$5509,2,FALSE)),(0))</f>
        <v>10</v>
      </c>
      <c r="O63" s="547">
        <f>IF(O62&gt;0,(VLOOKUP(O62,'Input data'!$W$5:$X$5509,2,FALSE)),(0))</f>
        <v>11</v>
      </c>
      <c r="P63" s="767">
        <f>IF(P62&gt;0,(VLOOKUP(P62,'Input data'!$W$5:$X$5509,2,FALSE)),(0))</f>
        <v>12</v>
      </c>
      <c r="Q63" s="632">
        <f>IF(Q62&gt;0,(VLOOKUP(Q62,'Input data'!$W$5:$X$5509,2,FALSE)),(0))</f>
        <v>14</v>
      </c>
      <c r="R63" s="633">
        <f>IF(R62&gt;0,(VLOOKUP(R62,'Input data'!$W$5:$X$5509,2,FALSE)),(0))</f>
        <v>15</v>
      </c>
    </row>
    <row r="64" spans="2:18" ht="15" customHeight="1" x14ac:dyDescent="0.2">
      <c r="B64" s="547" t="s">
        <v>426</v>
      </c>
      <c r="C64" s="547"/>
      <c r="D64" s="778">
        <f>IF(D57&gt;=0,(VLOOKUP(D63,'Input data'!$C$6:$P$61,(HLOOKUP(D20,'Input data'!$D$4:$P$5,2,FALSE)),FALSE)),(0))</f>
        <v>2.3052510000000002</v>
      </c>
      <c r="E64" s="777">
        <f>IF(E57&gt;=0,(VLOOKUP(E63,'Input data'!$C$6:$P$61,(HLOOKUP(E20,'Input data'!$D$4:$P$5,2,FALSE)),FALSE)),(0))</f>
        <v>2.3052510000000002</v>
      </c>
      <c r="F64" s="777">
        <f>IF(F57&gt;=0,(VLOOKUP(F63,'Input data'!$C$6:$P$61,(HLOOKUP(F20,'Input data'!$D$4:$P$5,2,FALSE)),FALSE)),(0))</f>
        <v>2.4564150000000002</v>
      </c>
      <c r="G64" s="777">
        <f>IF(G57&gt;=0,(VLOOKUP(G63,'Input data'!$C$6:$P$61,(HLOOKUP(G20,'Input data'!$D$4:$P$5,2,FALSE)),FALSE)),(0))</f>
        <v>1.6061174999999999</v>
      </c>
      <c r="H64" s="640">
        <f>IF(H57&gt;=0,(VLOOKUP(H63,'Input data'!$C$6:$P$61,(HLOOKUP(H20,'Input data'!$D$4:$P$5,2,FALSE)),FALSE)),(0))</f>
        <v>1.4360579999999998</v>
      </c>
      <c r="I64" s="825">
        <f>IF(I57&gt;=0,(VLOOKUP(I63,'Input data'!$C$6:$P$61,(HLOOKUP(I20,'Input data'!$D$4:$P$5,2,FALSE)),FALSE)),(0))</f>
        <v>1.2093119999999999</v>
      </c>
      <c r="J64" s="824">
        <f>IF(J57&gt;=0,(VLOOKUP(J63,'Input data'!$C$6:$P$61,(HLOOKUP(J20,'Input data'!$D$4:$P$5,2,FALSE)),FALSE)),(0))</f>
        <v>1.1941956</v>
      </c>
      <c r="K64" s="843">
        <f>IF(K57&gt;=0,(VLOOKUP(K63,'Input data'!$C$6:$P$61,(HLOOKUP(K20,'Input data'!$D$4:$P$5,2,FALSE)),FALSE)),(0))</f>
        <v>1.4927444999999999</v>
      </c>
      <c r="L64" s="844">
        <f>IF(L57&gt;=0,(VLOOKUP(L63,'Input data'!$C$6:$P$61,(HLOOKUP(L20,'Input data'!$D$4:$P$5,2,FALSE)),FALSE)),(0))</f>
        <v>0.67591727489999998</v>
      </c>
      <c r="M64" s="824">
        <f>IF(M57&gt;=0,(VLOOKUP(M63,'Input data'!$C$6:$P$61,(HLOOKUP(M20,'Input data'!$D$4:$P$5,2,FALSE)),FALSE)),(0))*0.5</f>
        <v>0.35686308814379991</v>
      </c>
      <c r="N64" s="824">
        <f>IF(N57&gt;=0,(VLOOKUP(N63,'Input data'!$C$6:$P$61,(HLOOKUP(N20,'Input data'!$D$4:$P$5,2,FALSE)),FALSE)),(0))*0.5</f>
        <v>0.36637943716096799</v>
      </c>
      <c r="O64" s="824">
        <f>IF(O57&gt;=0,(VLOOKUP(O63,'Input data'!$C$6:$P$61,(HLOOKUP(O20,'Input data'!$D$4:$P$5,2,FALSE)),FALSE)),(0))*0.5</f>
        <v>0.35905184841774862</v>
      </c>
      <c r="P64" s="843">
        <f>IF(P57&gt;=0,(VLOOKUP(P63,'Input data'!$C$6:$P$61,(HLOOKUP(P20,'Input data'!$D$4:$P$5,2,FALSE)),FALSE)),(0))*0.5</f>
        <v>0.33587668365623929</v>
      </c>
      <c r="Q64" s="844">
        <f>IF(Q57&gt;=0,(VLOOKUP(Q63,'Input data'!$C$6:$P$61,(HLOOKUP(Q20,'Input data'!$D$4:$P$5,2,FALSE)),FALSE)),(0))*0.5</f>
        <v>0.77349999999999997</v>
      </c>
      <c r="R64" s="843">
        <f>IF(R57&gt;=0,(VLOOKUP(R63,'Input data'!$C$6:$P$61,(HLOOKUP(R20,'Input data'!$D$4:$P$5,2,FALSE)),FALSE)),(0))*0.5</f>
        <v>0.6885</v>
      </c>
    </row>
    <row r="65" spans="2:18" ht="15" customHeight="1" x14ac:dyDescent="0.2">
      <c r="B65" s="547" t="s">
        <v>443</v>
      </c>
      <c r="C65" s="547"/>
      <c r="D65" s="679">
        <f>IF(D51&gt;0,D61*(1+(D64/100))^D19,D61)</f>
        <v>2.0269156782882156</v>
      </c>
      <c r="E65" s="547">
        <f>IF(E51&gt;0,E61*(1+(E64/100))^E19,E61)</f>
        <v>4.0158126066183799</v>
      </c>
      <c r="F65" s="547">
        <f t="shared" ref="F65:P65" si="22">IF(F51&gt;0,F61*(1+(F64/100))^F19,F61)</f>
        <v>8.5209352134193672</v>
      </c>
      <c r="G65" s="677">
        <f t="shared" si="22"/>
        <v>13.743044895875244</v>
      </c>
      <c r="H65" s="627">
        <f t="shared" si="22"/>
        <v>21.381896797860446</v>
      </c>
      <c r="I65" s="627">
        <f t="shared" si="22"/>
        <v>31.037081768432127</v>
      </c>
      <c r="J65" s="627">
        <f t="shared" si="22"/>
        <v>43.27506717742957</v>
      </c>
      <c r="K65" s="633">
        <f t="shared" si="22"/>
        <v>68.505058960747817</v>
      </c>
      <c r="L65" s="632">
        <f t="shared" si="22"/>
        <v>83.847573952179545</v>
      </c>
      <c r="M65" s="547">
        <f t="shared" si="22"/>
        <v>93.637522624670709</v>
      </c>
      <c r="N65" s="547">
        <f t="shared" si="22"/>
        <v>104.49551550559518</v>
      </c>
      <c r="O65" s="547">
        <f t="shared" si="22"/>
        <v>116.77521919335275</v>
      </c>
      <c r="P65" s="633">
        <f t="shared" si="22"/>
        <v>129.56700825272554</v>
      </c>
      <c r="Q65" s="632">
        <f>IF(Q51&gt;0,Q61*(1+(Q64/100))^Q19,Q61)*0.98</f>
        <v>159.99660976692255</v>
      </c>
      <c r="R65" s="633">
        <f>IF(R51&gt;0,R61*(1+(R64/100))^R19,R61)*0.9</f>
        <v>178.12681057277342</v>
      </c>
    </row>
    <row r="66" spans="2:18" ht="15" customHeight="1" x14ac:dyDescent="0.2">
      <c r="B66" s="547" t="s">
        <v>444</v>
      </c>
      <c r="C66" s="547"/>
      <c r="D66" s="679">
        <f>(D51*D61)/1000</f>
        <v>833.33333333333326</v>
      </c>
      <c r="E66" s="547">
        <f>(E51*E61)/1000</f>
        <v>1663.7599525949101</v>
      </c>
      <c r="F66" s="547">
        <f t="shared" ref="F66:R66" si="23">(F51*F61)/1000</f>
        <v>3246.8681552135977</v>
      </c>
      <c r="G66" s="677">
        <f t="shared" si="23"/>
        <v>6786.0133349401731</v>
      </c>
      <c r="H66" s="627">
        <f t="shared" si="23"/>
        <v>10780.692064473094</v>
      </c>
      <c r="I66" s="627">
        <f t="shared" si="23"/>
        <v>16521.372969045762</v>
      </c>
      <c r="J66" s="627">
        <f t="shared" si="23"/>
        <v>23622.019154122598</v>
      </c>
      <c r="K66" s="633">
        <f t="shared" si="23"/>
        <v>32442.18661687764</v>
      </c>
      <c r="L66" s="632">
        <f t="shared" si="23"/>
        <v>50586.105145123031</v>
      </c>
      <c r="M66" s="547">
        <f t="shared" si="23"/>
        <v>39444.488205776579</v>
      </c>
      <c r="N66" s="547">
        <f t="shared" si="23"/>
        <v>43389.232662951581</v>
      </c>
      <c r="O66" s="547">
        <f t="shared" si="23"/>
        <v>47694.240575872238</v>
      </c>
      <c r="P66" s="633">
        <f t="shared" si="23"/>
        <v>27075.451512998068</v>
      </c>
      <c r="Q66" s="632">
        <f>(Q51*Q61)/1000</f>
        <v>29740.936656981052</v>
      </c>
      <c r="R66" s="633">
        <f t="shared" si="23"/>
        <v>36358.519113576622</v>
      </c>
    </row>
    <row r="67" spans="2:18" ht="15" customHeight="1" x14ac:dyDescent="0.2">
      <c r="B67" s="547" t="s">
        <v>445</v>
      </c>
      <c r="C67" s="547"/>
      <c r="D67" s="679">
        <f>(D53*D62)/1000</f>
        <v>24.999999999999996</v>
      </c>
      <c r="E67" s="547">
        <f>(E53*E62)/1000</f>
        <v>36.937499999999993</v>
      </c>
      <c r="F67" s="547">
        <f t="shared" ref="F67:R67" si="24">(F53*F62)/1000</f>
        <v>60.639062499999994</v>
      </c>
      <c r="G67" s="677">
        <f t="shared" si="24"/>
        <v>119.45895312499998</v>
      </c>
      <c r="H67" s="627">
        <f t="shared" si="24"/>
        <v>188.26731012499999</v>
      </c>
      <c r="I67" s="627">
        <f t="shared" si="24"/>
        <v>278.1649507096875</v>
      </c>
      <c r="J67" s="627">
        <f t="shared" si="24"/>
        <v>399.57236148818646</v>
      </c>
      <c r="K67" s="633">
        <f t="shared" si="24"/>
        <v>539.76517860461308</v>
      </c>
      <c r="L67" s="632">
        <f>(L53*L62)/1000+(L52*L62/1000)</f>
        <v>3647.8380313502589</v>
      </c>
      <c r="M67" s="547">
        <f t="shared" si="24"/>
        <v>656.25108102043055</v>
      </c>
      <c r="N67" s="547">
        <f t="shared" si="24"/>
        <v>722.86409397562284</v>
      </c>
      <c r="O67" s="547">
        <f t="shared" si="24"/>
        <v>524.88737336595295</v>
      </c>
      <c r="P67" s="633">
        <f t="shared" si="24"/>
        <v>299.09883871796393</v>
      </c>
      <c r="Q67" s="632">
        <f t="shared" si="24"/>
        <v>328.24358602559818</v>
      </c>
      <c r="R67" s="633">
        <f t="shared" si="24"/>
        <v>399.95218481888264</v>
      </c>
    </row>
    <row r="68" spans="2:18" ht="15" customHeight="1" x14ac:dyDescent="0.2">
      <c r="B68" s="547" t="s">
        <v>446</v>
      </c>
      <c r="C68" s="547"/>
      <c r="D68" s="679">
        <f t="shared" ref="D68:R68" si="25">(D57*D61)/1000</f>
        <v>0</v>
      </c>
      <c r="E68" s="547">
        <f t="shared" si="25"/>
        <v>0</v>
      </c>
      <c r="F68" s="547">
        <f t="shared" si="25"/>
        <v>0</v>
      </c>
      <c r="G68" s="677">
        <f t="shared" si="25"/>
        <v>0</v>
      </c>
      <c r="H68" s="627">
        <f t="shared" si="25"/>
        <v>0</v>
      </c>
      <c r="I68" s="627">
        <f t="shared" si="25"/>
        <v>0</v>
      </c>
      <c r="J68" s="627">
        <f t="shared" si="25"/>
        <v>0</v>
      </c>
      <c r="K68" s="633">
        <f t="shared" si="25"/>
        <v>0</v>
      </c>
      <c r="L68" s="632">
        <f>(L57*L65)/1000</f>
        <v>18446.466269479497</v>
      </c>
      <c r="M68" s="547">
        <f t="shared" si="25"/>
        <v>0</v>
      </c>
      <c r="N68" s="547">
        <f t="shared" si="25"/>
        <v>0</v>
      </c>
      <c r="O68" s="547">
        <f t="shared" si="25"/>
        <v>22989.013411230939</v>
      </c>
      <c r="P68" s="633">
        <f t="shared" si="25"/>
        <v>0</v>
      </c>
      <c r="Q68" s="632">
        <f t="shared" si="25"/>
        <v>0</v>
      </c>
      <c r="R68" s="633">
        <f t="shared" si="25"/>
        <v>0</v>
      </c>
    </row>
    <row r="69" spans="2:18" ht="15" customHeight="1" thickBot="1" x14ac:dyDescent="0.25">
      <c r="B69" s="547" t="s">
        <v>447</v>
      </c>
      <c r="C69" s="547"/>
      <c r="D69" s="680">
        <f t="shared" ref="D69:R69" si="26">(D59*D65)/1000</f>
        <v>1663.7599525949101</v>
      </c>
      <c r="E69" s="638">
        <f t="shared" si="26"/>
        <v>3246.8681552135977</v>
      </c>
      <c r="F69" s="638">
        <f t="shared" si="26"/>
        <v>6786.0133349401731</v>
      </c>
      <c r="G69" s="678">
        <f t="shared" si="26"/>
        <v>10780.692064473094</v>
      </c>
      <c r="H69" s="828">
        <f t="shared" si="26"/>
        <v>16521.372969045762</v>
      </c>
      <c r="I69" s="828">
        <f t="shared" si="26"/>
        <v>23622.019154122598</v>
      </c>
      <c r="J69" s="828">
        <f t="shared" si="26"/>
        <v>32442.18661687764</v>
      </c>
      <c r="K69" s="639">
        <f t="shared" si="26"/>
        <v>50586.105145123031</v>
      </c>
      <c r="L69" s="637">
        <f t="shared" si="26"/>
        <v>39444.488205776579</v>
      </c>
      <c r="M69" s="638">
        <f t="shared" si="26"/>
        <v>43389.232662951581</v>
      </c>
      <c r="N69" s="638">
        <f t="shared" si="26"/>
        <v>47694.240575872238</v>
      </c>
      <c r="O69" s="638">
        <f t="shared" si="26"/>
        <v>27075.451512998068</v>
      </c>
      <c r="P69" s="639">
        <f t="shared" si="26"/>
        <v>29740.936656981052</v>
      </c>
      <c r="Q69" s="637">
        <f t="shared" si="26"/>
        <v>36358.519113576622</v>
      </c>
      <c r="R69" s="639">
        <f t="shared" si="26"/>
        <v>0</v>
      </c>
    </row>
    <row r="70" spans="2:18" ht="15" customHeight="1" thickBot="1" x14ac:dyDescent="0.3">
      <c r="B70" s="545" t="s">
        <v>520</v>
      </c>
      <c r="C70" s="545"/>
      <c r="D70" s="1496" t="s">
        <v>601</v>
      </c>
      <c r="E70" s="1497"/>
      <c r="F70" s="1497"/>
      <c r="G70" s="1497"/>
      <c r="H70" s="1497"/>
      <c r="I70" s="1497"/>
      <c r="J70" s="1497"/>
      <c r="K70" s="1498"/>
      <c r="L70" s="1499" t="s">
        <v>602</v>
      </c>
      <c r="M70" s="1500"/>
      <c r="N70" s="1500"/>
      <c r="O70" s="1500"/>
      <c r="P70" s="1501"/>
      <c r="Q70" s="1502" t="s">
        <v>604</v>
      </c>
      <c r="R70" s="1503"/>
    </row>
    <row r="71" spans="2:18" s="349" customFormat="1" ht="15" customHeight="1" x14ac:dyDescent="0.2">
      <c r="B71" s="547" t="s">
        <v>448</v>
      </c>
      <c r="C71" s="547"/>
      <c r="D71" s="831">
        <f>VLOOKUP(D63,'Input data'!$R$5:$S$52,2,FALSE)</f>
        <v>1.3</v>
      </c>
      <c r="E71" s="832">
        <f>VLOOKUP(E63,'Input data'!$R$5:$S$52,2,FALSE)</f>
        <v>1.3</v>
      </c>
      <c r="F71" s="644">
        <f>VLOOKUP(F63,'Input data'!$R$5:$S$52,2,FALSE)</f>
        <v>1.3</v>
      </c>
      <c r="G71" s="644">
        <f>VLOOKUP(G63,'Input data'!$R$5:$S$52,2,FALSE)</f>
        <v>1.3</v>
      </c>
      <c r="H71" s="833">
        <f>VLOOKUP(H63,'Input data'!$R$5:$S$52,2,FALSE)</f>
        <v>1.3</v>
      </c>
      <c r="I71" s="840">
        <f>VLOOKUP(I63,'Input data'!$R$5:$S$52,2,FALSE)</f>
        <v>1.3</v>
      </c>
      <c r="J71" s="834">
        <f>VLOOKUP(J63,'Input data'!$R$5:$S$52,2,FALSE)</f>
        <v>1.3</v>
      </c>
      <c r="K71" s="645">
        <f>VLOOKUP(K63,'Input data'!$R$5:$S$52,2,FALSE)</f>
        <v>1.3</v>
      </c>
      <c r="L71" s="643">
        <f>VLOOKUP(L63,'Input data'!$R$5:$S$52,2,FALSE)</f>
        <v>1.3</v>
      </c>
      <c r="M71" s="644">
        <f>VLOOKUP(M63,'Input data'!$R$5:$S$52,2,FALSE)</f>
        <v>1.3</v>
      </c>
      <c r="N71" s="644">
        <f>VLOOKUP(N63,'Input data'!$R$5:$S$52,2,FALSE)</f>
        <v>1.3</v>
      </c>
      <c r="O71" s="644">
        <f>VLOOKUP(O63,'Input data'!$R$5:$S$52,2,FALSE)</f>
        <v>1.3</v>
      </c>
      <c r="P71" s="645">
        <f>VLOOKUP(P63,'Input data'!$R$5:$S$52,2,FALSE)</f>
        <v>1.3</v>
      </c>
      <c r="Q71" s="834">
        <f>VLOOKUP(Q63,'Input data'!$R$5:$S$52,2,FALSE)</f>
        <v>1.3</v>
      </c>
      <c r="R71" s="645">
        <f>VLOOKUP(R63,'Input data'!$R$5:$S$52,2,FALSE)</f>
        <v>1.3</v>
      </c>
    </row>
    <row r="72" spans="2:18" s="349" customFormat="1" ht="15" customHeight="1" x14ac:dyDescent="0.2">
      <c r="B72" s="547" t="s">
        <v>449</v>
      </c>
      <c r="C72" s="547"/>
      <c r="D72" s="679">
        <f t="shared" ref="D72:Q72" si="27">IF(D57&gt;=0,(((D69+D68)-D66)*D71),(0))</f>
        <v>1079.5546050400501</v>
      </c>
      <c r="E72" s="677">
        <f t="shared" si="27"/>
        <v>2058.0406634042938</v>
      </c>
      <c r="F72" s="547">
        <f t="shared" si="27"/>
        <v>4600.8887336445478</v>
      </c>
      <c r="G72" s="547">
        <f t="shared" si="27"/>
        <v>5193.0823483927979</v>
      </c>
      <c r="H72" s="627">
        <f t="shared" si="27"/>
        <v>7462.8851759444678</v>
      </c>
      <c r="I72" s="627">
        <f t="shared" si="27"/>
        <v>9230.8400405998873</v>
      </c>
      <c r="J72" s="627">
        <f t="shared" si="27"/>
        <v>11466.217701581554</v>
      </c>
      <c r="K72" s="767">
        <f t="shared" si="27"/>
        <v>23587.094086719007</v>
      </c>
      <c r="L72" s="627">
        <f t="shared" si="27"/>
        <v>9496.3041291729587</v>
      </c>
      <c r="M72" s="627">
        <f t="shared" si="27"/>
        <v>5128.1677943275026</v>
      </c>
      <c r="N72" s="627">
        <f t="shared" si="27"/>
        <v>5596.5102867968544</v>
      </c>
      <c r="O72" s="627">
        <f t="shared" si="27"/>
        <v>3081.2916528637952</v>
      </c>
      <c r="P72" s="767">
        <f t="shared" si="27"/>
        <v>3465.1306871778788</v>
      </c>
      <c r="Q72" s="627">
        <f t="shared" si="27"/>
        <v>8602.857193574242</v>
      </c>
      <c r="R72" s="767">
        <f>IF(R57&gt;0,(((R69+R68)-R66)*R71),(0))</f>
        <v>0</v>
      </c>
    </row>
    <row r="73" spans="2:18" s="349" customFormat="1" ht="15" customHeight="1" x14ac:dyDescent="0.2">
      <c r="B73" s="547" t="s">
        <v>546</v>
      </c>
      <c r="C73" s="547"/>
      <c r="D73" s="679">
        <f>D72+D66</f>
        <v>1912.8879383733833</v>
      </c>
      <c r="E73" s="677">
        <f>E72+E66</f>
        <v>3721.8006159992037</v>
      </c>
      <c r="F73" s="547">
        <f>E73+F72</f>
        <v>8322.6893496437515</v>
      </c>
      <c r="G73" s="547">
        <f>F73+G72</f>
        <v>13515.771698036549</v>
      </c>
      <c r="H73" s="627">
        <f t="shared" ref="H73:R73" si="28">G73+H72</f>
        <v>20978.656873981017</v>
      </c>
      <c r="I73" s="627">
        <f t="shared" si="28"/>
        <v>30209.496914580905</v>
      </c>
      <c r="J73" s="627">
        <f t="shared" si="28"/>
        <v>41675.714616162455</v>
      </c>
      <c r="K73" s="633">
        <f t="shared" si="28"/>
        <v>65262.808702881463</v>
      </c>
      <c r="L73" s="632">
        <f t="shared" si="28"/>
        <v>74759.112832054423</v>
      </c>
      <c r="M73" s="547">
        <f t="shared" si="28"/>
        <v>79887.280626381922</v>
      </c>
      <c r="N73" s="547">
        <f t="shared" si="28"/>
        <v>85483.790913178775</v>
      </c>
      <c r="O73" s="547">
        <f t="shared" si="28"/>
        <v>88565.082566042576</v>
      </c>
      <c r="P73" s="633">
        <f t="shared" si="28"/>
        <v>92030.213253220456</v>
      </c>
      <c r="Q73" s="627">
        <f t="shared" si="28"/>
        <v>100633.07044679469</v>
      </c>
      <c r="R73" s="633">
        <f t="shared" si="28"/>
        <v>100633.07044679469</v>
      </c>
    </row>
    <row r="74" spans="2:18" s="349" customFormat="1" ht="15" customHeight="1" thickBot="1" x14ac:dyDescent="0.25">
      <c r="B74" s="547" t="s">
        <v>585</v>
      </c>
      <c r="C74" s="547"/>
      <c r="D74" s="681">
        <f t="shared" ref="D74:Q74" si="29">IF(D68&gt;=0,(D73/D69),(D73/SUM($E68:$R68)))</f>
        <v>1.1497379386911655</v>
      </c>
      <c r="E74" s="682">
        <f t="shared" si="29"/>
        <v>1.1462740210202229</v>
      </c>
      <c r="F74" s="647">
        <f t="shared" si="29"/>
        <v>1.2264475383199531</v>
      </c>
      <c r="G74" s="647">
        <f t="shared" si="29"/>
        <v>1.2537016749209162</v>
      </c>
      <c r="H74" s="829">
        <f t="shared" si="29"/>
        <v>1.2697889523640902</v>
      </c>
      <c r="I74" s="828">
        <f t="shared" si="29"/>
        <v>1.278870223475737</v>
      </c>
      <c r="J74" s="829">
        <f t="shared" si="29"/>
        <v>1.2846148475849402</v>
      </c>
      <c r="K74" s="774">
        <f t="shared" si="29"/>
        <v>1.2901331010887958</v>
      </c>
      <c r="L74" s="646">
        <f t="shared" si="29"/>
        <v>1.8952993493551293</v>
      </c>
      <c r="M74" s="829">
        <f t="shared" si="29"/>
        <v>1.8411775392975465</v>
      </c>
      <c r="N74" s="829">
        <f t="shared" si="29"/>
        <v>1.7923294276421222</v>
      </c>
      <c r="O74" s="829">
        <f t="shared" si="29"/>
        <v>3.2710472999323863</v>
      </c>
      <c r="P74" s="774">
        <f t="shared" si="29"/>
        <v>3.0943952544150397</v>
      </c>
      <c r="Q74" s="829">
        <f t="shared" si="29"/>
        <v>2.7677989340665237</v>
      </c>
      <c r="R74" s="774">
        <f>IF(R68&gt;0,(R73/R69),(R73/SUM($E68:$R68)))</f>
        <v>2.4286691314362328</v>
      </c>
    </row>
    <row r="75" spans="2:18" ht="15" customHeight="1" x14ac:dyDescent="0.2">
      <c r="B75" s="545"/>
      <c r="C75" s="545"/>
      <c r="D75" s="636"/>
      <c r="E75" s="636"/>
      <c r="F75" s="636"/>
      <c r="G75" s="636"/>
      <c r="H75" s="636"/>
      <c r="I75" s="636"/>
      <c r="J75" s="636"/>
      <c r="K75" s="636"/>
      <c r="L75" s="636"/>
      <c r="M75" s="636"/>
      <c r="N75" s="636"/>
      <c r="O75" s="636"/>
      <c r="P75" s="636"/>
      <c r="Q75" s="636"/>
      <c r="R75" s="636"/>
    </row>
  </sheetData>
  <mergeCells count="30">
    <mergeCell ref="R7:S7"/>
    <mergeCell ref="L50:P50"/>
    <mergeCell ref="D50:K50"/>
    <mergeCell ref="D60:K60"/>
    <mergeCell ref="L60:P60"/>
    <mergeCell ref="Q60:R60"/>
    <mergeCell ref="D70:K70"/>
    <mergeCell ref="L70:P70"/>
    <mergeCell ref="Q70:R70"/>
    <mergeCell ref="Q50:R50"/>
    <mergeCell ref="D49:R49"/>
    <mergeCell ref="P4:Q4"/>
    <mergeCell ref="R4:S4"/>
    <mergeCell ref="P5:Q5"/>
    <mergeCell ref="R5:S5"/>
    <mergeCell ref="P6:Q6"/>
    <mergeCell ref="R6:S6"/>
    <mergeCell ref="P1:Q1"/>
    <mergeCell ref="R1:S1"/>
    <mergeCell ref="P2:Q2"/>
    <mergeCell ref="R2:S2"/>
    <mergeCell ref="P3:Q3"/>
    <mergeCell ref="R3:S3"/>
    <mergeCell ref="B47:C47"/>
    <mergeCell ref="P8:Q8"/>
    <mergeCell ref="R8:S8"/>
    <mergeCell ref="P9:Q9"/>
    <mergeCell ref="R9:S9"/>
    <mergeCell ref="P10:R16"/>
    <mergeCell ref="B17:C17"/>
  </mergeCells>
  <conditionalFormatting sqref="E29:O29">
    <cfRule type="cellIs" dxfId="15" priority="4" operator="greaterThan">
      <formula>2%</formula>
    </cfRule>
  </conditionalFormatting>
  <conditionalFormatting sqref="P29:R29">
    <cfRule type="cellIs" dxfId="14" priority="3" operator="greaterThan">
      <formula>2%</formula>
    </cfRule>
  </conditionalFormatting>
  <conditionalFormatting sqref="P44:R44">
    <cfRule type="cellIs" dxfId="13" priority="1" operator="greaterThan">
      <formula>2%</formula>
    </cfRule>
  </conditionalFormatting>
  <conditionalFormatting sqref="E44:O44">
    <cfRule type="cellIs" dxfId="12" priority="2" operator="greaterThan">
      <formula>2%</formula>
    </cfRule>
  </conditionalFormatting>
  <pageMargins left="0.25" right="0.25" top="0.75" bottom="0.75" header="0.3" footer="0.3"/>
  <pageSetup paperSize="9" scale="46" fitToHeight="2" orientation="portrait" r:id="rId1"/>
  <ignoredErrors>
    <ignoredError sqref="R59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A37"/>
  </sheetPr>
  <dimension ref="B1:AG72"/>
  <sheetViews>
    <sheetView zoomScale="60" zoomScaleNormal="60" workbookViewId="0">
      <selection activeCell="AH66" sqref="AH66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21.140625" style="2" customWidth="1"/>
    <col min="4" max="4" width="9.7109375" style="2" customWidth="1"/>
    <col min="5" max="5" width="9.7109375" style="2" bestFit="1" customWidth="1"/>
    <col min="6" max="15" width="9.140625" style="2"/>
    <col min="16" max="16" width="11.28515625" style="2" bestFit="1" customWidth="1"/>
    <col min="17" max="17" width="9.140625" style="2"/>
    <col min="18" max="18" width="9.7109375" style="2" bestFit="1" customWidth="1"/>
    <col min="19" max="20" width="9.140625" style="2"/>
    <col min="21" max="33" width="0" style="2" hidden="1" customWidth="1"/>
    <col min="34" max="16384" width="9.140625" style="2"/>
  </cols>
  <sheetData>
    <row r="1" spans="2:20" ht="22.5" customHeight="1" x14ac:dyDescent="0.35">
      <c r="B1" s="543"/>
      <c r="P1" s="1486" t="s">
        <v>400</v>
      </c>
      <c r="Q1" s="1486"/>
      <c r="R1" s="1484" t="s">
        <v>628</v>
      </c>
      <c r="S1" s="1506"/>
      <c r="T1" s="1485"/>
    </row>
    <row r="2" spans="2:20" ht="22.5" customHeight="1" x14ac:dyDescent="0.35">
      <c r="B2" s="543"/>
      <c r="P2" s="1486" t="s">
        <v>627</v>
      </c>
      <c r="Q2" s="1486"/>
      <c r="R2" s="1484" t="s">
        <v>401</v>
      </c>
      <c r="S2" s="1506"/>
      <c r="T2" s="1485"/>
    </row>
    <row r="3" spans="2:20" ht="22.5" customHeight="1" x14ac:dyDescent="0.35">
      <c r="B3" s="543"/>
      <c r="P3" s="1482" t="s">
        <v>402</v>
      </c>
      <c r="Q3" s="1483"/>
      <c r="R3" s="1492" t="s">
        <v>621</v>
      </c>
      <c r="S3" s="1507"/>
      <c r="T3" s="1493"/>
    </row>
    <row r="4" spans="2:20" ht="22.5" customHeight="1" x14ac:dyDescent="0.35">
      <c r="B4" s="543"/>
      <c r="P4" s="1482" t="s">
        <v>403</v>
      </c>
      <c r="Q4" s="1483"/>
      <c r="R4" s="1494">
        <f>'Smolt Production'!R57</f>
        <v>0</v>
      </c>
      <c r="S4" s="1508"/>
      <c r="T4" s="1495"/>
    </row>
    <row r="5" spans="2:20" ht="22.5" customHeight="1" x14ac:dyDescent="0.35">
      <c r="B5" s="543"/>
      <c r="P5" s="1482" t="s">
        <v>404</v>
      </c>
      <c r="Q5" s="1483"/>
      <c r="R5" s="1509">
        <f>D58</f>
        <v>68.505058960747817</v>
      </c>
      <c r="S5" s="1510"/>
      <c r="T5" s="1511"/>
    </row>
    <row r="6" spans="2:20" ht="22.5" customHeight="1" x14ac:dyDescent="0.35">
      <c r="B6" s="543"/>
      <c r="P6" s="1482" t="s">
        <v>405</v>
      </c>
      <c r="Q6" s="1483"/>
      <c r="R6" s="1484">
        <v>80000</v>
      </c>
      <c r="S6" s="1506"/>
      <c r="T6" s="1485"/>
    </row>
    <row r="7" spans="2:20" ht="22.5" customHeight="1" x14ac:dyDescent="0.35">
      <c r="B7" s="543"/>
      <c r="P7" s="1482" t="s">
        <v>406</v>
      </c>
      <c r="Q7" s="1483"/>
      <c r="R7" s="1484">
        <v>3200</v>
      </c>
      <c r="S7" s="1506"/>
      <c r="T7" s="1485"/>
    </row>
    <row r="8" spans="2:20" ht="22.5" customHeight="1" x14ac:dyDescent="0.35">
      <c r="B8" s="543"/>
      <c r="P8" s="1486" t="s">
        <v>407</v>
      </c>
      <c r="Q8" s="1486"/>
      <c r="R8" s="1487">
        <f>SUM(E65:T65)/1000</f>
        <v>691.60540096778584</v>
      </c>
      <c r="S8" s="1513"/>
      <c r="T8" s="1488"/>
    </row>
    <row r="9" spans="2:20" ht="22.5" customHeight="1" x14ac:dyDescent="0.35">
      <c r="B9" s="543"/>
      <c r="P9" s="1489"/>
      <c r="Q9" s="1489"/>
      <c r="R9" s="1489"/>
      <c r="S9" s="1489"/>
      <c r="T9" s="1489"/>
    </row>
    <row r="10" spans="2:20" ht="22.5" customHeight="1" x14ac:dyDescent="0.35">
      <c r="B10" s="543"/>
      <c r="P10" s="1490"/>
      <c r="Q10" s="1490"/>
      <c r="R10" s="1490"/>
      <c r="S10" s="1490"/>
      <c r="T10" s="1490"/>
    </row>
    <row r="11" spans="2:20" ht="22.5" customHeight="1" x14ac:dyDescent="0.35">
      <c r="B11" s="543"/>
      <c r="P11" s="1490"/>
      <c r="Q11" s="1490"/>
      <c r="R11" s="1490"/>
      <c r="S11" s="1490"/>
      <c r="T11" s="1490"/>
    </row>
    <row r="12" spans="2:20" ht="22.5" customHeight="1" x14ac:dyDescent="0.35">
      <c r="B12" s="543"/>
      <c r="P12" s="1490"/>
      <c r="Q12" s="1490"/>
      <c r="R12" s="1490"/>
      <c r="S12" s="1490"/>
      <c r="T12" s="1490"/>
    </row>
    <row r="13" spans="2:20" ht="22.5" customHeight="1" x14ac:dyDescent="0.35">
      <c r="B13" s="543"/>
      <c r="P13" s="1490"/>
      <c r="Q13" s="1490"/>
      <c r="R13" s="1490"/>
      <c r="S13" s="1490"/>
      <c r="T13" s="1490"/>
    </row>
    <row r="14" spans="2:20" ht="22.5" customHeight="1" x14ac:dyDescent="0.35">
      <c r="B14" s="543"/>
      <c r="P14" s="1490"/>
      <c r="Q14" s="1490"/>
      <c r="R14" s="1490"/>
      <c r="S14" s="1490"/>
      <c r="T14" s="1490"/>
    </row>
    <row r="15" spans="2:20" ht="22.5" customHeight="1" x14ac:dyDescent="0.35">
      <c r="B15" s="543"/>
      <c r="P15" s="1490"/>
      <c r="Q15" s="1490"/>
      <c r="R15" s="1490"/>
      <c r="S15" s="1490"/>
      <c r="T15" s="1490"/>
    </row>
    <row r="16" spans="2:20" hidden="1" x14ac:dyDescent="0.2">
      <c r="B16" s="1491" t="s">
        <v>408</v>
      </c>
      <c r="C16" s="1491"/>
      <c r="D16" s="812"/>
      <c r="E16" s="544" t="e">
        <f>MONTH(R3)</f>
        <v>#VALUE!</v>
      </c>
      <c r="F16" s="544" t="e">
        <f>E16+1</f>
        <v>#VALUE!</v>
      </c>
      <c r="G16" s="544" t="e">
        <f t="shared" ref="G16:T16" si="0">F16+1</f>
        <v>#VALUE!</v>
      </c>
      <c r="H16" s="544" t="e">
        <f t="shared" si="0"/>
        <v>#VALUE!</v>
      </c>
      <c r="I16" s="544" t="e">
        <f t="shared" si="0"/>
        <v>#VALUE!</v>
      </c>
      <c r="J16" s="544" t="e">
        <f t="shared" si="0"/>
        <v>#VALUE!</v>
      </c>
      <c r="K16" s="544" t="e">
        <f t="shared" si="0"/>
        <v>#VALUE!</v>
      </c>
      <c r="L16" s="544" t="e">
        <f t="shared" si="0"/>
        <v>#VALUE!</v>
      </c>
      <c r="M16" s="544" t="e">
        <f t="shared" si="0"/>
        <v>#VALUE!</v>
      </c>
      <c r="N16" s="544" t="e">
        <f t="shared" si="0"/>
        <v>#VALUE!</v>
      </c>
      <c r="O16" s="544" t="e">
        <f t="shared" si="0"/>
        <v>#VALUE!</v>
      </c>
      <c r="P16" s="544" t="e">
        <f t="shared" si="0"/>
        <v>#VALUE!</v>
      </c>
      <c r="Q16" s="544" t="e">
        <f t="shared" si="0"/>
        <v>#VALUE!</v>
      </c>
      <c r="R16" s="544" t="e">
        <f t="shared" si="0"/>
        <v>#VALUE!</v>
      </c>
      <c r="S16" s="544" t="e">
        <f t="shared" si="0"/>
        <v>#VALUE!</v>
      </c>
      <c r="T16" s="544" t="e">
        <f t="shared" si="0"/>
        <v>#VALUE!</v>
      </c>
    </row>
    <row r="17" spans="2:33" s="8" customFormat="1" ht="15" customHeight="1" x14ac:dyDescent="0.2">
      <c r="B17" s="545" t="s">
        <v>409</v>
      </c>
      <c r="C17" s="545"/>
      <c r="D17" s="545" t="s">
        <v>176</v>
      </c>
      <c r="E17" s="545" t="s">
        <v>177</v>
      </c>
      <c r="F17" s="545" t="s">
        <v>178</v>
      </c>
      <c r="G17" s="545" t="s">
        <v>167</v>
      </c>
      <c r="H17" s="545" t="s">
        <v>168</v>
      </c>
      <c r="I17" s="545" t="s">
        <v>169</v>
      </c>
      <c r="J17" s="545" t="s">
        <v>170</v>
      </c>
      <c r="K17" s="545" t="s">
        <v>171</v>
      </c>
      <c r="L17" s="545" t="s">
        <v>172</v>
      </c>
      <c r="M17" s="545" t="s">
        <v>173</v>
      </c>
      <c r="N17" s="545" t="s">
        <v>174</v>
      </c>
      <c r="O17" s="545" t="s">
        <v>175</v>
      </c>
      <c r="P17" s="545" t="s">
        <v>176</v>
      </c>
      <c r="Q17" s="545" t="s">
        <v>177</v>
      </c>
      <c r="R17" s="545" t="s">
        <v>178</v>
      </c>
      <c r="S17" s="545" t="s">
        <v>167</v>
      </c>
      <c r="T17" s="545" t="s">
        <v>168</v>
      </c>
      <c r="U17" s="545" t="s">
        <v>169</v>
      </c>
      <c r="V17" s="545" t="s">
        <v>170</v>
      </c>
      <c r="W17" s="545" t="s">
        <v>171</v>
      </c>
      <c r="X17" s="545" t="s">
        <v>172</v>
      </c>
      <c r="Y17" s="545" t="s">
        <v>173</v>
      </c>
      <c r="Z17" s="545" t="s">
        <v>174</v>
      </c>
      <c r="AA17" s="545" t="s">
        <v>175</v>
      </c>
      <c r="AB17" s="545" t="s">
        <v>176</v>
      </c>
      <c r="AC17" s="545" t="s">
        <v>177</v>
      </c>
      <c r="AD17" s="545" t="s">
        <v>178</v>
      </c>
      <c r="AE17" s="545" t="s">
        <v>167</v>
      </c>
      <c r="AF17" s="545" t="s">
        <v>168</v>
      </c>
      <c r="AG17" s="545" t="s">
        <v>169</v>
      </c>
    </row>
    <row r="18" spans="2:33" ht="15" customHeight="1" x14ac:dyDescent="0.2">
      <c r="B18" s="283" t="s">
        <v>410</v>
      </c>
      <c r="C18" s="283"/>
      <c r="D18" s="283">
        <f>VLOOKUP(D17,'Input data'!$AA$5:$AC$16,3,FALSE)</f>
        <v>30</v>
      </c>
      <c r="E18" s="283">
        <f>VLOOKUP(E17,'Input data'!$AA$5:$AC$16,3,FALSE)</f>
        <v>31</v>
      </c>
      <c r="F18" s="283">
        <f>VLOOKUP(F17,'Input data'!$AA$5:$AC$16,3,FALSE)</f>
        <v>30</v>
      </c>
      <c r="G18" s="283">
        <f>VLOOKUP(G17,'Input data'!$AA$5:$AC$16,3,FALSE)</f>
        <v>31</v>
      </c>
      <c r="H18" s="283">
        <f>VLOOKUP(H17,'Input data'!$AA$5:$AC$16,3,FALSE)</f>
        <v>31</v>
      </c>
      <c r="I18" s="283">
        <f>VLOOKUP(I17,'Input data'!$AA$5:$AC$16,3,FALSE)</f>
        <v>30</v>
      </c>
      <c r="J18" s="283">
        <f>VLOOKUP(J17,'Input data'!$AA$5:$AC$16,3,FALSE)</f>
        <v>31</v>
      </c>
      <c r="K18" s="283">
        <f>VLOOKUP(K17,'Input data'!$AA$5:$AC$16,3,FALSE)</f>
        <v>30</v>
      </c>
      <c r="L18" s="283">
        <f>VLOOKUP(L17,'Input data'!$AA$5:$AC$16,3,FALSE)</f>
        <v>31</v>
      </c>
      <c r="M18" s="283">
        <f>VLOOKUP(M17,'Input data'!$AA$5:$AC$16,3,FALSE)</f>
        <v>31</v>
      </c>
      <c r="N18" s="283">
        <f>VLOOKUP(N17,'Input data'!$AA$5:$AC$16,3,FALSE)</f>
        <v>28</v>
      </c>
      <c r="O18" s="283">
        <f>VLOOKUP(O17,'Input data'!$AA$5:$AC$16,3,FALSE)</f>
        <v>31</v>
      </c>
      <c r="P18" s="283">
        <f>VLOOKUP(P17,'Input data'!$AA$5:$AC$16,3,FALSE)</f>
        <v>30</v>
      </c>
      <c r="Q18" s="283">
        <f>VLOOKUP(Q17,'Input data'!$AA$5:$AC$16,3,FALSE)</f>
        <v>31</v>
      </c>
      <c r="R18" s="283">
        <f>VLOOKUP(R17,'Input data'!$AA$5:$AC$16,3,FALSE)</f>
        <v>30</v>
      </c>
      <c r="S18" s="283">
        <f>VLOOKUP(S17,'Input data'!$AA$5:$AC$16,3,FALSE)</f>
        <v>31</v>
      </c>
      <c r="T18" s="283">
        <f>VLOOKUP(T17,'Input data'!$AA$5:$AC$16,3,FALSE)</f>
        <v>31</v>
      </c>
      <c r="U18" s="283">
        <f>VLOOKUP(U17,'Input data'!$AA$5:$AC$16,3,FALSE)</f>
        <v>30</v>
      </c>
      <c r="V18" s="283">
        <f>VLOOKUP(V17,'Input data'!$AA$5:$AC$16,3,FALSE)</f>
        <v>31</v>
      </c>
      <c r="W18" s="283">
        <f>VLOOKUP(W17,'Input data'!$AA$5:$AC$16,3,FALSE)</f>
        <v>30</v>
      </c>
      <c r="X18" s="283">
        <f>VLOOKUP(X17,'Input data'!$AA$5:$AC$16,3,FALSE)</f>
        <v>31</v>
      </c>
      <c r="Y18" s="283">
        <f>VLOOKUP(Y17,'Input data'!$AA$5:$AC$16,3,FALSE)</f>
        <v>31</v>
      </c>
      <c r="Z18" s="283">
        <f>VLOOKUP(Z17,'Input data'!$AA$5:$AC$16,3,FALSE)</f>
        <v>28</v>
      </c>
      <c r="AA18" s="283">
        <f>VLOOKUP(AA17,'Input data'!$AA$5:$AC$16,3,FALSE)</f>
        <v>31</v>
      </c>
      <c r="AB18" s="283">
        <f>VLOOKUP(AB17,'Input data'!$AA$5:$AC$16,3,FALSE)</f>
        <v>30</v>
      </c>
      <c r="AC18" s="283">
        <f>VLOOKUP(AC17,'Input data'!$AA$5:$AC$16,3,FALSE)</f>
        <v>31</v>
      </c>
      <c r="AD18" s="283">
        <f>VLOOKUP(AD17,'Input data'!$AA$5:$AC$16,3,FALSE)</f>
        <v>30</v>
      </c>
      <c r="AE18" s="283">
        <f>VLOOKUP(AE17,'Input data'!$AA$5:$AC$16,3,FALSE)</f>
        <v>31</v>
      </c>
      <c r="AF18" s="283">
        <f>VLOOKUP(AF17,'Input data'!$AA$5:$AC$16,3,FALSE)</f>
        <v>31</v>
      </c>
      <c r="AG18" s="283">
        <f>VLOOKUP(AG17,'Input data'!$AA$5:$AC$16,3,FALSE)</f>
        <v>30</v>
      </c>
    </row>
    <row r="19" spans="2:33" ht="15" customHeight="1" x14ac:dyDescent="0.2">
      <c r="B19" s="283" t="s">
        <v>411</v>
      </c>
      <c r="C19" s="283"/>
      <c r="D19" s="283">
        <f>VLOOKUP(D17,'Input data'!$AA$5:$AC$16,2,FALSE)</f>
        <v>16</v>
      </c>
      <c r="E19" s="283">
        <f>VLOOKUP(E17,'Input data'!$AA$5:$AC$16,2,FALSE)</f>
        <v>14</v>
      </c>
      <c r="F19" s="283">
        <f>VLOOKUP(F17,'Input data'!$AA$5:$AC$16,2,FALSE)</f>
        <v>13</v>
      </c>
      <c r="G19" s="283">
        <f>VLOOKUP(G17,'Input data'!$AA$5:$AC$16,2,FALSE)</f>
        <v>13</v>
      </c>
      <c r="H19" s="283">
        <f>VLOOKUP(H17,'Input data'!$AA$5:$AC$16,2,FALSE)</f>
        <v>13</v>
      </c>
      <c r="I19" s="283">
        <f>VLOOKUP(I17,'Input data'!$AA$5:$AC$16,2,FALSE)</f>
        <v>14</v>
      </c>
      <c r="J19" s="283">
        <f>VLOOKUP(J17,'Input data'!$AA$5:$AC$16,2,FALSE)</f>
        <v>16</v>
      </c>
      <c r="K19" s="283">
        <f>VLOOKUP(K17,'Input data'!$AA$5:$AC$16,2,FALSE)</f>
        <v>17</v>
      </c>
      <c r="L19" s="283">
        <f>VLOOKUP(L17,'Input data'!$AA$5:$AC$16,2,FALSE)</f>
        <v>18</v>
      </c>
      <c r="M19" s="283">
        <f>VLOOKUP(M17,'Input data'!$AA$5:$AC$16,2,FALSE)</f>
        <v>19</v>
      </c>
      <c r="N19" s="283">
        <f>VLOOKUP(N17,'Input data'!$AA$5:$AC$16,2,FALSE)</f>
        <v>20</v>
      </c>
      <c r="O19" s="283">
        <f>VLOOKUP(O17,'Input data'!$AA$5:$AC$16,2,FALSE)</f>
        <v>18</v>
      </c>
      <c r="P19" s="283">
        <f>VLOOKUP(P17,'Input data'!$AA$5:$AC$16,2,FALSE)</f>
        <v>16</v>
      </c>
      <c r="Q19" s="283">
        <f>VLOOKUP(Q17,'Input data'!$AA$5:$AC$16,2,FALSE)</f>
        <v>14</v>
      </c>
      <c r="R19" s="283">
        <f>VLOOKUP(R17,'Input data'!$AA$5:$AC$16,2,FALSE)</f>
        <v>13</v>
      </c>
      <c r="S19" s="283">
        <f>VLOOKUP(S17,'Input data'!$AA$5:$AC$16,2,FALSE)</f>
        <v>13</v>
      </c>
      <c r="T19" s="283">
        <f>VLOOKUP(T17,'Input data'!$AA$5:$AC$16,2,FALSE)</f>
        <v>13</v>
      </c>
      <c r="U19" s="283">
        <f>VLOOKUP(U17,'Input data'!$AA$5:$AC$16,2,FALSE)</f>
        <v>14</v>
      </c>
      <c r="V19" s="283">
        <f>VLOOKUP(V17,'Input data'!$AA$5:$AC$16,2,FALSE)</f>
        <v>16</v>
      </c>
      <c r="W19" s="283">
        <f>VLOOKUP(W17,'Input data'!$AA$5:$AC$16,2,FALSE)</f>
        <v>17</v>
      </c>
      <c r="X19" s="283">
        <f>VLOOKUP(X17,'Input data'!$AA$5:$AC$16,2,FALSE)</f>
        <v>18</v>
      </c>
      <c r="Y19" s="283">
        <f>VLOOKUP(Y17,'Input data'!$AA$5:$AC$16,2,FALSE)</f>
        <v>19</v>
      </c>
      <c r="Z19" s="283">
        <f>VLOOKUP(Z17,'Input data'!$AA$5:$AC$16,2,FALSE)</f>
        <v>20</v>
      </c>
      <c r="AA19" s="283">
        <f>VLOOKUP(AA17,'Input data'!$AA$5:$AC$16,2,FALSE)</f>
        <v>18</v>
      </c>
      <c r="AB19" s="283">
        <f>VLOOKUP(AB17,'Input data'!$AA$5:$AC$16,2,FALSE)</f>
        <v>16</v>
      </c>
      <c r="AC19" s="283">
        <f>VLOOKUP(AC17,'Input data'!$AA$5:$AC$16,2,FALSE)</f>
        <v>14</v>
      </c>
      <c r="AD19" s="283">
        <f>VLOOKUP(AD17,'Input data'!$AA$5:$AC$16,2,FALSE)</f>
        <v>13</v>
      </c>
      <c r="AE19" s="283">
        <f>VLOOKUP(AE17,'Input data'!$AA$5:$AC$16,2,FALSE)</f>
        <v>13</v>
      </c>
      <c r="AF19" s="283">
        <f>VLOOKUP(AF17,'Input data'!$AA$5:$AC$16,2,FALSE)</f>
        <v>13</v>
      </c>
      <c r="AG19" s="283">
        <f>VLOOKUP(AG17,'Input data'!$AA$5:$AC$16,2,FALSE)</f>
        <v>14</v>
      </c>
    </row>
    <row r="20" spans="2:33" ht="15" customHeight="1" x14ac:dyDescent="0.2">
      <c r="B20" s="283" t="s">
        <v>412</v>
      </c>
      <c r="C20" s="283"/>
      <c r="D20" s="283">
        <v>1</v>
      </c>
      <c r="E20" s="283">
        <f>D20+1</f>
        <v>2</v>
      </c>
      <c r="F20" s="283">
        <f>E20+1</f>
        <v>3</v>
      </c>
      <c r="G20" s="283">
        <f>F20+1</f>
        <v>4</v>
      </c>
      <c r="H20" s="283">
        <f t="shared" ref="H20:T20" si="1">G20+1</f>
        <v>5</v>
      </c>
      <c r="I20" s="283">
        <f t="shared" si="1"/>
        <v>6</v>
      </c>
      <c r="J20" s="283">
        <f t="shared" si="1"/>
        <v>7</v>
      </c>
      <c r="K20" s="283">
        <f t="shared" si="1"/>
        <v>8</v>
      </c>
      <c r="L20" s="283">
        <f t="shared" si="1"/>
        <v>9</v>
      </c>
      <c r="M20" s="283">
        <f t="shared" si="1"/>
        <v>10</v>
      </c>
      <c r="N20" s="283">
        <f t="shared" si="1"/>
        <v>11</v>
      </c>
      <c r="O20" s="283">
        <f t="shared" si="1"/>
        <v>12</v>
      </c>
      <c r="P20" s="283">
        <f t="shared" si="1"/>
        <v>13</v>
      </c>
      <c r="Q20" s="283">
        <f t="shared" si="1"/>
        <v>14</v>
      </c>
      <c r="R20" s="283">
        <f t="shared" si="1"/>
        <v>15</v>
      </c>
      <c r="S20" s="283">
        <f t="shared" si="1"/>
        <v>16</v>
      </c>
      <c r="T20" s="283">
        <f t="shared" si="1"/>
        <v>17</v>
      </c>
      <c r="U20" s="283">
        <f t="shared" ref="U20:AG20" si="2">T20+1</f>
        <v>18</v>
      </c>
      <c r="V20" s="283">
        <f t="shared" si="2"/>
        <v>19</v>
      </c>
      <c r="W20" s="283">
        <f t="shared" si="2"/>
        <v>20</v>
      </c>
      <c r="X20" s="283">
        <f t="shared" si="2"/>
        <v>21</v>
      </c>
      <c r="Y20" s="283">
        <f t="shared" si="2"/>
        <v>22</v>
      </c>
      <c r="Z20" s="283">
        <f t="shared" si="2"/>
        <v>23</v>
      </c>
      <c r="AA20" s="283">
        <f t="shared" si="2"/>
        <v>24</v>
      </c>
      <c r="AB20" s="283">
        <f t="shared" si="2"/>
        <v>25</v>
      </c>
      <c r="AC20" s="283">
        <f t="shared" si="2"/>
        <v>26</v>
      </c>
      <c r="AD20" s="283">
        <f t="shared" si="2"/>
        <v>27</v>
      </c>
      <c r="AE20" s="283">
        <f t="shared" si="2"/>
        <v>28</v>
      </c>
      <c r="AF20" s="283">
        <f t="shared" si="2"/>
        <v>29</v>
      </c>
      <c r="AG20" s="283">
        <f t="shared" si="2"/>
        <v>30</v>
      </c>
    </row>
    <row r="21" spans="2:33" ht="3" customHeight="1" x14ac:dyDescent="0.2">
      <c r="B21" s="545"/>
      <c r="C21" s="545"/>
      <c r="D21" s="545"/>
      <c r="E21" s="545"/>
      <c r="F21" s="545"/>
      <c r="G21" s="545"/>
      <c r="H21" s="545"/>
      <c r="I21" s="545"/>
      <c r="J21" s="545"/>
      <c r="K21" s="545"/>
      <c r="L21" s="545"/>
      <c r="M21" s="545"/>
      <c r="N21" s="545"/>
      <c r="O21" s="545"/>
      <c r="P21" s="545"/>
      <c r="Q21" s="545"/>
      <c r="R21" s="545"/>
      <c r="S21" s="545"/>
      <c r="T21" s="545"/>
    </row>
    <row r="22" spans="2:33" ht="15" hidden="1" customHeight="1" x14ac:dyDescent="0.25">
      <c r="B22" s="546" t="s">
        <v>413</v>
      </c>
      <c r="C22" s="545"/>
      <c r="D22" s="545"/>
      <c r="E22" s="545"/>
      <c r="F22" s="545"/>
      <c r="G22" s="545"/>
      <c r="H22" s="545"/>
      <c r="I22" s="545"/>
      <c r="J22" s="545"/>
      <c r="K22" s="545"/>
      <c r="L22" s="545"/>
      <c r="M22" s="545"/>
      <c r="N22" s="545"/>
      <c r="O22" s="545"/>
      <c r="P22" s="545"/>
      <c r="Q22" s="545"/>
      <c r="R22" s="545"/>
      <c r="S22" s="545"/>
      <c r="T22" s="545"/>
    </row>
    <row r="23" spans="2:33" ht="15" hidden="1" customHeight="1" x14ac:dyDescent="0.2">
      <c r="B23" s="545" t="s">
        <v>414</v>
      </c>
      <c r="C23" s="545"/>
      <c r="D23" s="545"/>
      <c r="E23" s="545"/>
      <c r="F23" s="545"/>
      <c r="G23" s="545"/>
      <c r="H23" s="545"/>
      <c r="I23" s="545"/>
      <c r="J23" s="545"/>
      <c r="K23" s="545"/>
      <c r="L23" s="545"/>
      <c r="M23" s="545"/>
      <c r="N23" s="545"/>
      <c r="O23" s="545"/>
      <c r="P23" s="545"/>
      <c r="Q23" s="545"/>
      <c r="R23" s="545"/>
      <c r="S23" s="545"/>
      <c r="T23" s="545"/>
    </row>
    <row r="24" spans="2:33" ht="12.75" hidden="1" customHeight="1" x14ac:dyDescent="0.2">
      <c r="B24" s="547" t="s">
        <v>415</v>
      </c>
      <c r="C24" s="547"/>
      <c r="D24" s="547"/>
      <c r="E24" s="548">
        <f>R4</f>
        <v>0</v>
      </c>
      <c r="F24" s="547">
        <f t="shared" ref="F24:T24" si="3">E31</f>
        <v>0</v>
      </c>
      <c r="G24" s="547">
        <f t="shared" si="3"/>
        <v>0</v>
      </c>
      <c r="H24" s="547">
        <f t="shared" si="3"/>
        <v>0</v>
      </c>
      <c r="I24" s="547">
        <f t="shared" si="3"/>
        <v>0</v>
      </c>
      <c r="J24" s="547">
        <f t="shared" si="3"/>
        <v>0</v>
      </c>
      <c r="K24" s="547">
        <f t="shared" si="3"/>
        <v>0</v>
      </c>
      <c r="L24" s="547">
        <f t="shared" si="3"/>
        <v>0</v>
      </c>
      <c r="M24" s="547">
        <f t="shared" si="3"/>
        <v>0</v>
      </c>
      <c r="N24" s="547">
        <f t="shared" si="3"/>
        <v>0</v>
      </c>
      <c r="O24" s="547">
        <f t="shared" si="3"/>
        <v>0</v>
      </c>
      <c r="P24" s="547">
        <f t="shared" si="3"/>
        <v>0</v>
      </c>
      <c r="Q24" s="547">
        <f t="shared" si="3"/>
        <v>0</v>
      </c>
      <c r="R24" s="547">
        <f t="shared" si="3"/>
        <v>0</v>
      </c>
      <c r="S24" s="547">
        <f t="shared" si="3"/>
        <v>0</v>
      </c>
      <c r="T24" s="547">
        <f t="shared" si="3"/>
        <v>0</v>
      </c>
    </row>
    <row r="25" spans="2:33" ht="12.75" hidden="1" customHeight="1" x14ac:dyDescent="0.2">
      <c r="B25" s="548" t="s">
        <v>416</v>
      </c>
      <c r="C25" s="548"/>
      <c r="D25" s="548"/>
      <c r="E25" s="548"/>
      <c r="F25" s="548"/>
      <c r="G25" s="548"/>
      <c r="H25" s="548"/>
      <c r="I25" s="548"/>
      <c r="J25" s="548"/>
      <c r="K25" s="548"/>
      <c r="L25" s="548"/>
      <c r="M25" s="548"/>
      <c r="N25" s="548"/>
      <c r="O25" s="548"/>
      <c r="P25" s="548"/>
      <c r="Q25" s="548"/>
      <c r="R25" s="548"/>
      <c r="S25" s="548"/>
      <c r="T25" s="548"/>
    </row>
    <row r="26" spans="2:33" s="268" customFormat="1" ht="12.75" hidden="1" customHeight="1" x14ac:dyDescent="0.2">
      <c r="B26" s="548" t="s">
        <v>417</v>
      </c>
      <c r="C26" s="548"/>
      <c r="D26" s="548"/>
      <c r="E26" s="548"/>
      <c r="F26" s="548"/>
      <c r="G26" s="548"/>
      <c r="H26" s="548"/>
      <c r="I26" s="548"/>
      <c r="J26" s="548"/>
      <c r="K26" s="548"/>
      <c r="L26" s="548"/>
      <c r="M26" s="548"/>
      <c r="N26" s="548"/>
      <c r="O26" s="548"/>
      <c r="P26" s="548"/>
      <c r="Q26" s="548"/>
      <c r="R26" s="548"/>
      <c r="S26" s="548"/>
      <c r="T26" s="548"/>
    </row>
    <row r="27" spans="2:33" s="268" customFormat="1" ht="15" hidden="1" customHeight="1" x14ac:dyDescent="0.2">
      <c r="B27" s="547" t="s">
        <v>418</v>
      </c>
      <c r="C27" s="547"/>
      <c r="D27" s="547"/>
      <c r="E27" s="547">
        <f>E26</f>
        <v>0</v>
      </c>
      <c r="F27" s="547">
        <f t="shared" ref="F27:T27" si="4">E27+F26</f>
        <v>0</v>
      </c>
      <c r="G27" s="547">
        <f t="shared" si="4"/>
        <v>0</v>
      </c>
      <c r="H27" s="547">
        <f t="shared" si="4"/>
        <v>0</v>
      </c>
      <c r="I27" s="547">
        <f t="shared" si="4"/>
        <v>0</v>
      </c>
      <c r="J27" s="547">
        <f t="shared" si="4"/>
        <v>0</v>
      </c>
      <c r="K27" s="547">
        <f t="shared" si="4"/>
        <v>0</v>
      </c>
      <c r="L27" s="547">
        <f t="shared" si="4"/>
        <v>0</v>
      </c>
      <c r="M27" s="547">
        <f t="shared" si="4"/>
        <v>0</v>
      </c>
      <c r="N27" s="547">
        <f t="shared" si="4"/>
        <v>0</v>
      </c>
      <c r="O27" s="547">
        <f t="shared" si="4"/>
        <v>0</v>
      </c>
      <c r="P27" s="547">
        <f t="shared" si="4"/>
        <v>0</v>
      </c>
      <c r="Q27" s="547">
        <f t="shared" si="4"/>
        <v>0</v>
      </c>
      <c r="R27" s="547">
        <f t="shared" si="4"/>
        <v>0</v>
      </c>
      <c r="S27" s="547">
        <f t="shared" si="4"/>
        <v>0</v>
      </c>
      <c r="T27" s="547">
        <f t="shared" si="4"/>
        <v>0</v>
      </c>
    </row>
    <row r="28" spans="2:33" s="268" customFormat="1" ht="15" hidden="1" customHeight="1" x14ac:dyDescent="0.2">
      <c r="B28" s="547" t="s">
        <v>419</v>
      </c>
      <c r="C28" s="547"/>
      <c r="D28" s="547"/>
      <c r="E28" s="547">
        <f t="shared" ref="E28:T28" si="5">IF(E26&gt;0,(E26/E24),(0))</f>
        <v>0</v>
      </c>
      <c r="F28" s="547">
        <f t="shared" si="5"/>
        <v>0</v>
      </c>
      <c r="G28" s="547">
        <f t="shared" si="5"/>
        <v>0</v>
      </c>
      <c r="H28" s="547">
        <f t="shared" si="5"/>
        <v>0</v>
      </c>
      <c r="I28" s="547">
        <f t="shared" si="5"/>
        <v>0</v>
      </c>
      <c r="J28" s="547">
        <f t="shared" si="5"/>
        <v>0</v>
      </c>
      <c r="K28" s="547">
        <f t="shared" si="5"/>
        <v>0</v>
      </c>
      <c r="L28" s="547">
        <f t="shared" si="5"/>
        <v>0</v>
      </c>
      <c r="M28" s="547">
        <f t="shared" si="5"/>
        <v>0</v>
      </c>
      <c r="N28" s="547">
        <f t="shared" si="5"/>
        <v>0</v>
      </c>
      <c r="O28" s="547">
        <f t="shared" si="5"/>
        <v>0</v>
      </c>
      <c r="P28" s="547">
        <f t="shared" si="5"/>
        <v>0</v>
      </c>
      <c r="Q28" s="547">
        <f t="shared" si="5"/>
        <v>0</v>
      </c>
      <c r="R28" s="547">
        <f t="shared" si="5"/>
        <v>0</v>
      </c>
      <c r="S28" s="547">
        <f t="shared" si="5"/>
        <v>0</v>
      </c>
      <c r="T28" s="547">
        <f t="shared" si="5"/>
        <v>0</v>
      </c>
    </row>
    <row r="29" spans="2:33" s="268" customFormat="1" ht="15" hidden="1" customHeight="1" x14ac:dyDescent="0.2">
      <c r="B29" s="547" t="s">
        <v>420</v>
      </c>
      <c r="C29" s="547"/>
      <c r="D29" s="547"/>
      <c r="E29" s="547" t="e">
        <f t="shared" ref="E29:T29" si="6">E27/$E24</f>
        <v>#DIV/0!</v>
      </c>
      <c r="F29" s="547" t="e">
        <f t="shared" si="6"/>
        <v>#DIV/0!</v>
      </c>
      <c r="G29" s="547" t="e">
        <f t="shared" si="6"/>
        <v>#DIV/0!</v>
      </c>
      <c r="H29" s="547" t="e">
        <f t="shared" si="6"/>
        <v>#DIV/0!</v>
      </c>
      <c r="I29" s="547" t="e">
        <f t="shared" si="6"/>
        <v>#DIV/0!</v>
      </c>
      <c r="J29" s="547" t="e">
        <f t="shared" si="6"/>
        <v>#DIV/0!</v>
      </c>
      <c r="K29" s="547" t="e">
        <f t="shared" si="6"/>
        <v>#DIV/0!</v>
      </c>
      <c r="L29" s="547" t="e">
        <f t="shared" si="6"/>
        <v>#DIV/0!</v>
      </c>
      <c r="M29" s="547" t="e">
        <f t="shared" si="6"/>
        <v>#DIV/0!</v>
      </c>
      <c r="N29" s="547" t="e">
        <f t="shared" si="6"/>
        <v>#DIV/0!</v>
      </c>
      <c r="O29" s="547" t="e">
        <f t="shared" si="6"/>
        <v>#DIV/0!</v>
      </c>
      <c r="P29" s="547" t="e">
        <f t="shared" si="6"/>
        <v>#DIV/0!</v>
      </c>
      <c r="Q29" s="547" t="e">
        <f t="shared" si="6"/>
        <v>#DIV/0!</v>
      </c>
      <c r="R29" s="547" t="e">
        <f t="shared" si="6"/>
        <v>#DIV/0!</v>
      </c>
      <c r="S29" s="547" t="e">
        <f t="shared" si="6"/>
        <v>#DIV/0!</v>
      </c>
      <c r="T29" s="547" t="e">
        <f t="shared" si="6"/>
        <v>#DIV/0!</v>
      </c>
    </row>
    <row r="30" spans="2:33" hidden="1" x14ac:dyDescent="0.2">
      <c r="B30" s="548" t="s">
        <v>421</v>
      </c>
      <c r="C30" s="548"/>
      <c r="D30" s="548"/>
      <c r="E30" s="548">
        <v>0</v>
      </c>
      <c r="F30" s="548">
        <v>0</v>
      </c>
      <c r="G30" s="548">
        <v>0</v>
      </c>
      <c r="H30" s="548">
        <v>0</v>
      </c>
      <c r="I30" s="548">
        <v>0</v>
      </c>
      <c r="J30" s="548">
        <v>0</v>
      </c>
      <c r="K30" s="548">
        <v>0</v>
      </c>
      <c r="L30" s="548">
        <v>0</v>
      </c>
      <c r="M30" s="548">
        <v>0</v>
      </c>
      <c r="N30" s="548">
        <v>0</v>
      </c>
      <c r="O30" s="548">
        <v>0</v>
      </c>
      <c r="P30" s="548">
        <v>0</v>
      </c>
      <c r="Q30" s="548">
        <v>0</v>
      </c>
      <c r="R30" s="548">
        <v>0</v>
      </c>
      <c r="S30" s="548">
        <v>0</v>
      </c>
      <c r="T30" s="548">
        <v>0</v>
      </c>
    </row>
    <row r="31" spans="2:33" ht="15" hidden="1" customHeight="1" x14ac:dyDescent="0.2">
      <c r="B31" s="547" t="s">
        <v>422</v>
      </c>
      <c r="C31" s="547"/>
      <c r="D31" s="547"/>
      <c r="E31" s="547">
        <f t="shared" ref="E31:T31" si="7">E24-E25-E26-E30</f>
        <v>0</v>
      </c>
      <c r="F31" s="547">
        <f t="shared" si="7"/>
        <v>0</v>
      </c>
      <c r="G31" s="547">
        <f t="shared" si="7"/>
        <v>0</v>
      </c>
      <c r="H31" s="547">
        <f t="shared" si="7"/>
        <v>0</v>
      </c>
      <c r="I31" s="547">
        <f t="shared" si="7"/>
        <v>0</v>
      </c>
      <c r="J31" s="547">
        <f t="shared" si="7"/>
        <v>0</v>
      </c>
      <c r="K31" s="547">
        <f t="shared" si="7"/>
        <v>0</v>
      </c>
      <c r="L31" s="547">
        <f t="shared" si="7"/>
        <v>0</v>
      </c>
      <c r="M31" s="547">
        <f t="shared" si="7"/>
        <v>0</v>
      </c>
      <c r="N31" s="547">
        <f t="shared" si="7"/>
        <v>0</v>
      </c>
      <c r="O31" s="547">
        <f t="shared" si="7"/>
        <v>0</v>
      </c>
      <c r="P31" s="547">
        <f t="shared" si="7"/>
        <v>0</v>
      </c>
      <c r="Q31" s="547">
        <f t="shared" si="7"/>
        <v>0</v>
      </c>
      <c r="R31" s="547">
        <f t="shared" si="7"/>
        <v>0</v>
      </c>
      <c r="S31" s="547">
        <f t="shared" si="7"/>
        <v>0</v>
      </c>
      <c r="T31" s="547">
        <f t="shared" si="7"/>
        <v>0</v>
      </c>
    </row>
    <row r="32" spans="2:33" ht="15" hidden="1" customHeight="1" x14ac:dyDescent="0.2">
      <c r="B32" s="545" t="s">
        <v>423</v>
      </c>
      <c r="C32" s="545"/>
      <c r="D32" s="545"/>
      <c r="E32" s="545"/>
      <c r="F32" s="545"/>
      <c r="G32" s="545"/>
      <c r="H32" s="545"/>
      <c r="I32" s="545"/>
      <c r="J32" s="545"/>
      <c r="K32" s="545"/>
      <c r="L32" s="545"/>
      <c r="M32" s="545"/>
      <c r="N32" s="545"/>
      <c r="O32" s="545"/>
      <c r="P32" s="545"/>
      <c r="Q32" s="545"/>
      <c r="R32" s="545"/>
      <c r="S32" s="545"/>
      <c r="T32" s="545"/>
    </row>
    <row r="33" spans="2:20" ht="12.75" hidden="1" customHeight="1" x14ac:dyDescent="0.2">
      <c r="B33" s="547" t="s">
        <v>424</v>
      </c>
      <c r="C33" s="547"/>
      <c r="D33" s="547"/>
      <c r="E33" s="548">
        <f>R5</f>
        <v>68.505058960747817</v>
      </c>
      <c r="F33" s="547">
        <f>E36</f>
        <v>0</v>
      </c>
      <c r="G33" s="547">
        <f>F36</f>
        <v>0</v>
      </c>
      <c r="H33" s="547">
        <f t="shared" ref="H33:T33" si="8">G36</f>
        <v>0</v>
      </c>
      <c r="I33" s="547">
        <f t="shared" si="8"/>
        <v>0</v>
      </c>
      <c r="J33" s="547">
        <f t="shared" si="8"/>
        <v>0</v>
      </c>
      <c r="K33" s="547">
        <f t="shared" si="8"/>
        <v>0</v>
      </c>
      <c r="L33" s="547">
        <f t="shared" si="8"/>
        <v>0</v>
      </c>
      <c r="M33" s="547">
        <f t="shared" si="8"/>
        <v>0</v>
      </c>
      <c r="N33" s="547">
        <f t="shared" si="8"/>
        <v>0</v>
      </c>
      <c r="O33" s="547">
        <f t="shared" si="8"/>
        <v>0</v>
      </c>
      <c r="P33" s="547">
        <f t="shared" si="8"/>
        <v>0</v>
      </c>
      <c r="Q33" s="547">
        <f t="shared" si="8"/>
        <v>0</v>
      </c>
      <c r="R33" s="547">
        <f t="shared" si="8"/>
        <v>0</v>
      </c>
      <c r="S33" s="547">
        <f t="shared" si="8"/>
        <v>0</v>
      </c>
      <c r="T33" s="547">
        <f t="shared" si="8"/>
        <v>0</v>
      </c>
    </row>
    <row r="34" spans="2:20" ht="12.75" hidden="1" customHeight="1" x14ac:dyDescent="0.2">
      <c r="B34" s="547" t="s">
        <v>425</v>
      </c>
      <c r="C34" s="547"/>
      <c r="D34" s="547"/>
      <c r="E34" s="547">
        <f t="shared" ref="E34:T34" si="9">(E24*E33)/1000</f>
        <v>0</v>
      </c>
      <c r="F34" s="547">
        <f t="shared" si="9"/>
        <v>0</v>
      </c>
      <c r="G34" s="547">
        <f t="shared" si="9"/>
        <v>0</v>
      </c>
      <c r="H34" s="547">
        <f t="shared" si="9"/>
        <v>0</v>
      </c>
      <c r="I34" s="547">
        <f t="shared" si="9"/>
        <v>0</v>
      </c>
      <c r="J34" s="547">
        <f t="shared" si="9"/>
        <v>0</v>
      </c>
      <c r="K34" s="547">
        <f t="shared" si="9"/>
        <v>0</v>
      </c>
      <c r="L34" s="547">
        <f t="shared" si="9"/>
        <v>0</v>
      </c>
      <c r="M34" s="547">
        <f t="shared" si="9"/>
        <v>0</v>
      </c>
      <c r="N34" s="547">
        <f t="shared" si="9"/>
        <v>0</v>
      </c>
      <c r="O34" s="547">
        <f t="shared" si="9"/>
        <v>0</v>
      </c>
      <c r="P34" s="547">
        <f t="shared" si="9"/>
        <v>0</v>
      </c>
      <c r="Q34" s="547">
        <f t="shared" si="9"/>
        <v>0</v>
      </c>
      <c r="R34" s="547">
        <f t="shared" si="9"/>
        <v>0</v>
      </c>
      <c r="S34" s="547">
        <f t="shared" si="9"/>
        <v>0</v>
      </c>
      <c r="T34" s="547">
        <f t="shared" si="9"/>
        <v>0</v>
      </c>
    </row>
    <row r="35" spans="2:20" ht="12.75" hidden="1" customHeight="1" x14ac:dyDescent="0.2">
      <c r="B35" s="547" t="s">
        <v>426</v>
      </c>
      <c r="C35" s="547"/>
      <c r="D35" s="547"/>
      <c r="E35" s="547">
        <f t="shared" ref="E35:T35" si="10">((E36/E33)^(1/E18)-1)*100</f>
        <v>-100</v>
      </c>
      <c r="F35" s="547" t="e">
        <f t="shared" si="10"/>
        <v>#DIV/0!</v>
      </c>
      <c r="G35" s="547" t="e">
        <f t="shared" si="10"/>
        <v>#DIV/0!</v>
      </c>
      <c r="H35" s="547" t="e">
        <f t="shared" si="10"/>
        <v>#DIV/0!</v>
      </c>
      <c r="I35" s="547" t="e">
        <f t="shared" si="10"/>
        <v>#DIV/0!</v>
      </c>
      <c r="J35" s="547" t="e">
        <f t="shared" si="10"/>
        <v>#DIV/0!</v>
      </c>
      <c r="K35" s="547" t="e">
        <f t="shared" si="10"/>
        <v>#DIV/0!</v>
      </c>
      <c r="L35" s="547" t="e">
        <f t="shared" si="10"/>
        <v>#DIV/0!</v>
      </c>
      <c r="M35" s="547" t="e">
        <f t="shared" si="10"/>
        <v>#DIV/0!</v>
      </c>
      <c r="N35" s="547" t="e">
        <f t="shared" si="10"/>
        <v>#DIV/0!</v>
      </c>
      <c r="O35" s="547" t="e">
        <f t="shared" si="10"/>
        <v>#DIV/0!</v>
      </c>
      <c r="P35" s="547" t="e">
        <f t="shared" si="10"/>
        <v>#DIV/0!</v>
      </c>
      <c r="Q35" s="547" t="e">
        <f t="shared" si="10"/>
        <v>#DIV/0!</v>
      </c>
      <c r="R35" s="547" t="e">
        <f t="shared" si="10"/>
        <v>#DIV/0!</v>
      </c>
      <c r="S35" s="547" t="e">
        <f t="shared" si="10"/>
        <v>#DIV/0!</v>
      </c>
      <c r="T35" s="547" t="e">
        <f t="shared" si="10"/>
        <v>#DIV/0!</v>
      </c>
    </row>
    <row r="36" spans="2:20" ht="15" hidden="1" customHeight="1" x14ac:dyDescent="0.2">
      <c r="B36" s="548" t="s">
        <v>427</v>
      </c>
      <c r="C36" s="548"/>
      <c r="D36" s="548"/>
      <c r="E36" s="548"/>
      <c r="F36" s="548"/>
      <c r="G36" s="548"/>
      <c r="H36" s="548"/>
      <c r="I36" s="548"/>
      <c r="J36" s="548"/>
      <c r="K36" s="548"/>
      <c r="L36" s="548"/>
      <c r="M36" s="548"/>
      <c r="N36" s="548"/>
      <c r="O36" s="548"/>
      <c r="P36" s="548"/>
      <c r="Q36" s="548"/>
      <c r="R36" s="548"/>
      <c r="S36" s="548"/>
      <c r="T36" s="548"/>
    </row>
    <row r="37" spans="2:20" ht="15" hidden="1" customHeight="1" x14ac:dyDescent="0.2">
      <c r="B37" s="548" t="s">
        <v>428</v>
      </c>
      <c r="C37" s="548"/>
      <c r="D37" s="548"/>
      <c r="E37" s="548"/>
      <c r="F37" s="548"/>
      <c r="G37" s="548"/>
      <c r="H37" s="548"/>
      <c r="I37" s="548"/>
      <c r="J37" s="548"/>
      <c r="K37" s="548"/>
      <c r="L37" s="548"/>
      <c r="M37" s="548"/>
      <c r="N37" s="548"/>
      <c r="O37" s="548"/>
      <c r="P37" s="548"/>
      <c r="Q37" s="548"/>
      <c r="R37" s="548"/>
      <c r="S37" s="548"/>
      <c r="T37" s="548"/>
    </row>
    <row r="38" spans="2:20" ht="15" hidden="1" customHeight="1" x14ac:dyDescent="0.2">
      <c r="B38" s="548" t="s">
        <v>429</v>
      </c>
      <c r="C38" s="548"/>
      <c r="D38" s="548"/>
      <c r="E38" s="548"/>
      <c r="F38" s="548"/>
      <c r="G38" s="548"/>
      <c r="H38" s="548"/>
      <c r="I38" s="548"/>
      <c r="J38" s="548"/>
      <c r="K38" s="548"/>
      <c r="L38" s="548"/>
      <c r="M38" s="548"/>
      <c r="N38" s="548"/>
      <c r="O38" s="548"/>
      <c r="P38" s="548"/>
      <c r="Q38" s="548"/>
      <c r="R38" s="548"/>
      <c r="S38" s="548"/>
      <c r="T38" s="548"/>
    </row>
    <row r="39" spans="2:20" ht="15" hidden="1" customHeight="1" x14ac:dyDescent="0.2">
      <c r="B39" s="547" t="s">
        <v>430</v>
      </c>
      <c r="C39" s="547"/>
      <c r="D39" s="547"/>
      <c r="E39" s="547">
        <f t="shared" ref="E39:P39" si="11">(E31*E36)/1000</f>
        <v>0</v>
      </c>
      <c r="F39" s="547">
        <f t="shared" si="11"/>
        <v>0</v>
      </c>
      <c r="G39" s="547">
        <f t="shared" si="11"/>
        <v>0</v>
      </c>
      <c r="H39" s="547">
        <f t="shared" si="11"/>
        <v>0</v>
      </c>
      <c r="I39" s="547">
        <f t="shared" si="11"/>
        <v>0</v>
      </c>
      <c r="J39" s="547">
        <f t="shared" si="11"/>
        <v>0</v>
      </c>
      <c r="K39" s="547">
        <f t="shared" si="11"/>
        <v>0</v>
      </c>
      <c r="L39" s="547">
        <f t="shared" si="11"/>
        <v>0</v>
      </c>
      <c r="M39" s="547">
        <f t="shared" si="11"/>
        <v>0</v>
      </c>
      <c r="N39" s="547">
        <f t="shared" si="11"/>
        <v>0</v>
      </c>
      <c r="O39" s="547">
        <f t="shared" si="11"/>
        <v>0</v>
      </c>
      <c r="P39" s="547">
        <f t="shared" si="11"/>
        <v>0</v>
      </c>
      <c r="Q39" s="547"/>
      <c r="R39" s="547"/>
      <c r="S39" s="547"/>
      <c r="T39" s="547"/>
    </row>
    <row r="40" spans="2:20" ht="15" hidden="1" customHeight="1" x14ac:dyDescent="0.2">
      <c r="B40" s="545" t="s">
        <v>431</v>
      </c>
      <c r="C40" s="545"/>
      <c r="D40" s="545"/>
      <c r="E40" s="545"/>
      <c r="F40" s="545"/>
      <c r="G40" s="545"/>
      <c r="H40" s="545"/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5"/>
      <c r="T40" s="545"/>
    </row>
    <row r="41" spans="2:20" ht="12.75" hidden="1" customHeight="1" x14ac:dyDescent="0.2">
      <c r="B41" s="548" t="s">
        <v>432</v>
      </c>
      <c r="C41" s="548"/>
      <c r="D41" s="548"/>
      <c r="E41" s="548"/>
      <c r="F41" s="548"/>
      <c r="G41" s="548"/>
      <c r="H41" s="548"/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</row>
    <row r="42" spans="2:20" ht="12.75" hidden="1" customHeight="1" x14ac:dyDescent="0.2">
      <c r="B42" s="547" t="s">
        <v>433</v>
      </c>
      <c r="C42" s="547"/>
      <c r="D42" s="547"/>
      <c r="E42" s="547">
        <f t="shared" ref="E42:T42" si="12">IF(E41&gt;0,(E41/(E39-E34)),(0))</f>
        <v>0</v>
      </c>
      <c r="F42" s="547">
        <f t="shared" si="12"/>
        <v>0</v>
      </c>
      <c r="G42" s="547">
        <f t="shared" si="12"/>
        <v>0</v>
      </c>
      <c r="H42" s="547">
        <f t="shared" si="12"/>
        <v>0</v>
      </c>
      <c r="I42" s="547">
        <f t="shared" si="12"/>
        <v>0</v>
      </c>
      <c r="J42" s="547">
        <f t="shared" si="12"/>
        <v>0</v>
      </c>
      <c r="K42" s="547">
        <f t="shared" si="12"/>
        <v>0</v>
      </c>
      <c r="L42" s="547">
        <f t="shared" si="12"/>
        <v>0</v>
      </c>
      <c r="M42" s="547">
        <f t="shared" si="12"/>
        <v>0</v>
      </c>
      <c r="N42" s="547">
        <f t="shared" si="12"/>
        <v>0</v>
      </c>
      <c r="O42" s="547">
        <f t="shared" si="12"/>
        <v>0</v>
      </c>
      <c r="P42" s="547">
        <f t="shared" si="12"/>
        <v>0</v>
      </c>
      <c r="Q42" s="547">
        <f t="shared" si="12"/>
        <v>0</v>
      </c>
      <c r="R42" s="547">
        <f t="shared" si="12"/>
        <v>0</v>
      </c>
      <c r="S42" s="547">
        <f t="shared" si="12"/>
        <v>0</v>
      </c>
      <c r="T42" s="547">
        <f t="shared" si="12"/>
        <v>0</v>
      </c>
    </row>
    <row r="43" spans="2:20" s="268" customFormat="1" ht="12.75" hidden="1" customHeight="1" x14ac:dyDescent="0.2">
      <c r="B43" s="547" t="s">
        <v>434</v>
      </c>
      <c r="C43" s="547"/>
      <c r="D43" s="547"/>
      <c r="E43" s="547">
        <f>E41</f>
        <v>0</v>
      </c>
      <c r="F43" s="547">
        <f>(E43+F41)</f>
        <v>0</v>
      </c>
      <c r="G43" s="547">
        <f>(F43+G41)</f>
        <v>0</v>
      </c>
      <c r="H43" s="547">
        <f t="shared" ref="H43:T43" si="13">(G43+H41)</f>
        <v>0</v>
      </c>
      <c r="I43" s="547">
        <f t="shared" si="13"/>
        <v>0</v>
      </c>
      <c r="J43" s="547">
        <f t="shared" si="13"/>
        <v>0</v>
      </c>
      <c r="K43" s="547">
        <f t="shared" si="13"/>
        <v>0</v>
      </c>
      <c r="L43" s="547">
        <f t="shared" si="13"/>
        <v>0</v>
      </c>
      <c r="M43" s="547">
        <f t="shared" si="13"/>
        <v>0</v>
      </c>
      <c r="N43" s="547">
        <f t="shared" si="13"/>
        <v>0</v>
      </c>
      <c r="O43" s="547">
        <f t="shared" si="13"/>
        <v>0</v>
      </c>
      <c r="P43" s="547">
        <f t="shared" si="13"/>
        <v>0</v>
      </c>
      <c r="Q43" s="547">
        <f t="shared" si="13"/>
        <v>0</v>
      </c>
      <c r="R43" s="547">
        <f t="shared" si="13"/>
        <v>0</v>
      </c>
      <c r="S43" s="547">
        <f t="shared" si="13"/>
        <v>0</v>
      </c>
      <c r="T43" s="547">
        <f t="shared" si="13"/>
        <v>0</v>
      </c>
    </row>
    <row r="44" spans="2:20" s="268" customFormat="1" ht="15" hidden="1" customHeight="1" x14ac:dyDescent="0.2">
      <c r="B44" s="547" t="s">
        <v>435</v>
      </c>
      <c r="C44" s="547"/>
      <c r="D44" s="547"/>
      <c r="E44" s="547">
        <f>E42</f>
        <v>0</v>
      </c>
      <c r="F44" s="547">
        <f t="shared" ref="F44:T44" si="14">IF(F41&gt;0,(F43/(F39-$E34)),(0))</f>
        <v>0</v>
      </c>
      <c r="G44" s="547">
        <f t="shared" si="14"/>
        <v>0</v>
      </c>
      <c r="H44" s="547">
        <f t="shared" si="14"/>
        <v>0</v>
      </c>
      <c r="I44" s="547">
        <f t="shared" si="14"/>
        <v>0</v>
      </c>
      <c r="J44" s="547">
        <f t="shared" si="14"/>
        <v>0</v>
      </c>
      <c r="K44" s="547">
        <f t="shared" si="14"/>
        <v>0</v>
      </c>
      <c r="L44" s="547">
        <f t="shared" si="14"/>
        <v>0</v>
      </c>
      <c r="M44" s="547">
        <f t="shared" si="14"/>
        <v>0</v>
      </c>
      <c r="N44" s="547">
        <f t="shared" si="14"/>
        <v>0</v>
      </c>
      <c r="O44" s="547">
        <f t="shared" si="14"/>
        <v>0</v>
      </c>
      <c r="P44" s="547">
        <f t="shared" si="14"/>
        <v>0</v>
      </c>
      <c r="Q44" s="547">
        <f t="shared" si="14"/>
        <v>0</v>
      </c>
      <c r="R44" s="547">
        <f t="shared" si="14"/>
        <v>0</v>
      </c>
      <c r="S44" s="547">
        <f t="shared" si="14"/>
        <v>0</v>
      </c>
      <c r="T44" s="547">
        <f t="shared" si="14"/>
        <v>0</v>
      </c>
    </row>
    <row r="45" spans="2:20" ht="15" hidden="1" customHeight="1" x14ac:dyDescent="0.2">
      <c r="B45" s="545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5"/>
      <c r="T45" s="545"/>
    </row>
    <row r="46" spans="2:20" s="200" customFormat="1" ht="13.5" hidden="1" thickBot="1" x14ac:dyDescent="0.25">
      <c r="B46" s="1481"/>
      <c r="C46" s="1481"/>
      <c r="D46" s="811"/>
      <c r="E46" s="549"/>
      <c r="F46" s="549"/>
      <c r="G46" s="549"/>
      <c r="H46" s="549"/>
      <c r="I46" s="549"/>
      <c r="J46" s="549"/>
      <c r="K46" s="549"/>
      <c r="L46" s="549"/>
      <c r="M46" s="549"/>
      <c r="N46" s="549"/>
      <c r="O46" s="549"/>
      <c r="P46" s="549"/>
      <c r="Q46" s="549"/>
      <c r="R46" s="549"/>
      <c r="S46" s="549"/>
      <c r="T46" s="549"/>
    </row>
    <row r="47" spans="2:20" ht="16.5" thickBot="1" x14ac:dyDescent="0.3">
      <c r="B47" s="5" t="s">
        <v>436</v>
      </c>
    </row>
    <row r="48" spans="2:20" ht="15" customHeight="1" thickBot="1" x14ac:dyDescent="0.3">
      <c r="B48" s="545" t="s">
        <v>414</v>
      </c>
      <c r="C48" s="545"/>
      <c r="D48" s="1496" t="s">
        <v>600</v>
      </c>
      <c r="E48" s="1497"/>
      <c r="F48" s="1497"/>
      <c r="G48" s="1497"/>
      <c r="H48" s="1497"/>
      <c r="I48" s="1497"/>
      <c r="J48" s="1497"/>
      <c r="K48" s="1497"/>
      <c r="L48" s="1497"/>
      <c r="M48" s="1497"/>
      <c r="N48" s="1497"/>
      <c r="O48" s="1497"/>
      <c r="P48" s="1497"/>
      <c r="Q48" s="1497"/>
      <c r="R48" s="1497"/>
      <c r="S48" s="1497"/>
      <c r="T48" s="1498"/>
    </row>
    <row r="49" spans="2:33" ht="15" customHeight="1" x14ac:dyDescent="0.2">
      <c r="B49" s="547" t="s">
        <v>415</v>
      </c>
      <c r="C49" s="547"/>
      <c r="D49" s="629">
        <f>'Smolt Production'!L57</f>
        <v>220000</v>
      </c>
      <c r="E49" s="630">
        <f>D56</f>
        <v>216700</v>
      </c>
      <c r="F49" s="630">
        <f>E56</f>
        <v>214533</v>
      </c>
      <c r="G49" s="773">
        <f>F56</f>
        <v>212387.67</v>
      </c>
      <c r="H49" s="830">
        <f t="shared" ref="H49:T49" si="15">G56</f>
        <v>210263.79330000002</v>
      </c>
      <c r="I49" s="830">
        <f t="shared" si="15"/>
        <v>208161.15536700003</v>
      </c>
      <c r="J49" s="630">
        <f t="shared" si="15"/>
        <v>206079.54381333003</v>
      </c>
      <c r="K49" s="630">
        <f t="shared" si="15"/>
        <v>204018.74837519674</v>
      </c>
      <c r="L49" s="630">
        <f t="shared" si="15"/>
        <v>201978.56089144477</v>
      </c>
      <c r="M49" s="630">
        <f t="shared" si="15"/>
        <v>199958.77528253032</v>
      </c>
      <c r="N49" s="630">
        <f t="shared" si="15"/>
        <v>197959.18752970503</v>
      </c>
      <c r="O49" s="630">
        <f t="shared" si="15"/>
        <v>195979.59565440798</v>
      </c>
      <c r="P49" s="630">
        <f t="shared" si="15"/>
        <v>194019.7996978639</v>
      </c>
      <c r="Q49" s="630">
        <f t="shared" si="15"/>
        <v>192079.60170088525</v>
      </c>
      <c r="R49" s="630">
        <f t="shared" si="15"/>
        <v>190158.80568387639</v>
      </c>
      <c r="S49" s="630">
        <f t="shared" si="15"/>
        <v>108257.21762703764</v>
      </c>
      <c r="T49" s="631">
        <f t="shared" si="15"/>
        <v>27174.645450767261</v>
      </c>
      <c r="U49" s="631">
        <f t="shared" ref="U49:AG49" si="16">T56</f>
        <v>0</v>
      </c>
      <c r="V49" s="631">
        <f t="shared" si="16"/>
        <v>0</v>
      </c>
      <c r="W49" s="631">
        <f t="shared" si="16"/>
        <v>0</v>
      </c>
      <c r="X49" s="631">
        <f t="shared" si="16"/>
        <v>0</v>
      </c>
      <c r="Y49" s="631">
        <f t="shared" si="16"/>
        <v>0</v>
      </c>
      <c r="Z49" s="631">
        <f t="shared" si="16"/>
        <v>0</v>
      </c>
      <c r="AA49" s="631">
        <f t="shared" si="16"/>
        <v>0</v>
      </c>
      <c r="AB49" s="631">
        <f t="shared" si="16"/>
        <v>0</v>
      </c>
      <c r="AC49" s="631">
        <f t="shared" si="16"/>
        <v>0</v>
      </c>
      <c r="AD49" s="631">
        <f t="shared" si="16"/>
        <v>0</v>
      </c>
      <c r="AE49" s="631">
        <f t="shared" si="16"/>
        <v>0</v>
      </c>
      <c r="AF49" s="631">
        <f t="shared" si="16"/>
        <v>0</v>
      </c>
      <c r="AG49" s="631">
        <f t="shared" si="16"/>
        <v>0</v>
      </c>
    </row>
    <row r="50" spans="2:33" ht="15" customHeight="1" x14ac:dyDescent="0.2">
      <c r="B50" s="547" t="s">
        <v>610</v>
      </c>
      <c r="C50" s="547"/>
      <c r="D50" s="632"/>
      <c r="E50" s="547"/>
      <c r="F50" s="547"/>
      <c r="G50" s="547"/>
      <c r="H50" s="547"/>
      <c r="I50" s="547"/>
      <c r="J50" s="547"/>
      <c r="K50" s="547"/>
      <c r="L50" s="547"/>
      <c r="M50" s="547"/>
      <c r="N50" s="547"/>
      <c r="O50" s="547"/>
      <c r="P50" s="547">
        <f>'Input data'!AF22*'Batch1 - S0 Smolts'!P49</f>
        <v>0</v>
      </c>
      <c r="Q50" s="547"/>
      <c r="R50" s="547"/>
      <c r="S50" s="547"/>
      <c r="T50" s="633"/>
      <c r="U50" s="633"/>
      <c r="V50" s="633"/>
      <c r="W50" s="633"/>
      <c r="X50" s="633"/>
      <c r="Y50" s="633"/>
      <c r="Z50" s="633"/>
      <c r="AA50" s="633"/>
      <c r="AB50" s="633"/>
      <c r="AC50" s="633"/>
      <c r="AD50" s="633"/>
      <c r="AE50" s="633"/>
      <c r="AF50" s="633"/>
      <c r="AG50" s="633"/>
    </row>
    <row r="51" spans="2:33" s="268" customFormat="1" ht="15" customHeight="1" x14ac:dyDescent="0.2">
      <c r="B51" s="547" t="s">
        <v>417</v>
      </c>
      <c r="C51" s="547"/>
      <c r="D51" s="632">
        <f>D49*D53</f>
        <v>3300</v>
      </c>
      <c r="E51" s="547">
        <f>E49*E53</f>
        <v>2167</v>
      </c>
      <c r="F51" s="547">
        <f t="shared" ref="F51:T51" si="17">F49*F53</f>
        <v>2145.33</v>
      </c>
      <c r="G51" s="769">
        <f t="shared" si="17"/>
        <v>2123.8767000000003</v>
      </c>
      <c r="H51" s="627">
        <f t="shared" si="17"/>
        <v>2102.6379330000004</v>
      </c>
      <c r="I51" s="627">
        <f t="shared" si="17"/>
        <v>2081.6115536700004</v>
      </c>
      <c r="J51" s="547">
        <f t="shared" si="17"/>
        <v>2060.7954381333002</v>
      </c>
      <c r="K51" s="547">
        <f t="shared" si="17"/>
        <v>2040.1874837519674</v>
      </c>
      <c r="L51" s="547">
        <f t="shared" si="17"/>
        <v>2019.7856089144477</v>
      </c>
      <c r="M51" s="547">
        <f t="shared" si="17"/>
        <v>1999.5877528253031</v>
      </c>
      <c r="N51" s="547">
        <f t="shared" si="17"/>
        <v>1979.5918752970504</v>
      </c>
      <c r="O51" s="547">
        <f t="shared" si="17"/>
        <v>1959.7959565440799</v>
      </c>
      <c r="P51" s="547">
        <f t="shared" si="17"/>
        <v>1940.1979969786389</v>
      </c>
      <c r="Q51" s="547">
        <f t="shared" si="17"/>
        <v>1920.7960170088525</v>
      </c>
      <c r="R51" s="547">
        <f t="shared" si="17"/>
        <v>1901.5880568387638</v>
      </c>
      <c r="S51" s="547">
        <f t="shared" si="17"/>
        <v>1082.5721762703763</v>
      </c>
      <c r="T51" s="633">
        <f t="shared" si="17"/>
        <v>271.74645450767264</v>
      </c>
      <c r="U51" s="633">
        <f t="shared" ref="U51:AG51" si="18">U49*U53</f>
        <v>0</v>
      </c>
      <c r="V51" s="633">
        <f t="shared" si="18"/>
        <v>0</v>
      </c>
      <c r="W51" s="633">
        <f t="shared" si="18"/>
        <v>0</v>
      </c>
      <c r="X51" s="633">
        <f t="shared" si="18"/>
        <v>0</v>
      </c>
      <c r="Y51" s="633">
        <f t="shared" si="18"/>
        <v>0</v>
      </c>
      <c r="Z51" s="633">
        <f t="shared" si="18"/>
        <v>0</v>
      </c>
      <c r="AA51" s="633">
        <f t="shared" si="18"/>
        <v>0</v>
      </c>
      <c r="AB51" s="633">
        <f t="shared" si="18"/>
        <v>0</v>
      </c>
      <c r="AC51" s="633">
        <f t="shared" si="18"/>
        <v>0</v>
      </c>
      <c r="AD51" s="633">
        <f t="shared" si="18"/>
        <v>0</v>
      </c>
      <c r="AE51" s="633">
        <f t="shared" si="18"/>
        <v>0</v>
      </c>
      <c r="AF51" s="633">
        <f t="shared" si="18"/>
        <v>0</v>
      </c>
      <c r="AG51" s="633">
        <f t="shared" si="18"/>
        <v>0</v>
      </c>
    </row>
    <row r="52" spans="2:33" s="268" customFormat="1" ht="15" customHeight="1" x14ac:dyDescent="0.2">
      <c r="B52" s="547" t="s">
        <v>437</v>
      </c>
      <c r="C52" s="547"/>
      <c r="D52" s="632">
        <f>C52+D51</f>
        <v>3300</v>
      </c>
      <c r="E52" s="547">
        <f>D52+E51</f>
        <v>5467</v>
      </c>
      <c r="F52" s="547">
        <f>E52+F51</f>
        <v>7612.33</v>
      </c>
      <c r="G52" s="769">
        <f>F52+G51</f>
        <v>9736.2067000000006</v>
      </c>
      <c r="H52" s="627">
        <f t="shared" ref="H52:T52" si="19">G52+H51</f>
        <v>11838.844633000001</v>
      </c>
      <c r="I52" s="627">
        <f t="shared" si="19"/>
        <v>13920.456186670001</v>
      </c>
      <c r="J52" s="627">
        <f t="shared" si="19"/>
        <v>15981.251624803301</v>
      </c>
      <c r="K52" s="627">
        <f t="shared" si="19"/>
        <v>18021.439108555267</v>
      </c>
      <c r="L52" s="627">
        <f t="shared" si="19"/>
        <v>20041.224717469715</v>
      </c>
      <c r="M52" s="627">
        <f t="shared" si="19"/>
        <v>22040.812470295019</v>
      </c>
      <c r="N52" s="627">
        <f t="shared" si="19"/>
        <v>24020.404345592069</v>
      </c>
      <c r="O52" s="627">
        <f t="shared" si="19"/>
        <v>25980.200302136149</v>
      </c>
      <c r="P52" s="627">
        <f t="shared" si="19"/>
        <v>27920.398299114786</v>
      </c>
      <c r="Q52" s="627">
        <f t="shared" si="19"/>
        <v>29841.194316123638</v>
      </c>
      <c r="R52" s="627">
        <f t="shared" si="19"/>
        <v>31742.7823729624</v>
      </c>
      <c r="S52" s="627">
        <f t="shared" si="19"/>
        <v>32825.354549232776</v>
      </c>
      <c r="T52" s="767">
        <f t="shared" si="19"/>
        <v>33097.101003740449</v>
      </c>
      <c r="U52" s="767">
        <f t="shared" ref="U52:AG52" si="20">T52+U51</f>
        <v>33097.101003740449</v>
      </c>
      <c r="V52" s="767">
        <f t="shared" si="20"/>
        <v>33097.101003740449</v>
      </c>
      <c r="W52" s="767">
        <f t="shared" si="20"/>
        <v>33097.101003740449</v>
      </c>
      <c r="X52" s="767">
        <f t="shared" si="20"/>
        <v>33097.101003740449</v>
      </c>
      <c r="Y52" s="767">
        <f t="shared" si="20"/>
        <v>33097.101003740449</v>
      </c>
      <c r="Z52" s="767">
        <f t="shared" si="20"/>
        <v>33097.101003740449</v>
      </c>
      <c r="AA52" s="767">
        <f t="shared" si="20"/>
        <v>33097.101003740449</v>
      </c>
      <c r="AB52" s="767">
        <f t="shared" si="20"/>
        <v>33097.101003740449</v>
      </c>
      <c r="AC52" s="767">
        <f t="shared" si="20"/>
        <v>33097.101003740449</v>
      </c>
      <c r="AD52" s="767">
        <f t="shared" si="20"/>
        <v>33097.101003740449</v>
      </c>
      <c r="AE52" s="767">
        <f t="shared" si="20"/>
        <v>33097.101003740449</v>
      </c>
      <c r="AF52" s="767">
        <f t="shared" si="20"/>
        <v>33097.101003740449</v>
      </c>
      <c r="AG52" s="767">
        <f t="shared" si="20"/>
        <v>33097.101003740449</v>
      </c>
    </row>
    <row r="53" spans="2:33" s="268" customFormat="1" ht="15" customHeight="1" x14ac:dyDescent="0.2">
      <c r="B53" s="547" t="s">
        <v>438</v>
      </c>
      <c r="C53" s="547"/>
      <c r="D53" s="673">
        <f>VLOOKUP(D60,'Input data'!$R$5:$U$59,3,FALSE)</f>
        <v>1.4999999999999999E-2</v>
      </c>
      <c r="E53" s="551">
        <f>VLOOKUP(E60,'Input data'!$R$5:$U$59,3,FALSE)</f>
        <v>0.01</v>
      </c>
      <c r="F53" s="551">
        <f>VLOOKUP(F60,'Input data'!$R$5:$U$59,3,FALSE)</f>
        <v>0.01</v>
      </c>
      <c r="G53" s="551">
        <f>VLOOKUP(G60,'Input data'!$R$5:$U$59,3,FALSE)</f>
        <v>0.01</v>
      </c>
      <c r="H53" s="551">
        <f>VLOOKUP(H60,'Input data'!$R$5:$U$59,3,FALSE)</f>
        <v>0.01</v>
      </c>
      <c r="I53" s="551">
        <f>VLOOKUP(I60,'Input data'!$R$5:$U$59,3,FALSE)</f>
        <v>0.01</v>
      </c>
      <c r="J53" s="551">
        <f>VLOOKUP(J60,'Input data'!$R$5:$U$59,3,FALSE)</f>
        <v>0.01</v>
      </c>
      <c r="K53" s="551">
        <f>VLOOKUP(K60,'Input data'!$R$5:$U$59,3,FALSE)</f>
        <v>0.01</v>
      </c>
      <c r="L53" s="551">
        <f>VLOOKUP(L60,'Input data'!$R$5:$U$59,3,FALSE)</f>
        <v>0.01</v>
      </c>
      <c r="M53" s="551">
        <f>VLOOKUP(M60,'Input data'!$R$5:$U$59,3,FALSE)</f>
        <v>0.01</v>
      </c>
      <c r="N53" s="551">
        <f>VLOOKUP(N60,'Input data'!$R$5:$U$59,3,FALSE)</f>
        <v>0.01</v>
      </c>
      <c r="O53" s="551">
        <f>VLOOKUP(O60,'Input data'!$R$5:$U$59,3,FALSE)</f>
        <v>0.01</v>
      </c>
      <c r="P53" s="551">
        <f>VLOOKUP(P60,'Input data'!$R$5:$U$59,3,FALSE)</f>
        <v>0.01</v>
      </c>
      <c r="Q53" s="551">
        <f>VLOOKUP(Q60,'Input data'!$R$5:$U$59,3,FALSE)</f>
        <v>0.01</v>
      </c>
      <c r="R53" s="551">
        <f>VLOOKUP(R60,'Input data'!$R$5:$U$59,3,FALSE)</f>
        <v>0.01</v>
      </c>
      <c r="S53" s="551">
        <f>VLOOKUP(S60,'Input data'!$R$5:$U$59,3,FALSE)</f>
        <v>0.01</v>
      </c>
      <c r="T53" s="635">
        <f>VLOOKUP(T60,'Input data'!$R$5:$U$59,3,FALSE)</f>
        <v>0.01</v>
      </c>
      <c r="U53" s="635">
        <f>VLOOKUP(U60,'Input data'!$R$5:$U$59,3,FALSE)</f>
        <v>0.01</v>
      </c>
      <c r="V53" s="635">
        <f>VLOOKUP(V60,'Input data'!$R$5:$U$59,3,FALSE)</f>
        <v>0.01</v>
      </c>
      <c r="W53" s="635">
        <f>VLOOKUP(W60,'Input data'!$R$5:$U$59,3,FALSE)</f>
        <v>0.01</v>
      </c>
      <c r="X53" s="635">
        <f>VLOOKUP(X60,'Input data'!$R$5:$U$59,3,FALSE)</f>
        <v>0.01</v>
      </c>
      <c r="Y53" s="635">
        <f>VLOOKUP(Y60,'Input data'!$R$5:$U$59,3,FALSE)</f>
        <v>0.01</v>
      </c>
      <c r="Z53" s="635">
        <f>VLOOKUP(Z60,'Input data'!$R$5:$U$59,3,FALSE)</f>
        <v>0.01</v>
      </c>
      <c r="AA53" s="635">
        <f>VLOOKUP(AA60,'Input data'!$R$5:$U$59,3,FALSE)</f>
        <v>0.01</v>
      </c>
      <c r="AB53" s="635">
        <f>VLOOKUP(AB60,'Input data'!$R$5:$U$59,3,FALSE)</f>
        <v>0.01</v>
      </c>
      <c r="AC53" s="635">
        <f>VLOOKUP(AC60,'Input data'!$R$5:$U$59,3,FALSE)</f>
        <v>0.01</v>
      </c>
      <c r="AD53" s="635">
        <f>VLOOKUP(AD60,'Input data'!$R$5:$U$59,3,FALSE)</f>
        <v>0.01</v>
      </c>
      <c r="AE53" s="635">
        <f>VLOOKUP(AE60,'Input data'!$R$5:$U$59,3,FALSE)</f>
        <v>0.01</v>
      </c>
      <c r="AF53" s="635">
        <f>VLOOKUP(AF60,'Input data'!$R$5:$U$59,3,FALSE)</f>
        <v>0.01</v>
      </c>
      <c r="AG53" s="635">
        <f>VLOOKUP(AG60,'Input data'!$R$5:$U$59,3,FALSE)</f>
        <v>0.01</v>
      </c>
    </row>
    <row r="54" spans="2:33" s="268" customFormat="1" ht="15" customHeight="1" x14ac:dyDescent="0.2">
      <c r="B54" s="547" t="s">
        <v>420</v>
      </c>
      <c r="C54" s="547"/>
      <c r="D54" s="649">
        <f t="shared" ref="D54:T54" si="21">D52/$E49</f>
        <v>1.5228426395939087E-2</v>
      </c>
      <c r="E54" s="648">
        <f t="shared" si="21"/>
        <v>2.5228426395939085E-2</v>
      </c>
      <c r="F54" s="648">
        <f>F52/$E49</f>
        <v>3.5128426395939084E-2</v>
      </c>
      <c r="G54" s="771">
        <f t="shared" si="21"/>
        <v>4.4929426395939089E-2</v>
      </c>
      <c r="H54" s="650">
        <f t="shared" si="21"/>
        <v>5.463241639593909E-2</v>
      </c>
      <c r="I54" s="650">
        <f t="shared" si="21"/>
        <v>6.4238376495939095E-2</v>
      </c>
      <c r="J54" s="648">
        <f t="shared" si="21"/>
        <v>7.3748276994939091E-2</v>
      </c>
      <c r="K54" s="648">
        <f t="shared" si="21"/>
        <v>8.3163078488949091E-2</v>
      </c>
      <c r="L54" s="648">
        <f t="shared" si="21"/>
        <v>9.2483731968018984E-2</v>
      </c>
      <c r="M54" s="648">
        <f t="shared" si="21"/>
        <v>0.10171117891229819</v>
      </c>
      <c r="N54" s="648">
        <f t="shared" si="21"/>
        <v>0.11084635138713461</v>
      </c>
      <c r="O54" s="648">
        <f t="shared" si="21"/>
        <v>0.11989017213722265</v>
      </c>
      <c r="P54" s="648">
        <f t="shared" si="21"/>
        <v>0.12884355467980982</v>
      </c>
      <c r="Q54" s="648">
        <f t="shared" si="21"/>
        <v>0.1377074033969711</v>
      </c>
      <c r="R54" s="648">
        <f t="shared" si="21"/>
        <v>0.14648261362696077</v>
      </c>
      <c r="S54" s="648">
        <f t="shared" si="21"/>
        <v>0.15147833202230168</v>
      </c>
      <c r="T54" s="823">
        <f t="shared" si="21"/>
        <v>0.15273235350134032</v>
      </c>
      <c r="U54" s="823">
        <f t="shared" ref="U54:AG54" si="22">U52/$E49</f>
        <v>0.15273235350134032</v>
      </c>
      <c r="V54" s="823">
        <f t="shared" si="22"/>
        <v>0.15273235350134032</v>
      </c>
      <c r="W54" s="823">
        <f t="shared" si="22"/>
        <v>0.15273235350134032</v>
      </c>
      <c r="X54" s="823">
        <f t="shared" si="22"/>
        <v>0.15273235350134032</v>
      </c>
      <c r="Y54" s="823">
        <f t="shared" si="22"/>
        <v>0.15273235350134032</v>
      </c>
      <c r="Z54" s="823">
        <f t="shared" si="22"/>
        <v>0.15273235350134032</v>
      </c>
      <c r="AA54" s="823">
        <f t="shared" si="22"/>
        <v>0.15273235350134032</v>
      </c>
      <c r="AB54" s="823">
        <f t="shared" si="22"/>
        <v>0.15273235350134032</v>
      </c>
      <c r="AC54" s="823">
        <f t="shared" si="22"/>
        <v>0.15273235350134032</v>
      </c>
      <c r="AD54" s="823">
        <f t="shared" si="22"/>
        <v>0.15273235350134032</v>
      </c>
      <c r="AE54" s="823">
        <f t="shared" si="22"/>
        <v>0.15273235350134032</v>
      </c>
      <c r="AF54" s="823">
        <f t="shared" si="22"/>
        <v>0.15273235350134032</v>
      </c>
      <c r="AG54" s="823">
        <f t="shared" si="22"/>
        <v>0.15273235350134032</v>
      </c>
    </row>
    <row r="55" spans="2:33" ht="15" customHeight="1" x14ac:dyDescent="0.2">
      <c r="B55" s="547" t="s">
        <v>421</v>
      </c>
      <c r="C55" s="547"/>
      <c r="D55" s="632"/>
      <c r="E55" s="547">
        <f>IF(E58&gt;$R$7,IF(E49&gt;$R$6,$R$6,E49-E51),0)</f>
        <v>0</v>
      </c>
      <c r="F55" s="547">
        <f t="shared" ref="F55:T55" si="23">IF(F58&gt;$R$7,IF(F49&gt;$R$6,$R$6,F49-F51),0)</f>
        <v>0</v>
      </c>
      <c r="G55" s="769">
        <f t="shared" si="23"/>
        <v>0</v>
      </c>
      <c r="H55" s="627">
        <f t="shared" si="23"/>
        <v>0</v>
      </c>
      <c r="I55" s="627">
        <f t="shared" si="23"/>
        <v>0</v>
      </c>
      <c r="J55" s="547">
        <f t="shared" si="23"/>
        <v>0</v>
      </c>
      <c r="K55" s="547">
        <f t="shared" si="23"/>
        <v>0</v>
      </c>
      <c r="L55" s="547">
        <f t="shared" si="23"/>
        <v>0</v>
      </c>
      <c r="M55" s="547">
        <f t="shared" si="23"/>
        <v>0</v>
      </c>
      <c r="N55" s="547">
        <f t="shared" si="23"/>
        <v>0</v>
      </c>
      <c r="O55" s="547">
        <f t="shared" si="23"/>
        <v>0</v>
      </c>
      <c r="P55" s="547">
        <f t="shared" si="23"/>
        <v>0</v>
      </c>
      <c r="Q55" s="547">
        <f t="shared" si="23"/>
        <v>0</v>
      </c>
      <c r="R55" s="547">
        <f t="shared" si="23"/>
        <v>80000</v>
      </c>
      <c r="S55" s="547">
        <f t="shared" si="23"/>
        <v>80000</v>
      </c>
      <c r="T55" s="633">
        <f t="shared" si="23"/>
        <v>26902.898996259588</v>
      </c>
      <c r="U55" s="633">
        <f t="shared" ref="U55:AG55" si="24">IF(U58&gt;$R$7,IF(U49&gt;$R$6,$R$6,U49-U51),0)</f>
        <v>0</v>
      </c>
      <c r="V55" s="633">
        <f t="shared" si="24"/>
        <v>0</v>
      </c>
      <c r="W55" s="633">
        <f t="shared" si="24"/>
        <v>0</v>
      </c>
      <c r="X55" s="633">
        <f t="shared" si="24"/>
        <v>0</v>
      </c>
      <c r="Y55" s="633">
        <f t="shared" si="24"/>
        <v>0</v>
      </c>
      <c r="Z55" s="633">
        <f t="shared" si="24"/>
        <v>0</v>
      </c>
      <c r="AA55" s="633">
        <f t="shared" si="24"/>
        <v>0</v>
      </c>
      <c r="AB55" s="633">
        <f t="shared" si="24"/>
        <v>0</v>
      </c>
      <c r="AC55" s="633">
        <f t="shared" si="24"/>
        <v>0</v>
      </c>
      <c r="AD55" s="633">
        <f t="shared" si="24"/>
        <v>0</v>
      </c>
      <c r="AE55" s="633">
        <f t="shared" si="24"/>
        <v>0</v>
      </c>
      <c r="AF55" s="633">
        <f t="shared" si="24"/>
        <v>0</v>
      </c>
      <c r="AG55" s="633">
        <f t="shared" si="24"/>
        <v>0</v>
      </c>
    </row>
    <row r="56" spans="2:33" ht="15" customHeight="1" thickBot="1" x14ac:dyDescent="0.25">
      <c r="B56" s="547" t="s">
        <v>422</v>
      </c>
      <c r="C56" s="547"/>
      <c r="D56" s="632">
        <f t="shared" ref="D56:T56" si="25">D49-D50-D51-D55</f>
        <v>216700</v>
      </c>
      <c r="E56" s="547">
        <f t="shared" si="25"/>
        <v>214533</v>
      </c>
      <c r="F56" s="547">
        <f t="shared" si="25"/>
        <v>212387.67</v>
      </c>
      <c r="G56" s="769">
        <f t="shared" si="25"/>
        <v>210263.79330000002</v>
      </c>
      <c r="H56" s="627">
        <f t="shared" si="25"/>
        <v>208161.15536700003</v>
      </c>
      <c r="I56" s="627">
        <f t="shared" si="25"/>
        <v>206079.54381333003</v>
      </c>
      <c r="J56" s="547">
        <f t="shared" si="25"/>
        <v>204018.74837519674</v>
      </c>
      <c r="K56" s="547">
        <f t="shared" si="25"/>
        <v>201978.56089144477</v>
      </c>
      <c r="L56" s="547">
        <f t="shared" si="25"/>
        <v>199958.77528253032</v>
      </c>
      <c r="M56" s="547">
        <f t="shared" si="25"/>
        <v>197959.18752970503</v>
      </c>
      <c r="N56" s="547">
        <f t="shared" si="25"/>
        <v>195979.59565440798</v>
      </c>
      <c r="O56" s="547">
        <f t="shared" si="25"/>
        <v>194019.7996978639</v>
      </c>
      <c r="P56" s="547">
        <f t="shared" si="25"/>
        <v>192079.60170088525</v>
      </c>
      <c r="Q56" s="547">
        <f t="shared" si="25"/>
        <v>190158.80568387639</v>
      </c>
      <c r="R56" s="547">
        <f t="shared" si="25"/>
        <v>108257.21762703764</v>
      </c>
      <c r="S56" s="547">
        <f t="shared" si="25"/>
        <v>27174.645450767261</v>
      </c>
      <c r="T56" s="633">
        <f t="shared" si="25"/>
        <v>0</v>
      </c>
      <c r="U56" s="633">
        <f t="shared" ref="U56:AG56" si="26">U49-U50-U51-U55</f>
        <v>0</v>
      </c>
      <c r="V56" s="633">
        <f t="shared" si="26"/>
        <v>0</v>
      </c>
      <c r="W56" s="633">
        <f t="shared" si="26"/>
        <v>0</v>
      </c>
      <c r="X56" s="633">
        <f t="shared" si="26"/>
        <v>0</v>
      </c>
      <c r="Y56" s="633">
        <f t="shared" si="26"/>
        <v>0</v>
      </c>
      <c r="Z56" s="633">
        <f t="shared" si="26"/>
        <v>0</v>
      </c>
      <c r="AA56" s="633">
        <f t="shared" si="26"/>
        <v>0</v>
      </c>
      <c r="AB56" s="633">
        <f t="shared" si="26"/>
        <v>0</v>
      </c>
      <c r="AC56" s="633">
        <f t="shared" si="26"/>
        <v>0</v>
      </c>
      <c r="AD56" s="633">
        <f t="shared" si="26"/>
        <v>0</v>
      </c>
      <c r="AE56" s="633">
        <f t="shared" si="26"/>
        <v>0</v>
      </c>
      <c r="AF56" s="633">
        <f t="shared" si="26"/>
        <v>0</v>
      </c>
      <c r="AG56" s="633">
        <f t="shared" si="26"/>
        <v>0</v>
      </c>
    </row>
    <row r="57" spans="2:33" ht="15" customHeight="1" thickBot="1" x14ac:dyDescent="0.3">
      <c r="B57" s="545" t="s">
        <v>439</v>
      </c>
      <c r="C57" s="545"/>
      <c r="D57" s="1496" t="s">
        <v>600</v>
      </c>
      <c r="E57" s="1512"/>
      <c r="F57" s="1512"/>
      <c r="G57" s="1512"/>
      <c r="H57" s="1497"/>
      <c r="I57" s="1497"/>
      <c r="J57" s="1497"/>
      <c r="K57" s="1497"/>
      <c r="L57" s="1497"/>
      <c r="M57" s="1497"/>
      <c r="N57" s="1497"/>
      <c r="O57" s="1497"/>
      <c r="P57" s="1497"/>
      <c r="Q57" s="1497"/>
      <c r="R57" s="1497"/>
      <c r="S57" s="1497"/>
      <c r="T57" s="1498"/>
    </row>
    <row r="58" spans="2:33" ht="15" customHeight="1" x14ac:dyDescent="0.2">
      <c r="B58" s="547" t="s">
        <v>440</v>
      </c>
      <c r="C58" s="547"/>
      <c r="D58" s="765">
        <f>'Smolt Production'!L61</f>
        <v>68.505058960747817</v>
      </c>
      <c r="E58" s="766">
        <f>D62</f>
        <v>114.73773174873723</v>
      </c>
      <c r="F58" s="766">
        <f>E62</f>
        <v>194.49394548053843</v>
      </c>
      <c r="G58" s="768">
        <f>F62</f>
        <v>307.48815356023346</v>
      </c>
      <c r="H58" s="813">
        <f t="shared" ref="H58:M58" si="27">G62</f>
        <v>471.06371736610646</v>
      </c>
      <c r="I58" s="813">
        <f t="shared" si="27"/>
        <v>677.97576918082007</v>
      </c>
      <c r="J58" s="766">
        <f t="shared" si="27"/>
        <v>923.90528473438849</v>
      </c>
      <c r="K58" s="766">
        <f t="shared" si="27"/>
        <v>1185.511115444938</v>
      </c>
      <c r="L58" s="766">
        <f t="shared" si="27"/>
        <v>1438.140143111797</v>
      </c>
      <c r="M58" s="766">
        <f t="shared" si="27"/>
        <v>1674.9866903319862</v>
      </c>
      <c r="N58" s="766">
        <f>M62</f>
        <v>1912.0852005102129</v>
      </c>
      <c r="O58" s="766">
        <f t="shared" ref="O58:T58" si="28">N62</f>
        <v>2098.736061053196</v>
      </c>
      <c r="P58" s="766">
        <f t="shared" si="28"/>
        <v>2368.623389731988</v>
      </c>
      <c r="Q58" s="766">
        <f t="shared" si="28"/>
        <v>2759.1429596238181</v>
      </c>
      <c r="R58" s="766">
        <f t="shared" si="28"/>
        <v>3247.4209781992381</v>
      </c>
      <c r="S58" s="766">
        <f t="shared" si="28"/>
        <v>3862.6693225652289</v>
      </c>
      <c r="T58" s="846">
        <f t="shared" si="28"/>
        <v>4564.4960761924458</v>
      </c>
      <c r="U58" s="846">
        <f t="shared" ref="U58:AG58" si="29">T62</f>
        <v>4889.4380513260503</v>
      </c>
      <c r="V58" s="846">
        <f t="shared" si="29"/>
        <v>4889.4380513260503</v>
      </c>
      <c r="W58" s="846">
        <f t="shared" si="29"/>
        <v>4889.4380513260503</v>
      </c>
      <c r="X58" s="846">
        <f t="shared" si="29"/>
        <v>4889.4380513260503</v>
      </c>
      <c r="Y58" s="846">
        <f t="shared" si="29"/>
        <v>4889.4380513260503</v>
      </c>
      <c r="Z58" s="846">
        <f t="shared" si="29"/>
        <v>4889.4380513260503</v>
      </c>
      <c r="AA58" s="846">
        <f t="shared" si="29"/>
        <v>4889.4380513260503</v>
      </c>
      <c r="AB58" s="846">
        <f t="shared" si="29"/>
        <v>4889.4380513260503</v>
      </c>
      <c r="AC58" s="846">
        <f t="shared" si="29"/>
        <v>4889.4380513260503</v>
      </c>
      <c r="AD58" s="846">
        <f t="shared" si="29"/>
        <v>4889.4380513260503</v>
      </c>
      <c r="AE58" s="846">
        <f t="shared" si="29"/>
        <v>4889.4380513260503</v>
      </c>
      <c r="AF58" s="846">
        <f t="shared" si="29"/>
        <v>4889.4380513260503</v>
      </c>
      <c r="AG58" s="846">
        <f t="shared" si="29"/>
        <v>4889.4380513260503</v>
      </c>
    </row>
    <row r="59" spans="2:33" ht="15" customHeight="1" x14ac:dyDescent="0.2">
      <c r="B59" s="547" t="s">
        <v>441</v>
      </c>
      <c r="C59" s="547"/>
      <c r="D59" s="632">
        <f>ROUNDUP(D58*1.1,0)</f>
        <v>76</v>
      </c>
      <c r="E59" s="547">
        <f>ROUNDUP(E58*1.1,0)</f>
        <v>127</v>
      </c>
      <c r="F59" s="547">
        <f t="shared" ref="F59:T59" si="30">ROUNDUP(F58*1.1,0)</f>
        <v>214</v>
      </c>
      <c r="G59" s="769">
        <f t="shared" si="30"/>
        <v>339</v>
      </c>
      <c r="H59" s="627">
        <f t="shared" si="30"/>
        <v>519</v>
      </c>
      <c r="I59" s="627">
        <f t="shared" si="30"/>
        <v>746</v>
      </c>
      <c r="J59" s="547">
        <f t="shared" si="30"/>
        <v>1017</v>
      </c>
      <c r="K59" s="547">
        <f t="shared" si="30"/>
        <v>1305</v>
      </c>
      <c r="L59" s="547">
        <f t="shared" si="30"/>
        <v>1582</v>
      </c>
      <c r="M59" s="547">
        <f t="shared" si="30"/>
        <v>1843</v>
      </c>
      <c r="N59" s="547">
        <f t="shared" si="30"/>
        <v>2104</v>
      </c>
      <c r="O59" s="547">
        <f t="shared" si="30"/>
        <v>2309</v>
      </c>
      <c r="P59" s="547">
        <f t="shared" si="30"/>
        <v>2606</v>
      </c>
      <c r="Q59" s="547">
        <f t="shared" si="30"/>
        <v>3036</v>
      </c>
      <c r="R59" s="547">
        <f t="shared" si="30"/>
        <v>3573</v>
      </c>
      <c r="S59" s="547">
        <f t="shared" si="30"/>
        <v>4249</v>
      </c>
      <c r="T59" s="633">
        <f t="shared" si="30"/>
        <v>5021</v>
      </c>
      <c r="U59" s="633">
        <f t="shared" ref="U59:AG59" si="31">ROUNDUP(U58*1.1,0)</f>
        <v>5379</v>
      </c>
      <c r="V59" s="633">
        <f t="shared" si="31"/>
        <v>5379</v>
      </c>
      <c r="W59" s="633">
        <f t="shared" si="31"/>
        <v>5379</v>
      </c>
      <c r="X59" s="633">
        <f t="shared" si="31"/>
        <v>5379</v>
      </c>
      <c r="Y59" s="633">
        <f t="shared" si="31"/>
        <v>5379</v>
      </c>
      <c r="Z59" s="633">
        <f t="shared" si="31"/>
        <v>5379</v>
      </c>
      <c r="AA59" s="633">
        <f t="shared" si="31"/>
        <v>5379</v>
      </c>
      <c r="AB59" s="633">
        <f t="shared" si="31"/>
        <v>5379</v>
      </c>
      <c r="AC59" s="633">
        <f t="shared" si="31"/>
        <v>5379</v>
      </c>
      <c r="AD59" s="633">
        <f t="shared" si="31"/>
        <v>5379</v>
      </c>
      <c r="AE59" s="633">
        <f t="shared" si="31"/>
        <v>5379</v>
      </c>
      <c r="AF59" s="633">
        <f t="shared" si="31"/>
        <v>5379</v>
      </c>
      <c r="AG59" s="633">
        <f t="shared" si="31"/>
        <v>5379</v>
      </c>
    </row>
    <row r="60" spans="2:33" ht="15" customHeight="1" x14ac:dyDescent="0.2">
      <c r="B60" s="547" t="s">
        <v>442</v>
      </c>
      <c r="C60" s="173"/>
      <c r="D60" s="632">
        <f>IF(D59&gt;0,(VLOOKUP(D59,'Input data'!$W$5:$X$6509,2,FALSE)),(0))</f>
        <v>7</v>
      </c>
      <c r="E60" s="547">
        <f>IF(E59&gt;0,(VLOOKUP(E59,'Input data'!$W$5:$X$6509,2,FALSE)),(0))</f>
        <v>12</v>
      </c>
      <c r="F60" s="547">
        <f>IF(F59&gt;0,(VLOOKUP(F59,'Input data'!$W$5:$X$6509,2,FALSE)),(0))</f>
        <v>16</v>
      </c>
      <c r="G60" s="547">
        <f>IF(G59&gt;0,(VLOOKUP(G59,'Input data'!$W$5:$X$6509,2,FALSE)),(0))</f>
        <v>18</v>
      </c>
      <c r="H60" s="547">
        <f>IF(H59&gt;0,(VLOOKUP(H59,'Input data'!$W$5:$X$6509,2,FALSE)),(0))</f>
        <v>22</v>
      </c>
      <c r="I60" s="547">
        <f>IF(I59&gt;0,(VLOOKUP(I59,'Input data'!$W$5:$X$6509,2,FALSE)),(0))</f>
        <v>26</v>
      </c>
      <c r="J60" s="547">
        <f>IF(J59&gt;0,(VLOOKUP(J59,'Input data'!$W$5:$X$6509,2,FALSE)),(0))</f>
        <v>32</v>
      </c>
      <c r="K60" s="547">
        <f>IF(K59&gt;0,(VLOOKUP(K59,'Input data'!$W$5:$X$6509,2,FALSE)),(0))</f>
        <v>33</v>
      </c>
      <c r="L60" s="547">
        <f>IF(L59&gt;0,(VLOOKUP(L59,'Input data'!$W$5:$X$6509,2,FALSE)),(0))</f>
        <v>34</v>
      </c>
      <c r="M60" s="547">
        <f>IF(M59&gt;0,(VLOOKUP(M59,'Input data'!$W$5:$X$6509,2,FALSE)),(0))</f>
        <v>35</v>
      </c>
      <c r="N60" s="547">
        <f>IF(N59&gt;0,(VLOOKUP(N59,'Input data'!$W$5:$X$6509,2,FALSE)),(0))</f>
        <v>36</v>
      </c>
      <c r="O60" s="547">
        <f>IF(O59&gt;0,(VLOOKUP(O59,'Input data'!$W$5:$X$6509,2,FALSE)),(0))</f>
        <v>37</v>
      </c>
      <c r="P60" s="547">
        <f>IF(P59&gt;0,(VLOOKUP(P59,'Input data'!$W$5:$X$6509,2,FALSE)),(0))</f>
        <v>38</v>
      </c>
      <c r="Q60" s="547">
        <f>IF(Q59&gt;0,(VLOOKUP(Q59,'Input data'!$W$5:$X$6509,2,FALSE)),(0))</f>
        <v>40</v>
      </c>
      <c r="R60" s="547">
        <f>IF(R59&gt;0,(VLOOKUP(R59,'Input data'!$W$5:$X$6509,2,FALSE)),(0))</f>
        <v>42</v>
      </c>
      <c r="S60" s="547">
        <f>IF(S59&gt;0,(VLOOKUP(S59,'Input data'!$W$5:$X$6509,2,FALSE)),(0))</f>
        <v>44</v>
      </c>
      <c r="T60" s="633">
        <f>IF(T59&gt;0,(VLOOKUP(T59,'Input data'!$W$5:$X$6509,2,FALSE)),(0))</f>
        <v>48</v>
      </c>
      <c r="U60" s="633">
        <f>IF(U59&gt;0,(VLOOKUP(U59,'Input data'!$W$5:$X$6509,2,FALSE)),(0))</f>
        <v>49</v>
      </c>
      <c r="V60" s="633">
        <f>IF(V59&gt;0,(VLOOKUP(V59,'Input data'!$W$5:$X$6509,2,FALSE)),(0))</f>
        <v>49</v>
      </c>
      <c r="W60" s="633">
        <f>IF(W59&gt;0,(VLOOKUP(W59,'Input data'!$W$5:$X$6509,2,FALSE)),(0))</f>
        <v>49</v>
      </c>
      <c r="X60" s="633">
        <f>IF(X59&gt;0,(VLOOKUP(X59,'Input data'!$W$5:$X$6509,2,FALSE)),(0))</f>
        <v>49</v>
      </c>
      <c r="Y60" s="633">
        <f>IF(Y59&gt;0,(VLOOKUP(Y59,'Input data'!$W$5:$X$6509,2,FALSE)),(0))</f>
        <v>49</v>
      </c>
      <c r="Z60" s="633">
        <f>IF(Z59&gt;0,(VLOOKUP(Z59,'Input data'!$W$5:$X$6509,2,FALSE)),(0))</f>
        <v>49</v>
      </c>
      <c r="AA60" s="633">
        <f>IF(AA59&gt;0,(VLOOKUP(AA59,'Input data'!$W$5:$X$6509,2,FALSE)),(0))</f>
        <v>49</v>
      </c>
      <c r="AB60" s="633">
        <f>IF(AB59&gt;0,(VLOOKUP(AB59,'Input data'!$W$5:$X$6509,2,FALSE)),(0))</f>
        <v>49</v>
      </c>
      <c r="AC60" s="633">
        <f>IF(AC59&gt;0,(VLOOKUP(AC59,'Input data'!$W$5:$X$6509,2,FALSE)),(0))</f>
        <v>49</v>
      </c>
      <c r="AD60" s="633">
        <f>IF(AD59&gt;0,(VLOOKUP(AD59,'Input data'!$W$5:$X$6509,2,FALSE)),(0))</f>
        <v>49</v>
      </c>
      <c r="AE60" s="633">
        <f>IF(AE59&gt;0,(VLOOKUP(AE59,'Input data'!$W$5:$X$6509,2,FALSE)),(0))</f>
        <v>49</v>
      </c>
      <c r="AF60" s="633">
        <f>IF(AF59&gt;0,(VLOOKUP(AF59,'Input data'!$W$5:$X$6509,2,FALSE)),(0))</f>
        <v>49</v>
      </c>
      <c r="AG60" s="633">
        <f>IF(AG59&gt;0,(VLOOKUP(AG59,'Input data'!$W$5:$X$6509,2,FALSE)),(0))</f>
        <v>49</v>
      </c>
    </row>
    <row r="61" spans="2:33" ht="15" customHeight="1" x14ac:dyDescent="0.2">
      <c r="B61" s="547" t="s">
        <v>426</v>
      </c>
      <c r="C61" s="547"/>
      <c r="D61" s="641">
        <f>IF(D55&gt;=0,(VLOOKUP(D60,'Input data'!$C$19:$P$65,(HLOOKUP(D19,'Input data'!$D$4:$P$5,2,FALSE)),FALSE)),(0))</f>
        <v>1.734</v>
      </c>
      <c r="E61" s="552">
        <f>IF(E55&gt;=0,(VLOOKUP(E60,'Input data'!$C$19:$P$65,(HLOOKUP(E19,'Input data'!$D$4:$P$5,2,FALSE)),FALSE)),(0))</f>
        <v>1.7169999999999999</v>
      </c>
      <c r="F61" s="552">
        <f>IF(F55&gt;=0,(VLOOKUP(F60,'Input data'!$C$19:$P$65,(HLOOKUP(F19,'Input data'!$D$4:$P$5,2,FALSE)),FALSE)),(0))</f>
        <v>1.5385</v>
      </c>
      <c r="G61" s="552">
        <f>IF(G55&gt;=0,(VLOOKUP(G60,'Input data'!$C$19:$P$65,(HLOOKUP(G19,'Input data'!$D$4:$P$5,2,FALSE)),FALSE)),(0))</f>
        <v>1.3855</v>
      </c>
      <c r="H61" s="552">
        <f>IF(H55&gt;=0,(VLOOKUP(H60,'Input data'!$C$19:$P$65,(HLOOKUP(H19,'Input data'!$D$4:$P$5,2,FALSE)),FALSE)),(0))</f>
        <v>1.1815</v>
      </c>
      <c r="I61" s="552">
        <f>IF(I55&gt;=0,(VLOOKUP(I60,'Input data'!$C$19:$P$65,(HLOOKUP(I19,'Input data'!$D$4:$P$5,2,FALSE)),FALSE)),(0))</f>
        <v>1.0369999999999999</v>
      </c>
      <c r="J61" s="552">
        <f>IF(J55&gt;=0,(VLOOKUP(J60,'Input data'!$C$19:$P$65,(HLOOKUP(J19,'Input data'!$D$4:$P$5,2,FALSE)),FALSE)),(0))</f>
        <v>0.8075</v>
      </c>
      <c r="K61" s="552">
        <f>IF(K55&gt;=0,(VLOOKUP(K60,'Input data'!$C$19:$P$65,(HLOOKUP(K19,'Input data'!$D$4:$P$5,2,FALSE)),FALSE)),(0))</f>
        <v>0.64600000000000002</v>
      </c>
      <c r="L61" s="552">
        <f>IF(L55&gt;=0,(VLOOKUP(L60,'Input data'!$C$19:$P$65,(HLOOKUP(L19,'Input data'!$D$4:$P$5,2,FALSE)),FALSE)),(0))</f>
        <v>0.49299999999999994</v>
      </c>
      <c r="M61" s="552">
        <f>IF(M55&gt;=0,(VLOOKUP(M60,'Input data'!$C$19:$P$65,(HLOOKUP(M19,'Input data'!$D$4:$P$5,2,FALSE)),FALSE)),(0))</f>
        <v>0.42797499999999994</v>
      </c>
      <c r="N61" s="552">
        <f>IF(N55&gt;=0,(VLOOKUP(N60,'Input data'!$C$19:$P$65,(HLOOKUP(N19,'Input data'!$D$4:$P$5,2,FALSE)),FALSE)),(0))</f>
        <v>0.3332</v>
      </c>
      <c r="O61" s="552">
        <f>IF(O55&gt;=0,(VLOOKUP(O60,'Input data'!$C$19:$P$65,(HLOOKUP(O19,'Input data'!$D$4:$P$5,2,FALSE)),FALSE)),(0))</f>
        <v>0.39100000000000001</v>
      </c>
      <c r="P61" s="552">
        <f>IF(P55&gt;=0,(VLOOKUP(P60,'Input data'!$C$19:$P$65,(HLOOKUP(P19,'Input data'!$D$4:$P$5,2,FALSE)),FALSE)),(0))</f>
        <v>0.51</v>
      </c>
      <c r="Q61" s="552">
        <f>IF(Q55&gt;=0,(VLOOKUP(Q60,'Input data'!$C$19:$P$65,(HLOOKUP(Q19,'Input data'!$D$4:$P$5,2,FALSE)),FALSE)),(0))</f>
        <v>0.52700000000000002</v>
      </c>
      <c r="R61" s="552">
        <f>IF(R55&gt;=0,(VLOOKUP(R60,'Input data'!$C$19:$P$65,(HLOOKUP(R19,'Input data'!$D$4:$P$5,2,FALSE)),FALSE)),(0))</f>
        <v>0.57999999999999996</v>
      </c>
      <c r="S61" s="552">
        <f>IF(S55&gt;=0,(VLOOKUP(S60,'Input data'!$C$19:$P$65,(HLOOKUP(S19,'Input data'!$D$4:$P$5,2,FALSE)),FALSE)),(0))</f>
        <v>0.54</v>
      </c>
      <c r="T61" s="642">
        <f>IF(T55&gt;=0,(VLOOKUP(T60,'Input data'!$C$19:$P$65,(HLOOKUP(T19,'Input data'!$D$4:$P$5,2,FALSE)),FALSE)),(0))</f>
        <v>0.22208255999999996</v>
      </c>
      <c r="U61" s="642">
        <f>IF(U55&gt;=0,(VLOOKUP(U60,'Input data'!$C$19:$P$65,(HLOOKUP(U19,'Input data'!$D$4:$P$5,2,FALSE)),FALSE)),(0))</f>
        <v>0.21282911999999998</v>
      </c>
      <c r="V61" s="642">
        <f>IF(V55&gt;=0,(VLOOKUP(V60,'Input data'!$C$19:$P$65,(HLOOKUP(V19,'Input data'!$D$4:$P$5,2,FALSE)),FALSE)),(0))</f>
        <v>0.18044207999999998</v>
      </c>
      <c r="W61" s="642">
        <f>IF(W55&gt;=0,(VLOOKUP(W60,'Input data'!$C$19:$P$65,(HLOOKUP(W19,'Input data'!$D$4:$P$5,2,FALSE)),FALSE)),(0))</f>
        <v>0.15730848000000003</v>
      </c>
      <c r="X61" s="642">
        <f>IF(X55&gt;=0,(VLOOKUP(X60,'Input data'!$C$19:$P$65,(HLOOKUP(X19,'Input data'!$D$4:$P$5,2,FALSE)),FALSE)),(0))</f>
        <v>0.12492143999999999</v>
      </c>
      <c r="Y61" s="642">
        <f>IF(Y55&gt;=0,(VLOOKUP(Y60,'Input data'!$C$19:$P$65,(HLOOKUP(Y19,'Input data'!$D$4:$P$5,2,FALSE)),FALSE)),(0))</f>
        <v>0.11867536800000002</v>
      </c>
      <c r="Z61" s="642">
        <f>IF(Z55&gt;=0,(VLOOKUP(Z60,'Input data'!$C$19:$P$65,(HLOOKUP(Z19,'Input data'!$D$4:$P$5,2,FALSE)),FALSE)),(0))</f>
        <v>9.9937152000000001E-2</v>
      </c>
      <c r="AA61" s="642">
        <f>IF(AA55&gt;=0,(VLOOKUP(AA60,'Input data'!$C$19:$P$65,(HLOOKUP(AA19,'Input data'!$D$4:$P$5,2,FALSE)),FALSE)),(0))</f>
        <v>0.12492143999999999</v>
      </c>
      <c r="AB61" s="642">
        <f>IF(AB55&gt;=0,(VLOOKUP(AB60,'Input data'!$C$19:$P$65,(HLOOKUP(AB19,'Input data'!$D$4:$P$5,2,FALSE)),FALSE)),(0))</f>
        <v>0.18044207999999998</v>
      </c>
      <c r="AC61" s="642">
        <f>IF(AC55&gt;=0,(VLOOKUP(AC60,'Input data'!$C$19:$P$65,(HLOOKUP(AC19,'Input data'!$D$4:$P$5,2,FALSE)),FALSE)),(0))</f>
        <v>0.21282911999999998</v>
      </c>
      <c r="AD61" s="642">
        <f>IF(AD55&gt;=0,(VLOOKUP(AD60,'Input data'!$C$19:$P$65,(HLOOKUP(AD19,'Input data'!$D$4:$P$5,2,FALSE)),FALSE)),(0))</f>
        <v>0.21745583999999998</v>
      </c>
      <c r="AE61" s="642">
        <f>IF(AE55&gt;=0,(VLOOKUP(AE60,'Input data'!$C$19:$P$65,(HLOOKUP(AE19,'Input data'!$D$4:$P$5,2,FALSE)),FALSE)),(0))</f>
        <v>0.21745583999999998</v>
      </c>
      <c r="AF61" s="642">
        <f>IF(AF55&gt;=0,(VLOOKUP(AF60,'Input data'!$C$19:$P$65,(HLOOKUP(AF19,'Input data'!$D$4:$P$5,2,FALSE)),FALSE)),(0))</f>
        <v>0.21745583999999998</v>
      </c>
      <c r="AG61" s="642">
        <f>IF(AG55&gt;=0,(VLOOKUP(AG60,'Input data'!$C$19:$P$65,(HLOOKUP(AG19,'Input data'!$D$4:$P$5,2,FALSE)),FALSE)),(0))</f>
        <v>0.21282911999999998</v>
      </c>
    </row>
    <row r="62" spans="2:33" ht="15" customHeight="1" x14ac:dyDescent="0.2">
      <c r="B62" s="547" t="s">
        <v>443</v>
      </c>
      <c r="C62" s="547"/>
      <c r="D62" s="632">
        <f t="shared" ref="D62:T62" si="32">IF(D49&gt;0,D58*(1+(D61/100))^D18,D58)</f>
        <v>114.73773174873723</v>
      </c>
      <c r="E62" s="547">
        <f t="shared" si="32"/>
        <v>194.49394548053843</v>
      </c>
      <c r="F62" s="547">
        <f t="shared" si="32"/>
        <v>307.48815356023346</v>
      </c>
      <c r="G62" s="769">
        <f t="shared" si="32"/>
        <v>471.06371736610646</v>
      </c>
      <c r="H62" s="627">
        <f t="shared" si="32"/>
        <v>677.97576918082007</v>
      </c>
      <c r="I62" s="627">
        <f t="shared" si="32"/>
        <v>923.90528473438849</v>
      </c>
      <c r="J62" s="547">
        <f t="shared" si="32"/>
        <v>1185.511115444938</v>
      </c>
      <c r="K62" s="547">
        <f t="shared" si="32"/>
        <v>1438.140143111797</v>
      </c>
      <c r="L62" s="547">
        <f t="shared" si="32"/>
        <v>1674.9866903319862</v>
      </c>
      <c r="M62" s="547">
        <f t="shared" si="32"/>
        <v>1912.0852005102129</v>
      </c>
      <c r="N62" s="547">
        <f t="shared" si="32"/>
        <v>2098.736061053196</v>
      </c>
      <c r="O62" s="547">
        <f t="shared" si="32"/>
        <v>2368.623389731988</v>
      </c>
      <c r="P62" s="547">
        <f t="shared" si="32"/>
        <v>2759.1429596238181</v>
      </c>
      <c r="Q62" s="547">
        <f t="shared" si="32"/>
        <v>3247.4209781992381</v>
      </c>
      <c r="R62" s="547">
        <f t="shared" si="32"/>
        <v>3862.6693225652289</v>
      </c>
      <c r="S62" s="547">
        <f t="shared" si="32"/>
        <v>4564.4960761924458</v>
      </c>
      <c r="T62" s="633">
        <f t="shared" si="32"/>
        <v>4889.4380513260503</v>
      </c>
      <c r="U62" s="633">
        <f t="shared" ref="U62:AG62" si="33">IF(U49&gt;0,U58*(1+(U61/100))^U18,U58)</f>
        <v>4889.4380513260503</v>
      </c>
      <c r="V62" s="633">
        <f t="shared" si="33"/>
        <v>4889.4380513260503</v>
      </c>
      <c r="W62" s="633">
        <f t="shared" si="33"/>
        <v>4889.4380513260503</v>
      </c>
      <c r="X62" s="633">
        <f t="shared" si="33"/>
        <v>4889.4380513260503</v>
      </c>
      <c r="Y62" s="633">
        <f t="shared" si="33"/>
        <v>4889.4380513260503</v>
      </c>
      <c r="Z62" s="633">
        <f t="shared" si="33"/>
        <v>4889.4380513260503</v>
      </c>
      <c r="AA62" s="633">
        <f t="shared" si="33"/>
        <v>4889.4380513260503</v>
      </c>
      <c r="AB62" s="633">
        <f t="shared" si="33"/>
        <v>4889.4380513260503</v>
      </c>
      <c r="AC62" s="633">
        <f t="shared" si="33"/>
        <v>4889.4380513260503</v>
      </c>
      <c r="AD62" s="633">
        <f t="shared" si="33"/>
        <v>4889.4380513260503</v>
      </c>
      <c r="AE62" s="633">
        <f t="shared" si="33"/>
        <v>4889.4380513260503</v>
      </c>
      <c r="AF62" s="633">
        <f t="shared" si="33"/>
        <v>4889.4380513260503</v>
      </c>
      <c r="AG62" s="633">
        <f t="shared" si="33"/>
        <v>4889.4380513260503</v>
      </c>
    </row>
    <row r="63" spans="2:33" ht="15" customHeight="1" x14ac:dyDescent="0.2">
      <c r="B63" s="547" t="s">
        <v>444</v>
      </c>
      <c r="C63" s="547"/>
      <c r="D63" s="632">
        <f t="shared" ref="D63:T63" si="34">(D49*D58)/1000</f>
        <v>15071.11297136452</v>
      </c>
      <c r="E63" s="547">
        <f t="shared" si="34"/>
        <v>24863.666469951357</v>
      </c>
      <c r="F63" s="547">
        <f t="shared" si="34"/>
        <v>41725.369605776345</v>
      </c>
      <c r="G63" s="769">
        <f t="shared" si="34"/>
        <v>65306.692487260196</v>
      </c>
      <c r="H63" s="627">
        <f t="shared" si="34"/>
        <v>99047.644099396624</v>
      </c>
      <c r="I63" s="627">
        <f t="shared" si="34"/>
        <v>141128.21942351005</v>
      </c>
      <c r="J63" s="547">
        <f t="shared" si="34"/>
        <v>190397.97960478757</v>
      </c>
      <c r="K63" s="547">
        <f t="shared" si="34"/>
        <v>241866.49395795961</v>
      </c>
      <c r="L63" s="547">
        <f t="shared" si="34"/>
        <v>290473.47646593722</v>
      </c>
      <c r="M63" s="547">
        <f t="shared" si="34"/>
        <v>334928.28721332282</v>
      </c>
      <c r="N63" s="547">
        <f t="shared" si="34"/>
        <v>378514.83278057486</v>
      </c>
      <c r="O63" s="547">
        <f t="shared" si="34"/>
        <v>411309.44463053026</v>
      </c>
      <c r="P63" s="547">
        <f t="shared" si="34"/>
        <v>459559.83563547576</v>
      </c>
      <c r="Q63" s="547">
        <f t="shared" si="34"/>
        <v>529975.08072034467</v>
      </c>
      <c r="R63" s="547">
        <f t="shared" si="34"/>
        <v>617525.69476713263</v>
      </c>
      <c r="S63" s="547">
        <f t="shared" si="34"/>
        <v>418161.833474226</v>
      </c>
      <c r="T63" s="633">
        <f t="shared" si="34"/>
        <v>124038.56253194806</v>
      </c>
      <c r="U63" s="633">
        <f t="shared" ref="U63:AG63" si="35">(U49*U58)/1000</f>
        <v>0</v>
      </c>
      <c r="V63" s="633">
        <f t="shared" si="35"/>
        <v>0</v>
      </c>
      <c r="W63" s="633">
        <f t="shared" si="35"/>
        <v>0</v>
      </c>
      <c r="X63" s="633">
        <f t="shared" si="35"/>
        <v>0</v>
      </c>
      <c r="Y63" s="633">
        <f t="shared" si="35"/>
        <v>0</v>
      </c>
      <c r="Z63" s="633">
        <f t="shared" si="35"/>
        <v>0</v>
      </c>
      <c r="AA63" s="633">
        <f t="shared" si="35"/>
        <v>0</v>
      </c>
      <c r="AB63" s="633">
        <f t="shared" si="35"/>
        <v>0</v>
      </c>
      <c r="AC63" s="633">
        <f t="shared" si="35"/>
        <v>0</v>
      </c>
      <c r="AD63" s="633">
        <f t="shared" si="35"/>
        <v>0</v>
      </c>
      <c r="AE63" s="633">
        <f t="shared" si="35"/>
        <v>0</v>
      </c>
      <c r="AF63" s="633">
        <f t="shared" si="35"/>
        <v>0</v>
      </c>
      <c r="AG63" s="633">
        <f t="shared" si="35"/>
        <v>0</v>
      </c>
    </row>
    <row r="64" spans="2:33" ht="15" customHeight="1" x14ac:dyDescent="0.2">
      <c r="B64" s="547" t="s">
        <v>445</v>
      </c>
      <c r="C64" s="547"/>
      <c r="D64" s="632">
        <f t="shared" ref="D64:T64" si="36">(D51*D59)/1000</f>
        <v>250.8</v>
      </c>
      <c r="E64" s="547">
        <f t="shared" si="36"/>
        <v>275.209</v>
      </c>
      <c r="F64" s="547">
        <f t="shared" si="36"/>
        <v>459.10061999999999</v>
      </c>
      <c r="G64" s="769">
        <f t="shared" si="36"/>
        <v>719.9942013000001</v>
      </c>
      <c r="H64" s="627">
        <f t="shared" si="36"/>
        <v>1091.2690872270002</v>
      </c>
      <c r="I64" s="627">
        <f t="shared" si="36"/>
        <v>1552.8822190378203</v>
      </c>
      <c r="J64" s="547">
        <f t="shared" si="36"/>
        <v>2095.8289605815662</v>
      </c>
      <c r="K64" s="547">
        <f t="shared" si="36"/>
        <v>2662.4446662963178</v>
      </c>
      <c r="L64" s="547">
        <f t="shared" si="36"/>
        <v>3195.300833302656</v>
      </c>
      <c r="M64" s="547">
        <f t="shared" si="36"/>
        <v>3685.2402284570335</v>
      </c>
      <c r="N64" s="547">
        <f t="shared" si="36"/>
        <v>4165.061305624994</v>
      </c>
      <c r="O64" s="547">
        <f t="shared" si="36"/>
        <v>4525.1688636602803</v>
      </c>
      <c r="P64" s="547">
        <f t="shared" si="36"/>
        <v>5056.1559801263338</v>
      </c>
      <c r="Q64" s="547">
        <f t="shared" si="36"/>
        <v>5831.5367076388766</v>
      </c>
      <c r="R64" s="547">
        <f t="shared" si="36"/>
        <v>6794.3741270849032</v>
      </c>
      <c r="S64" s="547">
        <f t="shared" si="36"/>
        <v>4599.8491769728289</v>
      </c>
      <c r="T64" s="633">
        <f t="shared" si="36"/>
        <v>1364.4389480830243</v>
      </c>
      <c r="U64" s="633">
        <f t="shared" ref="U64:AG64" si="37">(U51*U59)/1000</f>
        <v>0</v>
      </c>
      <c r="V64" s="633">
        <f t="shared" si="37"/>
        <v>0</v>
      </c>
      <c r="W64" s="633">
        <f t="shared" si="37"/>
        <v>0</v>
      </c>
      <c r="X64" s="633">
        <f t="shared" si="37"/>
        <v>0</v>
      </c>
      <c r="Y64" s="633">
        <f t="shared" si="37"/>
        <v>0</v>
      </c>
      <c r="Z64" s="633">
        <f t="shared" si="37"/>
        <v>0</v>
      </c>
      <c r="AA64" s="633">
        <f t="shared" si="37"/>
        <v>0</v>
      </c>
      <c r="AB64" s="633">
        <f t="shared" si="37"/>
        <v>0</v>
      </c>
      <c r="AC64" s="633">
        <f t="shared" si="37"/>
        <v>0</v>
      </c>
      <c r="AD64" s="633">
        <f t="shared" si="37"/>
        <v>0</v>
      </c>
      <c r="AE64" s="633">
        <f t="shared" si="37"/>
        <v>0</v>
      </c>
      <c r="AF64" s="633">
        <f t="shared" si="37"/>
        <v>0</v>
      </c>
      <c r="AG64" s="633">
        <f t="shared" si="37"/>
        <v>0</v>
      </c>
    </row>
    <row r="65" spans="2:33" ht="15" customHeight="1" x14ac:dyDescent="0.2">
      <c r="B65" s="547" t="s">
        <v>446</v>
      </c>
      <c r="C65" s="547"/>
      <c r="D65" s="632"/>
      <c r="E65" s="547">
        <f t="shared" ref="E65:O65" si="38">(E55*E58)/1000</f>
        <v>0</v>
      </c>
      <c r="F65" s="547">
        <f t="shared" si="38"/>
        <v>0</v>
      </c>
      <c r="G65" s="769">
        <f t="shared" si="38"/>
        <v>0</v>
      </c>
      <c r="H65" s="627">
        <f t="shared" si="38"/>
        <v>0</v>
      </c>
      <c r="I65" s="627">
        <f t="shared" si="38"/>
        <v>0</v>
      </c>
      <c r="J65" s="547">
        <f t="shared" si="38"/>
        <v>0</v>
      </c>
      <c r="K65" s="547">
        <f t="shared" si="38"/>
        <v>0</v>
      </c>
      <c r="L65" s="547">
        <f t="shared" si="38"/>
        <v>0</v>
      </c>
      <c r="M65" s="547">
        <f t="shared" si="38"/>
        <v>0</v>
      </c>
      <c r="N65" s="547">
        <f t="shared" si="38"/>
        <v>0</v>
      </c>
      <c r="O65" s="547">
        <f t="shared" si="38"/>
        <v>0</v>
      </c>
      <c r="P65" s="547">
        <f>P50*P58/1000</f>
        <v>0</v>
      </c>
      <c r="Q65" s="547">
        <f>(Q50+Q55*Q58)/1000</f>
        <v>0</v>
      </c>
      <c r="R65" s="547">
        <f>(R50+R55*R58)/1000</f>
        <v>259793.67825593904</v>
      </c>
      <c r="S65" s="547">
        <f>(S50+S55*S58)/1000</f>
        <v>309013.54580521834</v>
      </c>
      <c r="T65" s="633">
        <f>(T50+T55*T58)/1000</f>
        <v>122798.17690662858</v>
      </c>
      <c r="U65" s="633">
        <f t="shared" ref="U65:AG65" si="39">(U50+U55*U58)/1000</f>
        <v>0</v>
      </c>
      <c r="V65" s="633">
        <f t="shared" si="39"/>
        <v>0</v>
      </c>
      <c r="W65" s="633">
        <f t="shared" si="39"/>
        <v>0</v>
      </c>
      <c r="X65" s="633">
        <f t="shared" si="39"/>
        <v>0</v>
      </c>
      <c r="Y65" s="633">
        <f t="shared" si="39"/>
        <v>0</v>
      </c>
      <c r="Z65" s="633">
        <f t="shared" si="39"/>
        <v>0</v>
      </c>
      <c r="AA65" s="633">
        <f t="shared" si="39"/>
        <v>0</v>
      </c>
      <c r="AB65" s="633">
        <f t="shared" si="39"/>
        <v>0</v>
      </c>
      <c r="AC65" s="633">
        <f t="shared" si="39"/>
        <v>0</v>
      </c>
      <c r="AD65" s="633">
        <f t="shared" si="39"/>
        <v>0</v>
      </c>
      <c r="AE65" s="633">
        <f t="shared" si="39"/>
        <v>0</v>
      </c>
      <c r="AF65" s="633">
        <f t="shared" si="39"/>
        <v>0</v>
      </c>
      <c r="AG65" s="633">
        <f t="shared" si="39"/>
        <v>0</v>
      </c>
    </row>
    <row r="66" spans="2:33" ht="15" customHeight="1" thickBot="1" x14ac:dyDescent="0.25">
      <c r="B66" s="547" t="s">
        <v>447</v>
      </c>
      <c r="C66" s="547"/>
      <c r="D66" s="632">
        <f t="shared" ref="D66:T66" si="40">(D56*D62)/1000</f>
        <v>24863.666469951357</v>
      </c>
      <c r="E66" s="547">
        <f t="shared" si="40"/>
        <v>41725.369605776345</v>
      </c>
      <c r="F66" s="547">
        <f t="shared" si="40"/>
        <v>65306.692487260196</v>
      </c>
      <c r="G66" s="769">
        <f t="shared" si="40"/>
        <v>99047.644099396624</v>
      </c>
      <c r="H66" s="627">
        <f t="shared" si="40"/>
        <v>141128.21942351005</v>
      </c>
      <c r="I66" s="627">
        <f t="shared" si="40"/>
        <v>190397.97960478757</v>
      </c>
      <c r="J66" s="547">
        <f t="shared" si="40"/>
        <v>241866.49395795961</v>
      </c>
      <c r="K66" s="547">
        <f t="shared" si="40"/>
        <v>290473.47646593722</v>
      </c>
      <c r="L66" s="547">
        <f t="shared" si="40"/>
        <v>334928.28721332282</v>
      </c>
      <c r="M66" s="547">
        <f t="shared" si="40"/>
        <v>378514.83278057486</v>
      </c>
      <c r="N66" s="547">
        <f t="shared" si="40"/>
        <v>411309.44463053026</v>
      </c>
      <c r="O66" s="547">
        <f t="shared" si="40"/>
        <v>459559.83563547576</v>
      </c>
      <c r="P66" s="547">
        <f t="shared" si="40"/>
        <v>529975.08072034467</v>
      </c>
      <c r="Q66" s="547">
        <f t="shared" si="40"/>
        <v>617525.69476713263</v>
      </c>
      <c r="R66" s="547">
        <f t="shared" si="40"/>
        <v>418161.833474226</v>
      </c>
      <c r="S66" s="547">
        <f t="shared" si="40"/>
        <v>124038.56253194806</v>
      </c>
      <c r="T66" s="633">
        <f t="shared" si="40"/>
        <v>0</v>
      </c>
      <c r="U66" s="633">
        <f t="shared" ref="U66:AG66" si="41">(U56*U62)/1000</f>
        <v>0</v>
      </c>
      <c r="V66" s="633">
        <f t="shared" si="41"/>
        <v>0</v>
      </c>
      <c r="W66" s="633">
        <f t="shared" si="41"/>
        <v>0</v>
      </c>
      <c r="X66" s="633">
        <f t="shared" si="41"/>
        <v>0</v>
      </c>
      <c r="Y66" s="633">
        <f t="shared" si="41"/>
        <v>0</v>
      </c>
      <c r="Z66" s="633">
        <f t="shared" si="41"/>
        <v>0</v>
      </c>
      <c r="AA66" s="633">
        <f t="shared" si="41"/>
        <v>0</v>
      </c>
      <c r="AB66" s="633">
        <f t="shared" si="41"/>
        <v>0</v>
      </c>
      <c r="AC66" s="633">
        <f t="shared" si="41"/>
        <v>0</v>
      </c>
      <c r="AD66" s="633">
        <f t="shared" si="41"/>
        <v>0</v>
      </c>
      <c r="AE66" s="633">
        <f t="shared" si="41"/>
        <v>0</v>
      </c>
      <c r="AF66" s="633">
        <f t="shared" si="41"/>
        <v>0</v>
      </c>
      <c r="AG66" s="633">
        <f t="shared" si="41"/>
        <v>0</v>
      </c>
    </row>
    <row r="67" spans="2:33" ht="15" customHeight="1" thickBot="1" x14ac:dyDescent="0.3">
      <c r="B67" s="545" t="s">
        <v>431</v>
      </c>
      <c r="C67" s="545"/>
      <c r="D67" s="1496" t="s">
        <v>600</v>
      </c>
      <c r="E67" s="1512"/>
      <c r="F67" s="1512"/>
      <c r="G67" s="1512"/>
      <c r="H67" s="1497"/>
      <c r="I67" s="1497"/>
      <c r="J67" s="1497"/>
      <c r="K67" s="1497"/>
      <c r="L67" s="1497"/>
      <c r="M67" s="1497"/>
      <c r="N67" s="1497"/>
      <c r="O67" s="1497"/>
      <c r="P67" s="1497"/>
      <c r="Q67" s="1497"/>
      <c r="R67" s="1497"/>
      <c r="S67" s="1497"/>
      <c r="T67" s="1498"/>
    </row>
    <row r="68" spans="2:33" s="349" customFormat="1" ht="15" customHeight="1" x14ac:dyDescent="0.2">
      <c r="B68" s="547" t="s">
        <v>448</v>
      </c>
      <c r="C68" s="547"/>
      <c r="D68" s="836">
        <f>VLOOKUP(D60,'Input data'!$R$5:$S$59,2,FALSE)</f>
        <v>1.3</v>
      </c>
      <c r="E68" s="837">
        <f>VLOOKUP(E60,'Input data'!$R$5:$S$59,2,FALSE)</f>
        <v>1.3</v>
      </c>
      <c r="F68" s="837">
        <f>VLOOKUP(F60,'Input data'!$R$5:$S$59,2,FALSE)</f>
        <v>1.3</v>
      </c>
      <c r="G68" s="837">
        <f>VLOOKUP(G60,'Input data'!$R$5:$S$59,2,FALSE)</f>
        <v>1.3</v>
      </c>
      <c r="H68" s="837">
        <f>VLOOKUP(H60,'Input data'!$R$5:$S$59,2,FALSE)</f>
        <v>1.3</v>
      </c>
      <c r="I68" s="837">
        <f>VLOOKUP(I60,'Input data'!$R$5:$S$59,2,FALSE)</f>
        <v>1.3</v>
      </c>
      <c r="J68" s="837">
        <f>VLOOKUP(J60,'Input data'!$R$5:$S$59,2,FALSE)</f>
        <v>1.3</v>
      </c>
      <c r="K68" s="837">
        <f>VLOOKUP(K60,'Input data'!$R$5:$S$59,2,FALSE)</f>
        <v>1.3</v>
      </c>
      <c r="L68" s="837">
        <f>VLOOKUP(L60,'Input data'!$R$5:$S$59,2,FALSE)</f>
        <v>1.3</v>
      </c>
      <c r="M68" s="837">
        <f>VLOOKUP(M60,'Input data'!$R$5:$S$59,2,FALSE)</f>
        <v>1.3</v>
      </c>
      <c r="N68" s="837">
        <f>VLOOKUP(N60,'Input data'!$R$5:$S$59,2,FALSE)</f>
        <v>1.3</v>
      </c>
      <c r="O68" s="837">
        <f>VLOOKUP(O60,'Input data'!$R$5:$S$59,2,FALSE)</f>
        <v>1.3</v>
      </c>
      <c r="P68" s="837">
        <f>VLOOKUP(P60,'Input data'!$R$5:$S$59,2,FALSE)</f>
        <v>1.3</v>
      </c>
      <c r="Q68" s="837">
        <f>VLOOKUP(Q60,'Input data'!$R$5:$S$59,2,FALSE)</f>
        <v>1.3</v>
      </c>
      <c r="R68" s="837">
        <f>VLOOKUP(R60,'Input data'!$R$5:$S$59,2,FALSE)</f>
        <v>1.3</v>
      </c>
      <c r="S68" s="837">
        <f>VLOOKUP(S60,'Input data'!$R$5:$S$59,2,FALSE)</f>
        <v>1.3</v>
      </c>
      <c r="T68" s="847">
        <f>VLOOKUP(T60,'Input data'!$R$5:$S$59,2,FALSE)</f>
        <v>1.3</v>
      </c>
      <c r="U68" s="847">
        <f>VLOOKUP(U60,'Input data'!$R$5:$S$59,2,FALSE)</f>
        <v>1.3</v>
      </c>
      <c r="V68" s="847">
        <f>VLOOKUP(V60,'Input data'!$R$5:$S$59,2,FALSE)</f>
        <v>1.3</v>
      </c>
      <c r="W68" s="847">
        <f>VLOOKUP(W60,'Input data'!$R$5:$S$59,2,FALSE)</f>
        <v>1.3</v>
      </c>
      <c r="X68" s="847">
        <f>VLOOKUP(X60,'Input data'!$R$5:$S$59,2,FALSE)</f>
        <v>1.3</v>
      </c>
      <c r="Y68" s="847">
        <f>VLOOKUP(Y60,'Input data'!$R$5:$S$59,2,FALSE)</f>
        <v>1.3</v>
      </c>
      <c r="Z68" s="847">
        <f>VLOOKUP(Z60,'Input data'!$R$5:$S$59,2,FALSE)</f>
        <v>1.3</v>
      </c>
      <c r="AA68" s="847">
        <f>VLOOKUP(AA60,'Input data'!$R$5:$S$59,2,FALSE)</f>
        <v>1.3</v>
      </c>
      <c r="AB68" s="847">
        <f>VLOOKUP(AB60,'Input data'!$R$5:$S$59,2,FALSE)</f>
        <v>1.3</v>
      </c>
      <c r="AC68" s="847">
        <f>VLOOKUP(AC60,'Input data'!$R$5:$S$59,2,FALSE)</f>
        <v>1.3</v>
      </c>
      <c r="AD68" s="847">
        <f>VLOOKUP(AD60,'Input data'!$R$5:$S$59,2,FALSE)</f>
        <v>1.3</v>
      </c>
      <c r="AE68" s="847">
        <f>VLOOKUP(AE60,'Input data'!$R$5:$S$59,2,FALSE)</f>
        <v>1.3</v>
      </c>
      <c r="AF68" s="847">
        <f>VLOOKUP(AF60,'Input data'!$R$5:$S$59,2,FALSE)</f>
        <v>1.3</v>
      </c>
      <c r="AG68" s="847">
        <f>VLOOKUP(AG60,'Input data'!$R$5:$S$59,2,FALSE)</f>
        <v>1.3</v>
      </c>
    </row>
    <row r="69" spans="2:33" s="349" customFormat="1" ht="15" customHeight="1" x14ac:dyDescent="0.2">
      <c r="B69" s="547" t="s">
        <v>449</v>
      </c>
      <c r="C69" s="547"/>
      <c r="D69" s="632">
        <f t="shared" ref="D69:S69" si="42">IF(D55&gt;=0,(((D66+D65)-D63)*D68),(0))</f>
        <v>12730.319548162888</v>
      </c>
      <c r="E69" s="547">
        <f t="shared" si="42"/>
        <v>21920.214076572483</v>
      </c>
      <c r="F69" s="547">
        <f t="shared" si="42"/>
        <v>30655.719745929007</v>
      </c>
      <c r="G69" s="769">
        <f t="shared" si="42"/>
        <v>43863.23709577736</v>
      </c>
      <c r="H69" s="627">
        <f t="shared" si="42"/>
        <v>54704.747921347451</v>
      </c>
      <c r="I69" s="627">
        <f t="shared" si="42"/>
        <v>64050.688235660782</v>
      </c>
      <c r="J69" s="547">
        <f t="shared" si="42"/>
        <v>66909.068659123659</v>
      </c>
      <c r="K69" s="547">
        <f t="shared" si="42"/>
        <v>63189.07726037089</v>
      </c>
      <c r="L69" s="547">
        <f t="shared" si="42"/>
        <v>57791.253971601291</v>
      </c>
      <c r="M69" s="547">
        <f t="shared" si="42"/>
        <v>56662.509237427643</v>
      </c>
      <c r="N69" s="547">
        <f t="shared" si="42"/>
        <v>42632.995404942019</v>
      </c>
      <c r="O69" s="547">
        <f t="shared" si="42"/>
        <v>62725.508306429154</v>
      </c>
      <c r="P69" s="547">
        <f t="shared" si="42"/>
        <v>91539.818610329603</v>
      </c>
      <c r="Q69" s="547">
        <f t="shared" si="42"/>
        <v>113815.79826082435</v>
      </c>
      <c r="R69" s="547">
        <f t="shared" si="42"/>
        <v>78558.76205194206</v>
      </c>
      <c r="S69" s="547">
        <f t="shared" si="42"/>
        <v>19357.357321822474</v>
      </c>
      <c r="T69" s="633">
        <f>IF(T55=0,(((T66+T65)-T63)*T68),(0))</f>
        <v>0</v>
      </c>
      <c r="U69" s="633">
        <f t="shared" ref="U69:AG69" si="43">IF(U55=0,(((U66+U65)-U63)*U68),(0))</f>
        <v>0</v>
      </c>
      <c r="V69" s="633">
        <f t="shared" si="43"/>
        <v>0</v>
      </c>
      <c r="W69" s="633">
        <f t="shared" si="43"/>
        <v>0</v>
      </c>
      <c r="X69" s="633">
        <f t="shared" si="43"/>
        <v>0</v>
      </c>
      <c r="Y69" s="633">
        <f t="shared" si="43"/>
        <v>0</v>
      </c>
      <c r="Z69" s="633">
        <f t="shared" si="43"/>
        <v>0</v>
      </c>
      <c r="AA69" s="633">
        <f t="shared" si="43"/>
        <v>0</v>
      </c>
      <c r="AB69" s="633">
        <f t="shared" si="43"/>
        <v>0</v>
      </c>
      <c r="AC69" s="633">
        <f t="shared" si="43"/>
        <v>0</v>
      </c>
      <c r="AD69" s="633">
        <f t="shared" si="43"/>
        <v>0</v>
      </c>
      <c r="AE69" s="633">
        <f t="shared" si="43"/>
        <v>0</v>
      </c>
      <c r="AF69" s="633">
        <f t="shared" si="43"/>
        <v>0</v>
      </c>
      <c r="AG69" s="633">
        <f t="shared" si="43"/>
        <v>0</v>
      </c>
    </row>
    <row r="70" spans="2:33" s="349" customFormat="1" ht="15" customHeight="1" x14ac:dyDescent="0.2">
      <c r="B70" s="547" t="s">
        <v>450</v>
      </c>
      <c r="C70" s="547"/>
      <c r="D70" s="632">
        <f>D68+D62</f>
        <v>116.03773174873723</v>
      </c>
      <c r="E70" s="547">
        <f t="shared" ref="E70:T70" si="44">E68+E62</f>
        <v>195.79394548053844</v>
      </c>
      <c r="F70" s="547">
        <f t="shared" si="44"/>
        <v>308.78815356023347</v>
      </c>
      <c r="G70" s="547">
        <f t="shared" si="44"/>
        <v>472.36371736610647</v>
      </c>
      <c r="H70" s="547">
        <f t="shared" si="44"/>
        <v>679.27576918082002</v>
      </c>
      <c r="I70" s="547">
        <f t="shared" si="44"/>
        <v>925.20528473438844</v>
      </c>
      <c r="J70" s="547">
        <f t="shared" si="44"/>
        <v>1186.811115444938</v>
      </c>
      <c r="K70" s="547">
        <f t="shared" si="44"/>
        <v>1439.4401431117969</v>
      </c>
      <c r="L70" s="547">
        <f t="shared" si="44"/>
        <v>1676.2866903319862</v>
      </c>
      <c r="M70" s="547">
        <f t="shared" si="44"/>
        <v>1913.3852005102128</v>
      </c>
      <c r="N70" s="547">
        <f t="shared" si="44"/>
        <v>2100.0360610531961</v>
      </c>
      <c r="O70" s="547">
        <f t="shared" si="44"/>
        <v>2369.9233897319882</v>
      </c>
      <c r="P70" s="547">
        <f t="shared" si="44"/>
        <v>2760.4429596238183</v>
      </c>
      <c r="Q70" s="547">
        <f t="shared" si="44"/>
        <v>3248.7209781992383</v>
      </c>
      <c r="R70" s="547">
        <f t="shared" si="44"/>
        <v>3863.969322565229</v>
      </c>
      <c r="S70" s="547">
        <f t="shared" si="44"/>
        <v>4565.796076192446</v>
      </c>
      <c r="T70" s="633">
        <f t="shared" si="44"/>
        <v>4890.7380513260505</v>
      </c>
      <c r="U70" s="633">
        <f t="shared" ref="U70:AG70" si="45">U68+U62</f>
        <v>4890.7380513260505</v>
      </c>
      <c r="V70" s="633">
        <f t="shared" si="45"/>
        <v>4890.7380513260505</v>
      </c>
      <c r="W70" s="633">
        <f t="shared" si="45"/>
        <v>4890.7380513260505</v>
      </c>
      <c r="X70" s="633">
        <f t="shared" si="45"/>
        <v>4890.7380513260505</v>
      </c>
      <c r="Y70" s="633">
        <f t="shared" si="45"/>
        <v>4890.7380513260505</v>
      </c>
      <c r="Z70" s="633">
        <f t="shared" si="45"/>
        <v>4890.7380513260505</v>
      </c>
      <c r="AA70" s="633">
        <f t="shared" si="45"/>
        <v>4890.7380513260505</v>
      </c>
      <c r="AB70" s="633">
        <f t="shared" si="45"/>
        <v>4890.7380513260505</v>
      </c>
      <c r="AC70" s="633">
        <f t="shared" si="45"/>
        <v>4890.7380513260505</v>
      </c>
      <c r="AD70" s="633">
        <f t="shared" si="45"/>
        <v>4890.7380513260505</v>
      </c>
      <c r="AE70" s="633">
        <f t="shared" si="45"/>
        <v>4890.7380513260505</v>
      </c>
      <c r="AF70" s="633">
        <f t="shared" si="45"/>
        <v>4890.7380513260505</v>
      </c>
      <c r="AG70" s="633">
        <f t="shared" si="45"/>
        <v>4890.7380513260505</v>
      </c>
    </row>
    <row r="71" spans="2:33" s="349" customFormat="1" ht="15" customHeight="1" thickBot="1" x14ac:dyDescent="0.25">
      <c r="B71" s="547" t="s">
        <v>585</v>
      </c>
      <c r="C71" s="547"/>
      <c r="D71" s="646">
        <f t="shared" ref="D71:T71" si="46">IF(D64=0,(D69/D65),(D69/SUM($D64:$T64)))</f>
        <v>0.26343322198196101</v>
      </c>
      <c r="E71" s="829">
        <f t="shared" si="46"/>
        <v>0.45360311647158497</v>
      </c>
      <c r="F71" s="829">
        <f t="shared" si="46"/>
        <v>0.63437017384308403</v>
      </c>
      <c r="G71" s="829">
        <f t="shared" si="46"/>
        <v>0.90767822684912969</v>
      </c>
      <c r="H71" s="829">
        <f t="shared" si="46"/>
        <v>1.1320256296874496</v>
      </c>
      <c r="I71" s="829">
        <f t="shared" si="46"/>
        <v>1.325424637476375</v>
      </c>
      <c r="J71" s="829">
        <f t="shared" si="46"/>
        <v>1.3845741632800419</v>
      </c>
      <c r="K71" s="829">
        <f t="shared" si="46"/>
        <v>1.3075950021355722</v>
      </c>
      <c r="L71" s="829">
        <f t="shared" si="46"/>
        <v>1.1958958436603992</v>
      </c>
      <c r="M71" s="829">
        <f t="shared" si="46"/>
        <v>1.1725383104112479</v>
      </c>
      <c r="N71" s="829">
        <f t="shared" si="46"/>
        <v>0.88222037944732912</v>
      </c>
      <c r="O71" s="829">
        <f t="shared" si="46"/>
        <v>1.2980021979105361</v>
      </c>
      <c r="P71" s="829">
        <f t="shared" si="46"/>
        <v>1.8942674034952551</v>
      </c>
      <c r="Q71" s="829">
        <f t="shared" si="46"/>
        <v>2.3552325088826742</v>
      </c>
      <c r="R71" s="829">
        <f t="shared" si="46"/>
        <v>1.6256455876037927</v>
      </c>
      <c r="S71" s="829">
        <f t="shared" si="46"/>
        <v>0.40056897150548654</v>
      </c>
      <c r="T71" s="774">
        <f t="shared" si="46"/>
        <v>0</v>
      </c>
      <c r="U71" s="774" t="e">
        <f t="shared" ref="U71:AG71" si="47">IF(U64=0,(U69/U65),(U69/SUM($D64:$T64)))</f>
        <v>#DIV/0!</v>
      </c>
      <c r="V71" s="774" t="e">
        <f t="shared" si="47"/>
        <v>#DIV/0!</v>
      </c>
      <c r="W71" s="774" t="e">
        <f t="shared" si="47"/>
        <v>#DIV/0!</v>
      </c>
      <c r="X71" s="774" t="e">
        <f t="shared" si="47"/>
        <v>#DIV/0!</v>
      </c>
      <c r="Y71" s="774" t="e">
        <f t="shared" si="47"/>
        <v>#DIV/0!</v>
      </c>
      <c r="Z71" s="774" t="e">
        <f t="shared" si="47"/>
        <v>#DIV/0!</v>
      </c>
      <c r="AA71" s="774" t="e">
        <f t="shared" si="47"/>
        <v>#DIV/0!</v>
      </c>
      <c r="AB71" s="774" t="e">
        <f t="shared" si="47"/>
        <v>#DIV/0!</v>
      </c>
      <c r="AC71" s="774" t="e">
        <f t="shared" si="47"/>
        <v>#DIV/0!</v>
      </c>
      <c r="AD71" s="774" t="e">
        <f t="shared" si="47"/>
        <v>#DIV/0!</v>
      </c>
      <c r="AE71" s="774" t="e">
        <f t="shared" si="47"/>
        <v>#DIV/0!</v>
      </c>
      <c r="AF71" s="774" t="e">
        <f t="shared" si="47"/>
        <v>#DIV/0!</v>
      </c>
      <c r="AG71" s="774" t="e">
        <f t="shared" si="47"/>
        <v>#DIV/0!</v>
      </c>
    </row>
    <row r="72" spans="2:33" ht="15" customHeight="1" x14ac:dyDescent="0.2">
      <c r="B72" s="545"/>
      <c r="C72" s="545"/>
      <c r="D72" s="636"/>
      <c r="E72" s="636"/>
      <c r="F72" s="636"/>
      <c r="G72" s="636"/>
      <c r="H72" s="636"/>
      <c r="I72" s="636"/>
      <c r="J72" s="636"/>
      <c r="K72" s="636"/>
      <c r="L72" s="636"/>
      <c r="M72" s="636"/>
      <c r="N72" s="636"/>
      <c r="O72" s="636"/>
      <c r="P72" s="636"/>
      <c r="Q72" s="636"/>
      <c r="R72" s="636"/>
      <c r="S72" s="636"/>
      <c r="T72" s="636"/>
    </row>
  </sheetData>
  <mergeCells count="22">
    <mergeCell ref="B46:C46"/>
    <mergeCell ref="D57:T57"/>
    <mergeCell ref="D67:T67"/>
    <mergeCell ref="P7:Q7"/>
    <mergeCell ref="R7:T7"/>
    <mergeCell ref="P8:Q8"/>
    <mergeCell ref="R8:T8"/>
    <mergeCell ref="P9:T15"/>
    <mergeCell ref="B16:C16"/>
    <mergeCell ref="D48:T48"/>
    <mergeCell ref="P4:Q4"/>
    <mergeCell ref="R4:T4"/>
    <mergeCell ref="P5:Q5"/>
    <mergeCell ref="R5:T5"/>
    <mergeCell ref="P6:Q6"/>
    <mergeCell ref="R6:T6"/>
    <mergeCell ref="P1:Q1"/>
    <mergeCell ref="R1:T1"/>
    <mergeCell ref="P2:Q2"/>
    <mergeCell ref="R2:T2"/>
    <mergeCell ref="P3:Q3"/>
    <mergeCell ref="R3:T3"/>
  </mergeCells>
  <conditionalFormatting sqref="E28:O28">
    <cfRule type="cellIs" dxfId="11" priority="4" operator="greaterThan">
      <formula>2%</formula>
    </cfRule>
  </conditionalFormatting>
  <conditionalFormatting sqref="P28:T28">
    <cfRule type="cellIs" dxfId="10" priority="3" operator="greaterThan">
      <formula>2%</formula>
    </cfRule>
  </conditionalFormatting>
  <conditionalFormatting sqref="P43:T43">
    <cfRule type="cellIs" dxfId="9" priority="1" operator="greaterThan">
      <formula>2%</formula>
    </cfRule>
  </conditionalFormatting>
  <conditionalFormatting sqref="E43:O43">
    <cfRule type="cellIs" dxfId="8" priority="2" operator="greaterThan">
      <formula>2%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A37"/>
  </sheetPr>
  <dimension ref="B1:AA72"/>
  <sheetViews>
    <sheetView zoomScale="28" zoomScaleNormal="28" workbookViewId="0">
      <selection activeCell="R4" sqref="R4:T4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21.140625" style="2" customWidth="1"/>
    <col min="4" max="4" width="9.7109375" style="2" customWidth="1"/>
    <col min="5" max="5" width="9.7109375" style="2" bestFit="1" customWidth="1"/>
    <col min="6" max="17" width="9.140625" style="2"/>
    <col min="18" max="18" width="9.7109375" style="2" bestFit="1" customWidth="1"/>
    <col min="19" max="20" width="9.140625" style="2"/>
    <col min="21" max="27" width="0" style="2" hidden="1" customWidth="1"/>
    <col min="28" max="16384" width="9.140625" style="2"/>
  </cols>
  <sheetData>
    <row r="1" spans="2:20" ht="22.5" customHeight="1" x14ac:dyDescent="0.35">
      <c r="B1" s="543"/>
      <c r="P1" s="1486" t="s">
        <v>400</v>
      </c>
      <c r="Q1" s="1486"/>
      <c r="R1" s="1484" t="s">
        <v>629</v>
      </c>
      <c r="S1" s="1506"/>
      <c r="T1" s="1485"/>
    </row>
    <row r="2" spans="2:20" ht="22.5" customHeight="1" x14ac:dyDescent="0.35">
      <c r="B2" s="543"/>
      <c r="P2" s="1486" t="s">
        <v>627</v>
      </c>
      <c r="Q2" s="1486"/>
      <c r="R2" s="1484" t="s">
        <v>401</v>
      </c>
      <c r="S2" s="1506"/>
      <c r="T2" s="1485"/>
    </row>
    <row r="3" spans="2:20" ht="22.5" customHeight="1" x14ac:dyDescent="0.35">
      <c r="B3" s="543"/>
      <c r="P3" s="1482" t="s">
        <v>402</v>
      </c>
      <c r="Q3" s="1483"/>
      <c r="R3" s="1492" t="s">
        <v>1391</v>
      </c>
      <c r="S3" s="1507"/>
      <c r="T3" s="1493"/>
    </row>
    <row r="4" spans="2:20" ht="22.5" customHeight="1" x14ac:dyDescent="0.35">
      <c r="B4" s="543"/>
      <c r="P4" s="1482" t="s">
        <v>403</v>
      </c>
      <c r="Q4" s="1483"/>
      <c r="R4" s="1494">
        <f>'Smolt Production'!R57</f>
        <v>0</v>
      </c>
      <c r="S4" s="1508"/>
      <c r="T4" s="1495"/>
    </row>
    <row r="5" spans="2:20" ht="22.5" customHeight="1" x14ac:dyDescent="0.35">
      <c r="B5" s="543"/>
      <c r="P5" s="1482" t="s">
        <v>404</v>
      </c>
      <c r="Q5" s="1483"/>
      <c r="R5" s="1509">
        <f>D58</f>
        <v>104.49551550559518</v>
      </c>
      <c r="S5" s="1510"/>
      <c r="T5" s="1511"/>
    </row>
    <row r="6" spans="2:20" ht="22.5" customHeight="1" x14ac:dyDescent="0.35">
      <c r="B6" s="543"/>
      <c r="P6" s="1482" t="s">
        <v>405</v>
      </c>
      <c r="Q6" s="1483"/>
      <c r="R6" s="1484">
        <v>45000</v>
      </c>
      <c r="S6" s="1506"/>
      <c r="T6" s="1485"/>
    </row>
    <row r="7" spans="2:20" ht="22.5" customHeight="1" x14ac:dyDescent="0.35">
      <c r="B7" s="543"/>
      <c r="P7" s="1482" t="s">
        <v>406</v>
      </c>
      <c r="Q7" s="1483"/>
      <c r="R7" s="1484">
        <v>3500</v>
      </c>
      <c r="S7" s="1506"/>
      <c r="T7" s="1485"/>
    </row>
    <row r="8" spans="2:20" ht="22.5" customHeight="1" x14ac:dyDescent="0.35">
      <c r="B8" s="543"/>
      <c r="P8" s="1486" t="s">
        <v>407</v>
      </c>
      <c r="Q8" s="1486"/>
      <c r="R8" s="1487">
        <f>SUM(E65:T65)/1000</f>
        <v>605.53774784203529</v>
      </c>
      <c r="S8" s="1513"/>
      <c r="T8" s="1488"/>
    </row>
    <row r="9" spans="2:20" ht="22.5" customHeight="1" x14ac:dyDescent="0.35">
      <c r="B9" s="543"/>
      <c r="P9" s="1489"/>
      <c r="Q9" s="1489"/>
      <c r="R9" s="1489"/>
      <c r="S9" s="1489"/>
      <c r="T9" s="1489"/>
    </row>
    <row r="10" spans="2:20" ht="22.5" customHeight="1" x14ac:dyDescent="0.35">
      <c r="B10" s="543"/>
      <c r="P10" s="1490"/>
      <c r="Q10" s="1490"/>
      <c r="R10" s="1490"/>
      <c r="S10" s="1490"/>
      <c r="T10" s="1490"/>
    </row>
    <row r="11" spans="2:20" ht="22.5" customHeight="1" x14ac:dyDescent="0.35">
      <c r="B11" s="543"/>
      <c r="P11" s="1490"/>
      <c r="Q11" s="1490"/>
      <c r="R11" s="1490"/>
      <c r="S11" s="1490"/>
      <c r="T11" s="1490"/>
    </row>
    <row r="12" spans="2:20" ht="22.5" customHeight="1" x14ac:dyDescent="0.35">
      <c r="B12" s="543"/>
      <c r="P12" s="1490"/>
      <c r="Q12" s="1490"/>
      <c r="R12" s="1490"/>
      <c r="S12" s="1490"/>
      <c r="T12" s="1490"/>
    </row>
    <row r="13" spans="2:20" ht="22.5" customHeight="1" x14ac:dyDescent="0.35">
      <c r="B13" s="543"/>
      <c r="P13" s="1490"/>
      <c r="Q13" s="1490"/>
      <c r="R13" s="1490"/>
      <c r="S13" s="1490"/>
      <c r="T13" s="1490"/>
    </row>
    <row r="14" spans="2:20" ht="22.5" customHeight="1" x14ac:dyDescent="0.35">
      <c r="B14" s="543"/>
      <c r="P14" s="1490"/>
      <c r="Q14" s="1490"/>
      <c r="R14" s="1490"/>
      <c r="S14" s="1490"/>
      <c r="T14" s="1490"/>
    </row>
    <row r="15" spans="2:20" ht="22.5" customHeight="1" x14ac:dyDescent="0.35">
      <c r="B15" s="543"/>
      <c r="P15" s="1490"/>
      <c r="Q15" s="1490"/>
      <c r="R15" s="1490"/>
      <c r="S15" s="1490"/>
      <c r="T15" s="1490"/>
    </row>
    <row r="16" spans="2:20" hidden="1" x14ac:dyDescent="0.2">
      <c r="B16" s="1491" t="s">
        <v>408</v>
      </c>
      <c r="C16" s="1491"/>
      <c r="D16" s="599"/>
      <c r="E16" s="544" t="e">
        <f>MONTH(R3)</f>
        <v>#VALUE!</v>
      </c>
      <c r="F16" s="544" t="e">
        <f>E16+1</f>
        <v>#VALUE!</v>
      </c>
      <c r="G16" s="544" t="e">
        <f t="shared" ref="G16:T16" si="0">F16+1</f>
        <v>#VALUE!</v>
      </c>
      <c r="H16" s="544" t="e">
        <f t="shared" si="0"/>
        <v>#VALUE!</v>
      </c>
      <c r="I16" s="544" t="e">
        <f t="shared" si="0"/>
        <v>#VALUE!</v>
      </c>
      <c r="J16" s="544" t="e">
        <f t="shared" si="0"/>
        <v>#VALUE!</v>
      </c>
      <c r="K16" s="544" t="e">
        <f t="shared" si="0"/>
        <v>#VALUE!</v>
      </c>
      <c r="L16" s="544" t="e">
        <f t="shared" si="0"/>
        <v>#VALUE!</v>
      </c>
      <c r="M16" s="544" t="e">
        <f t="shared" si="0"/>
        <v>#VALUE!</v>
      </c>
      <c r="N16" s="544" t="e">
        <f t="shared" si="0"/>
        <v>#VALUE!</v>
      </c>
      <c r="O16" s="544" t="e">
        <f t="shared" si="0"/>
        <v>#VALUE!</v>
      </c>
      <c r="P16" s="544" t="e">
        <f t="shared" si="0"/>
        <v>#VALUE!</v>
      </c>
      <c r="Q16" s="544" t="e">
        <f t="shared" si="0"/>
        <v>#VALUE!</v>
      </c>
      <c r="R16" s="544" t="e">
        <f t="shared" si="0"/>
        <v>#VALUE!</v>
      </c>
      <c r="S16" s="544" t="e">
        <f t="shared" si="0"/>
        <v>#VALUE!</v>
      </c>
      <c r="T16" s="544" t="e">
        <f t="shared" si="0"/>
        <v>#VALUE!</v>
      </c>
    </row>
    <row r="17" spans="2:27" s="8" customFormat="1" ht="15" customHeight="1" x14ac:dyDescent="0.2">
      <c r="B17" s="545" t="s">
        <v>409</v>
      </c>
      <c r="C17" s="545"/>
      <c r="D17" s="545" t="s">
        <v>167</v>
      </c>
      <c r="E17" s="545" t="s">
        <v>168</v>
      </c>
      <c r="F17" s="545" t="s">
        <v>169</v>
      </c>
      <c r="G17" s="545" t="s">
        <v>170</v>
      </c>
      <c r="H17" s="545" t="s">
        <v>171</v>
      </c>
      <c r="I17" s="545" t="s">
        <v>172</v>
      </c>
      <c r="J17" s="545" t="s">
        <v>173</v>
      </c>
      <c r="K17" s="545" t="s">
        <v>174</v>
      </c>
      <c r="L17" s="545" t="s">
        <v>175</v>
      </c>
      <c r="M17" s="545" t="s">
        <v>176</v>
      </c>
      <c r="N17" s="545" t="s">
        <v>177</v>
      </c>
      <c r="O17" s="545" t="s">
        <v>178</v>
      </c>
      <c r="P17" s="545" t="s">
        <v>167</v>
      </c>
      <c r="Q17" s="545" t="s">
        <v>168</v>
      </c>
      <c r="R17" s="545" t="s">
        <v>169</v>
      </c>
      <c r="S17" s="545" t="s">
        <v>170</v>
      </c>
      <c r="T17" s="545" t="s">
        <v>171</v>
      </c>
      <c r="U17" s="545" t="s">
        <v>172</v>
      </c>
      <c r="V17" s="545" t="s">
        <v>173</v>
      </c>
      <c r="W17" s="545" t="s">
        <v>174</v>
      </c>
      <c r="X17" s="545" t="s">
        <v>175</v>
      </c>
      <c r="Y17" s="545" t="s">
        <v>176</v>
      </c>
      <c r="Z17" s="545" t="s">
        <v>177</v>
      </c>
      <c r="AA17" s="545" t="s">
        <v>178</v>
      </c>
    </row>
    <row r="18" spans="2:27" ht="15" customHeight="1" x14ac:dyDescent="0.2">
      <c r="B18" s="283" t="s">
        <v>410</v>
      </c>
      <c r="C18" s="283"/>
      <c r="D18" s="283">
        <f>VLOOKUP(D17,'Input data'!$AA$5:$AC$16,3,FALSE)</f>
        <v>31</v>
      </c>
      <c r="E18" s="283">
        <f>VLOOKUP(E17,'Input data'!$AA$5:$AC$16,3,FALSE)</f>
        <v>31</v>
      </c>
      <c r="F18" s="283">
        <f>VLOOKUP(F17,'Input data'!$AA$5:$AC$16,3,FALSE)</f>
        <v>30</v>
      </c>
      <c r="G18" s="283">
        <f>VLOOKUP(G17,'Input data'!$AA$5:$AC$16,3,FALSE)</f>
        <v>31</v>
      </c>
      <c r="H18" s="283">
        <f>VLOOKUP(H17,'Input data'!$AA$5:$AC$16,3,FALSE)</f>
        <v>30</v>
      </c>
      <c r="I18" s="283">
        <f>VLOOKUP(I17,'Input data'!$AA$5:$AC$16,3,FALSE)</f>
        <v>31</v>
      </c>
      <c r="J18" s="283">
        <f>VLOOKUP(J17,'Input data'!$AA$5:$AC$16,3,FALSE)</f>
        <v>31</v>
      </c>
      <c r="K18" s="283">
        <f>VLOOKUP(K17,'Input data'!$AA$5:$AC$16,3,FALSE)</f>
        <v>28</v>
      </c>
      <c r="L18" s="283">
        <f>VLOOKUP(L17,'Input data'!$AA$5:$AC$16,3,FALSE)</f>
        <v>31</v>
      </c>
      <c r="M18" s="283">
        <f>VLOOKUP(M17,'Input data'!$AA$5:$AC$16,3,FALSE)</f>
        <v>30</v>
      </c>
      <c r="N18" s="283">
        <f>VLOOKUP(N17,'Input data'!$AA$5:$AC$16,3,FALSE)</f>
        <v>31</v>
      </c>
      <c r="O18" s="283">
        <f>VLOOKUP(O17,'Input data'!$AA$5:$AC$16,3,FALSE)</f>
        <v>30</v>
      </c>
      <c r="P18" s="283">
        <f>VLOOKUP(P17,'Input data'!$AA$5:$AC$16,3,FALSE)</f>
        <v>31</v>
      </c>
      <c r="Q18" s="283">
        <f>VLOOKUP(Q17,'Input data'!$AA$5:$AC$16,3,FALSE)</f>
        <v>31</v>
      </c>
      <c r="R18" s="283">
        <f>VLOOKUP(R17,'Input data'!$AA$5:$AC$16,3,FALSE)</f>
        <v>30</v>
      </c>
      <c r="S18" s="283">
        <f>VLOOKUP(S17,'Input data'!$AA$5:$AC$16,3,FALSE)</f>
        <v>31</v>
      </c>
      <c r="T18" s="283">
        <f>VLOOKUP(T17,'Input data'!$AA$5:$AC$16,3,FALSE)</f>
        <v>30</v>
      </c>
      <c r="U18" s="283">
        <f>VLOOKUP(U17,'Input data'!$AA$5:$AC$16,3,FALSE)</f>
        <v>31</v>
      </c>
      <c r="V18" s="283">
        <f>VLOOKUP(V17,'Input data'!$AA$5:$AC$16,3,FALSE)</f>
        <v>31</v>
      </c>
      <c r="W18" s="283">
        <f>VLOOKUP(W17,'Input data'!$AA$5:$AC$16,3,FALSE)</f>
        <v>28</v>
      </c>
      <c r="X18" s="283">
        <f>VLOOKUP(X17,'Input data'!$AA$5:$AC$16,3,FALSE)</f>
        <v>31</v>
      </c>
      <c r="Y18" s="283">
        <f>VLOOKUP(Y17,'Input data'!$AA$5:$AC$16,3,FALSE)</f>
        <v>30</v>
      </c>
      <c r="Z18" s="283">
        <f>VLOOKUP(Z17,'Input data'!$AA$5:$AC$16,3,FALSE)</f>
        <v>31</v>
      </c>
      <c r="AA18" s="283">
        <f>VLOOKUP(AA17,'Input data'!$AA$5:$AC$16,3,FALSE)</f>
        <v>30</v>
      </c>
    </row>
    <row r="19" spans="2:27" ht="15" customHeight="1" x14ac:dyDescent="0.2">
      <c r="B19" s="283" t="s">
        <v>411</v>
      </c>
      <c r="C19" s="283"/>
      <c r="D19" s="283">
        <f>VLOOKUP(D17,'Input data'!$AA$5:$AC$16,2,FALSE)</f>
        <v>13</v>
      </c>
      <c r="E19" s="283">
        <f>VLOOKUP(E17,'Input data'!$AA$5:$AC$16,2,FALSE)</f>
        <v>13</v>
      </c>
      <c r="F19" s="283">
        <f>VLOOKUP(F17,'Input data'!$AA$5:$AC$16,2,FALSE)</f>
        <v>14</v>
      </c>
      <c r="G19" s="283">
        <f>VLOOKUP(G17,'Input data'!$AA$5:$AC$16,2,FALSE)</f>
        <v>16</v>
      </c>
      <c r="H19" s="283">
        <f>VLOOKUP(H17,'Input data'!$AA$5:$AC$16,2,FALSE)</f>
        <v>17</v>
      </c>
      <c r="I19" s="283">
        <f>VLOOKUP(I17,'Input data'!$AA$5:$AC$16,2,FALSE)</f>
        <v>18</v>
      </c>
      <c r="J19" s="283">
        <f>VLOOKUP(J17,'Input data'!$AA$5:$AC$16,2,FALSE)</f>
        <v>19</v>
      </c>
      <c r="K19" s="283">
        <f>VLOOKUP(K17,'Input data'!$AA$5:$AC$16,2,FALSE)</f>
        <v>20</v>
      </c>
      <c r="L19" s="283">
        <f>VLOOKUP(L17,'Input data'!$AA$5:$AC$16,2,FALSE)</f>
        <v>18</v>
      </c>
      <c r="M19" s="283">
        <f>VLOOKUP(M17,'Input data'!$AA$5:$AC$16,2,FALSE)</f>
        <v>16</v>
      </c>
      <c r="N19" s="283">
        <f>VLOOKUP(N17,'Input data'!$AA$5:$AC$16,2,FALSE)</f>
        <v>14</v>
      </c>
      <c r="O19" s="283">
        <f>VLOOKUP(O17,'Input data'!$AA$5:$AC$16,2,FALSE)</f>
        <v>13</v>
      </c>
      <c r="P19" s="283">
        <f>VLOOKUP(P17,'Input data'!$AA$5:$AC$16,2,FALSE)</f>
        <v>13</v>
      </c>
      <c r="Q19" s="283">
        <f>VLOOKUP(Q17,'Input data'!$AA$5:$AC$16,2,FALSE)</f>
        <v>13</v>
      </c>
      <c r="R19" s="283">
        <f>VLOOKUP(R17,'Input data'!$AA$5:$AC$16,2,FALSE)</f>
        <v>14</v>
      </c>
      <c r="S19" s="283">
        <f>VLOOKUP(S17,'Input data'!$AA$5:$AC$16,2,FALSE)</f>
        <v>16</v>
      </c>
      <c r="T19" s="283">
        <f>VLOOKUP(T17,'Input data'!$AA$5:$AC$16,2,FALSE)</f>
        <v>17</v>
      </c>
      <c r="U19" s="283">
        <f>VLOOKUP(U17,'Input data'!$AA$5:$AC$16,2,FALSE)</f>
        <v>18</v>
      </c>
      <c r="V19" s="283">
        <f>VLOOKUP(V17,'Input data'!$AA$5:$AC$16,2,FALSE)</f>
        <v>19</v>
      </c>
      <c r="W19" s="283">
        <f>VLOOKUP(W17,'Input data'!$AA$5:$AC$16,2,FALSE)</f>
        <v>20</v>
      </c>
      <c r="X19" s="283">
        <f>VLOOKUP(X17,'Input data'!$AA$5:$AC$16,2,FALSE)</f>
        <v>18</v>
      </c>
      <c r="Y19" s="283">
        <f>VLOOKUP(Y17,'Input data'!$AA$5:$AC$16,2,FALSE)</f>
        <v>16</v>
      </c>
      <c r="Z19" s="283">
        <f>VLOOKUP(Z17,'Input data'!$AA$5:$AC$16,2,FALSE)</f>
        <v>14</v>
      </c>
      <c r="AA19" s="283">
        <f>VLOOKUP(AA17,'Input data'!$AA$5:$AC$16,2,FALSE)</f>
        <v>13</v>
      </c>
    </row>
    <row r="20" spans="2:27" ht="15" customHeight="1" x14ac:dyDescent="0.2">
      <c r="B20" s="283" t="s">
        <v>412</v>
      </c>
      <c r="C20" s="283"/>
      <c r="D20" s="283">
        <v>1</v>
      </c>
      <c r="E20" s="283">
        <f>D20+1</f>
        <v>2</v>
      </c>
      <c r="F20" s="283">
        <f>E20+1</f>
        <v>3</v>
      </c>
      <c r="G20" s="283">
        <f>F20+1</f>
        <v>4</v>
      </c>
      <c r="H20" s="283">
        <f t="shared" ref="H20:T20" si="1">G20+1</f>
        <v>5</v>
      </c>
      <c r="I20" s="283">
        <f t="shared" si="1"/>
        <v>6</v>
      </c>
      <c r="J20" s="283">
        <f t="shared" si="1"/>
        <v>7</v>
      </c>
      <c r="K20" s="283">
        <f t="shared" si="1"/>
        <v>8</v>
      </c>
      <c r="L20" s="283">
        <f t="shared" si="1"/>
        <v>9</v>
      </c>
      <c r="M20" s="283">
        <f t="shared" si="1"/>
        <v>10</v>
      </c>
      <c r="N20" s="283">
        <f t="shared" si="1"/>
        <v>11</v>
      </c>
      <c r="O20" s="283">
        <f t="shared" si="1"/>
        <v>12</v>
      </c>
      <c r="P20" s="283">
        <f t="shared" si="1"/>
        <v>13</v>
      </c>
      <c r="Q20" s="283">
        <f t="shared" si="1"/>
        <v>14</v>
      </c>
      <c r="R20" s="283">
        <f t="shared" si="1"/>
        <v>15</v>
      </c>
      <c r="S20" s="283">
        <f t="shared" si="1"/>
        <v>16</v>
      </c>
      <c r="T20" s="283">
        <f t="shared" si="1"/>
        <v>17</v>
      </c>
      <c r="U20" s="283">
        <f t="shared" ref="U20:AA20" si="2">T20+1</f>
        <v>18</v>
      </c>
      <c r="V20" s="283">
        <f t="shared" si="2"/>
        <v>19</v>
      </c>
      <c r="W20" s="283">
        <f t="shared" si="2"/>
        <v>20</v>
      </c>
      <c r="X20" s="283">
        <f t="shared" si="2"/>
        <v>21</v>
      </c>
      <c r="Y20" s="283">
        <f t="shared" si="2"/>
        <v>22</v>
      </c>
      <c r="Z20" s="283">
        <f t="shared" si="2"/>
        <v>23</v>
      </c>
      <c r="AA20" s="283">
        <f t="shared" si="2"/>
        <v>24</v>
      </c>
    </row>
    <row r="21" spans="2:27" ht="3" customHeight="1" x14ac:dyDescent="0.2">
      <c r="B21" s="545"/>
      <c r="C21" s="545"/>
      <c r="D21" s="545"/>
      <c r="E21" s="545"/>
      <c r="F21" s="545"/>
      <c r="G21" s="545"/>
      <c r="H21" s="545"/>
      <c r="I21" s="545"/>
      <c r="J21" s="545"/>
      <c r="K21" s="545"/>
      <c r="L21" s="545"/>
      <c r="M21" s="545"/>
      <c r="N21" s="545"/>
      <c r="O21" s="545"/>
      <c r="P21" s="545"/>
      <c r="Q21" s="545"/>
      <c r="R21" s="545"/>
      <c r="S21" s="545"/>
      <c r="T21" s="545"/>
    </row>
    <row r="22" spans="2:27" ht="15" hidden="1" customHeight="1" x14ac:dyDescent="0.25">
      <c r="B22" s="546" t="s">
        <v>413</v>
      </c>
      <c r="C22" s="545"/>
      <c r="D22" s="545"/>
      <c r="E22" s="545"/>
      <c r="F22" s="545"/>
      <c r="G22" s="545"/>
      <c r="H22" s="545"/>
      <c r="I22" s="545"/>
      <c r="J22" s="545"/>
      <c r="K22" s="545"/>
      <c r="L22" s="545"/>
      <c r="M22" s="545"/>
      <c r="N22" s="545"/>
      <c r="O22" s="545"/>
      <c r="P22" s="545"/>
      <c r="Q22" s="545"/>
      <c r="R22" s="545"/>
      <c r="S22" s="545"/>
      <c r="T22" s="545"/>
    </row>
    <row r="23" spans="2:27" ht="15" hidden="1" customHeight="1" x14ac:dyDescent="0.2">
      <c r="B23" s="545" t="s">
        <v>414</v>
      </c>
      <c r="C23" s="545"/>
      <c r="D23" s="545"/>
      <c r="E23" s="545"/>
      <c r="F23" s="545"/>
      <c r="G23" s="545"/>
      <c r="H23" s="545"/>
      <c r="I23" s="545"/>
      <c r="J23" s="545"/>
      <c r="K23" s="545"/>
      <c r="L23" s="545"/>
      <c r="M23" s="545"/>
      <c r="N23" s="545"/>
      <c r="O23" s="545"/>
      <c r="P23" s="545"/>
      <c r="Q23" s="545"/>
      <c r="R23" s="545"/>
      <c r="S23" s="545"/>
      <c r="T23" s="545"/>
    </row>
    <row r="24" spans="2:27" ht="12.75" hidden="1" customHeight="1" x14ac:dyDescent="0.2">
      <c r="B24" s="547" t="s">
        <v>415</v>
      </c>
      <c r="C24" s="547"/>
      <c r="D24" s="547"/>
      <c r="E24" s="548">
        <f>R4</f>
        <v>0</v>
      </c>
      <c r="F24" s="547">
        <f t="shared" ref="F24:T24" si="3">E31</f>
        <v>0</v>
      </c>
      <c r="G24" s="547">
        <f t="shared" si="3"/>
        <v>0</v>
      </c>
      <c r="H24" s="547">
        <f t="shared" si="3"/>
        <v>0</v>
      </c>
      <c r="I24" s="547">
        <f t="shared" si="3"/>
        <v>0</v>
      </c>
      <c r="J24" s="547">
        <f t="shared" si="3"/>
        <v>0</v>
      </c>
      <c r="K24" s="547">
        <f t="shared" si="3"/>
        <v>0</v>
      </c>
      <c r="L24" s="547">
        <f t="shared" si="3"/>
        <v>0</v>
      </c>
      <c r="M24" s="547">
        <f t="shared" si="3"/>
        <v>0</v>
      </c>
      <c r="N24" s="547">
        <f t="shared" si="3"/>
        <v>0</v>
      </c>
      <c r="O24" s="547">
        <f t="shared" si="3"/>
        <v>0</v>
      </c>
      <c r="P24" s="547">
        <f t="shared" si="3"/>
        <v>0</v>
      </c>
      <c r="Q24" s="547">
        <f t="shared" si="3"/>
        <v>0</v>
      </c>
      <c r="R24" s="547">
        <f t="shared" si="3"/>
        <v>0</v>
      </c>
      <c r="S24" s="547">
        <f t="shared" si="3"/>
        <v>0</v>
      </c>
      <c r="T24" s="547">
        <f t="shared" si="3"/>
        <v>0</v>
      </c>
    </row>
    <row r="25" spans="2:27" ht="12.75" hidden="1" customHeight="1" x14ac:dyDescent="0.2">
      <c r="B25" s="548" t="s">
        <v>416</v>
      </c>
      <c r="C25" s="548"/>
      <c r="D25" s="548"/>
      <c r="E25" s="548"/>
      <c r="F25" s="548"/>
      <c r="G25" s="548"/>
      <c r="H25" s="548"/>
      <c r="I25" s="548"/>
      <c r="J25" s="548"/>
      <c r="K25" s="548"/>
      <c r="L25" s="548"/>
      <c r="M25" s="548"/>
      <c r="N25" s="548"/>
      <c r="O25" s="548"/>
      <c r="P25" s="548"/>
      <c r="Q25" s="548"/>
      <c r="R25" s="548"/>
      <c r="S25" s="548"/>
      <c r="T25" s="548"/>
    </row>
    <row r="26" spans="2:27" s="268" customFormat="1" ht="12.75" hidden="1" customHeight="1" x14ac:dyDescent="0.2">
      <c r="B26" s="548" t="s">
        <v>417</v>
      </c>
      <c r="C26" s="548"/>
      <c r="D26" s="548"/>
      <c r="E26" s="548"/>
      <c r="F26" s="548"/>
      <c r="G26" s="548"/>
      <c r="H26" s="548"/>
      <c r="I26" s="548"/>
      <c r="J26" s="548"/>
      <c r="K26" s="548"/>
      <c r="L26" s="548"/>
      <c r="M26" s="548"/>
      <c r="N26" s="548"/>
      <c r="O26" s="548"/>
      <c r="P26" s="548"/>
      <c r="Q26" s="548"/>
      <c r="R26" s="548"/>
      <c r="S26" s="548"/>
      <c r="T26" s="548"/>
    </row>
    <row r="27" spans="2:27" s="268" customFormat="1" ht="15" hidden="1" customHeight="1" x14ac:dyDescent="0.2">
      <c r="B27" s="547" t="s">
        <v>418</v>
      </c>
      <c r="C27" s="547"/>
      <c r="D27" s="547"/>
      <c r="E27" s="547">
        <f>E26</f>
        <v>0</v>
      </c>
      <c r="F27" s="547">
        <f t="shared" ref="F27:T27" si="4">E27+F26</f>
        <v>0</v>
      </c>
      <c r="G27" s="547">
        <f t="shared" si="4"/>
        <v>0</v>
      </c>
      <c r="H27" s="547">
        <f t="shared" si="4"/>
        <v>0</v>
      </c>
      <c r="I27" s="547">
        <f t="shared" si="4"/>
        <v>0</v>
      </c>
      <c r="J27" s="547">
        <f t="shared" si="4"/>
        <v>0</v>
      </c>
      <c r="K27" s="547">
        <f t="shared" si="4"/>
        <v>0</v>
      </c>
      <c r="L27" s="547">
        <f t="shared" si="4"/>
        <v>0</v>
      </c>
      <c r="M27" s="547">
        <f t="shared" si="4"/>
        <v>0</v>
      </c>
      <c r="N27" s="547">
        <f t="shared" si="4"/>
        <v>0</v>
      </c>
      <c r="O27" s="547">
        <f t="shared" si="4"/>
        <v>0</v>
      </c>
      <c r="P27" s="547">
        <f t="shared" si="4"/>
        <v>0</v>
      </c>
      <c r="Q27" s="547">
        <f t="shared" si="4"/>
        <v>0</v>
      </c>
      <c r="R27" s="547">
        <f t="shared" si="4"/>
        <v>0</v>
      </c>
      <c r="S27" s="547">
        <f t="shared" si="4"/>
        <v>0</v>
      </c>
      <c r="T27" s="547">
        <f t="shared" si="4"/>
        <v>0</v>
      </c>
    </row>
    <row r="28" spans="2:27" s="268" customFormat="1" ht="15" hidden="1" customHeight="1" x14ac:dyDescent="0.2">
      <c r="B28" s="547" t="s">
        <v>419</v>
      </c>
      <c r="C28" s="547"/>
      <c r="D28" s="547"/>
      <c r="E28" s="547">
        <f t="shared" ref="E28:T28" si="5">IF(E26&gt;0,(E26/E24),(0))</f>
        <v>0</v>
      </c>
      <c r="F28" s="547">
        <f t="shared" si="5"/>
        <v>0</v>
      </c>
      <c r="G28" s="547">
        <f t="shared" si="5"/>
        <v>0</v>
      </c>
      <c r="H28" s="547">
        <f t="shared" si="5"/>
        <v>0</v>
      </c>
      <c r="I28" s="547">
        <f t="shared" si="5"/>
        <v>0</v>
      </c>
      <c r="J28" s="547">
        <f t="shared" si="5"/>
        <v>0</v>
      </c>
      <c r="K28" s="547">
        <f t="shared" si="5"/>
        <v>0</v>
      </c>
      <c r="L28" s="547">
        <f t="shared" si="5"/>
        <v>0</v>
      </c>
      <c r="M28" s="547">
        <f t="shared" si="5"/>
        <v>0</v>
      </c>
      <c r="N28" s="547">
        <f t="shared" si="5"/>
        <v>0</v>
      </c>
      <c r="O28" s="547">
        <f t="shared" si="5"/>
        <v>0</v>
      </c>
      <c r="P28" s="547">
        <f t="shared" si="5"/>
        <v>0</v>
      </c>
      <c r="Q28" s="547">
        <f t="shared" si="5"/>
        <v>0</v>
      </c>
      <c r="R28" s="547">
        <f t="shared" si="5"/>
        <v>0</v>
      </c>
      <c r="S28" s="547">
        <f t="shared" si="5"/>
        <v>0</v>
      </c>
      <c r="T28" s="547">
        <f t="shared" si="5"/>
        <v>0</v>
      </c>
    </row>
    <row r="29" spans="2:27" s="268" customFormat="1" ht="15" hidden="1" customHeight="1" x14ac:dyDescent="0.2">
      <c r="B29" s="547" t="s">
        <v>420</v>
      </c>
      <c r="C29" s="547"/>
      <c r="D29" s="547"/>
      <c r="E29" s="547" t="e">
        <f t="shared" ref="E29:T29" si="6">E27/$E24</f>
        <v>#DIV/0!</v>
      </c>
      <c r="F29" s="547" t="e">
        <f t="shared" si="6"/>
        <v>#DIV/0!</v>
      </c>
      <c r="G29" s="547" t="e">
        <f t="shared" si="6"/>
        <v>#DIV/0!</v>
      </c>
      <c r="H29" s="547" t="e">
        <f t="shared" si="6"/>
        <v>#DIV/0!</v>
      </c>
      <c r="I29" s="547" t="e">
        <f t="shared" si="6"/>
        <v>#DIV/0!</v>
      </c>
      <c r="J29" s="547" t="e">
        <f t="shared" si="6"/>
        <v>#DIV/0!</v>
      </c>
      <c r="K29" s="547" t="e">
        <f t="shared" si="6"/>
        <v>#DIV/0!</v>
      </c>
      <c r="L29" s="547" t="e">
        <f t="shared" si="6"/>
        <v>#DIV/0!</v>
      </c>
      <c r="M29" s="547" t="e">
        <f t="shared" si="6"/>
        <v>#DIV/0!</v>
      </c>
      <c r="N29" s="547" t="e">
        <f t="shared" si="6"/>
        <v>#DIV/0!</v>
      </c>
      <c r="O29" s="547" t="e">
        <f t="shared" si="6"/>
        <v>#DIV/0!</v>
      </c>
      <c r="P29" s="547" t="e">
        <f t="shared" si="6"/>
        <v>#DIV/0!</v>
      </c>
      <c r="Q29" s="547" t="e">
        <f t="shared" si="6"/>
        <v>#DIV/0!</v>
      </c>
      <c r="R29" s="547" t="e">
        <f t="shared" si="6"/>
        <v>#DIV/0!</v>
      </c>
      <c r="S29" s="547" t="e">
        <f t="shared" si="6"/>
        <v>#DIV/0!</v>
      </c>
      <c r="T29" s="547" t="e">
        <f t="shared" si="6"/>
        <v>#DIV/0!</v>
      </c>
    </row>
    <row r="30" spans="2:27" hidden="1" x14ac:dyDescent="0.2">
      <c r="B30" s="548" t="s">
        <v>421</v>
      </c>
      <c r="C30" s="548"/>
      <c r="D30" s="548"/>
      <c r="E30" s="548">
        <v>0</v>
      </c>
      <c r="F30" s="548">
        <v>0</v>
      </c>
      <c r="G30" s="548">
        <v>0</v>
      </c>
      <c r="H30" s="548">
        <v>0</v>
      </c>
      <c r="I30" s="548">
        <v>0</v>
      </c>
      <c r="J30" s="548">
        <v>0</v>
      </c>
      <c r="K30" s="548">
        <v>0</v>
      </c>
      <c r="L30" s="548">
        <v>0</v>
      </c>
      <c r="M30" s="548">
        <v>0</v>
      </c>
      <c r="N30" s="548">
        <v>0</v>
      </c>
      <c r="O30" s="548">
        <v>0</v>
      </c>
      <c r="P30" s="548">
        <v>0</v>
      </c>
      <c r="Q30" s="548">
        <v>0</v>
      </c>
      <c r="R30" s="548">
        <v>0</v>
      </c>
      <c r="S30" s="548">
        <v>0</v>
      </c>
      <c r="T30" s="548">
        <v>0</v>
      </c>
    </row>
    <row r="31" spans="2:27" ht="15" hidden="1" customHeight="1" x14ac:dyDescent="0.2">
      <c r="B31" s="547" t="s">
        <v>422</v>
      </c>
      <c r="C31" s="547"/>
      <c r="D31" s="547"/>
      <c r="E31" s="547">
        <f t="shared" ref="E31:T31" si="7">E24-E25-E26-E30</f>
        <v>0</v>
      </c>
      <c r="F31" s="547">
        <f t="shared" si="7"/>
        <v>0</v>
      </c>
      <c r="G31" s="547">
        <f t="shared" si="7"/>
        <v>0</v>
      </c>
      <c r="H31" s="547">
        <f t="shared" si="7"/>
        <v>0</v>
      </c>
      <c r="I31" s="547">
        <f t="shared" si="7"/>
        <v>0</v>
      </c>
      <c r="J31" s="547">
        <f t="shared" si="7"/>
        <v>0</v>
      </c>
      <c r="K31" s="547">
        <f t="shared" si="7"/>
        <v>0</v>
      </c>
      <c r="L31" s="547">
        <f t="shared" si="7"/>
        <v>0</v>
      </c>
      <c r="M31" s="547">
        <f t="shared" si="7"/>
        <v>0</v>
      </c>
      <c r="N31" s="547">
        <f t="shared" si="7"/>
        <v>0</v>
      </c>
      <c r="O31" s="547">
        <f t="shared" si="7"/>
        <v>0</v>
      </c>
      <c r="P31" s="547">
        <f t="shared" si="7"/>
        <v>0</v>
      </c>
      <c r="Q31" s="547">
        <f t="shared" si="7"/>
        <v>0</v>
      </c>
      <c r="R31" s="547">
        <f t="shared" si="7"/>
        <v>0</v>
      </c>
      <c r="S31" s="547">
        <f t="shared" si="7"/>
        <v>0</v>
      </c>
      <c r="T31" s="547">
        <f t="shared" si="7"/>
        <v>0</v>
      </c>
    </row>
    <row r="32" spans="2:27" ht="15" hidden="1" customHeight="1" x14ac:dyDescent="0.2">
      <c r="B32" s="545" t="s">
        <v>423</v>
      </c>
      <c r="C32" s="545"/>
      <c r="D32" s="545"/>
      <c r="E32" s="545"/>
      <c r="F32" s="545"/>
      <c r="G32" s="545"/>
      <c r="H32" s="545"/>
      <c r="I32" s="545"/>
      <c r="J32" s="545"/>
      <c r="K32" s="545"/>
      <c r="L32" s="545"/>
      <c r="M32" s="545"/>
      <c r="N32" s="545"/>
      <c r="O32" s="545"/>
      <c r="P32" s="545"/>
      <c r="Q32" s="545"/>
      <c r="R32" s="545"/>
      <c r="S32" s="545"/>
      <c r="T32" s="545"/>
    </row>
    <row r="33" spans="2:20" ht="12.75" hidden="1" customHeight="1" x14ac:dyDescent="0.2">
      <c r="B33" s="547" t="s">
        <v>424</v>
      </c>
      <c r="C33" s="547"/>
      <c r="D33" s="547"/>
      <c r="E33" s="548">
        <f>R5</f>
        <v>104.49551550559518</v>
      </c>
      <c r="F33" s="547">
        <f>E36</f>
        <v>0</v>
      </c>
      <c r="G33" s="547">
        <f>F36</f>
        <v>0</v>
      </c>
      <c r="H33" s="547">
        <f t="shared" ref="H33:T33" si="8">G36</f>
        <v>0</v>
      </c>
      <c r="I33" s="547">
        <f t="shared" si="8"/>
        <v>0</v>
      </c>
      <c r="J33" s="547">
        <f t="shared" si="8"/>
        <v>0</v>
      </c>
      <c r="K33" s="547">
        <f t="shared" si="8"/>
        <v>0</v>
      </c>
      <c r="L33" s="547">
        <f t="shared" si="8"/>
        <v>0</v>
      </c>
      <c r="M33" s="547">
        <f t="shared" si="8"/>
        <v>0</v>
      </c>
      <c r="N33" s="547">
        <f t="shared" si="8"/>
        <v>0</v>
      </c>
      <c r="O33" s="547">
        <f t="shared" si="8"/>
        <v>0</v>
      </c>
      <c r="P33" s="547">
        <f t="shared" si="8"/>
        <v>0</v>
      </c>
      <c r="Q33" s="547">
        <f t="shared" si="8"/>
        <v>0</v>
      </c>
      <c r="R33" s="547">
        <f t="shared" si="8"/>
        <v>0</v>
      </c>
      <c r="S33" s="547">
        <f t="shared" si="8"/>
        <v>0</v>
      </c>
      <c r="T33" s="547">
        <f t="shared" si="8"/>
        <v>0</v>
      </c>
    </row>
    <row r="34" spans="2:20" ht="12.75" hidden="1" customHeight="1" x14ac:dyDescent="0.2">
      <c r="B34" s="547" t="s">
        <v>425</v>
      </c>
      <c r="C34" s="547"/>
      <c r="D34" s="547"/>
      <c r="E34" s="547">
        <f t="shared" ref="E34:T34" si="9">(E24*E33)/1000</f>
        <v>0</v>
      </c>
      <c r="F34" s="547">
        <f t="shared" si="9"/>
        <v>0</v>
      </c>
      <c r="G34" s="547">
        <f t="shared" si="9"/>
        <v>0</v>
      </c>
      <c r="H34" s="547">
        <f t="shared" si="9"/>
        <v>0</v>
      </c>
      <c r="I34" s="547">
        <f t="shared" si="9"/>
        <v>0</v>
      </c>
      <c r="J34" s="547">
        <f t="shared" si="9"/>
        <v>0</v>
      </c>
      <c r="K34" s="547">
        <f t="shared" si="9"/>
        <v>0</v>
      </c>
      <c r="L34" s="547">
        <f t="shared" si="9"/>
        <v>0</v>
      </c>
      <c r="M34" s="547">
        <f t="shared" si="9"/>
        <v>0</v>
      </c>
      <c r="N34" s="547">
        <f t="shared" si="9"/>
        <v>0</v>
      </c>
      <c r="O34" s="547">
        <f t="shared" si="9"/>
        <v>0</v>
      </c>
      <c r="P34" s="547">
        <f t="shared" si="9"/>
        <v>0</v>
      </c>
      <c r="Q34" s="547">
        <f t="shared" si="9"/>
        <v>0</v>
      </c>
      <c r="R34" s="547">
        <f t="shared" si="9"/>
        <v>0</v>
      </c>
      <c r="S34" s="547">
        <f t="shared" si="9"/>
        <v>0</v>
      </c>
      <c r="T34" s="547">
        <f t="shared" si="9"/>
        <v>0</v>
      </c>
    </row>
    <row r="35" spans="2:20" ht="12.75" hidden="1" customHeight="1" x14ac:dyDescent="0.2">
      <c r="B35" s="547" t="s">
        <v>426</v>
      </c>
      <c r="C35" s="547"/>
      <c r="D35" s="547"/>
      <c r="E35" s="547">
        <f t="shared" ref="E35:T35" si="10">((E36/E33)^(1/E18)-1)*100</f>
        <v>-100</v>
      </c>
      <c r="F35" s="547" t="e">
        <f t="shared" si="10"/>
        <v>#DIV/0!</v>
      </c>
      <c r="G35" s="547" t="e">
        <f t="shared" si="10"/>
        <v>#DIV/0!</v>
      </c>
      <c r="H35" s="547" t="e">
        <f t="shared" si="10"/>
        <v>#DIV/0!</v>
      </c>
      <c r="I35" s="547" t="e">
        <f t="shared" si="10"/>
        <v>#DIV/0!</v>
      </c>
      <c r="J35" s="547" t="e">
        <f t="shared" si="10"/>
        <v>#DIV/0!</v>
      </c>
      <c r="K35" s="547" t="e">
        <f t="shared" si="10"/>
        <v>#DIV/0!</v>
      </c>
      <c r="L35" s="547" t="e">
        <f t="shared" si="10"/>
        <v>#DIV/0!</v>
      </c>
      <c r="M35" s="547" t="e">
        <f t="shared" si="10"/>
        <v>#DIV/0!</v>
      </c>
      <c r="N35" s="547" t="e">
        <f t="shared" si="10"/>
        <v>#DIV/0!</v>
      </c>
      <c r="O35" s="547" t="e">
        <f t="shared" si="10"/>
        <v>#DIV/0!</v>
      </c>
      <c r="P35" s="547" t="e">
        <f t="shared" si="10"/>
        <v>#DIV/0!</v>
      </c>
      <c r="Q35" s="547" t="e">
        <f t="shared" si="10"/>
        <v>#DIV/0!</v>
      </c>
      <c r="R35" s="547" t="e">
        <f t="shared" si="10"/>
        <v>#DIV/0!</v>
      </c>
      <c r="S35" s="547" t="e">
        <f t="shared" si="10"/>
        <v>#DIV/0!</v>
      </c>
      <c r="T35" s="547" t="e">
        <f t="shared" si="10"/>
        <v>#DIV/0!</v>
      </c>
    </row>
    <row r="36" spans="2:20" ht="15" hidden="1" customHeight="1" x14ac:dyDescent="0.2">
      <c r="B36" s="548" t="s">
        <v>427</v>
      </c>
      <c r="C36" s="548"/>
      <c r="D36" s="548"/>
      <c r="E36" s="548"/>
      <c r="F36" s="548"/>
      <c r="G36" s="548"/>
      <c r="H36" s="548"/>
      <c r="I36" s="548"/>
      <c r="J36" s="548"/>
      <c r="K36" s="548"/>
      <c r="L36" s="548"/>
      <c r="M36" s="548"/>
      <c r="N36" s="548"/>
      <c r="O36" s="548"/>
      <c r="P36" s="548"/>
      <c r="Q36" s="548"/>
      <c r="R36" s="548"/>
      <c r="S36" s="548"/>
      <c r="T36" s="548"/>
    </row>
    <row r="37" spans="2:20" ht="15" hidden="1" customHeight="1" x14ac:dyDescent="0.2">
      <c r="B37" s="548" t="s">
        <v>428</v>
      </c>
      <c r="C37" s="548"/>
      <c r="D37" s="548"/>
      <c r="E37" s="548"/>
      <c r="F37" s="548"/>
      <c r="G37" s="548"/>
      <c r="H37" s="548"/>
      <c r="I37" s="548"/>
      <c r="J37" s="548"/>
      <c r="K37" s="548"/>
      <c r="L37" s="548"/>
      <c r="M37" s="548"/>
      <c r="N37" s="548"/>
      <c r="O37" s="548"/>
      <c r="P37" s="548"/>
      <c r="Q37" s="548"/>
      <c r="R37" s="548"/>
      <c r="S37" s="548"/>
      <c r="T37" s="548"/>
    </row>
    <row r="38" spans="2:20" ht="15" hidden="1" customHeight="1" x14ac:dyDescent="0.2">
      <c r="B38" s="548" t="s">
        <v>429</v>
      </c>
      <c r="C38" s="548"/>
      <c r="D38" s="548"/>
      <c r="E38" s="548"/>
      <c r="F38" s="548"/>
      <c r="G38" s="548"/>
      <c r="H38" s="548"/>
      <c r="I38" s="548"/>
      <c r="J38" s="548"/>
      <c r="K38" s="548"/>
      <c r="L38" s="548"/>
      <c r="M38" s="548"/>
      <c r="N38" s="548"/>
      <c r="O38" s="548"/>
      <c r="P38" s="548"/>
      <c r="Q38" s="548"/>
      <c r="R38" s="548"/>
      <c r="S38" s="548"/>
      <c r="T38" s="548"/>
    </row>
    <row r="39" spans="2:20" ht="15" hidden="1" customHeight="1" x14ac:dyDescent="0.2">
      <c r="B39" s="547" t="s">
        <v>430</v>
      </c>
      <c r="C39" s="547"/>
      <c r="D39" s="547"/>
      <c r="E39" s="547">
        <f t="shared" ref="E39:P39" si="11">(E31*E36)/1000</f>
        <v>0</v>
      </c>
      <c r="F39" s="547">
        <f t="shared" si="11"/>
        <v>0</v>
      </c>
      <c r="G39" s="547">
        <f t="shared" si="11"/>
        <v>0</v>
      </c>
      <c r="H39" s="547">
        <f t="shared" si="11"/>
        <v>0</v>
      </c>
      <c r="I39" s="547">
        <f t="shared" si="11"/>
        <v>0</v>
      </c>
      <c r="J39" s="547">
        <f t="shared" si="11"/>
        <v>0</v>
      </c>
      <c r="K39" s="547">
        <f t="shared" si="11"/>
        <v>0</v>
      </c>
      <c r="L39" s="547">
        <f t="shared" si="11"/>
        <v>0</v>
      </c>
      <c r="M39" s="547">
        <f t="shared" si="11"/>
        <v>0</v>
      </c>
      <c r="N39" s="547">
        <f t="shared" si="11"/>
        <v>0</v>
      </c>
      <c r="O39" s="547">
        <f t="shared" si="11"/>
        <v>0</v>
      </c>
      <c r="P39" s="547">
        <f t="shared" si="11"/>
        <v>0</v>
      </c>
      <c r="Q39" s="547"/>
      <c r="R39" s="547"/>
      <c r="S39" s="547"/>
      <c r="T39" s="547"/>
    </row>
    <row r="40" spans="2:20" ht="15" hidden="1" customHeight="1" x14ac:dyDescent="0.2">
      <c r="B40" s="545" t="s">
        <v>431</v>
      </c>
      <c r="C40" s="545"/>
      <c r="D40" s="545"/>
      <c r="E40" s="545"/>
      <c r="F40" s="545"/>
      <c r="G40" s="545"/>
      <c r="H40" s="545"/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5"/>
      <c r="T40" s="545"/>
    </row>
    <row r="41" spans="2:20" ht="12.75" hidden="1" customHeight="1" x14ac:dyDescent="0.2">
      <c r="B41" s="548" t="s">
        <v>432</v>
      </c>
      <c r="C41" s="548"/>
      <c r="D41" s="548"/>
      <c r="E41" s="548"/>
      <c r="F41" s="548"/>
      <c r="G41" s="548"/>
      <c r="H41" s="548"/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</row>
    <row r="42" spans="2:20" ht="12.75" hidden="1" customHeight="1" x14ac:dyDescent="0.2">
      <c r="B42" s="547" t="s">
        <v>433</v>
      </c>
      <c r="C42" s="547"/>
      <c r="D42" s="547"/>
      <c r="E42" s="547">
        <f t="shared" ref="E42:T42" si="12">IF(E41&gt;0,(E41/(E39-E34)),(0))</f>
        <v>0</v>
      </c>
      <c r="F42" s="547">
        <f t="shared" si="12"/>
        <v>0</v>
      </c>
      <c r="G42" s="547">
        <f t="shared" si="12"/>
        <v>0</v>
      </c>
      <c r="H42" s="547">
        <f t="shared" si="12"/>
        <v>0</v>
      </c>
      <c r="I42" s="547">
        <f t="shared" si="12"/>
        <v>0</v>
      </c>
      <c r="J42" s="547">
        <f t="shared" si="12"/>
        <v>0</v>
      </c>
      <c r="K42" s="547">
        <f t="shared" si="12"/>
        <v>0</v>
      </c>
      <c r="L42" s="547">
        <f t="shared" si="12"/>
        <v>0</v>
      </c>
      <c r="M42" s="547">
        <f t="shared" si="12"/>
        <v>0</v>
      </c>
      <c r="N42" s="547">
        <f t="shared" si="12"/>
        <v>0</v>
      </c>
      <c r="O42" s="547">
        <f t="shared" si="12"/>
        <v>0</v>
      </c>
      <c r="P42" s="547">
        <f t="shared" si="12"/>
        <v>0</v>
      </c>
      <c r="Q42" s="547">
        <f t="shared" si="12"/>
        <v>0</v>
      </c>
      <c r="R42" s="547">
        <f t="shared" si="12"/>
        <v>0</v>
      </c>
      <c r="S42" s="547">
        <f t="shared" si="12"/>
        <v>0</v>
      </c>
      <c r="T42" s="547">
        <f t="shared" si="12"/>
        <v>0</v>
      </c>
    </row>
    <row r="43" spans="2:20" s="268" customFormat="1" ht="12.75" hidden="1" customHeight="1" x14ac:dyDescent="0.2">
      <c r="B43" s="547" t="s">
        <v>434</v>
      </c>
      <c r="C43" s="547"/>
      <c r="D43" s="547"/>
      <c r="E43" s="547">
        <f>E41</f>
        <v>0</v>
      </c>
      <c r="F43" s="547">
        <f>(E43+F41)</f>
        <v>0</v>
      </c>
      <c r="G43" s="547">
        <f>(F43+G41)</f>
        <v>0</v>
      </c>
      <c r="H43" s="547">
        <f t="shared" ref="H43:T43" si="13">(G43+H41)</f>
        <v>0</v>
      </c>
      <c r="I43" s="547">
        <f t="shared" si="13"/>
        <v>0</v>
      </c>
      <c r="J43" s="547">
        <f t="shared" si="13"/>
        <v>0</v>
      </c>
      <c r="K43" s="547">
        <f t="shared" si="13"/>
        <v>0</v>
      </c>
      <c r="L43" s="547">
        <f t="shared" si="13"/>
        <v>0</v>
      </c>
      <c r="M43" s="547">
        <f t="shared" si="13"/>
        <v>0</v>
      </c>
      <c r="N43" s="547">
        <f t="shared" si="13"/>
        <v>0</v>
      </c>
      <c r="O43" s="547">
        <f t="shared" si="13"/>
        <v>0</v>
      </c>
      <c r="P43" s="547">
        <f t="shared" si="13"/>
        <v>0</v>
      </c>
      <c r="Q43" s="547">
        <f t="shared" si="13"/>
        <v>0</v>
      </c>
      <c r="R43" s="547">
        <f t="shared" si="13"/>
        <v>0</v>
      </c>
      <c r="S43" s="547">
        <f t="shared" si="13"/>
        <v>0</v>
      </c>
      <c r="T43" s="547">
        <f t="shared" si="13"/>
        <v>0</v>
      </c>
    </row>
    <row r="44" spans="2:20" s="268" customFormat="1" ht="15" hidden="1" customHeight="1" x14ac:dyDescent="0.2">
      <c r="B44" s="547" t="s">
        <v>435</v>
      </c>
      <c r="C44" s="547"/>
      <c r="D44" s="547"/>
      <c r="E44" s="547">
        <f>E42</f>
        <v>0</v>
      </c>
      <c r="F44" s="547">
        <f t="shared" ref="F44:T44" si="14">IF(F41&gt;0,(F43/(F39-$E34)),(0))</f>
        <v>0</v>
      </c>
      <c r="G44" s="547">
        <f t="shared" si="14"/>
        <v>0</v>
      </c>
      <c r="H44" s="547">
        <f t="shared" si="14"/>
        <v>0</v>
      </c>
      <c r="I44" s="547">
        <f t="shared" si="14"/>
        <v>0</v>
      </c>
      <c r="J44" s="547">
        <f t="shared" si="14"/>
        <v>0</v>
      </c>
      <c r="K44" s="547">
        <f t="shared" si="14"/>
        <v>0</v>
      </c>
      <c r="L44" s="547">
        <f t="shared" si="14"/>
        <v>0</v>
      </c>
      <c r="M44" s="547">
        <f t="shared" si="14"/>
        <v>0</v>
      </c>
      <c r="N44" s="547">
        <f t="shared" si="14"/>
        <v>0</v>
      </c>
      <c r="O44" s="547">
        <f t="shared" si="14"/>
        <v>0</v>
      </c>
      <c r="P44" s="547">
        <f t="shared" si="14"/>
        <v>0</v>
      </c>
      <c r="Q44" s="547">
        <f t="shared" si="14"/>
        <v>0</v>
      </c>
      <c r="R44" s="547">
        <f t="shared" si="14"/>
        <v>0</v>
      </c>
      <c r="S44" s="547">
        <f t="shared" si="14"/>
        <v>0</v>
      </c>
      <c r="T44" s="547">
        <f t="shared" si="14"/>
        <v>0</v>
      </c>
    </row>
    <row r="45" spans="2:20" ht="15" hidden="1" customHeight="1" x14ac:dyDescent="0.2">
      <c r="B45" s="545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5"/>
      <c r="T45" s="545"/>
    </row>
    <row r="46" spans="2:20" s="200" customFormat="1" ht="13.5" hidden="1" thickBot="1" x14ac:dyDescent="0.25">
      <c r="B46" s="1481"/>
      <c r="C46" s="1481"/>
      <c r="D46" s="598"/>
      <c r="E46" s="549"/>
      <c r="F46" s="549"/>
      <c r="G46" s="549"/>
      <c r="H46" s="549"/>
      <c r="I46" s="549"/>
      <c r="J46" s="549"/>
      <c r="K46" s="549"/>
      <c r="L46" s="549"/>
      <c r="M46" s="549"/>
      <c r="N46" s="549"/>
      <c r="O46" s="549"/>
      <c r="P46" s="549"/>
      <c r="Q46" s="549"/>
      <c r="R46" s="549"/>
      <c r="S46" s="549"/>
      <c r="T46" s="549"/>
    </row>
    <row r="47" spans="2:20" ht="16.5" thickBot="1" x14ac:dyDescent="0.3">
      <c r="B47" s="5" t="s">
        <v>436</v>
      </c>
    </row>
    <row r="48" spans="2:20" ht="15" customHeight="1" thickBot="1" x14ac:dyDescent="0.3">
      <c r="B48" s="545" t="s">
        <v>414</v>
      </c>
      <c r="C48" s="545"/>
      <c r="D48" s="1496" t="s">
        <v>600</v>
      </c>
      <c r="E48" s="1497"/>
      <c r="F48" s="1497"/>
      <c r="G48" s="1497"/>
      <c r="H48" s="1497"/>
      <c r="I48" s="1497"/>
      <c r="J48" s="1497"/>
      <c r="K48" s="1497"/>
      <c r="L48" s="1497"/>
      <c r="M48" s="1497"/>
      <c r="N48" s="1497"/>
      <c r="O48" s="1497"/>
      <c r="P48" s="1497"/>
      <c r="Q48" s="1497"/>
      <c r="R48" s="1497"/>
      <c r="S48" s="1497"/>
      <c r="T48" s="1498"/>
    </row>
    <row r="49" spans="2:27" ht="15" customHeight="1" x14ac:dyDescent="0.2">
      <c r="B49" s="547" t="s">
        <v>415</v>
      </c>
      <c r="C49" s="547"/>
      <c r="D49" s="629">
        <f>'Smolt Production'!O57</f>
        <v>220000</v>
      </c>
      <c r="E49" s="630">
        <f>D56</f>
        <v>217800</v>
      </c>
      <c r="F49" s="630">
        <f>E56</f>
        <v>215622</v>
      </c>
      <c r="G49" s="773">
        <f>F56</f>
        <v>213465.78</v>
      </c>
      <c r="H49" s="830">
        <f t="shared" ref="H49:T49" si="15">G56</f>
        <v>211331.12220000001</v>
      </c>
      <c r="I49" s="830">
        <f t="shared" si="15"/>
        <v>209217.81097800002</v>
      </c>
      <c r="J49" s="630">
        <f t="shared" si="15"/>
        <v>207125.63286822001</v>
      </c>
      <c r="K49" s="630">
        <f t="shared" si="15"/>
        <v>205054.3765395378</v>
      </c>
      <c r="L49" s="630">
        <f t="shared" si="15"/>
        <v>203003.83277414241</v>
      </c>
      <c r="M49" s="630">
        <f t="shared" si="15"/>
        <v>200973.79444640098</v>
      </c>
      <c r="N49" s="630">
        <f t="shared" si="15"/>
        <v>148720.60789033675</v>
      </c>
      <c r="O49" s="630">
        <f t="shared" si="15"/>
        <v>110053.24983884918</v>
      </c>
      <c r="P49" s="630">
        <f t="shared" si="15"/>
        <v>108952.71734046069</v>
      </c>
      <c r="Q49" s="630">
        <f t="shared" si="15"/>
        <v>107863.19016705608</v>
      </c>
      <c r="R49" s="630">
        <f t="shared" si="15"/>
        <v>106784.55826538551</v>
      </c>
      <c r="S49" s="630">
        <f t="shared" si="15"/>
        <v>60716.712682731653</v>
      </c>
      <c r="T49" s="631">
        <f t="shared" si="15"/>
        <v>15109.54555590434</v>
      </c>
      <c r="U49" s="631">
        <f t="shared" ref="U49:AA49" si="16">T56</f>
        <v>0</v>
      </c>
      <c r="V49" s="631">
        <f t="shared" si="16"/>
        <v>0</v>
      </c>
      <c r="W49" s="631">
        <f t="shared" si="16"/>
        <v>0</v>
      </c>
      <c r="X49" s="631">
        <f t="shared" si="16"/>
        <v>0</v>
      </c>
      <c r="Y49" s="631">
        <f t="shared" si="16"/>
        <v>0</v>
      </c>
      <c r="Z49" s="631">
        <f t="shared" si="16"/>
        <v>0</v>
      </c>
      <c r="AA49" s="631">
        <f t="shared" si="16"/>
        <v>0</v>
      </c>
    </row>
    <row r="50" spans="2:27" ht="15" customHeight="1" x14ac:dyDescent="0.2">
      <c r="B50" s="547" t="s">
        <v>617</v>
      </c>
      <c r="C50" s="547"/>
      <c r="D50" s="632"/>
      <c r="E50" s="547"/>
      <c r="F50" s="547"/>
      <c r="G50" s="547"/>
      <c r="H50" s="627"/>
      <c r="I50" s="627"/>
      <c r="J50" s="547"/>
      <c r="K50" s="547"/>
      <c r="L50" s="547"/>
      <c r="M50" s="547">
        <f>'Input data'!$AF$23*'Batch2 - S0 Smolts'!M49</f>
        <v>50243.448611600244</v>
      </c>
      <c r="N50" s="547">
        <f>'Input data'!$AF$23*'Batch2 - S0 Smolts'!N49</f>
        <v>37180.151972584186</v>
      </c>
      <c r="O50" s="547">
        <f>VLOOKUP(O20,'Input data'!$R$5:$U$56,4,FALSE)*O49</f>
        <v>0</v>
      </c>
      <c r="P50" s="547">
        <f>VLOOKUP(P20,'Input data'!$R$5:$U$56,4,FALSE)*P49</f>
        <v>0</v>
      </c>
      <c r="Q50" s="547">
        <f>VLOOKUP(Q20,'Input data'!$R$5:$U$56,4,FALSE)*Q49</f>
        <v>0</v>
      </c>
      <c r="R50" s="547">
        <f>VLOOKUP(R20,'Input data'!$R$5:$U$56,4,FALSE)*R49</f>
        <v>0</v>
      </c>
      <c r="S50" s="547">
        <f>VLOOKUP(S20,'Input data'!$R$5:$U$56,4,FALSE)*S49</f>
        <v>0</v>
      </c>
      <c r="T50" s="633">
        <f>VLOOKUP(T20,'Input data'!$R$5:$U$56,4,FALSE)*T49</f>
        <v>0</v>
      </c>
      <c r="U50" s="633">
        <f>VLOOKUP(U20,'Input data'!$R$5:$U$56,4,FALSE)*U49</f>
        <v>0</v>
      </c>
      <c r="V50" s="633">
        <f>VLOOKUP(V20,'Input data'!$R$5:$U$56,4,FALSE)*V49</f>
        <v>0</v>
      </c>
      <c r="W50" s="633">
        <f>VLOOKUP(W20,'Input data'!$R$5:$U$56,4,FALSE)*W49</f>
        <v>0</v>
      </c>
      <c r="X50" s="633">
        <f>VLOOKUP(X20,'Input data'!$R$5:$U$56,4,FALSE)*X49</f>
        <v>0</v>
      </c>
      <c r="Y50" s="633">
        <f>VLOOKUP(Y20,'Input data'!$R$5:$U$56,4,FALSE)*Y49</f>
        <v>0</v>
      </c>
      <c r="Z50" s="633">
        <f>VLOOKUP(Z20,'Input data'!$R$5:$U$56,4,FALSE)*Z49</f>
        <v>0</v>
      </c>
      <c r="AA50" s="633">
        <f>VLOOKUP(AA20,'Input data'!$R$5:$U$56,4,FALSE)*AA49</f>
        <v>0</v>
      </c>
    </row>
    <row r="51" spans="2:27" s="268" customFormat="1" ht="15" customHeight="1" x14ac:dyDescent="0.2">
      <c r="B51" s="547" t="s">
        <v>417</v>
      </c>
      <c r="C51" s="547"/>
      <c r="D51" s="632">
        <f>D49*D53</f>
        <v>2200</v>
      </c>
      <c r="E51" s="547">
        <f>E49*E53</f>
        <v>2178</v>
      </c>
      <c r="F51" s="547">
        <f t="shared" ref="F51:T51" si="17">F49*F53</f>
        <v>2156.2200000000003</v>
      </c>
      <c r="G51" s="769">
        <f t="shared" si="17"/>
        <v>2134.6578</v>
      </c>
      <c r="H51" s="627">
        <f t="shared" si="17"/>
        <v>2113.3112220000003</v>
      </c>
      <c r="I51" s="627">
        <f t="shared" si="17"/>
        <v>2092.1781097800003</v>
      </c>
      <c r="J51" s="547">
        <f t="shared" si="17"/>
        <v>2071.2563286822001</v>
      </c>
      <c r="K51" s="547">
        <f t="shared" si="17"/>
        <v>2050.5437653953782</v>
      </c>
      <c r="L51" s="547">
        <f t="shared" si="17"/>
        <v>2030.0383277414242</v>
      </c>
      <c r="M51" s="547">
        <f t="shared" si="17"/>
        <v>2009.7379444640098</v>
      </c>
      <c r="N51" s="547">
        <f t="shared" si="17"/>
        <v>1487.2060789033674</v>
      </c>
      <c r="O51" s="547">
        <f t="shared" si="17"/>
        <v>1100.5324983884918</v>
      </c>
      <c r="P51" s="547">
        <f t="shared" si="17"/>
        <v>1089.5271734046069</v>
      </c>
      <c r="Q51" s="547">
        <f t="shared" si="17"/>
        <v>1078.6319016705609</v>
      </c>
      <c r="R51" s="547">
        <f t="shared" si="17"/>
        <v>1067.8455826538552</v>
      </c>
      <c r="S51" s="547">
        <f t="shared" si="17"/>
        <v>607.16712682731657</v>
      </c>
      <c r="T51" s="633">
        <f t="shared" si="17"/>
        <v>151.09545555904342</v>
      </c>
      <c r="U51" s="633">
        <f t="shared" ref="U51:AA51" si="18">U49*U53</f>
        <v>0</v>
      </c>
      <c r="V51" s="633">
        <f t="shared" si="18"/>
        <v>0</v>
      </c>
      <c r="W51" s="633">
        <f t="shared" si="18"/>
        <v>0</v>
      </c>
      <c r="X51" s="633">
        <f t="shared" si="18"/>
        <v>0</v>
      </c>
      <c r="Y51" s="633">
        <f t="shared" si="18"/>
        <v>0</v>
      </c>
      <c r="Z51" s="633">
        <f t="shared" si="18"/>
        <v>0</v>
      </c>
      <c r="AA51" s="633">
        <f t="shared" si="18"/>
        <v>0</v>
      </c>
    </row>
    <row r="52" spans="2:27" s="268" customFormat="1" ht="15" customHeight="1" x14ac:dyDescent="0.2">
      <c r="B52" s="547" t="s">
        <v>437</v>
      </c>
      <c r="C52" s="547"/>
      <c r="D52" s="632">
        <f t="shared" ref="D52:AA52" si="19">C52+D51</f>
        <v>2200</v>
      </c>
      <c r="E52" s="547">
        <f t="shared" si="19"/>
        <v>4378</v>
      </c>
      <c r="F52" s="547">
        <f t="shared" si="19"/>
        <v>6534.22</v>
      </c>
      <c r="G52" s="769">
        <f t="shared" si="19"/>
        <v>8668.8778000000002</v>
      </c>
      <c r="H52" s="627">
        <f t="shared" si="19"/>
        <v>10782.189022</v>
      </c>
      <c r="I52" s="627">
        <f t="shared" si="19"/>
        <v>12874.36713178</v>
      </c>
      <c r="J52" s="627">
        <f t="shared" si="19"/>
        <v>14945.6234604622</v>
      </c>
      <c r="K52" s="627">
        <f t="shared" si="19"/>
        <v>16996.167225857578</v>
      </c>
      <c r="L52" s="627">
        <f t="shared" si="19"/>
        <v>19026.205553599004</v>
      </c>
      <c r="M52" s="627">
        <f t="shared" si="19"/>
        <v>21035.943498063014</v>
      </c>
      <c r="N52" s="627">
        <f t="shared" si="19"/>
        <v>22523.149576966382</v>
      </c>
      <c r="O52" s="627">
        <f t="shared" si="19"/>
        <v>23623.682075354875</v>
      </c>
      <c r="P52" s="627">
        <f t="shared" si="19"/>
        <v>24713.209248759482</v>
      </c>
      <c r="Q52" s="627">
        <f t="shared" si="19"/>
        <v>25791.841150430042</v>
      </c>
      <c r="R52" s="627">
        <f t="shared" si="19"/>
        <v>26859.686733083898</v>
      </c>
      <c r="S52" s="627">
        <f t="shared" si="19"/>
        <v>27466.853859911214</v>
      </c>
      <c r="T52" s="767">
        <f t="shared" si="19"/>
        <v>27617.949315470258</v>
      </c>
      <c r="U52" s="767">
        <f t="shared" si="19"/>
        <v>27617.949315470258</v>
      </c>
      <c r="V52" s="767">
        <f t="shared" si="19"/>
        <v>27617.949315470258</v>
      </c>
      <c r="W52" s="767">
        <f t="shared" si="19"/>
        <v>27617.949315470258</v>
      </c>
      <c r="X52" s="767">
        <f t="shared" si="19"/>
        <v>27617.949315470258</v>
      </c>
      <c r="Y52" s="767">
        <f t="shared" si="19"/>
        <v>27617.949315470258</v>
      </c>
      <c r="Z52" s="767">
        <f t="shared" si="19"/>
        <v>27617.949315470258</v>
      </c>
      <c r="AA52" s="767">
        <f t="shared" si="19"/>
        <v>27617.949315470258</v>
      </c>
    </row>
    <row r="53" spans="2:27" s="268" customFormat="1" ht="15" customHeight="1" x14ac:dyDescent="0.2">
      <c r="B53" s="547" t="s">
        <v>438</v>
      </c>
      <c r="C53" s="547"/>
      <c r="D53" s="673">
        <f>VLOOKUP(D60,'Input data'!$R$5:$U$59,3,FALSE)</f>
        <v>0.01</v>
      </c>
      <c r="E53" s="551">
        <f>VLOOKUP(E60,'Input data'!$R$5:$U$59,3,FALSE)</f>
        <v>0.01</v>
      </c>
      <c r="F53" s="551">
        <f>VLOOKUP(F60,'Input data'!$R$5:$U$59,3,FALSE)</f>
        <v>0.01</v>
      </c>
      <c r="G53" s="551">
        <f>VLOOKUP(G60,'Input data'!$R$5:$U$59,3,FALSE)</f>
        <v>0.01</v>
      </c>
      <c r="H53" s="551">
        <f>VLOOKUP(H60,'Input data'!$R$5:$U$59,3,FALSE)</f>
        <v>0.01</v>
      </c>
      <c r="I53" s="551">
        <f>VLOOKUP(I60,'Input data'!$R$5:$U$59,3,FALSE)</f>
        <v>0.01</v>
      </c>
      <c r="J53" s="551">
        <f>VLOOKUP(J60,'Input data'!$R$5:$U$59,3,FALSE)</f>
        <v>0.01</v>
      </c>
      <c r="K53" s="551">
        <f>VLOOKUP(K60,'Input data'!$R$5:$U$59,3,FALSE)</f>
        <v>0.01</v>
      </c>
      <c r="L53" s="551">
        <f>VLOOKUP(L60,'Input data'!$R$5:$U$59,3,FALSE)</f>
        <v>0.01</v>
      </c>
      <c r="M53" s="551">
        <f>VLOOKUP(M60,'Input data'!$R$5:$U$59,3,FALSE)</f>
        <v>0.01</v>
      </c>
      <c r="N53" s="551">
        <f>VLOOKUP(N60,'Input data'!$R$5:$U$59,3,FALSE)</f>
        <v>0.01</v>
      </c>
      <c r="O53" s="551">
        <f>VLOOKUP(O60,'Input data'!$R$5:$U$59,3,FALSE)</f>
        <v>0.01</v>
      </c>
      <c r="P53" s="551">
        <f>VLOOKUP(P60,'Input data'!$R$5:$U$59,3,FALSE)</f>
        <v>0.01</v>
      </c>
      <c r="Q53" s="551">
        <f>VLOOKUP(Q60,'Input data'!$R$5:$U$59,3,FALSE)</f>
        <v>0.01</v>
      </c>
      <c r="R53" s="551">
        <f>VLOOKUP(R60,'Input data'!$R$5:$U$59,3,FALSE)</f>
        <v>0.01</v>
      </c>
      <c r="S53" s="551">
        <f>VLOOKUP(S60,'Input data'!$R$5:$U$59,3,FALSE)</f>
        <v>0.01</v>
      </c>
      <c r="T53" s="635">
        <f>VLOOKUP(T60,'Input data'!$R$5:$U$59,3,FALSE)</f>
        <v>0.01</v>
      </c>
      <c r="U53" s="635">
        <f>VLOOKUP(U60,'Input data'!$R$5:$U$59,3,FALSE)</f>
        <v>0.01</v>
      </c>
      <c r="V53" s="635">
        <f>VLOOKUP(V60,'Input data'!$R$5:$U$59,3,FALSE)</f>
        <v>0.01</v>
      </c>
      <c r="W53" s="635">
        <f>VLOOKUP(W60,'Input data'!$R$5:$U$59,3,FALSE)</f>
        <v>0.01</v>
      </c>
      <c r="X53" s="635">
        <f>VLOOKUP(X60,'Input data'!$R$5:$U$59,3,FALSE)</f>
        <v>0.01</v>
      </c>
      <c r="Y53" s="635">
        <f>VLOOKUP(Y60,'Input data'!$R$5:$U$59,3,FALSE)</f>
        <v>0.01</v>
      </c>
      <c r="Z53" s="635">
        <f>VLOOKUP(Z60,'Input data'!$R$5:$U$59,3,FALSE)</f>
        <v>0.01</v>
      </c>
      <c r="AA53" s="635">
        <f>VLOOKUP(AA60,'Input data'!$R$5:$U$59,3,FALSE)</f>
        <v>0.01</v>
      </c>
    </row>
    <row r="54" spans="2:27" s="268" customFormat="1" ht="15" customHeight="1" x14ac:dyDescent="0.2">
      <c r="B54" s="547" t="s">
        <v>420</v>
      </c>
      <c r="C54" s="547"/>
      <c r="D54" s="649">
        <f t="shared" ref="D54:T54" si="20">D52/$E49</f>
        <v>1.0101010101010102E-2</v>
      </c>
      <c r="E54" s="648">
        <f t="shared" si="20"/>
        <v>2.0101010101010102E-2</v>
      </c>
      <c r="F54" s="648">
        <f>F52/$E49</f>
        <v>3.0001010101010101E-2</v>
      </c>
      <c r="G54" s="771">
        <f t="shared" si="20"/>
        <v>3.9802010101010102E-2</v>
      </c>
      <c r="H54" s="650">
        <f t="shared" si="20"/>
        <v>4.9505000101010103E-2</v>
      </c>
      <c r="I54" s="650">
        <f t="shared" si="20"/>
        <v>5.9110960201010102E-2</v>
      </c>
      <c r="J54" s="648">
        <f t="shared" si="20"/>
        <v>6.8620860700010097E-2</v>
      </c>
      <c r="K54" s="648">
        <f t="shared" si="20"/>
        <v>7.8035662194020097E-2</v>
      </c>
      <c r="L54" s="648">
        <f t="shared" si="20"/>
        <v>8.7356315673090004E-2</v>
      </c>
      <c r="M54" s="648">
        <f t="shared" si="20"/>
        <v>9.6583762617369215E-2</v>
      </c>
      <c r="N54" s="648">
        <f t="shared" si="20"/>
        <v>0.10341207335613582</v>
      </c>
      <c r="O54" s="648">
        <f t="shared" si="20"/>
        <v>0.10846502330282312</v>
      </c>
      <c r="P54" s="648">
        <f t="shared" si="20"/>
        <v>0.11346744375004353</v>
      </c>
      <c r="Q54" s="648">
        <f t="shared" si="20"/>
        <v>0.11841983999279175</v>
      </c>
      <c r="R54" s="648">
        <f t="shared" si="20"/>
        <v>0.12332271227311248</v>
      </c>
      <c r="S54" s="648">
        <f t="shared" si="20"/>
        <v>0.12611044012815067</v>
      </c>
      <c r="T54" s="823">
        <f t="shared" si="20"/>
        <v>0.12680417500215913</v>
      </c>
      <c r="U54" s="823">
        <f t="shared" ref="U54:AA54" si="21">U52/$E49</f>
        <v>0.12680417500215913</v>
      </c>
      <c r="V54" s="823">
        <f t="shared" si="21"/>
        <v>0.12680417500215913</v>
      </c>
      <c r="W54" s="823">
        <f t="shared" si="21"/>
        <v>0.12680417500215913</v>
      </c>
      <c r="X54" s="823">
        <f t="shared" si="21"/>
        <v>0.12680417500215913</v>
      </c>
      <c r="Y54" s="823">
        <f t="shared" si="21"/>
        <v>0.12680417500215913</v>
      </c>
      <c r="Z54" s="823">
        <f t="shared" si="21"/>
        <v>0.12680417500215913</v>
      </c>
      <c r="AA54" s="823">
        <f t="shared" si="21"/>
        <v>0.12680417500215913</v>
      </c>
    </row>
    <row r="55" spans="2:27" ht="15" customHeight="1" x14ac:dyDescent="0.2">
      <c r="B55" s="547" t="s">
        <v>421</v>
      </c>
      <c r="C55" s="547"/>
      <c r="D55" s="632"/>
      <c r="E55" s="547">
        <f>IF(E58&gt;$R$7,IF(E49&gt;$R$6,$R$6,E49-E51),0)</f>
        <v>0</v>
      </c>
      <c r="F55" s="547">
        <f t="shared" ref="F55:T55" si="22">IF(F58&gt;$R$7,IF(F49&gt;$R$6,$R$6,F49-F51),0)</f>
        <v>0</v>
      </c>
      <c r="G55" s="769">
        <f t="shared" si="22"/>
        <v>0</v>
      </c>
      <c r="H55" s="627">
        <f t="shared" si="22"/>
        <v>0</v>
      </c>
      <c r="I55" s="627">
        <f t="shared" si="22"/>
        <v>0</v>
      </c>
      <c r="J55" s="547">
        <f t="shared" si="22"/>
        <v>0</v>
      </c>
      <c r="K55" s="547">
        <f t="shared" si="22"/>
        <v>0</v>
      </c>
      <c r="L55" s="547">
        <f t="shared" si="22"/>
        <v>0</v>
      </c>
      <c r="M55" s="547">
        <f t="shared" si="22"/>
        <v>0</v>
      </c>
      <c r="N55" s="547">
        <f t="shared" si="22"/>
        <v>0</v>
      </c>
      <c r="O55" s="547">
        <f t="shared" si="22"/>
        <v>0</v>
      </c>
      <c r="P55" s="547">
        <f t="shared" si="22"/>
        <v>0</v>
      </c>
      <c r="Q55" s="547">
        <f t="shared" si="22"/>
        <v>0</v>
      </c>
      <c r="R55" s="547">
        <f t="shared" si="22"/>
        <v>45000</v>
      </c>
      <c r="S55" s="547">
        <f t="shared" si="22"/>
        <v>45000</v>
      </c>
      <c r="T55" s="633">
        <f t="shared" si="22"/>
        <v>14958.450100345297</v>
      </c>
      <c r="U55" s="633">
        <f t="shared" ref="U55:AA55" si="23">IF(U58&gt;$R$7,IF(U49&gt;$R$6,$R$6,U49-U51),0)</f>
        <v>0</v>
      </c>
      <c r="V55" s="633">
        <f t="shared" si="23"/>
        <v>0</v>
      </c>
      <c r="W55" s="633">
        <f t="shared" si="23"/>
        <v>0</v>
      </c>
      <c r="X55" s="633">
        <f t="shared" si="23"/>
        <v>0</v>
      </c>
      <c r="Y55" s="633">
        <f t="shared" si="23"/>
        <v>0</v>
      </c>
      <c r="Z55" s="633">
        <f t="shared" si="23"/>
        <v>0</v>
      </c>
      <c r="AA55" s="633">
        <f t="shared" si="23"/>
        <v>0</v>
      </c>
    </row>
    <row r="56" spans="2:27" ht="15" customHeight="1" thickBot="1" x14ac:dyDescent="0.25">
      <c r="B56" s="547" t="s">
        <v>422</v>
      </c>
      <c r="C56" s="547"/>
      <c r="D56" s="637">
        <f t="shared" ref="D56:T56" si="24">D49-D50-D51-D55</f>
        <v>217800</v>
      </c>
      <c r="E56" s="638">
        <f t="shared" si="24"/>
        <v>215622</v>
      </c>
      <c r="F56" s="638">
        <f t="shared" si="24"/>
        <v>213465.78</v>
      </c>
      <c r="G56" s="772">
        <f t="shared" si="24"/>
        <v>211331.12220000001</v>
      </c>
      <c r="H56" s="828">
        <f t="shared" si="24"/>
        <v>209217.81097800002</v>
      </c>
      <c r="I56" s="828">
        <f t="shared" si="24"/>
        <v>207125.63286822001</v>
      </c>
      <c r="J56" s="638">
        <f t="shared" si="24"/>
        <v>205054.3765395378</v>
      </c>
      <c r="K56" s="638">
        <f t="shared" si="24"/>
        <v>203003.83277414241</v>
      </c>
      <c r="L56" s="638">
        <f t="shared" si="24"/>
        <v>200973.79444640098</v>
      </c>
      <c r="M56" s="638">
        <f t="shared" si="24"/>
        <v>148720.60789033675</v>
      </c>
      <c r="N56" s="638">
        <f t="shared" si="24"/>
        <v>110053.24983884918</v>
      </c>
      <c r="O56" s="638">
        <f t="shared" si="24"/>
        <v>108952.71734046069</v>
      </c>
      <c r="P56" s="638">
        <f t="shared" si="24"/>
        <v>107863.19016705608</v>
      </c>
      <c r="Q56" s="638">
        <f t="shared" si="24"/>
        <v>106784.55826538551</v>
      </c>
      <c r="R56" s="638">
        <f t="shared" si="24"/>
        <v>60716.712682731653</v>
      </c>
      <c r="S56" s="638">
        <f t="shared" si="24"/>
        <v>15109.54555590434</v>
      </c>
      <c r="T56" s="639">
        <f t="shared" si="24"/>
        <v>0</v>
      </c>
      <c r="U56" s="639">
        <f t="shared" ref="U56:AA56" si="25">U49-U50-U51-U55</f>
        <v>0</v>
      </c>
      <c r="V56" s="639">
        <f t="shared" si="25"/>
        <v>0</v>
      </c>
      <c r="W56" s="639">
        <f t="shared" si="25"/>
        <v>0</v>
      </c>
      <c r="X56" s="639">
        <f t="shared" si="25"/>
        <v>0</v>
      </c>
      <c r="Y56" s="639">
        <f t="shared" si="25"/>
        <v>0</v>
      </c>
      <c r="Z56" s="639">
        <f t="shared" si="25"/>
        <v>0</v>
      </c>
      <c r="AA56" s="639">
        <f t="shared" si="25"/>
        <v>0</v>
      </c>
    </row>
    <row r="57" spans="2:27" ht="15" customHeight="1" thickBot="1" x14ac:dyDescent="0.3">
      <c r="B57" s="545" t="s">
        <v>439</v>
      </c>
      <c r="C57" s="545"/>
      <c r="D57" s="1496" t="s">
        <v>600</v>
      </c>
      <c r="E57" s="1512"/>
      <c r="F57" s="1512"/>
      <c r="G57" s="1512"/>
      <c r="H57" s="1497"/>
      <c r="I57" s="1497"/>
      <c r="J57" s="1497"/>
      <c r="K57" s="1497"/>
      <c r="L57" s="1497"/>
      <c r="M57" s="1497"/>
      <c r="N57" s="1497"/>
      <c r="O57" s="1497"/>
      <c r="P57" s="1497"/>
      <c r="Q57" s="1497"/>
      <c r="R57" s="1497"/>
      <c r="S57" s="1497"/>
      <c r="T57" s="1498"/>
    </row>
    <row r="58" spans="2:27" ht="15" customHeight="1" x14ac:dyDescent="0.2">
      <c r="B58" s="547" t="s">
        <v>440</v>
      </c>
      <c r="C58" s="547"/>
      <c r="D58" s="629">
        <f>'Smolt Production'!O61</f>
        <v>104.49551550559518</v>
      </c>
      <c r="E58" s="630">
        <f>D62</f>
        <v>177.59162497380268</v>
      </c>
      <c r="F58" s="630">
        <f>E62</f>
        <v>294.09866838534026</v>
      </c>
      <c r="G58" s="773">
        <f>F62</f>
        <v>444.39429727726673</v>
      </c>
      <c r="H58" s="830">
        <f t="shared" ref="H58:M58" si="26">G62</f>
        <v>626.40025764567201</v>
      </c>
      <c r="I58" s="830">
        <f t="shared" si="26"/>
        <v>811.56825861545747</v>
      </c>
      <c r="J58" s="630">
        <f t="shared" si="26"/>
        <v>990.87107503755681</v>
      </c>
      <c r="K58" s="630">
        <f t="shared" si="26"/>
        <v>1180.0576257646985</v>
      </c>
      <c r="L58" s="630">
        <f t="shared" si="26"/>
        <v>1330.1065701526109</v>
      </c>
      <c r="M58" s="630">
        <f t="shared" si="26"/>
        <v>1569.6005637745366</v>
      </c>
      <c r="N58" s="630">
        <f>M62</f>
        <v>1913.750090807541</v>
      </c>
      <c r="O58" s="630">
        <f t="shared" ref="O58:T58" si="27">N62</f>
        <v>2336.5620694268646</v>
      </c>
      <c r="P58" s="630">
        <f t="shared" si="27"/>
        <v>2784.6346592707928</v>
      </c>
      <c r="Q58" s="630">
        <f t="shared" si="27"/>
        <v>3286.0255179373094</v>
      </c>
      <c r="R58" s="630">
        <f t="shared" si="27"/>
        <v>3931.2575920347049</v>
      </c>
      <c r="S58" s="630">
        <f t="shared" si="27"/>
        <v>4579.4117184486549</v>
      </c>
      <c r="T58" s="631">
        <f t="shared" si="27"/>
        <v>4849.5642197645675</v>
      </c>
      <c r="U58" s="631">
        <f t="shared" ref="U58:AA58" si="28">T62</f>
        <v>5083.7252677336619</v>
      </c>
      <c r="V58" s="631">
        <f t="shared" si="28"/>
        <v>5083.7252677336619</v>
      </c>
      <c r="W58" s="631">
        <f t="shared" si="28"/>
        <v>5083.7252677336619</v>
      </c>
      <c r="X58" s="631">
        <f t="shared" si="28"/>
        <v>5083.7252677336619</v>
      </c>
      <c r="Y58" s="631">
        <f t="shared" si="28"/>
        <v>5083.7252677336619</v>
      </c>
      <c r="Z58" s="631">
        <f t="shared" si="28"/>
        <v>5083.7252677336619</v>
      </c>
      <c r="AA58" s="631">
        <f t="shared" si="28"/>
        <v>5083.7252677336619</v>
      </c>
    </row>
    <row r="59" spans="2:27" ht="15" customHeight="1" x14ac:dyDescent="0.2">
      <c r="B59" s="547" t="s">
        <v>441</v>
      </c>
      <c r="C59" s="547"/>
      <c r="D59" s="632">
        <f>ROUNDUP(D58*1.1,0)</f>
        <v>115</v>
      </c>
      <c r="E59" s="547">
        <f>ROUNDUP(E58*1.1,0)</f>
        <v>196</v>
      </c>
      <c r="F59" s="547">
        <f t="shared" ref="F59:T59" si="29">ROUNDUP(F58*1.1,0)</f>
        <v>324</v>
      </c>
      <c r="G59" s="769">
        <f t="shared" si="29"/>
        <v>489</v>
      </c>
      <c r="H59" s="627">
        <f t="shared" si="29"/>
        <v>690</v>
      </c>
      <c r="I59" s="627">
        <f t="shared" si="29"/>
        <v>893</v>
      </c>
      <c r="J59" s="547">
        <f t="shared" si="29"/>
        <v>1090</v>
      </c>
      <c r="K59" s="547">
        <f t="shared" si="29"/>
        <v>1299</v>
      </c>
      <c r="L59" s="547">
        <f t="shared" si="29"/>
        <v>1464</v>
      </c>
      <c r="M59" s="547">
        <f t="shared" si="29"/>
        <v>1727</v>
      </c>
      <c r="N59" s="547">
        <f t="shared" si="29"/>
        <v>2106</v>
      </c>
      <c r="O59" s="547">
        <f t="shared" si="29"/>
        <v>2571</v>
      </c>
      <c r="P59" s="547">
        <f t="shared" si="29"/>
        <v>3064</v>
      </c>
      <c r="Q59" s="547">
        <f t="shared" si="29"/>
        <v>3615</v>
      </c>
      <c r="R59" s="547">
        <f t="shared" si="29"/>
        <v>4325</v>
      </c>
      <c r="S59" s="547">
        <f t="shared" si="29"/>
        <v>5038</v>
      </c>
      <c r="T59" s="633">
        <f t="shared" si="29"/>
        <v>5335</v>
      </c>
      <c r="U59" s="633">
        <f t="shared" ref="U59:AA59" si="30">ROUNDUP(U58*1.1,0)</f>
        <v>5593</v>
      </c>
      <c r="V59" s="633">
        <f t="shared" si="30"/>
        <v>5593</v>
      </c>
      <c r="W59" s="633">
        <f t="shared" si="30"/>
        <v>5593</v>
      </c>
      <c r="X59" s="633">
        <f t="shared" si="30"/>
        <v>5593</v>
      </c>
      <c r="Y59" s="633">
        <f t="shared" si="30"/>
        <v>5593</v>
      </c>
      <c r="Z59" s="633">
        <f t="shared" si="30"/>
        <v>5593</v>
      </c>
      <c r="AA59" s="633">
        <f t="shared" si="30"/>
        <v>5593</v>
      </c>
    </row>
    <row r="60" spans="2:27" ht="15" customHeight="1" x14ac:dyDescent="0.2">
      <c r="B60" s="547" t="s">
        <v>442</v>
      </c>
      <c r="C60" s="173"/>
      <c r="D60" s="632">
        <f>IF(D59&gt;0,(VLOOKUP(D59,'Input data'!$W$5:$X$6509,2,FALSE)),(0))</f>
        <v>11</v>
      </c>
      <c r="E60" s="547">
        <f>IF(E59&gt;0,(VLOOKUP(E59,'Input data'!$W$5:$X$6509,2,FALSE)),(0))</f>
        <v>15</v>
      </c>
      <c r="F60" s="547">
        <f>IF(F59&gt;0,(VLOOKUP(F59,'Input data'!$W$5:$X$6509,2,FALSE)),(0))</f>
        <v>18</v>
      </c>
      <c r="G60" s="547">
        <f>IF(G59&gt;0,(VLOOKUP(G59,'Input data'!$W$5:$X$6509,2,FALSE)),(0))</f>
        <v>21</v>
      </c>
      <c r="H60" s="547">
        <f>IF(H59&gt;0,(VLOOKUP(H59,'Input data'!$W$5:$X$6509,2,FALSE)),(0))</f>
        <v>25</v>
      </c>
      <c r="I60" s="547">
        <f>IF(I59&gt;0,(VLOOKUP(I59,'Input data'!$W$5:$X$6509,2,FALSE)),(0))</f>
        <v>29</v>
      </c>
      <c r="J60" s="547">
        <f>IF(J59&gt;0,(VLOOKUP(J59,'Input data'!$W$5:$X$6509,2,FALSE)),(0))</f>
        <v>32</v>
      </c>
      <c r="K60" s="547">
        <f>IF(K59&gt;0,(VLOOKUP(K59,'Input data'!$W$5:$X$6509,2,FALSE)),(0))</f>
        <v>33</v>
      </c>
      <c r="L60" s="547">
        <f>IF(L59&gt;0,(VLOOKUP(L59,'Input data'!$W$5:$X$6509,2,FALSE)),(0))</f>
        <v>33</v>
      </c>
      <c r="M60" s="547">
        <f>IF(M59&gt;0,(VLOOKUP(M59,'Input data'!$W$5:$X$6509,2,FALSE)),(0))</f>
        <v>34</v>
      </c>
      <c r="N60" s="547">
        <f>IF(N59&gt;0,(VLOOKUP(N59,'Input data'!$W$5:$X$6509,2,FALSE)),(0))</f>
        <v>36</v>
      </c>
      <c r="O60" s="547">
        <f>IF(O59&gt;0,(VLOOKUP(O59,'Input data'!$W$5:$X$6509,2,FALSE)),(0))</f>
        <v>38</v>
      </c>
      <c r="P60" s="547">
        <f>IF(P59&gt;0,(VLOOKUP(P59,'Input data'!$W$5:$X$6509,2,FALSE)),(0))</f>
        <v>40</v>
      </c>
      <c r="Q60" s="547">
        <f>IF(Q59&gt;0,(VLOOKUP(Q59,'Input data'!$W$5:$X$6509,2,FALSE)),(0))</f>
        <v>42</v>
      </c>
      <c r="R60" s="547">
        <f>IF(R59&gt;0,(VLOOKUP(R59,'Input data'!$W$5:$X$6509,2,FALSE)),(0))</f>
        <v>45</v>
      </c>
      <c r="S60" s="547">
        <f>IF(S59&gt;0,(VLOOKUP(S59,'Input data'!$W$5:$X$6509,2,FALSE)),(0))</f>
        <v>48</v>
      </c>
      <c r="T60" s="633">
        <f>IF(T59&gt;0,(VLOOKUP(T59,'Input data'!$W$5:$X$6509,2,FALSE)),(0))</f>
        <v>49</v>
      </c>
      <c r="U60" s="633">
        <f>IF(U59&gt;0,(VLOOKUP(U59,'Input data'!$W$5:$X$6509,2,FALSE)),(0))</f>
        <v>50</v>
      </c>
      <c r="V60" s="633">
        <f>IF(V59&gt;0,(VLOOKUP(V59,'Input data'!$W$5:$X$6509,2,FALSE)),(0))</f>
        <v>50</v>
      </c>
      <c r="W60" s="633">
        <f>IF(W59&gt;0,(VLOOKUP(W59,'Input data'!$W$5:$X$6509,2,FALSE)),(0))</f>
        <v>50</v>
      </c>
      <c r="X60" s="633">
        <f>IF(X59&gt;0,(VLOOKUP(X59,'Input data'!$W$5:$X$6509,2,FALSE)),(0))</f>
        <v>50</v>
      </c>
      <c r="Y60" s="633">
        <f>IF(Y59&gt;0,(VLOOKUP(Y59,'Input data'!$W$5:$X$6509,2,FALSE)),(0))</f>
        <v>50</v>
      </c>
      <c r="Z60" s="633">
        <f>IF(Z59&gt;0,(VLOOKUP(Z59,'Input data'!$W$5:$X$6509,2,FALSE)),(0))</f>
        <v>50</v>
      </c>
      <c r="AA60" s="633">
        <f>IF(AA59&gt;0,(VLOOKUP(AA59,'Input data'!$W$5:$X$6509,2,FALSE)),(0))</f>
        <v>50</v>
      </c>
    </row>
    <row r="61" spans="2:27" ht="15" customHeight="1" x14ac:dyDescent="0.2">
      <c r="B61" s="547" t="s">
        <v>426</v>
      </c>
      <c r="C61" s="547"/>
      <c r="D61" s="641">
        <f>IF(D55&gt;=0,(VLOOKUP(D60,'Input data'!$C$19:$P$65,(HLOOKUP(D19,'Input data'!$D$4:$P$5,2,FALSE)),FALSE)),(0))</f>
        <v>1.7254999999999998</v>
      </c>
      <c r="E61" s="552">
        <f>IF(E55&gt;=0,(VLOOKUP(E60,'Input data'!$C$19:$P$65,(HLOOKUP(E19,'Input data'!$D$4:$P$5,2,FALSE)),FALSE)),(0))</f>
        <v>1.6404999999999998</v>
      </c>
      <c r="F61" s="552">
        <f>IF(F55&gt;=0,(VLOOKUP(F60,'Input data'!$C$19:$P$65,(HLOOKUP(F19,'Input data'!$D$4:$P$5,2,FALSE)),FALSE)),(0))</f>
        <v>1.3855</v>
      </c>
      <c r="G61" s="552">
        <f>IF(G55&gt;=0,(VLOOKUP(G60,'Input data'!$C$19:$P$65,(HLOOKUP(G19,'Input data'!$D$4:$P$5,2,FALSE)),FALSE)),(0))</f>
        <v>1.1134999999999999</v>
      </c>
      <c r="H61" s="552">
        <f>IF(H55&gt;=0,(VLOOKUP(H60,'Input data'!$C$19:$P$65,(HLOOKUP(H19,'Input data'!$D$4:$P$5,2,FALSE)),FALSE)),(0))</f>
        <v>0.86699999999999999</v>
      </c>
      <c r="I61" s="552">
        <f>IF(I55&gt;=0,(VLOOKUP(I60,'Input data'!$C$19:$P$65,(HLOOKUP(I19,'Input data'!$D$4:$P$5,2,FALSE)),FALSE)),(0))</f>
        <v>0.64600000000000002</v>
      </c>
      <c r="J61" s="552">
        <f>IF(J55&gt;=0,(VLOOKUP(J60,'Input data'!$C$19:$P$65,(HLOOKUP(J19,'Input data'!$D$4:$P$5,2,FALSE)),FALSE)),(0))</f>
        <v>0.56524999999999992</v>
      </c>
      <c r="K61" s="552">
        <f>IF(K55&gt;=0,(VLOOKUP(K60,'Input data'!$C$19:$P$65,(HLOOKUP(K19,'Input data'!$D$4:$P$5,2,FALSE)),FALSE)),(0))</f>
        <v>0.4284</v>
      </c>
      <c r="L61" s="552">
        <f>IF(L55&gt;=0,(VLOOKUP(L60,'Input data'!$C$19:$P$65,(HLOOKUP(L19,'Input data'!$D$4:$P$5,2,FALSE)),FALSE)),(0))</f>
        <v>0.53549999999999998</v>
      </c>
      <c r="M61" s="552">
        <f>IF(M55&gt;=0,(VLOOKUP(M60,'Input data'!$C$19:$P$65,(HLOOKUP(M19,'Input data'!$D$4:$P$5,2,FALSE)),FALSE)),(0))</f>
        <v>0.66300000000000003</v>
      </c>
      <c r="N61" s="552">
        <f>IF(N55&gt;=0,(VLOOKUP(N60,'Input data'!$C$19:$P$65,(HLOOKUP(N19,'Input data'!$D$4:$P$5,2,FALSE)),FALSE)),(0))</f>
        <v>0.64600000000000002</v>
      </c>
      <c r="O61" s="552">
        <f>IF(O55&gt;=0,(VLOOKUP(O60,'Input data'!$C$19:$P$65,(HLOOKUP(O19,'Input data'!$D$4:$P$5,2,FALSE)),FALSE)),(0))</f>
        <v>0.58649999999999991</v>
      </c>
      <c r="P61" s="552">
        <f>IF(P55&gt;=0,(VLOOKUP(P60,'Input data'!$C$19:$P$65,(HLOOKUP(P19,'Input data'!$D$4:$P$5,2,FALSE)),FALSE)),(0))</f>
        <v>0.53549999999999998</v>
      </c>
      <c r="Q61" s="552">
        <f>IF(Q55&gt;=0,(VLOOKUP(Q60,'Input data'!$C$19:$P$65,(HLOOKUP(Q19,'Input data'!$D$4:$P$5,2,FALSE)),FALSE)),(0))</f>
        <v>0.57999999999999996</v>
      </c>
      <c r="R61" s="552">
        <f>IF(R55&gt;=0,(VLOOKUP(R60,'Input data'!$C$19:$P$65,(HLOOKUP(R19,'Input data'!$D$4:$P$5,2,FALSE)),FALSE)),(0))</f>
        <v>0.51</v>
      </c>
      <c r="S61" s="552">
        <f>IF(S55&gt;=0,(VLOOKUP(S60,'Input data'!$C$19:$P$65,(HLOOKUP(S19,'Input data'!$D$4:$P$5,2,FALSE)),FALSE)),(0))</f>
        <v>0.18506880000000003</v>
      </c>
      <c r="T61" s="642">
        <f>IF(T55&gt;=0,(VLOOKUP(T60,'Input data'!$C$19:$P$65,(HLOOKUP(T19,'Input data'!$D$4:$P$5,2,FALSE)),FALSE)),(0))</f>
        <v>0.15730848000000003</v>
      </c>
      <c r="U61" s="642">
        <f>IF(U55&gt;=0,(VLOOKUP(U60,'Input data'!$C$19:$P$65,(HLOOKUP(U19,'Input data'!$D$4:$P$5,2,FALSE)),FALSE)),(0))</f>
        <v>0.11867536799999999</v>
      </c>
      <c r="V61" s="642">
        <f>IF(V55&gt;=0,(VLOOKUP(V60,'Input data'!$C$19:$P$65,(HLOOKUP(V19,'Input data'!$D$4:$P$5,2,FALSE)),FALSE)),(0))</f>
        <v>0.11274159960000001</v>
      </c>
      <c r="W61" s="642">
        <f>IF(W55&gt;=0,(VLOOKUP(W60,'Input data'!$C$19:$P$65,(HLOOKUP(W19,'Input data'!$D$4:$P$5,2,FALSE)),FALSE)),(0))</f>
        <v>9.49402944E-2</v>
      </c>
      <c r="X61" s="642">
        <f>IF(X55&gt;=0,(VLOOKUP(X60,'Input data'!$C$19:$P$65,(HLOOKUP(X19,'Input data'!$D$4:$P$5,2,FALSE)),FALSE)),(0))</f>
        <v>0.11867536799999999</v>
      </c>
      <c r="Y61" s="642">
        <f>IF(Y55&gt;=0,(VLOOKUP(Y60,'Input data'!$C$19:$P$65,(HLOOKUP(Y19,'Input data'!$D$4:$P$5,2,FALSE)),FALSE)),(0))</f>
        <v>0.17141997599999997</v>
      </c>
      <c r="Z61" s="642">
        <f>IF(Z55&gt;=0,(VLOOKUP(Z60,'Input data'!$C$19:$P$65,(HLOOKUP(Z19,'Input data'!$D$4:$P$5,2,FALSE)),FALSE)),(0))</f>
        <v>0.20218766399999996</v>
      </c>
      <c r="AA61" s="642">
        <f>IF(AA55&gt;=0,(VLOOKUP(AA60,'Input data'!$C$19:$P$65,(HLOOKUP(AA19,'Input data'!$D$4:$P$5,2,FALSE)),FALSE)),(0))</f>
        <v>0.20658304799999996</v>
      </c>
    </row>
    <row r="62" spans="2:27" ht="15" customHeight="1" x14ac:dyDescent="0.2">
      <c r="B62" s="547" t="s">
        <v>443</v>
      </c>
      <c r="C62" s="547"/>
      <c r="D62" s="632">
        <f t="shared" ref="D62:T62" si="31">IF(D49&gt;0,D58*(1+(D61/100))^D18,D58)</f>
        <v>177.59162497380268</v>
      </c>
      <c r="E62" s="547">
        <f t="shared" si="31"/>
        <v>294.09866838534026</v>
      </c>
      <c r="F62" s="547">
        <f t="shared" si="31"/>
        <v>444.39429727726673</v>
      </c>
      <c r="G62" s="769">
        <f t="shared" si="31"/>
        <v>626.40025764567201</v>
      </c>
      <c r="H62" s="627">
        <f t="shared" si="31"/>
        <v>811.56825861545747</v>
      </c>
      <c r="I62" s="627">
        <f t="shared" si="31"/>
        <v>990.87107503755681</v>
      </c>
      <c r="J62" s="547">
        <f t="shared" si="31"/>
        <v>1180.0576257646985</v>
      </c>
      <c r="K62" s="547">
        <f t="shared" si="31"/>
        <v>1330.1065701526109</v>
      </c>
      <c r="L62" s="547">
        <f t="shared" si="31"/>
        <v>1569.6005637745366</v>
      </c>
      <c r="M62" s="547">
        <f t="shared" si="31"/>
        <v>1913.750090807541</v>
      </c>
      <c r="N62" s="547">
        <f t="shared" si="31"/>
        <v>2336.5620694268646</v>
      </c>
      <c r="O62" s="547">
        <f t="shared" si="31"/>
        <v>2784.6346592707928</v>
      </c>
      <c r="P62" s="547">
        <f t="shared" si="31"/>
        <v>3286.0255179373094</v>
      </c>
      <c r="Q62" s="547">
        <f t="shared" si="31"/>
        <v>3931.2575920347049</v>
      </c>
      <c r="R62" s="547">
        <f t="shared" si="31"/>
        <v>4579.4117184486549</v>
      </c>
      <c r="S62" s="547">
        <f t="shared" si="31"/>
        <v>4849.5642197645675</v>
      </c>
      <c r="T62" s="633">
        <f t="shared" si="31"/>
        <v>5083.7252677336619</v>
      </c>
      <c r="U62" s="633">
        <f t="shared" ref="U62:AA62" si="32">IF(U49&gt;0,U58*(1+(U61/100))^U18,U58)</f>
        <v>5083.7252677336619</v>
      </c>
      <c r="V62" s="633">
        <f t="shared" si="32"/>
        <v>5083.7252677336619</v>
      </c>
      <c r="W62" s="633">
        <f t="shared" si="32"/>
        <v>5083.7252677336619</v>
      </c>
      <c r="X62" s="633">
        <f t="shared" si="32"/>
        <v>5083.7252677336619</v>
      </c>
      <c r="Y62" s="633">
        <f t="shared" si="32"/>
        <v>5083.7252677336619</v>
      </c>
      <c r="Z62" s="633">
        <f t="shared" si="32"/>
        <v>5083.7252677336619</v>
      </c>
      <c r="AA62" s="633">
        <f t="shared" si="32"/>
        <v>5083.7252677336619</v>
      </c>
    </row>
    <row r="63" spans="2:27" ht="15" customHeight="1" x14ac:dyDescent="0.2">
      <c r="B63" s="547" t="s">
        <v>444</v>
      </c>
      <c r="C63" s="547"/>
      <c r="D63" s="632">
        <f t="shared" ref="D63:T63" si="33">(D49*D58)/1000</f>
        <v>22989.013411230939</v>
      </c>
      <c r="E63" s="547">
        <f t="shared" si="33"/>
        <v>38679.455919294225</v>
      </c>
      <c r="F63" s="547">
        <f t="shared" si="33"/>
        <v>63414.143074583837</v>
      </c>
      <c r="G63" s="769">
        <f t="shared" si="33"/>
        <v>94862.975295843615</v>
      </c>
      <c r="H63" s="627">
        <f t="shared" si="33"/>
        <v>132377.869394629</v>
      </c>
      <c r="I63" s="627">
        <f t="shared" si="33"/>
        <v>169794.53452675341</v>
      </c>
      <c r="J63" s="547">
        <f t="shared" si="33"/>
        <v>205234.79850796747</v>
      </c>
      <c r="K63" s="547">
        <f t="shared" si="33"/>
        <v>241975.98073190745</v>
      </c>
      <c r="L63" s="547">
        <f t="shared" si="33"/>
        <v>270016.73173904873</v>
      </c>
      <c r="M63" s="547">
        <f t="shared" si="33"/>
        <v>315448.5810669788</v>
      </c>
      <c r="N63" s="547">
        <f t="shared" si="33"/>
        <v>284614.07685508468</v>
      </c>
      <c r="O63" s="547">
        <f t="shared" si="33"/>
        <v>257146.24919061319</v>
      </c>
      <c r="P63" s="547">
        <f t="shared" si="33"/>
        <v>303393.51292798074</v>
      </c>
      <c r="Q63" s="547">
        <f t="shared" si="33"/>
        <v>354441.19533507089</v>
      </c>
      <c r="R63" s="547">
        <f t="shared" si="33"/>
        <v>419797.60539286904</v>
      </c>
      <c r="S63" s="547">
        <f t="shared" si="33"/>
        <v>278046.82556498138</v>
      </c>
      <c r="T63" s="633">
        <f t="shared" si="33"/>
        <v>73274.711504816412</v>
      </c>
      <c r="U63" s="633">
        <f t="shared" ref="U63:AA63" si="34">(U49*U58)/1000</f>
        <v>0</v>
      </c>
      <c r="V63" s="633">
        <f t="shared" si="34"/>
        <v>0</v>
      </c>
      <c r="W63" s="633">
        <f t="shared" si="34"/>
        <v>0</v>
      </c>
      <c r="X63" s="633">
        <f t="shared" si="34"/>
        <v>0</v>
      </c>
      <c r="Y63" s="633">
        <f t="shared" si="34"/>
        <v>0</v>
      </c>
      <c r="Z63" s="633">
        <f t="shared" si="34"/>
        <v>0</v>
      </c>
      <c r="AA63" s="633">
        <f t="shared" si="34"/>
        <v>0</v>
      </c>
    </row>
    <row r="64" spans="2:27" ht="15" customHeight="1" x14ac:dyDescent="0.2">
      <c r="B64" s="547" t="s">
        <v>445</v>
      </c>
      <c r="C64" s="547"/>
      <c r="D64" s="632">
        <f t="shared" ref="D64:T64" si="35">(D51*D59)/1000</f>
        <v>253</v>
      </c>
      <c r="E64" s="547">
        <f t="shared" si="35"/>
        <v>426.88799999999998</v>
      </c>
      <c r="F64" s="547">
        <f t="shared" si="35"/>
        <v>698.61527999999998</v>
      </c>
      <c r="G64" s="769">
        <f t="shared" si="35"/>
        <v>1043.8476642000001</v>
      </c>
      <c r="H64" s="627">
        <f t="shared" si="35"/>
        <v>1458.1847431800002</v>
      </c>
      <c r="I64" s="627">
        <f t="shared" si="35"/>
        <v>1868.3150520335403</v>
      </c>
      <c r="J64" s="547">
        <f t="shared" si="35"/>
        <v>2257.6693982635984</v>
      </c>
      <c r="K64" s="547">
        <f t="shared" si="35"/>
        <v>2663.6563512485964</v>
      </c>
      <c r="L64" s="547">
        <f t="shared" si="35"/>
        <v>2971.9761118134452</v>
      </c>
      <c r="M64" s="547">
        <f t="shared" si="35"/>
        <v>3470.8174300893452</v>
      </c>
      <c r="N64" s="547">
        <f t="shared" si="35"/>
        <v>3132.0560021704914</v>
      </c>
      <c r="O64" s="547">
        <f t="shared" si="35"/>
        <v>2829.4690533568123</v>
      </c>
      <c r="P64" s="547">
        <f t="shared" si="35"/>
        <v>3338.3112593117157</v>
      </c>
      <c r="Q64" s="547">
        <f t="shared" si="35"/>
        <v>3899.2543245390775</v>
      </c>
      <c r="R64" s="547">
        <f t="shared" si="35"/>
        <v>4618.4321449779236</v>
      </c>
      <c r="S64" s="547">
        <f t="shared" si="35"/>
        <v>3058.9079849560208</v>
      </c>
      <c r="T64" s="633">
        <f t="shared" si="35"/>
        <v>806.09425540749658</v>
      </c>
      <c r="U64" s="633">
        <f t="shared" ref="U64:AA64" si="36">(U51*U59)/1000</f>
        <v>0</v>
      </c>
      <c r="V64" s="633">
        <f t="shared" si="36"/>
        <v>0</v>
      </c>
      <c r="W64" s="633">
        <f t="shared" si="36"/>
        <v>0</v>
      </c>
      <c r="X64" s="633">
        <f t="shared" si="36"/>
        <v>0</v>
      </c>
      <c r="Y64" s="633">
        <f t="shared" si="36"/>
        <v>0</v>
      </c>
      <c r="Z64" s="633">
        <f t="shared" si="36"/>
        <v>0</v>
      </c>
      <c r="AA64" s="633">
        <f t="shared" si="36"/>
        <v>0</v>
      </c>
    </row>
    <row r="65" spans="2:27" ht="15" customHeight="1" x14ac:dyDescent="0.2">
      <c r="B65" s="547" t="s">
        <v>446</v>
      </c>
      <c r="C65" s="547"/>
      <c r="D65" s="632"/>
      <c r="E65" s="547">
        <f t="shared" ref="E65:T65" si="37">(E55*E58)/1000</f>
        <v>0</v>
      </c>
      <c r="F65" s="547">
        <f t="shared" si="37"/>
        <v>0</v>
      </c>
      <c r="G65" s="769">
        <f t="shared" si="37"/>
        <v>0</v>
      </c>
      <c r="H65" s="627">
        <f t="shared" si="37"/>
        <v>0</v>
      </c>
      <c r="I65" s="627">
        <f t="shared" si="37"/>
        <v>0</v>
      </c>
      <c r="J65" s="547">
        <f t="shared" si="37"/>
        <v>0</v>
      </c>
      <c r="K65" s="547">
        <f t="shared" si="37"/>
        <v>0</v>
      </c>
      <c r="L65" s="547">
        <f t="shared" si="37"/>
        <v>0</v>
      </c>
      <c r="M65" s="547">
        <f>M50*M58/1000</f>
        <v>78862.145266744701</v>
      </c>
      <c r="N65" s="547">
        <f>N50*N58/1000</f>
        <v>71153.519213771171</v>
      </c>
      <c r="O65" s="547">
        <f t="shared" si="37"/>
        <v>0</v>
      </c>
      <c r="P65" s="547">
        <f t="shared" si="37"/>
        <v>0</v>
      </c>
      <c r="Q65" s="547">
        <f t="shared" si="37"/>
        <v>0</v>
      </c>
      <c r="R65" s="547">
        <f t="shared" si="37"/>
        <v>176906.59164156171</v>
      </c>
      <c r="S65" s="547">
        <f t="shared" si="37"/>
        <v>206073.52733018948</v>
      </c>
      <c r="T65" s="633">
        <f t="shared" si="37"/>
        <v>72541.964389768254</v>
      </c>
      <c r="U65" s="633">
        <f t="shared" ref="U65:AA65" si="38">(U55*U58)/1000</f>
        <v>0</v>
      </c>
      <c r="V65" s="633">
        <f t="shared" si="38"/>
        <v>0</v>
      </c>
      <c r="W65" s="633">
        <f t="shared" si="38"/>
        <v>0</v>
      </c>
      <c r="X65" s="633">
        <f t="shared" si="38"/>
        <v>0</v>
      </c>
      <c r="Y65" s="633">
        <f t="shared" si="38"/>
        <v>0</v>
      </c>
      <c r="Z65" s="633">
        <f t="shared" si="38"/>
        <v>0</v>
      </c>
      <c r="AA65" s="633">
        <f t="shared" si="38"/>
        <v>0</v>
      </c>
    </row>
    <row r="66" spans="2:27" ht="15" customHeight="1" thickBot="1" x14ac:dyDescent="0.25">
      <c r="B66" s="547" t="s">
        <v>447</v>
      </c>
      <c r="C66" s="547"/>
      <c r="D66" s="637">
        <f t="shared" ref="D66:T66" si="39">(D56*D62)/1000</f>
        <v>38679.455919294225</v>
      </c>
      <c r="E66" s="638">
        <f t="shared" si="39"/>
        <v>63414.143074583837</v>
      </c>
      <c r="F66" s="638">
        <f t="shared" si="39"/>
        <v>94862.975295843615</v>
      </c>
      <c r="G66" s="772">
        <f t="shared" si="39"/>
        <v>132377.869394629</v>
      </c>
      <c r="H66" s="828">
        <f t="shared" si="39"/>
        <v>169794.53452675341</v>
      </c>
      <c r="I66" s="828">
        <f t="shared" si="39"/>
        <v>205234.79850796747</v>
      </c>
      <c r="J66" s="638">
        <f t="shared" si="39"/>
        <v>241975.98073190745</v>
      </c>
      <c r="K66" s="638">
        <f t="shared" si="39"/>
        <v>270016.73173904873</v>
      </c>
      <c r="L66" s="638">
        <f t="shared" si="39"/>
        <v>315448.5810669788</v>
      </c>
      <c r="M66" s="638">
        <f t="shared" si="39"/>
        <v>284614.07685508468</v>
      </c>
      <c r="N66" s="638">
        <f t="shared" si="39"/>
        <v>257146.24919061319</v>
      </c>
      <c r="O66" s="638">
        <f t="shared" si="39"/>
        <v>303393.51292798074</v>
      </c>
      <c r="P66" s="638">
        <f t="shared" si="39"/>
        <v>354441.19533507089</v>
      </c>
      <c r="Q66" s="638">
        <f t="shared" si="39"/>
        <v>419797.60539286904</v>
      </c>
      <c r="R66" s="638">
        <f t="shared" si="39"/>
        <v>278046.82556498138</v>
      </c>
      <c r="S66" s="638">
        <f t="shared" si="39"/>
        <v>73274.711504816412</v>
      </c>
      <c r="T66" s="639">
        <f t="shared" si="39"/>
        <v>0</v>
      </c>
      <c r="U66" s="639">
        <f t="shared" ref="U66:AA66" si="40">(U56*U62)/1000</f>
        <v>0</v>
      </c>
      <c r="V66" s="639">
        <f t="shared" si="40"/>
        <v>0</v>
      </c>
      <c r="W66" s="639">
        <f t="shared" si="40"/>
        <v>0</v>
      </c>
      <c r="X66" s="639">
        <f t="shared" si="40"/>
        <v>0</v>
      </c>
      <c r="Y66" s="639">
        <f t="shared" si="40"/>
        <v>0</v>
      </c>
      <c r="Z66" s="639">
        <f t="shared" si="40"/>
        <v>0</v>
      </c>
      <c r="AA66" s="639">
        <f t="shared" si="40"/>
        <v>0</v>
      </c>
    </row>
    <row r="67" spans="2:27" ht="15" customHeight="1" thickBot="1" x14ac:dyDescent="0.3">
      <c r="B67" s="545" t="s">
        <v>431</v>
      </c>
      <c r="C67" s="545"/>
      <c r="D67" s="1496" t="s">
        <v>600</v>
      </c>
      <c r="E67" s="1512"/>
      <c r="F67" s="1512"/>
      <c r="G67" s="1512"/>
      <c r="H67" s="1497"/>
      <c r="I67" s="1497"/>
      <c r="J67" s="1497"/>
      <c r="K67" s="1497"/>
      <c r="L67" s="1497"/>
      <c r="M67" s="1497"/>
      <c r="N67" s="1497"/>
      <c r="O67" s="1497"/>
      <c r="P67" s="1497"/>
      <c r="Q67" s="1497"/>
      <c r="R67" s="1497"/>
      <c r="S67" s="1497"/>
      <c r="T67" s="1498"/>
    </row>
    <row r="68" spans="2:27" s="349" customFormat="1" ht="15" customHeight="1" x14ac:dyDescent="0.2">
      <c r="B68" s="547" t="s">
        <v>448</v>
      </c>
      <c r="C68" s="547"/>
      <c r="D68" s="888">
        <f>VLOOKUP(D60,'Input data'!$R$5:$S$59,2,FALSE)</f>
        <v>1.3</v>
      </c>
      <c r="E68" s="889">
        <f>VLOOKUP(E60,'Input data'!$R$5:$S$59,2,FALSE)</f>
        <v>1.3</v>
      </c>
      <c r="F68" s="889">
        <f>VLOOKUP(F60,'Input data'!$R$5:$S$59,2,FALSE)</f>
        <v>1.3</v>
      </c>
      <c r="G68" s="889">
        <f>VLOOKUP(G60,'Input data'!$R$5:$S$59,2,FALSE)</f>
        <v>1.3</v>
      </c>
      <c r="H68" s="889">
        <f>VLOOKUP(H60,'Input data'!$R$5:$S$59,2,FALSE)</f>
        <v>1.3</v>
      </c>
      <c r="I68" s="889">
        <f>VLOOKUP(I60,'Input data'!$R$5:$S$59,2,FALSE)</f>
        <v>1.3</v>
      </c>
      <c r="J68" s="889">
        <f>VLOOKUP(J60,'Input data'!$R$5:$S$59,2,FALSE)</f>
        <v>1.3</v>
      </c>
      <c r="K68" s="889">
        <f>VLOOKUP(K60,'Input data'!$R$5:$S$59,2,FALSE)</f>
        <v>1.3</v>
      </c>
      <c r="L68" s="889">
        <f>VLOOKUP(L60,'Input data'!$R$5:$S$59,2,FALSE)</f>
        <v>1.3</v>
      </c>
      <c r="M68" s="889">
        <f>VLOOKUP(M60,'Input data'!$R$5:$S$59,2,FALSE)</f>
        <v>1.3</v>
      </c>
      <c r="N68" s="889">
        <f>VLOOKUP(N60,'Input data'!$R$5:$S$59,2,FALSE)</f>
        <v>1.3</v>
      </c>
      <c r="O68" s="889">
        <f>VLOOKUP(O60,'Input data'!$R$5:$S$59,2,FALSE)</f>
        <v>1.3</v>
      </c>
      <c r="P68" s="889">
        <f>VLOOKUP(P60,'Input data'!$R$5:$S$59,2,FALSE)</f>
        <v>1.3</v>
      </c>
      <c r="Q68" s="889">
        <f>VLOOKUP(Q60,'Input data'!$R$5:$S$59,2,FALSE)</f>
        <v>1.3</v>
      </c>
      <c r="R68" s="889">
        <f>VLOOKUP(R60,'Input data'!$R$5:$S$59,2,FALSE)</f>
        <v>1.3</v>
      </c>
      <c r="S68" s="889">
        <f>VLOOKUP(S60,'Input data'!$R$5:$S$59,2,FALSE)</f>
        <v>1.3</v>
      </c>
      <c r="T68" s="890">
        <f>VLOOKUP(T60,'Input data'!$R$5:$S$59,2,FALSE)</f>
        <v>1.3</v>
      </c>
      <c r="U68" s="890">
        <f>VLOOKUP(U60,'Input data'!$R$5:$S$59,2,FALSE)</f>
        <v>1.3</v>
      </c>
      <c r="V68" s="890">
        <f>VLOOKUP(V60,'Input data'!$R$5:$S$59,2,FALSE)</f>
        <v>1.3</v>
      </c>
      <c r="W68" s="890">
        <f>VLOOKUP(W60,'Input data'!$R$5:$S$59,2,FALSE)</f>
        <v>1.3</v>
      </c>
      <c r="X68" s="890">
        <f>VLOOKUP(X60,'Input data'!$R$5:$S$59,2,FALSE)</f>
        <v>1.3</v>
      </c>
      <c r="Y68" s="890">
        <f>VLOOKUP(Y60,'Input data'!$R$5:$S$59,2,FALSE)</f>
        <v>1.3</v>
      </c>
      <c r="Z68" s="890">
        <f>VLOOKUP(Z60,'Input data'!$R$5:$S$59,2,FALSE)</f>
        <v>1.3</v>
      </c>
      <c r="AA68" s="890">
        <f>VLOOKUP(AA60,'Input data'!$R$5:$S$59,2,FALSE)</f>
        <v>1.3</v>
      </c>
    </row>
    <row r="69" spans="2:27" s="349" customFormat="1" ht="15" customHeight="1" x14ac:dyDescent="0.2">
      <c r="B69" s="547" t="s">
        <v>449</v>
      </c>
      <c r="C69" s="547"/>
      <c r="D69" s="632">
        <f t="shared" ref="D69:S69" si="41">IF(D55&gt;=0,(((D66+D65)-D63)*D68),(0))</f>
        <v>20397.575260482274</v>
      </c>
      <c r="E69" s="547">
        <f t="shared" si="41"/>
        <v>32155.093301876495</v>
      </c>
      <c r="F69" s="547">
        <f t="shared" si="41"/>
        <v>40883.48188763771</v>
      </c>
      <c r="G69" s="769">
        <f t="shared" si="41"/>
        <v>48769.362328421004</v>
      </c>
      <c r="H69" s="627">
        <f t="shared" si="41"/>
        <v>48641.66467176174</v>
      </c>
      <c r="I69" s="627">
        <f t="shared" si="41"/>
        <v>46072.343175578273</v>
      </c>
      <c r="J69" s="547">
        <f t="shared" si="41"/>
        <v>47763.53689112197</v>
      </c>
      <c r="K69" s="547">
        <f t="shared" si="41"/>
        <v>36452.976309283673</v>
      </c>
      <c r="L69" s="547">
        <f t="shared" si="41"/>
        <v>59061.404126309099</v>
      </c>
      <c r="M69" s="547">
        <f t="shared" si="41"/>
        <v>62435.933371305779</v>
      </c>
      <c r="N69" s="547">
        <f t="shared" si="41"/>
        <v>56791.399014089598</v>
      </c>
      <c r="O69" s="547">
        <f t="shared" si="41"/>
        <v>60121.442858577822</v>
      </c>
      <c r="P69" s="547">
        <f t="shared" si="41"/>
        <v>66361.987129217203</v>
      </c>
      <c r="Q69" s="547">
        <f t="shared" si="41"/>
        <v>84963.333075137591</v>
      </c>
      <c r="R69" s="547">
        <f t="shared" si="41"/>
        <v>45702.555357776269</v>
      </c>
      <c r="S69" s="547">
        <f t="shared" si="41"/>
        <v>1691.837251031882</v>
      </c>
      <c r="T69" s="633">
        <f>IF(T55=0,(((T66+T65)-T63)*T68),(0))</f>
        <v>0</v>
      </c>
      <c r="U69" s="633">
        <f t="shared" ref="U69:AA69" si="42">IF(U55=0,(((U66+U65)-U63)*U68),(0))</f>
        <v>0</v>
      </c>
      <c r="V69" s="633">
        <f t="shared" si="42"/>
        <v>0</v>
      </c>
      <c r="W69" s="633">
        <f t="shared" si="42"/>
        <v>0</v>
      </c>
      <c r="X69" s="633">
        <f t="shared" si="42"/>
        <v>0</v>
      </c>
      <c r="Y69" s="633">
        <f t="shared" si="42"/>
        <v>0</v>
      </c>
      <c r="Z69" s="633">
        <f t="shared" si="42"/>
        <v>0</v>
      </c>
      <c r="AA69" s="633">
        <f t="shared" si="42"/>
        <v>0</v>
      </c>
    </row>
    <row r="70" spans="2:27" s="349" customFormat="1" ht="15" customHeight="1" x14ac:dyDescent="0.2">
      <c r="B70" s="547" t="s">
        <v>450</v>
      </c>
      <c r="C70" s="547"/>
      <c r="D70" s="632">
        <f>D68+D62</f>
        <v>178.89162497380269</v>
      </c>
      <c r="E70" s="547">
        <f t="shared" ref="E70:T70" si="43">E68+E62</f>
        <v>295.39866838534027</v>
      </c>
      <c r="F70" s="547">
        <f t="shared" si="43"/>
        <v>445.69429727726674</v>
      </c>
      <c r="G70" s="547">
        <f t="shared" si="43"/>
        <v>627.70025764567197</v>
      </c>
      <c r="H70" s="547">
        <f t="shared" si="43"/>
        <v>812.86825861545742</v>
      </c>
      <c r="I70" s="547">
        <f t="shared" si="43"/>
        <v>992.17107503755676</v>
      </c>
      <c r="J70" s="547">
        <f t="shared" si="43"/>
        <v>1181.3576257646985</v>
      </c>
      <c r="K70" s="547">
        <f t="shared" si="43"/>
        <v>1331.4065701526108</v>
      </c>
      <c r="L70" s="547">
        <f t="shared" si="43"/>
        <v>1570.9005637745365</v>
      </c>
      <c r="M70" s="547">
        <f t="shared" si="43"/>
        <v>1915.050090807541</v>
      </c>
      <c r="N70" s="547">
        <f t="shared" si="43"/>
        <v>2337.8620694268648</v>
      </c>
      <c r="O70" s="547">
        <f t="shared" si="43"/>
        <v>2785.934659270793</v>
      </c>
      <c r="P70" s="547">
        <f t="shared" si="43"/>
        <v>3287.3255179373095</v>
      </c>
      <c r="Q70" s="547">
        <f t="shared" si="43"/>
        <v>3932.5575920347051</v>
      </c>
      <c r="R70" s="547">
        <f t="shared" si="43"/>
        <v>4580.7117184486551</v>
      </c>
      <c r="S70" s="547">
        <f t="shared" si="43"/>
        <v>4850.8642197645677</v>
      </c>
      <c r="T70" s="633">
        <f t="shared" si="43"/>
        <v>5085.0252677336621</v>
      </c>
      <c r="U70" s="633">
        <f t="shared" ref="U70:AA70" si="44">U68+U62</f>
        <v>5085.0252677336621</v>
      </c>
      <c r="V70" s="633">
        <f t="shared" si="44"/>
        <v>5085.0252677336621</v>
      </c>
      <c r="W70" s="633">
        <f t="shared" si="44"/>
        <v>5085.0252677336621</v>
      </c>
      <c r="X70" s="633">
        <f t="shared" si="44"/>
        <v>5085.0252677336621</v>
      </c>
      <c r="Y70" s="633">
        <f t="shared" si="44"/>
        <v>5085.0252677336621</v>
      </c>
      <c r="Z70" s="633">
        <f t="shared" si="44"/>
        <v>5085.0252677336621</v>
      </c>
      <c r="AA70" s="633">
        <f t="shared" si="44"/>
        <v>5085.0252677336621</v>
      </c>
    </row>
    <row r="71" spans="2:27" s="349" customFormat="1" ht="15" customHeight="1" thickBot="1" x14ac:dyDescent="0.25">
      <c r="B71" s="547" t="s">
        <v>585</v>
      </c>
      <c r="C71" s="547"/>
      <c r="D71" s="646">
        <f t="shared" ref="D71:T71" si="45">IF(D64=0,(D69/D65),(D69/SUM($D64:$T64)))</f>
        <v>0.52577174827326401</v>
      </c>
      <c r="E71" s="829">
        <f t="shared" si="45"/>
        <v>0.82883575156951284</v>
      </c>
      <c r="F71" s="829">
        <f t="shared" si="45"/>
        <v>1.0538203425191517</v>
      </c>
      <c r="G71" s="829">
        <f t="shared" si="45"/>
        <v>1.2570882845699529</v>
      </c>
      <c r="H71" s="829">
        <f t="shared" si="45"/>
        <v>1.2537967256795091</v>
      </c>
      <c r="I71" s="829">
        <f t="shared" si="45"/>
        <v>1.1875694100464782</v>
      </c>
      <c r="J71" s="829">
        <f t="shared" si="45"/>
        <v>1.231161938331585</v>
      </c>
      <c r="K71" s="829">
        <f t="shared" si="45"/>
        <v>0.93961879483918609</v>
      </c>
      <c r="L71" s="829">
        <f t="shared" si="45"/>
        <v>1.5223778957258816</v>
      </c>
      <c r="M71" s="829">
        <f t="shared" si="45"/>
        <v>1.6093603982088367</v>
      </c>
      <c r="N71" s="829">
        <f t="shared" si="45"/>
        <v>1.4638658156771731</v>
      </c>
      <c r="O71" s="829">
        <f t="shared" si="45"/>
        <v>1.5497016540836739</v>
      </c>
      <c r="P71" s="829">
        <f t="shared" si="45"/>
        <v>1.7105591005914207</v>
      </c>
      <c r="Q71" s="829">
        <f t="shared" si="45"/>
        <v>2.1900309031624836</v>
      </c>
      <c r="R71" s="829">
        <f t="shared" si="45"/>
        <v>1.178037689487879</v>
      </c>
      <c r="S71" s="829">
        <f t="shared" si="45"/>
        <v>4.3609116177264401E-2</v>
      </c>
      <c r="T71" s="774">
        <f t="shared" si="45"/>
        <v>0</v>
      </c>
      <c r="U71" s="774" t="e">
        <f t="shared" ref="U71:AA71" si="46">IF(U64=0,(U69/U65),(U69/SUM($D64:$T64)))</f>
        <v>#DIV/0!</v>
      </c>
      <c r="V71" s="774" t="e">
        <f t="shared" si="46"/>
        <v>#DIV/0!</v>
      </c>
      <c r="W71" s="774" t="e">
        <f t="shared" si="46"/>
        <v>#DIV/0!</v>
      </c>
      <c r="X71" s="774" t="e">
        <f t="shared" si="46"/>
        <v>#DIV/0!</v>
      </c>
      <c r="Y71" s="774" t="e">
        <f t="shared" si="46"/>
        <v>#DIV/0!</v>
      </c>
      <c r="Z71" s="774" t="e">
        <f t="shared" si="46"/>
        <v>#DIV/0!</v>
      </c>
      <c r="AA71" s="774" t="e">
        <f t="shared" si="46"/>
        <v>#DIV/0!</v>
      </c>
    </row>
    <row r="72" spans="2:27" ht="15" customHeight="1" x14ac:dyDescent="0.2">
      <c r="B72" s="545"/>
      <c r="C72" s="545"/>
      <c r="D72" s="636"/>
      <c r="E72" s="636"/>
      <c r="F72" s="636"/>
      <c r="G72" s="636"/>
      <c r="H72" s="636"/>
      <c r="I72" s="545"/>
      <c r="J72" s="545"/>
      <c r="K72" s="545"/>
      <c r="L72" s="545"/>
      <c r="M72" s="545"/>
      <c r="N72" s="545"/>
      <c r="O72" s="545"/>
      <c r="P72" s="545"/>
      <c r="Q72" s="545"/>
      <c r="R72" s="545"/>
      <c r="S72" s="545"/>
      <c r="T72" s="545"/>
    </row>
  </sheetData>
  <mergeCells count="22">
    <mergeCell ref="D48:T48"/>
    <mergeCell ref="D57:T57"/>
    <mergeCell ref="D67:T67"/>
    <mergeCell ref="P1:Q1"/>
    <mergeCell ref="R1:T1"/>
    <mergeCell ref="P2:Q2"/>
    <mergeCell ref="R2:T2"/>
    <mergeCell ref="P3:Q3"/>
    <mergeCell ref="R3:T3"/>
    <mergeCell ref="P4:Q4"/>
    <mergeCell ref="R4:T4"/>
    <mergeCell ref="P5:Q5"/>
    <mergeCell ref="R5:T5"/>
    <mergeCell ref="P6:Q6"/>
    <mergeCell ref="R6:T6"/>
    <mergeCell ref="B46:C46"/>
    <mergeCell ref="P7:Q7"/>
    <mergeCell ref="R7:T7"/>
    <mergeCell ref="P8:Q8"/>
    <mergeCell ref="R8:T8"/>
    <mergeCell ref="P9:T15"/>
    <mergeCell ref="B16:C16"/>
  </mergeCells>
  <conditionalFormatting sqref="E28:O28">
    <cfRule type="cellIs" dxfId="7" priority="4" operator="greaterThan">
      <formula>2%</formula>
    </cfRule>
  </conditionalFormatting>
  <conditionalFormatting sqref="P28:T28">
    <cfRule type="cellIs" dxfId="6" priority="3" operator="greaterThan">
      <formula>2%</formula>
    </cfRule>
  </conditionalFormatting>
  <conditionalFormatting sqref="P43:T43">
    <cfRule type="cellIs" dxfId="5" priority="1" operator="greaterThan">
      <formula>2%</formula>
    </cfRule>
  </conditionalFormatting>
  <conditionalFormatting sqref="E43:O43">
    <cfRule type="cellIs" dxfId="4" priority="2" operator="greaterThan">
      <formula>2%</formula>
    </cfRule>
  </conditionalFormatting>
  <pageMargins left="0.25" right="0.25" top="0.75" bottom="0.75" header="0.3" footer="0.3"/>
  <pageSetup paperSize="9" scale="46" fitToHeight="2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AC72"/>
  <sheetViews>
    <sheetView zoomScale="48" zoomScaleNormal="48" workbookViewId="0">
      <selection activeCell="R4" sqref="R4:T4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21.140625" style="2" customWidth="1"/>
    <col min="4" max="4" width="9.7109375" style="2" customWidth="1"/>
    <col min="5" max="5" width="9.7109375" style="2" bestFit="1" customWidth="1"/>
    <col min="6" max="9" width="9.140625" style="2"/>
    <col min="10" max="10" width="10.42578125" style="2" bestFit="1" customWidth="1"/>
    <col min="11" max="17" width="9.140625" style="2"/>
    <col min="18" max="18" width="9.7109375" style="2" bestFit="1" customWidth="1"/>
    <col min="19" max="20" width="9.140625" style="2"/>
    <col min="21" max="21" width="9.140625" style="2" customWidth="1"/>
    <col min="22" max="28" width="9.140625" style="2" hidden="1" customWidth="1"/>
    <col min="29" max="29" width="0" style="2" hidden="1" customWidth="1"/>
    <col min="30" max="16384" width="9.140625" style="2"/>
  </cols>
  <sheetData>
    <row r="1" spans="2:21" ht="22.5" customHeight="1" x14ac:dyDescent="0.35">
      <c r="B1" s="543"/>
      <c r="P1" s="1486" t="s">
        <v>400</v>
      </c>
      <c r="Q1" s="1486"/>
      <c r="R1" s="1484" t="s">
        <v>630</v>
      </c>
      <c r="S1" s="1506"/>
      <c r="T1" s="1485"/>
    </row>
    <row r="2" spans="2:21" ht="22.5" customHeight="1" x14ac:dyDescent="0.35">
      <c r="B2" s="543"/>
      <c r="P2" s="1486" t="s">
        <v>627</v>
      </c>
      <c r="Q2" s="1486"/>
      <c r="R2" s="1484" t="s">
        <v>401</v>
      </c>
      <c r="S2" s="1506"/>
      <c r="T2" s="1485"/>
    </row>
    <row r="3" spans="2:21" ht="22.5" customHeight="1" x14ac:dyDescent="0.35">
      <c r="B3" s="543"/>
      <c r="P3" s="1482" t="s">
        <v>402</v>
      </c>
      <c r="Q3" s="1483"/>
      <c r="R3" s="1492" t="s">
        <v>1392</v>
      </c>
      <c r="S3" s="1507"/>
      <c r="T3" s="1493"/>
    </row>
    <row r="4" spans="2:21" ht="22.5" customHeight="1" x14ac:dyDescent="0.35">
      <c r="B4" s="543"/>
      <c r="P4" s="1482" t="s">
        <v>403</v>
      </c>
      <c r="Q4" s="1483"/>
      <c r="R4" s="1494">
        <f>'Smolt Production'!R57</f>
        <v>0</v>
      </c>
      <c r="S4" s="1508"/>
      <c r="T4" s="1495"/>
    </row>
    <row r="5" spans="2:21" ht="22.5" customHeight="1" x14ac:dyDescent="0.35">
      <c r="B5" s="543"/>
      <c r="P5" s="1482" t="s">
        <v>404</v>
      </c>
      <c r="Q5" s="1483"/>
      <c r="R5" s="1509">
        <f>D58</f>
        <v>159.99660976692255</v>
      </c>
      <c r="S5" s="1510"/>
      <c r="T5" s="1511"/>
    </row>
    <row r="6" spans="2:21" ht="22.5" customHeight="1" x14ac:dyDescent="0.35">
      <c r="B6" s="543"/>
      <c r="P6" s="1482" t="s">
        <v>405</v>
      </c>
      <c r="Q6" s="1483"/>
      <c r="R6" s="1484">
        <v>45000</v>
      </c>
      <c r="S6" s="1506"/>
      <c r="T6" s="1485"/>
    </row>
    <row r="7" spans="2:21" ht="22.5" customHeight="1" x14ac:dyDescent="0.35">
      <c r="B7" s="543"/>
      <c r="P7" s="1482" t="s">
        <v>406</v>
      </c>
      <c r="Q7" s="1483"/>
      <c r="R7" s="1484">
        <v>4200</v>
      </c>
      <c r="S7" s="1506"/>
      <c r="T7" s="1485"/>
    </row>
    <row r="8" spans="2:21" ht="22.5" customHeight="1" x14ac:dyDescent="0.35">
      <c r="B8" s="543"/>
      <c r="P8" s="1486" t="s">
        <v>407</v>
      </c>
      <c r="Q8" s="1486"/>
      <c r="R8" s="1487">
        <f>SUM(E65:U65)/1000</f>
        <v>748.72443923270021</v>
      </c>
      <c r="S8" s="1513"/>
      <c r="T8" s="1488"/>
    </row>
    <row r="9" spans="2:21" ht="22.5" customHeight="1" x14ac:dyDescent="0.35">
      <c r="B9" s="543"/>
      <c r="P9" s="1489"/>
      <c r="Q9" s="1489"/>
      <c r="R9" s="1489"/>
      <c r="S9" s="1489"/>
      <c r="T9" s="1489"/>
    </row>
    <row r="10" spans="2:21" ht="22.5" customHeight="1" x14ac:dyDescent="0.35">
      <c r="B10" s="543"/>
      <c r="P10" s="1490"/>
      <c r="Q10" s="1490"/>
      <c r="R10" s="1490"/>
      <c r="S10" s="1490"/>
      <c r="T10" s="1490"/>
    </row>
    <row r="11" spans="2:21" ht="22.5" customHeight="1" x14ac:dyDescent="0.35">
      <c r="B11" s="543"/>
      <c r="P11" s="1490"/>
      <c r="Q11" s="1490"/>
      <c r="R11" s="1490"/>
      <c r="S11" s="1490"/>
      <c r="T11" s="1490"/>
    </row>
    <row r="12" spans="2:21" ht="22.5" customHeight="1" x14ac:dyDescent="0.35">
      <c r="B12" s="543"/>
      <c r="P12" s="1490"/>
      <c r="Q12" s="1490"/>
      <c r="R12" s="1490"/>
      <c r="S12" s="1490"/>
      <c r="T12" s="1490"/>
    </row>
    <row r="13" spans="2:21" ht="22.5" customHeight="1" x14ac:dyDescent="0.35">
      <c r="B13" s="543"/>
      <c r="P13" s="1490"/>
      <c r="Q13" s="1490"/>
      <c r="R13" s="1490"/>
      <c r="S13" s="1490"/>
      <c r="T13" s="1490"/>
    </row>
    <row r="14" spans="2:21" ht="22.5" customHeight="1" x14ac:dyDescent="0.35">
      <c r="B14" s="543"/>
      <c r="P14" s="1490"/>
      <c r="Q14" s="1490"/>
      <c r="R14" s="1490"/>
      <c r="S14" s="1490"/>
      <c r="T14" s="1490"/>
    </row>
    <row r="15" spans="2:21" ht="22.5" customHeight="1" x14ac:dyDescent="0.35">
      <c r="B15" s="543"/>
      <c r="P15" s="1490"/>
      <c r="Q15" s="1490"/>
      <c r="R15" s="1490"/>
      <c r="S15" s="1490"/>
      <c r="T15" s="1490"/>
    </row>
    <row r="16" spans="2:21" hidden="1" x14ac:dyDescent="0.2">
      <c r="B16" s="1491" t="s">
        <v>408</v>
      </c>
      <c r="C16" s="1491"/>
      <c r="D16" s="812"/>
      <c r="E16" s="544" t="e">
        <f>MONTH(R3)</f>
        <v>#VALUE!</v>
      </c>
      <c r="F16" s="544" t="e">
        <f>E16+1</f>
        <v>#VALUE!</v>
      </c>
      <c r="G16" s="544" t="e">
        <f t="shared" ref="G16:U16" si="0">F16+1</f>
        <v>#VALUE!</v>
      </c>
      <c r="H16" s="544" t="e">
        <f t="shared" si="0"/>
        <v>#VALUE!</v>
      </c>
      <c r="I16" s="544" t="e">
        <f t="shared" si="0"/>
        <v>#VALUE!</v>
      </c>
      <c r="J16" s="544" t="e">
        <f t="shared" si="0"/>
        <v>#VALUE!</v>
      </c>
      <c r="K16" s="544" t="e">
        <f t="shared" si="0"/>
        <v>#VALUE!</v>
      </c>
      <c r="L16" s="544" t="e">
        <f t="shared" si="0"/>
        <v>#VALUE!</v>
      </c>
      <c r="M16" s="544" t="e">
        <f t="shared" si="0"/>
        <v>#VALUE!</v>
      </c>
      <c r="N16" s="544" t="e">
        <f t="shared" si="0"/>
        <v>#VALUE!</v>
      </c>
      <c r="O16" s="544" t="e">
        <f t="shared" si="0"/>
        <v>#VALUE!</v>
      </c>
      <c r="P16" s="544" t="e">
        <f t="shared" si="0"/>
        <v>#VALUE!</v>
      </c>
      <c r="Q16" s="544" t="e">
        <f t="shared" si="0"/>
        <v>#VALUE!</v>
      </c>
      <c r="R16" s="544" t="e">
        <f t="shared" si="0"/>
        <v>#VALUE!</v>
      </c>
      <c r="S16" s="544" t="e">
        <f t="shared" si="0"/>
        <v>#VALUE!</v>
      </c>
      <c r="T16" s="544" t="e">
        <f t="shared" si="0"/>
        <v>#VALUE!</v>
      </c>
      <c r="U16" s="544" t="e">
        <f t="shared" si="0"/>
        <v>#VALUE!</v>
      </c>
    </row>
    <row r="17" spans="2:27" s="8" customFormat="1" ht="15" customHeight="1" x14ac:dyDescent="0.2">
      <c r="B17" s="545" t="s">
        <v>409</v>
      </c>
      <c r="C17" s="545"/>
      <c r="D17" s="545" t="s">
        <v>170</v>
      </c>
      <c r="E17" s="545" t="s">
        <v>171</v>
      </c>
      <c r="F17" s="545" t="s">
        <v>172</v>
      </c>
      <c r="G17" s="545" t="s">
        <v>173</v>
      </c>
      <c r="H17" s="545" t="s">
        <v>174</v>
      </c>
      <c r="I17" s="545" t="s">
        <v>175</v>
      </c>
      <c r="J17" s="545" t="s">
        <v>176</v>
      </c>
      <c r="K17" s="545" t="s">
        <v>177</v>
      </c>
      <c r="L17" s="545" t="s">
        <v>178</v>
      </c>
      <c r="M17" s="545" t="s">
        <v>167</v>
      </c>
      <c r="N17" s="545" t="s">
        <v>168</v>
      </c>
      <c r="O17" s="545" t="s">
        <v>169</v>
      </c>
      <c r="P17" s="545" t="s">
        <v>170</v>
      </c>
      <c r="Q17" s="545" t="s">
        <v>171</v>
      </c>
      <c r="R17" s="545" t="s">
        <v>172</v>
      </c>
      <c r="S17" s="545" t="s">
        <v>173</v>
      </c>
      <c r="T17" s="545" t="s">
        <v>174</v>
      </c>
      <c r="U17" s="545" t="s">
        <v>175</v>
      </c>
      <c r="V17" s="545" t="s">
        <v>176</v>
      </c>
      <c r="W17" s="545" t="s">
        <v>177</v>
      </c>
      <c r="X17" s="545" t="s">
        <v>178</v>
      </c>
      <c r="Y17" s="545" t="s">
        <v>167</v>
      </c>
      <c r="Z17" s="545" t="s">
        <v>168</v>
      </c>
      <c r="AA17" s="545" t="s">
        <v>169</v>
      </c>
    </row>
    <row r="18" spans="2:27" ht="15" customHeight="1" x14ac:dyDescent="0.2">
      <c r="B18" s="283" t="s">
        <v>410</v>
      </c>
      <c r="C18" s="283"/>
      <c r="D18" s="283">
        <f>VLOOKUP(D17,'Input data'!$AA$5:$AC$16,3,FALSE)</f>
        <v>31</v>
      </c>
      <c r="E18" s="283">
        <f>VLOOKUP(E17,'Input data'!$AA$5:$AC$16,3,FALSE)</f>
        <v>30</v>
      </c>
      <c r="F18" s="283">
        <f>VLOOKUP(F17,'Input data'!$AA$5:$AC$16,3,FALSE)</f>
        <v>31</v>
      </c>
      <c r="G18" s="283">
        <f>VLOOKUP(G17,'Input data'!$AA$5:$AC$16,3,FALSE)</f>
        <v>31</v>
      </c>
      <c r="H18" s="283">
        <f>VLOOKUP(H17,'Input data'!$AA$5:$AC$16,3,FALSE)</f>
        <v>28</v>
      </c>
      <c r="I18" s="283">
        <f>VLOOKUP(I17,'Input data'!$AA$5:$AC$16,3,FALSE)</f>
        <v>31</v>
      </c>
      <c r="J18" s="283">
        <f>VLOOKUP(J17,'Input data'!$AA$5:$AC$16,3,FALSE)</f>
        <v>30</v>
      </c>
      <c r="K18" s="283">
        <f>VLOOKUP(K17,'Input data'!$AA$5:$AC$16,3,FALSE)</f>
        <v>31</v>
      </c>
      <c r="L18" s="283">
        <f>VLOOKUP(L17,'Input data'!$AA$5:$AC$16,3,FALSE)</f>
        <v>30</v>
      </c>
      <c r="M18" s="283">
        <f>VLOOKUP(M17,'Input data'!$AA$5:$AC$16,3,FALSE)</f>
        <v>31</v>
      </c>
      <c r="N18" s="283">
        <f>VLOOKUP(N17,'Input data'!$AA$5:$AC$16,3,FALSE)</f>
        <v>31</v>
      </c>
      <c r="O18" s="283">
        <f>VLOOKUP(O17,'Input data'!$AA$5:$AC$16,3,FALSE)</f>
        <v>30</v>
      </c>
      <c r="P18" s="283">
        <f>VLOOKUP(P17,'Input data'!$AA$5:$AC$16,3,FALSE)</f>
        <v>31</v>
      </c>
      <c r="Q18" s="283">
        <f>VLOOKUP(Q17,'Input data'!$AA$5:$AC$16,3,FALSE)</f>
        <v>30</v>
      </c>
      <c r="R18" s="283">
        <f>VLOOKUP(R17,'Input data'!$AA$5:$AC$16,3,FALSE)</f>
        <v>31</v>
      </c>
      <c r="S18" s="283">
        <f>VLOOKUP(S17,'Input data'!$AA$5:$AC$16,3,FALSE)</f>
        <v>31</v>
      </c>
      <c r="T18" s="283">
        <f>VLOOKUP(T17,'Input data'!$AA$5:$AC$16,3,FALSE)</f>
        <v>28</v>
      </c>
      <c r="U18" s="283">
        <f>VLOOKUP(U17,'Input data'!$AA$5:$AC$16,3,FALSE)</f>
        <v>31</v>
      </c>
      <c r="V18" s="283">
        <f>VLOOKUP(V17,'Input data'!$AA$5:$AC$16,3,FALSE)</f>
        <v>30</v>
      </c>
      <c r="W18" s="283">
        <f>VLOOKUP(W17,'Input data'!$AA$5:$AC$16,3,FALSE)</f>
        <v>31</v>
      </c>
      <c r="X18" s="283">
        <f>VLOOKUP(X17,'Input data'!$AA$5:$AC$16,3,FALSE)</f>
        <v>30</v>
      </c>
      <c r="Y18" s="283">
        <f>VLOOKUP(Y17,'Input data'!$AA$5:$AC$16,3,FALSE)</f>
        <v>31</v>
      </c>
      <c r="Z18" s="283">
        <f>VLOOKUP(Z17,'Input data'!$AA$5:$AC$16,3,FALSE)</f>
        <v>31</v>
      </c>
      <c r="AA18" s="283">
        <f>VLOOKUP(AA17,'Input data'!$AA$5:$AC$16,3,FALSE)</f>
        <v>30</v>
      </c>
    </row>
    <row r="19" spans="2:27" ht="15" customHeight="1" x14ac:dyDescent="0.2">
      <c r="B19" s="283" t="s">
        <v>411</v>
      </c>
      <c r="C19" s="283"/>
      <c r="D19" s="283">
        <f>VLOOKUP(D17,'Input data'!$AA$5:$AC$16,2,FALSE)</f>
        <v>16</v>
      </c>
      <c r="E19" s="283">
        <f>VLOOKUP(E17,'Input data'!$AA$5:$AC$16,2,FALSE)</f>
        <v>17</v>
      </c>
      <c r="F19" s="283">
        <f>VLOOKUP(F17,'Input data'!$AA$5:$AC$16,2,FALSE)</f>
        <v>18</v>
      </c>
      <c r="G19" s="283">
        <f>VLOOKUP(G17,'Input data'!$AA$5:$AC$16,2,FALSE)</f>
        <v>19</v>
      </c>
      <c r="H19" s="283">
        <f>VLOOKUP(H17,'Input data'!$AA$5:$AC$16,2,FALSE)</f>
        <v>20</v>
      </c>
      <c r="I19" s="283">
        <f>VLOOKUP(I17,'Input data'!$AA$5:$AC$16,2,FALSE)</f>
        <v>18</v>
      </c>
      <c r="J19" s="283">
        <f>VLOOKUP(J17,'Input data'!$AA$5:$AC$16,2,FALSE)</f>
        <v>16</v>
      </c>
      <c r="K19" s="283">
        <f>VLOOKUP(K17,'Input data'!$AA$5:$AC$16,2,FALSE)</f>
        <v>14</v>
      </c>
      <c r="L19" s="283">
        <f>VLOOKUP(L17,'Input data'!$AA$5:$AC$16,2,FALSE)</f>
        <v>13</v>
      </c>
      <c r="M19" s="283">
        <f>VLOOKUP(M17,'Input data'!$AA$5:$AC$16,2,FALSE)</f>
        <v>13</v>
      </c>
      <c r="N19" s="283">
        <f>VLOOKUP(N17,'Input data'!$AA$5:$AC$16,2,FALSE)</f>
        <v>13</v>
      </c>
      <c r="O19" s="283">
        <f>VLOOKUP(O17,'Input data'!$AA$5:$AC$16,2,FALSE)</f>
        <v>14</v>
      </c>
      <c r="P19" s="283">
        <f>VLOOKUP(P17,'Input data'!$AA$5:$AC$16,2,FALSE)</f>
        <v>16</v>
      </c>
      <c r="Q19" s="283">
        <f>VLOOKUP(Q17,'Input data'!$AA$5:$AC$16,2,FALSE)</f>
        <v>17</v>
      </c>
      <c r="R19" s="283">
        <f>VLOOKUP(R17,'Input data'!$AA$5:$AC$16,2,FALSE)</f>
        <v>18</v>
      </c>
      <c r="S19" s="283">
        <f>VLOOKUP(S17,'Input data'!$AA$5:$AC$16,2,FALSE)</f>
        <v>19</v>
      </c>
      <c r="T19" s="283">
        <f>VLOOKUP(T17,'Input data'!$AA$5:$AC$16,2,FALSE)</f>
        <v>20</v>
      </c>
      <c r="U19" s="283">
        <f>VLOOKUP(U17,'Input data'!$AA$5:$AC$16,2,FALSE)</f>
        <v>18</v>
      </c>
      <c r="V19" s="283">
        <f>VLOOKUP(V17,'Input data'!$AA$5:$AC$16,2,FALSE)</f>
        <v>16</v>
      </c>
      <c r="W19" s="283">
        <f>VLOOKUP(W17,'Input data'!$AA$5:$AC$16,2,FALSE)</f>
        <v>14</v>
      </c>
      <c r="X19" s="283">
        <f>VLOOKUP(X17,'Input data'!$AA$5:$AC$16,2,FALSE)</f>
        <v>13</v>
      </c>
      <c r="Y19" s="283">
        <f>VLOOKUP(Y17,'Input data'!$AA$5:$AC$16,2,FALSE)</f>
        <v>13</v>
      </c>
      <c r="Z19" s="283">
        <f>VLOOKUP(Z17,'Input data'!$AA$5:$AC$16,2,FALSE)</f>
        <v>13</v>
      </c>
      <c r="AA19" s="283">
        <f>VLOOKUP(AA17,'Input data'!$AA$5:$AC$16,2,FALSE)</f>
        <v>14</v>
      </c>
    </row>
    <row r="20" spans="2:27" ht="15" customHeight="1" x14ac:dyDescent="0.2">
      <c r="B20" s="283" t="s">
        <v>412</v>
      </c>
      <c r="C20" s="283"/>
      <c r="D20" s="283">
        <v>1</v>
      </c>
      <c r="E20" s="283">
        <f>D20+1</f>
        <v>2</v>
      </c>
      <c r="F20" s="283">
        <f>E20+1</f>
        <v>3</v>
      </c>
      <c r="G20" s="283">
        <f>F20+1</f>
        <v>4</v>
      </c>
      <c r="H20" s="283">
        <f t="shared" ref="H20:U20" si="1">G20+1</f>
        <v>5</v>
      </c>
      <c r="I20" s="283">
        <f t="shared" si="1"/>
        <v>6</v>
      </c>
      <c r="J20" s="283">
        <f t="shared" si="1"/>
        <v>7</v>
      </c>
      <c r="K20" s="283">
        <f t="shared" si="1"/>
        <v>8</v>
      </c>
      <c r="L20" s="283">
        <f t="shared" si="1"/>
        <v>9</v>
      </c>
      <c r="M20" s="283">
        <f t="shared" si="1"/>
        <v>10</v>
      </c>
      <c r="N20" s="283">
        <f t="shared" si="1"/>
        <v>11</v>
      </c>
      <c r="O20" s="283">
        <f t="shared" si="1"/>
        <v>12</v>
      </c>
      <c r="P20" s="283">
        <f t="shared" si="1"/>
        <v>13</v>
      </c>
      <c r="Q20" s="283">
        <f t="shared" si="1"/>
        <v>14</v>
      </c>
      <c r="R20" s="283">
        <f t="shared" si="1"/>
        <v>15</v>
      </c>
      <c r="S20" s="283">
        <f t="shared" si="1"/>
        <v>16</v>
      </c>
      <c r="T20" s="283">
        <f t="shared" si="1"/>
        <v>17</v>
      </c>
      <c r="U20" s="283">
        <f t="shared" si="1"/>
        <v>18</v>
      </c>
      <c r="V20" s="283">
        <f t="shared" ref="V20:AA20" si="2">U20+1</f>
        <v>19</v>
      </c>
      <c r="W20" s="283">
        <f t="shared" si="2"/>
        <v>20</v>
      </c>
      <c r="X20" s="283">
        <f t="shared" si="2"/>
        <v>21</v>
      </c>
      <c r="Y20" s="283">
        <f t="shared" si="2"/>
        <v>22</v>
      </c>
      <c r="Z20" s="283">
        <f t="shared" si="2"/>
        <v>23</v>
      </c>
      <c r="AA20" s="283">
        <f t="shared" si="2"/>
        <v>24</v>
      </c>
    </row>
    <row r="21" spans="2:27" ht="3" customHeight="1" x14ac:dyDescent="0.2">
      <c r="B21" s="545"/>
      <c r="C21" s="545"/>
      <c r="D21" s="545"/>
      <c r="E21" s="545"/>
      <c r="F21" s="545"/>
      <c r="G21" s="545"/>
      <c r="H21" s="545"/>
      <c r="I21" s="545"/>
      <c r="J21" s="545"/>
      <c r="K21" s="545"/>
      <c r="L21" s="545"/>
      <c r="M21" s="545"/>
      <c r="N21" s="545"/>
      <c r="O21" s="545"/>
      <c r="P21" s="545"/>
      <c r="Q21" s="545"/>
      <c r="R21" s="545"/>
      <c r="S21" s="545"/>
      <c r="T21" s="545"/>
      <c r="U21" s="545"/>
    </row>
    <row r="22" spans="2:27" ht="15" hidden="1" customHeight="1" x14ac:dyDescent="0.25">
      <c r="B22" s="546" t="s">
        <v>413</v>
      </c>
      <c r="C22" s="545"/>
      <c r="D22" s="545"/>
      <c r="E22" s="545"/>
      <c r="F22" s="545"/>
      <c r="G22" s="545"/>
      <c r="H22" s="545"/>
      <c r="I22" s="545"/>
      <c r="J22" s="545"/>
      <c r="K22" s="545"/>
      <c r="L22" s="545"/>
      <c r="M22" s="545"/>
      <c r="N22" s="545"/>
      <c r="O22" s="545"/>
      <c r="P22" s="545"/>
      <c r="Q22" s="545"/>
      <c r="R22" s="545"/>
      <c r="S22" s="545"/>
      <c r="T22" s="545"/>
      <c r="U22" s="545"/>
    </row>
    <row r="23" spans="2:27" ht="15" hidden="1" customHeight="1" x14ac:dyDescent="0.2">
      <c r="B23" s="545" t="s">
        <v>414</v>
      </c>
      <c r="C23" s="545"/>
      <c r="D23" s="545"/>
      <c r="E23" s="545"/>
      <c r="F23" s="545"/>
      <c r="G23" s="545"/>
      <c r="H23" s="545"/>
      <c r="I23" s="545"/>
      <c r="J23" s="545"/>
      <c r="K23" s="545"/>
      <c r="L23" s="545"/>
      <c r="M23" s="545"/>
      <c r="N23" s="545"/>
      <c r="O23" s="545"/>
      <c r="P23" s="545"/>
      <c r="Q23" s="545"/>
      <c r="R23" s="545"/>
      <c r="S23" s="545"/>
      <c r="T23" s="545"/>
      <c r="U23" s="545"/>
    </row>
    <row r="24" spans="2:27" ht="12.75" hidden="1" customHeight="1" x14ac:dyDescent="0.2">
      <c r="B24" s="547" t="s">
        <v>415</v>
      </c>
      <c r="C24" s="547"/>
      <c r="D24" s="547"/>
      <c r="E24" s="548">
        <f>R4</f>
        <v>0</v>
      </c>
      <c r="F24" s="547">
        <f t="shared" ref="F24:U24" si="3">E31</f>
        <v>0</v>
      </c>
      <c r="G24" s="547">
        <f t="shared" si="3"/>
        <v>0</v>
      </c>
      <c r="H24" s="547">
        <f t="shared" si="3"/>
        <v>0</v>
      </c>
      <c r="I24" s="547">
        <f t="shared" si="3"/>
        <v>0</v>
      </c>
      <c r="J24" s="547">
        <f t="shared" si="3"/>
        <v>0</v>
      </c>
      <c r="K24" s="547">
        <f t="shared" si="3"/>
        <v>0</v>
      </c>
      <c r="L24" s="547">
        <f t="shared" si="3"/>
        <v>0</v>
      </c>
      <c r="M24" s="547">
        <f t="shared" si="3"/>
        <v>0</v>
      </c>
      <c r="N24" s="547">
        <f t="shared" si="3"/>
        <v>0</v>
      </c>
      <c r="O24" s="547">
        <f t="shared" si="3"/>
        <v>0</v>
      </c>
      <c r="P24" s="547">
        <f t="shared" si="3"/>
        <v>0</v>
      </c>
      <c r="Q24" s="547">
        <f t="shared" si="3"/>
        <v>0</v>
      </c>
      <c r="R24" s="547">
        <f t="shared" si="3"/>
        <v>0</v>
      </c>
      <c r="S24" s="547">
        <f t="shared" si="3"/>
        <v>0</v>
      </c>
      <c r="T24" s="547">
        <f t="shared" si="3"/>
        <v>0</v>
      </c>
      <c r="U24" s="547">
        <f t="shared" si="3"/>
        <v>0</v>
      </c>
    </row>
    <row r="25" spans="2:27" ht="12.75" hidden="1" customHeight="1" x14ac:dyDescent="0.2">
      <c r="B25" s="548" t="s">
        <v>416</v>
      </c>
      <c r="C25" s="548"/>
      <c r="D25" s="548"/>
      <c r="E25" s="548"/>
      <c r="F25" s="548"/>
      <c r="G25" s="548"/>
      <c r="H25" s="548"/>
      <c r="I25" s="548"/>
      <c r="J25" s="548"/>
      <c r="K25" s="548"/>
      <c r="L25" s="548"/>
      <c r="M25" s="548"/>
      <c r="N25" s="548"/>
      <c r="O25" s="548"/>
      <c r="P25" s="548"/>
      <c r="Q25" s="548"/>
      <c r="R25" s="548"/>
      <c r="S25" s="548"/>
      <c r="T25" s="548"/>
      <c r="U25" s="548"/>
    </row>
    <row r="26" spans="2:27" s="268" customFormat="1" ht="12.75" hidden="1" customHeight="1" x14ac:dyDescent="0.2">
      <c r="B26" s="548" t="s">
        <v>417</v>
      </c>
      <c r="C26" s="548"/>
      <c r="D26" s="548"/>
      <c r="E26" s="548"/>
      <c r="F26" s="548"/>
      <c r="G26" s="548"/>
      <c r="H26" s="548"/>
      <c r="I26" s="548"/>
      <c r="J26" s="548"/>
      <c r="K26" s="548"/>
      <c r="L26" s="548"/>
      <c r="M26" s="548"/>
      <c r="N26" s="548"/>
      <c r="O26" s="548"/>
      <c r="P26" s="548"/>
      <c r="Q26" s="548"/>
      <c r="R26" s="548"/>
      <c r="S26" s="548"/>
      <c r="T26" s="548"/>
      <c r="U26" s="548"/>
    </row>
    <row r="27" spans="2:27" s="268" customFormat="1" ht="15" hidden="1" customHeight="1" x14ac:dyDescent="0.2">
      <c r="B27" s="547" t="s">
        <v>418</v>
      </c>
      <c r="C27" s="547"/>
      <c r="D27" s="547"/>
      <c r="E27" s="547">
        <f>E26</f>
        <v>0</v>
      </c>
      <c r="F27" s="547">
        <f t="shared" ref="F27:U27" si="4">E27+F26</f>
        <v>0</v>
      </c>
      <c r="G27" s="547">
        <f t="shared" si="4"/>
        <v>0</v>
      </c>
      <c r="H27" s="547">
        <f t="shared" si="4"/>
        <v>0</v>
      </c>
      <c r="I27" s="547">
        <f t="shared" si="4"/>
        <v>0</v>
      </c>
      <c r="J27" s="547">
        <f t="shared" si="4"/>
        <v>0</v>
      </c>
      <c r="K27" s="547">
        <f t="shared" si="4"/>
        <v>0</v>
      </c>
      <c r="L27" s="547">
        <f t="shared" si="4"/>
        <v>0</v>
      </c>
      <c r="M27" s="547">
        <f t="shared" si="4"/>
        <v>0</v>
      </c>
      <c r="N27" s="547">
        <f t="shared" si="4"/>
        <v>0</v>
      </c>
      <c r="O27" s="547">
        <f t="shared" si="4"/>
        <v>0</v>
      </c>
      <c r="P27" s="547">
        <f t="shared" si="4"/>
        <v>0</v>
      </c>
      <c r="Q27" s="547">
        <f t="shared" si="4"/>
        <v>0</v>
      </c>
      <c r="R27" s="547">
        <f t="shared" si="4"/>
        <v>0</v>
      </c>
      <c r="S27" s="547">
        <f t="shared" si="4"/>
        <v>0</v>
      </c>
      <c r="T27" s="547">
        <f t="shared" si="4"/>
        <v>0</v>
      </c>
      <c r="U27" s="547">
        <f t="shared" si="4"/>
        <v>0</v>
      </c>
    </row>
    <row r="28" spans="2:27" s="268" customFormat="1" ht="15" hidden="1" customHeight="1" x14ac:dyDescent="0.2">
      <c r="B28" s="547" t="s">
        <v>419</v>
      </c>
      <c r="C28" s="547"/>
      <c r="D28" s="547"/>
      <c r="E28" s="547">
        <f t="shared" ref="E28:U28" si="5">IF(E26&gt;0,(E26/E24),(0))</f>
        <v>0</v>
      </c>
      <c r="F28" s="547">
        <f t="shared" si="5"/>
        <v>0</v>
      </c>
      <c r="G28" s="547">
        <f t="shared" si="5"/>
        <v>0</v>
      </c>
      <c r="H28" s="547">
        <f t="shared" si="5"/>
        <v>0</v>
      </c>
      <c r="I28" s="547">
        <f t="shared" si="5"/>
        <v>0</v>
      </c>
      <c r="J28" s="547">
        <f t="shared" si="5"/>
        <v>0</v>
      </c>
      <c r="K28" s="547">
        <f t="shared" si="5"/>
        <v>0</v>
      </c>
      <c r="L28" s="547">
        <f t="shared" si="5"/>
        <v>0</v>
      </c>
      <c r="M28" s="547">
        <f t="shared" si="5"/>
        <v>0</v>
      </c>
      <c r="N28" s="547">
        <f t="shared" si="5"/>
        <v>0</v>
      </c>
      <c r="O28" s="547">
        <f t="shared" si="5"/>
        <v>0</v>
      </c>
      <c r="P28" s="547">
        <f t="shared" si="5"/>
        <v>0</v>
      </c>
      <c r="Q28" s="547">
        <f t="shared" si="5"/>
        <v>0</v>
      </c>
      <c r="R28" s="547">
        <f t="shared" si="5"/>
        <v>0</v>
      </c>
      <c r="S28" s="547">
        <f t="shared" si="5"/>
        <v>0</v>
      </c>
      <c r="T28" s="547">
        <f t="shared" si="5"/>
        <v>0</v>
      </c>
      <c r="U28" s="547">
        <f t="shared" si="5"/>
        <v>0</v>
      </c>
    </row>
    <row r="29" spans="2:27" s="268" customFormat="1" ht="15" hidden="1" customHeight="1" x14ac:dyDescent="0.2">
      <c r="B29" s="547" t="s">
        <v>420</v>
      </c>
      <c r="C29" s="547"/>
      <c r="D29" s="547"/>
      <c r="E29" s="547" t="e">
        <f t="shared" ref="E29:U29" si="6">E27/$E24</f>
        <v>#DIV/0!</v>
      </c>
      <c r="F29" s="547" t="e">
        <f t="shared" si="6"/>
        <v>#DIV/0!</v>
      </c>
      <c r="G29" s="547" t="e">
        <f t="shared" si="6"/>
        <v>#DIV/0!</v>
      </c>
      <c r="H29" s="547" t="e">
        <f t="shared" si="6"/>
        <v>#DIV/0!</v>
      </c>
      <c r="I29" s="547" t="e">
        <f t="shared" si="6"/>
        <v>#DIV/0!</v>
      </c>
      <c r="J29" s="547" t="e">
        <f t="shared" si="6"/>
        <v>#DIV/0!</v>
      </c>
      <c r="K29" s="547" t="e">
        <f t="shared" si="6"/>
        <v>#DIV/0!</v>
      </c>
      <c r="L29" s="547" t="e">
        <f t="shared" si="6"/>
        <v>#DIV/0!</v>
      </c>
      <c r="M29" s="547" t="e">
        <f t="shared" si="6"/>
        <v>#DIV/0!</v>
      </c>
      <c r="N29" s="547" t="e">
        <f t="shared" si="6"/>
        <v>#DIV/0!</v>
      </c>
      <c r="O29" s="547" t="e">
        <f t="shared" si="6"/>
        <v>#DIV/0!</v>
      </c>
      <c r="P29" s="547" t="e">
        <f t="shared" si="6"/>
        <v>#DIV/0!</v>
      </c>
      <c r="Q29" s="547" t="e">
        <f t="shared" si="6"/>
        <v>#DIV/0!</v>
      </c>
      <c r="R29" s="547" t="e">
        <f t="shared" si="6"/>
        <v>#DIV/0!</v>
      </c>
      <c r="S29" s="547" t="e">
        <f t="shared" si="6"/>
        <v>#DIV/0!</v>
      </c>
      <c r="T29" s="547" t="e">
        <f t="shared" si="6"/>
        <v>#DIV/0!</v>
      </c>
      <c r="U29" s="547" t="e">
        <f t="shared" si="6"/>
        <v>#DIV/0!</v>
      </c>
    </row>
    <row r="30" spans="2:27" hidden="1" x14ac:dyDescent="0.2">
      <c r="B30" s="548" t="s">
        <v>421</v>
      </c>
      <c r="C30" s="548"/>
      <c r="D30" s="548"/>
      <c r="E30" s="548">
        <v>0</v>
      </c>
      <c r="F30" s="548">
        <v>0</v>
      </c>
      <c r="G30" s="548">
        <v>0</v>
      </c>
      <c r="H30" s="548">
        <v>0</v>
      </c>
      <c r="I30" s="548">
        <v>0</v>
      </c>
      <c r="J30" s="548">
        <v>0</v>
      </c>
      <c r="K30" s="548">
        <v>0</v>
      </c>
      <c r="L30" s="548">
        <v>0</v>
      </c>
      <c r="M30" s="548">
        <v>0</v>
      </c>
      <c r="N30" s="548">
        <v>0</v>
      </c>
      <c r="O30" s="548">
        <v>0</v>
      </c>
      <c r="P30" s="548">
        <v>0</v>
      </c>
      <c r="Q30" s="548">
        <v>0</v>
      </c>
      <c r="R30" s="548">
        <v>0</v>
      </c>
      <c r="S30" s="548">
        <v>0</v>
      </c>
      <c r="T30" s="548">
        <v>0</v>
      </c>
      <c r="U30" s="548">
        <v>0</v>
      </c>
    </row>
    <row r="31" spans="2:27" ht="15" hidden="1" customHeight="1" x14ac:dyDescent="0.2">
      <c r="B31" s="547" t="s">
        <v>422</v>
      </c>
      <c r="C31" s="547"/>
      <c r="D31" s="547"/>
      <c r="E31" s="547">
        <f t="shared" ref="E31:U31" si="7">E24-E25-E26-E30</f>
        <v>0</v>
      </c>
      <c r="F31" s="547">
        <f t="shared" si="7"/>
        <v>0</v>
      </c>
      <c r="G31" s="547">
        <f t="shared" si="7"/>
        <v>0</v>
      </c>
      <c r="H31" s="547">
        <f t="shared" si="7"/>
        <v>0</v>
      </c>
      <c r="I31" s="547">
        <f t="shared" si="7"/>
        <v>0</v>
      </c>
      <c r="J31" s="547">
        <f t="shared" si="7"/>
        <v>0</v>
      </c>
      <c r="K31" s="547">
        <f t="shared" si="7"/>
        <v>0</v>
      </c>
      <c r="L31" s="547">
        <f t="shared" si="7"/>
        <v>0</v>
      </c>
      <c r="M31" s="547">
        <f t="shared" si="7"/>
        <v>0</v>
      </c>
      <c r="N31" s="547">
        <f t="shared" si="7"/>
        <v>0</v>
      </c>
      <c r="O31" s="547">
        <f t="shared" si="7"/>
        <v>0</v>
      </c>
      <c r="P31" s="547">
        <f t="shared" si="7"/>
        <v>0</v>
      </c>
      <c r="Q31" s="547">
        <f t="shared" si="7"/>
        <v>0</v>
      </c>
      <c r="R31" s="547">
        <f t="shared" si="7"/>
        <v>0</v>
      </c>
      <c r="S31" s="547">
        <f t="shared" si="7"/>
        <v>0</v>
      </c>
      <c r="T31" s="547">
        <f t="shared" si="7"/>
        <v>0</v>
      </c>
      <c r="U31" s="547">
        <f t="shared" si="7"/>
        <v>0</v>
      </c>
    </row>
    <row r="32" spans="2:27" ht="15" hidden="1" customHeight="1" x14ac:dyDescent="0.2">
      <c r="B32" s="545" t="s">
        <v>423</v>
      </c>
      <c r="C32" s="545"/>
      <c r="D32" s="545"/>
      <c r="E32" s="545"/>
      <c r="F32" s="545"/>
      <c r="G32" s="545"/>
      <c r="H32" s="545"/>
      <c r="I32" s="545"/>
      <c r="J32" s="545"/>
      <c r="K32" s="545"/>
      <c r="L32" s="545"/>
      <c r="M32" s="545"/>
      <c r="N32" s="545"/>
      <c r="O32" s="545"/>
      <c r="P32" s="545"/>
      <c r="Q32" s="545"/>
      <c r="R32" s="545"/>
      <c r="S32" s="545"/>
      <c r="T32" s="545"/>
      <c r="U32" s="545"/>
    </row>
    <row r="33" spans="2:21" ht="12.75" hidden="1" customHeight="1" x14ac:dyDescent="0.2">
      <c r="B33" s="547" t="s">
        <v>424</v>
      </c>
      <c r="C33" s="547"/>
      <c r="D33" s="547"/>
      <c r="E33" s="548">
        <f>R5</f>
        <v>159.99660976692255</v>
      </c>
      <c r="F33" s="547">
        <f>E36</f>
        <v>0</v>
      </c>
      <c r="G33" s="547">
        <f>F36</f>
        <v>0</v>
      </c>
      <c r="H33" s="547">
        <f t="shared" ref="H33:T33" si="8">G36</f>
        <v>0</v>
      </c>
      <c r="I33" s="547">
        <f t="shared" si="8"/>
        <v>0</v>
      </c>
      <c r="J33" s="547">
        <f t="shared" si="8"/>
        <v>0</v>
      </c>
      <c r="K33" s="547">
        <f t="shared" si="8"/>
        <v>0</v>
      </c>
      <c r="L33" s="547">
        <f t="shared" si="8"/>
        <v>0</v>
      </c>
      <c r="M33" s="547">
        <f t="shared" si="8"/>
        <v>0</v>
      </c>
      <c r="N33" s="547">
        <f t="shared" si="8"/>
        <v>0</v>
      </c>
      <c r="O33" s="547">
        <f t="shared" si="8"/>
        <v>0</v>
      </c>
      <c r="P33" s="547">
        <f t="shared" si="8"/>
        <v>0</v>
      </c>
      <c r="Q33" s="547">
        <f t="shared" si="8"/>
        <v>0</v>
      </c>
      <c r="R33" s="547">
        <f t="shared" si="8"/>
        <v>0</v>
      </c>
      <c r="S33" s="547">
        <f t="shared" si="8"/>
        <v>0</v>
      </c>
      <c r="T33" s="547">
        <f t="shared" si="8"/>
        <v>0</v>
      </c>
      <c r="U33" s="547">
        <f>T36</f>
        <v>0</v>
      </c>
    </row>
    <row r="34" spans="2:21" ht="12.75" hidden="1" customHeight="1" x14ac:dyDescent="0.2">
      <c r="B34" s="547" t="s">
        <v>425</v>
      </c>
      <c r="C34" s="547"/>
      <c r="D34" s="547"/>
      <c r="E34" s="547">
        <f t="shared" ref="E34:U34" si="9">(E24*E33)/1000</f>
        <v>0</v>
      </c>
      <c r="F34" s="547">
        <f t="shared" si="9"/>
        <v>0</v>
      </c>
      <c r="G34" s="547">
        <f t="shared" si="9"/>
        <v>0</v>
      </c>
      <c r="H34" s="547">
        <f t="shared" si="9"/>
        <v>0</v>
      </c>
      <c r="I34" s="547">
        <f t="shared" si="9"/>
        <v>0</v>
      </c>
      <c r="J34" s="547">
        <f t="shared" si="9"/>
        <v>0</v>
      </c>
      <c r="K34" s="547">
        <f t="shared" si="9"/>
        <v>0</v>
      </c>
      <c r="L34" s="547">
        <f t="shared" si="9"/>
        <v>0</v>
      </c>
      <c r="M34" s="547">
        <f t="shared" si="9"/>
        <v>0</v>
      </c>
      <c r="N34" s="547">
        <f t="shared" si="9"/>
        <v>0</v>
      </c>
      <c r="O34" s="547">
        <f t="shared" si="9"/>
        <v>0</v>
      </c>
      <c r="P34" s="547">
        <f t="shared" si="9"/>
        <v>0</v>
      </c>
      <c r="Q34" s="547">
        <f t="shared" si="9"/>
        <v>0</v>
      </c>
      <c r="R34" s="547">
        <f t="shared" si="9"/>
        <v>0</v>
      </c>
      <c r="S34" s="547">
        <f t="shared" si="9"/>
        <v>0</v>
      </c>
      <c r="T34" s="547">
        <f t="shared" si="9"/>
        <v>0</v>
      </c>
      <c r="U34" s="547">
        <f t="shared" si="9"/>
        <v>0</v>
      </c>
    </row>
    <row r="35" spans="2:21" ht="12.75" hidden="1" customHeight="1" x14ac:dyDescent="0.2">
      <c r="B35" s="547" t="s">
        <v>426</v>
      </c>
      <c r="C35" s="547"/>
      <c r="D35" s="547"/>
      <c r="E35" s="547">
        <f t="shared" ref="E35:U35" si="10">((E36/E33)^(1/E18)-1)*100</f>
        <v>-100</v>
      </c>
      <c r="F35" s="547" t="e">
        <f t="shared" si="10"/>
        <v>#DIV/0!</v>
      </c>
      <c r="G35" s="547" t="e">
        <f t="shared" si="10"/>
        <v>#DIV/0!</v>
      </c>
      <c r="H35" s="547" t="e">
        <f t="shared" si="10"/>
        <v>#DIV/0!</v>
      </c>
      <c r="I35" s="547" t="e">
        <f t="shared" si="10"/>
        <v>#DIV/0!</v>
      </c>
      <c r="J35" s="547" t="e">
        <f t="shared" si="10"/>
        <v>#DIV/0!</v>
      </c>
      <c r="K35" s="547" t="e">
        <f t="shared" si="10"/>
        <v>#DIV/0!</v>
      </c>
      <c r="L35" s="547" t="e">
        <f t="shared" si="10"/>
        <v>#DIV/0!</v>
      </c>
      <c r="M35" s="547" t="e">
        <f t="shared" si="10"/>
        <v>#DIV/0!</v>
      </c>
      <c r="N35" s="547" t="e">
        <f t="shared" si="10"/>
        <v>#DIV/0!</v>
      </c>
      <c r="O35" s="547" t="e">
        <f t="shared" si="10"/>
        <v>#DIV/0!</v>
      </c>
      <c r="P35" s="547" t="e">
        <f t="shared" si="10"/>
        <v>#DIV/0!</v>
      </c>
      <c r="Q35" s="547" t="e">
        <f t="shared" si="10"/>
        <v>#DIV/0!</v>
      </c>
      <c r="R35" s="547" t="e">
        <f t="shared" si="10"/>
        <v>#DIV/0!</v>
      </c>
      <c r="S35" s="547" t="e">
        <f t="shared" si="10"/>
        <v>#DIV/0!</v>
      </c>
      <c r="T35" s="547" t="e">
        <f t="shared" si="10"/>
        <v>#DIV/0!</v>
      </c>
      <c r="U35" s="547" t="e">
        <f t="shared" si="10"/>
        <v>#DIV/0!</v>
      </c>
    </row>
    <row r="36" spans="2:21" ht="15" hidden="1" customHeight="1" x14ac:dyDescent="0.2">
      <c r="B36" s="548" t="s">
        <v>427</v>
      </c>
      <c r="C36" s="548"/>
      <c r="D36" s="548"/>
      <c r="E36" s="548"/>
      <c r="F36" s="548"/>
      <c r="G36" s="548"/>
      <c r="H36" s="548"/>
      <c r="I36" s="548"/>
      <c r="J36" s="548"/>
      <c r="K36" s="548"/>
      <c r="L36" s="548"/>
      <c r="M36" s="548"/>
      <c r="N36" s="548"/>
      <c r="O36" s="548"/>
      <c r="P36" s="548"/>
      <c r="Q36" s="548"/>
      <c r="R36" s="548"/>
      <c r="S36" s="548"/>
      <c r="T36" s="548"/>
      <c r="U36" s="548"/>
    </row>
    <row r="37" spans="2:21" ht="15" hidden="1" customHeight="1" x14ac:dyDescent="0.2">
      <c r="B37" s="548" t="s">
        <v>428</v>
      </c>
      <c r="C37" s="548"/>
      <c r="D37" s="548"/>
      <c r="E37" s="548"/>
      <c r="F37" s="548"/>
      <c r="G37" s="548"/>
      <c r="H37" s="548"/>
      <c r="I37" s="548"/>
      <c r="J37" s="548"/>
      <c r="K37" s="548"/>
      <c r="L37" s="548"/>
      <c r="M37" s="548"/>
      <c r="N37" s="548"/>
      <c r="O37" s="548"/>
      <c r="P37" s="548"/>
      <c r="Q37" s="548"/>
      <c r="R37" s="548"/>
      <c r="S37" s="548"/>
      <c r="T37" s="548"/>
      <c r="U37" s="548"/>
    </row>
    <row r="38" spans="2:21" ht="15" hidden="1" customHeight="1" x14ac:dyDescent="0.2">
      <c r="B38" s="548" t="s">
        <v>429</v>
      </c>
      <c r="C38" s="548"/>
      <c r="D38" s="548"/>
      <c r="E38" s="548"/>
      <c r="F38" s="548"/>
      <c r="G38" s="548"/>
      <c r="H38" s="548"/>
      <c r="I38" s="548"/>
      <c r="J38" s="548"/>
      <c r="K38" s="548"/>
      <c r="L38" s="548"/>
      <c r="M38" s="548"/>
      <c r="N38" s="548"/>
      <c r="O38" s="548"/>
      <c r="P38" s="548"/>
      <c r="Q38" s="548"/>
      <c r="R38" s="548"/>
      <c r="S38" s="548"/>
      <c r="T38" s="548"/>
      <c r="U38" s="548"/>
    </row>
    <row r="39" spans="2:21" ht="15" hidden="1" customHeight="1" x14ac:dyDescent="0.2">
      <c r="B39" s="547" t="s">
        <v>430</v>
      </c>
      <c r="C39" s="547"/>
      <c r="D39" s="547"/>
      <c r="E39" s="547">
        <f t="shared" ref="E39:P39" si="11">(E31*E36)/1000</f>
        <v>0</v>
      </c>
      <c r="F39" s="547">
        <f t="shared" si="11"/>
        <v>0</v>
      </c>
      <c r="G39" s="547">
        <f t="shared" si="11"/>
        <v>0</v>
      </c>
      <c r="H39" s="547">
        <f t="shared" si="11"/>
        <v>0</v>
      </c>
      <c r="I39" s="547">
        <f t="shared" si="11"/>
        <v>0</v>
      </c>
      <c r="J39" s="547">
        <f t="shared" si="11"/>
        <v>0</v>
      </c>
      <c r="K39" s="547">
        <f t="shared" si="11"/>
        <v>0</v>
      </c>
      <c r="L39" s="547">
        <f t="shared" si="11"/>
        <v>0</v>
      </c>
      <c r="M39" s="547">
        <f t="shared" si="11"/>
        <v>0</v>
      </c>
      <c r="N39" s="547">
        <f t="shared" si="11"/>
        <v>0</v>
      </c>
      <c r="O39" s="547">
        <f t="shared" si="11"/>
        <v>0</v>
      </c>
      <c r="P39" s="547">
        <f t="shared" si="11"/>
        <v>0</v>
      </c>
      <c r="Q39" s="547"/>
      <c r="R39" s="547"/>
      <c r="S39" s="547"/>
      <c r="T39" s="547"/>
      <c r="U39" s="547"/>
    </row>
    <row r="40" spans="2:21" ht="15" hidden="1" customHeight="1" x14ac:dyDescent="0.2">
      <c r="B40" s="545" t="s">
        <v>431</v>
      </c>
      <c r="C40" s="545"/>
      <c r="D40" s="545"/>
      <c r="E40" s="545"/>
      <c r="F40" s="545"/>
      <c r="G40" s="545"/>
      <c r="H40" s="545"/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5"/>
      <c r="T40" s="545"/>
      <c r="U40" s="545"/>
    </row>
    <row r="41" spans="2:21" ht="12.75" hidden="1" customHeight="1" x14ac:dyDescent="0.2">
      <c r="B41" s="548" t="s">
        <v>432</v>
      </c>
      <c r="C41" s="548"/>
      <c r="D41" s="548"/>
      <c r="E41" s="548"/>
      <c r="F41" s="548"/>
      <c r="G41" s="548"/>
      <c r="H41" s="548"/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  <c r="U41" s="548"/>
    </row>
    <row r="42" spans="2:21" ht="12.75" hidden="1" customHeight="1" x14ac:dyDescent="0.2">
      <c r="B42" s="547" t="s">
        <v>433</v>
      </c>
      <c r="C42" s="547"/>
      <c r="D42" s="547"/>
      <c r="E42" s="547">
        <f t="shared" ref="E42:U42" si="12">IF(E41&gt;0,(E41/(E39-E34)),(0))</f>
        <v>0</v>
      </c>
      <c r="F42" s="547">
        <f t="shared" si="12"/>
        <v>0</v>
      </c>
      <c r="G42" s="547">
        <f t="shared" si="12"/>
        <v>0</v>
      </c>
      <c r="H42" s="547">
        <f t="shared" si="12"/>
        <v>0</v>
      </c>
      <c r="I42" s="547">
        <f t="shared" si="12"/>
        <v>0</v>
      </c>
      <c r="J42" s="547">
        <f t="shared" si="12"/>
        <v>0</v>
      </c>
      <c r="K42" s="547">
        <f t="shared" si="12"/>
        <v>0</v>
      </c>
      <c r="L42" s="547">
        <f t="shared" si="12"/>
        <v>0</v>
      </c>
      <c r="M42" s="547">
        <f t="shared" si="12"/>
        <v>0</v>
      </c>
      <c r="N42" s="547">
        <f t="shared" si="12"/>
        <v>0</v>
      </c>
      <c r="O42" s="547">
        <f t="shared" si="12"/>
        <v>0</v>
      </c>
      <c r="P42" s="547">
        <f t="shared" si="12"/>
        <v>0</v>
      </c>
      <c r="Q42" s="547">
        <f t="shared" si="12"/>
        <v>0</v>
      </c>
      <c r="R42" s="547">
        <f t="shared" si="12"/>
        <v>0</v>
      </c>
      <c r="S42" s="547">
        <f t="shared" si="12"/>
        <v>0</v>
      </c>
      <c r="T42" s="547">
        <f t="shared" si="12"/>
        <v>0</v>
      </c>
      <c r="U42" s="547">
        <f t="shared" si="12"/>
        <v>0</v>
      </c>
    </row>
    <row r="43" spans="2:21" s="268" customFormat="1" ht="12.75" hidden="1" customHeight="1" x14ac:dyDescent="0.2">
      <c r="B43" s="547" t="s">
        <v>434</v>
      </c>
      <c r="C43" s="547"/>
      <c r="D43" s="547"/>
      <c r="E43" s="547">
        <f>E41</f>
        <v>0</v>
      </c>
      <c r="F43" s="547">
        <f>(E43+F41)</f>
        <v>0</v>
      </c>
      <c r="G43" s="547">
        <f>(F43+G41)</f>
        <v>0</v>
      </c>
      <c r="H43" s="547">
        <f t="shared" ref="H43:U43" si="13">(G43+H41)</f>
        <v>0</v>
      </c>
      <c r="I43" s="547">
        <f t="shared" si="13"/>
        <v>0</v>
      </c>
      <c r="J43" s="547">
        <f t="shared" si="13"/>
        <v>0</v>
      </c>
      <c r="K43" s="547">
        <f t="shared" si="13"/>
        <v>0</v>
      </c>
      <c r="L43" s="547">
        <f t="shared" si="13"/>
        <v>0</v>
      </c>
      <c r="M43" s="547">
        <f t="shared" si="13"/>
        <v>0</v>
      </c>
      <c r="N43" s="547">
        <f t="shared" si="13"/>
        <v>0</v>
      </c>
      <c r="O43" s="547">
        <f t="shared" si="13"/>
        <v>0</v>
      </c>
      <c r="P43" s="547">
        <f t="shared" si="13"/>
        <v>0</v>
      </c>
      <c r="Q43" s="547">
        <f t="shared" si="13"/>
        <v>0</v>
      </c>
      <c r="R43" s="547">
        <f t="shared" si="13"/>
        <v>0</v>
      </c>
      <c r="S43" s="547">
        <f t="shared" si="13"/>
        <v>0</v>
      </c>
      <c r="T43" s="547">
        <f t="shared" si="13"/>
        <v>0</v>
      </c>
      <c r="U43" s="547">
        <f t="shared" si="13"/>
        <v>0</v>
      </c>
    </row>
    <row r="44" spans="2:21" s="268" customFormat="1" ht="15" hidden="1" customHeight="1" x14ac:dyDescent="0.2">
      <c r="B44" s="547" t="s">
        <v>435</v>
      </c>
      <c r="C44" s="547"/>
      <c r="D44" s="547"/>
      <c r="E44" s="547">
        <f>E42</f>
        <v>0</v>
      </c>
      <c r="F44" s="547">
        <f t="shared" ref="F44:U44" si="14">IF(F41&gt;0,(F43/(F39-$E34)),(0))</f>
        <v>0</v>
      </c>
      <c r="G44" s="547">
        <f t="shared" si="14"/>
        <v>0</v>
      </c>
      <c r="H44" s="547">
        <f t="shared" si="14"/>
        <v>0</v>
      </c>
      <c r="I44" s="547">
        <f t="shared" si="14"/>
        <v>0</v>
      </c>
      <c r="J44" s="547">
        <f t="shared" si="14"/>
        <v>0</v>
      </c>
      <c r="K44" s="547">
        <f t="shared" si="14"/>
        <v>0</v>
      </c>
      <c r="L44" s="547">
        <f t="shared" si="14"/>
        <v>0</v>
      </c>
      <c r="M44" s="547">
        <f t="shared" si="14"/>
        <v>0</v>
      </c>
      <c r="N44" s="547">
        <f t="shared" si="14"/>
        <v>0</v>
      </c>
      <c r="O44" s="547">
        <f t="shared" si="14"/>
        <v>0</v>
      </c>
      <c r="P44" s="547">
        <f t="shared" si="14"/>
        <v>0</v>
      </c>
      <c r="Q44" s="547">
        <f t="shared" si="14"/>
        <v>0</v>
      </c>
      <c r="R44" s="547">
        <f t="shared" si="14"/>
        <v>0</v>
      </c>
      <c r="S44" s="547">
        <f t="shared" si="14"/>
        <v>0</v>
      </c>
      <c r="T44" s="547">
        <f t="shared" si="14"/>
        <v>0</v>
      </c>
      <c r="U44" s="547">
        <f t="shared" si="14"/>
        <v>0</v>
      </c>
    </row>
    <row r="45" spans="2:21" ht="15" hidden="1" customHeight="1" x14ac:dyDescent="0.2">
      <c r="B45" s="545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5"/>
      <c r="T45" s="545"/>
      <c r="U45" s="545"/>
    </row>
    <row r="46" spans="2:21" s="200" customFormat="1" ht="13.5" hidden="1" thickBot="1" x14ac:dyDescent="0.25">
      <c r="B46" s="1481"/>
      <c r="C46" s="1481"/>
      <c r="D46" s="811"/>
      <c r="E46" s="549"/>
      <c r="F46" s="549"/>
      <c r="G46" s="549"/>
      <c r="H46" s="549"/>
      <c r="I46" s="549"/>
      <c r="J46" s="549"/>
      <c r="K46" s="549"/>
      <c r="L46" s="549"/>
      <c r="M46" s="549"/>
      <c r="N46" s="549"/>
      <c r="O46" s="549"/>
      <c r="P46" s="549"/>
      <c r="Q46" s="549"/>
      <c r="R46" s="549"/>
      <c r="S46" s="549"/>
      <c r="T46" s="549"/>
      <c r="U46" s="550"/>
    </row>
    <row r="47" spans="2:21" ht="16.5" thickBot="1" x14ac:dyDescent="0.3">
      <c r="B47" s="5" t="s">
        <v>436</v>
      </c>
    </row>
    <row r="48" spans="2:21" ht="15" customHeight="1" thickBot="1" x14ac:dyDescent="0.3">
      <c r="B48" s="545" t="s">
        <v>414</v>
      </c>
      <c r="C48" s="545"/>
      <c r="D48" s="1496" t="s">
        <v>600</v>
      </c>
      <c r="E48" s="1497"/>
      <c r="F48" s="1497"/>
      <c r="G48" s="1497"/>
      <c r="H48" s="1497"/>
      <c r="I48" s="1497"/>
      <c r="J48" s="1497"/>
      <c r="K48" s="1497"/>
      <c r="L48" s="1497"/>
      <c r="M48" s="1497"/>
      <c r="N48" s="1497"/>
      <c r="O48" s="1497"/>
      <c r="P48" s="1497"/>
      <c r="Q48" s="1497"/>
      <c r="R48" s="1497"/>
      <c r="S48" s="1497"/>
      <c r="T48" s="1497"/>
      <c r="U48" s="1498"/>
    </row>
    <row r="49" spans="2:27" ht="15" customHeight="1" x14ac:dyDescent="0.2">
      <c r="B49" s="547" t="s">
        <v>415</v>
      </c>
      <c r="C49" s="547"/>
      <c r="D49" s="629">
        <f>'Smolt Production'!R58</f>
        <v>224973.10396062152</v>
      </c>
      <c r="E49" s="630">
        <f>D56</f>
        <v>222723.37292101531</v>
      </c>
      <c r="F49" s="630">
        <f>E56</f>
        <v>220496.13919180515</v>
      </c>
      <c r="G49" s="773">
        <f>F56</f>
        <v>218291.17779988711</v>
      </c>
      <c r="H49" s="830">
        <f t="shared" ref="H49:U49" si="15">G56</f>
        <v>216108.26602188824</v>
      </c>
      <c r="I49" s="830">
        <f t="shared" si="15"/>
        <v>213947.18336166936</v>
      </c>
      <c r="J49" s="630">
        <f t="shared" si="15"/>
        <v>211807.71152805266</v>
      </c>
      <c r="K49" s="630">
        <f t="shared" si="15"/>
        <v>188508.86325996686</v>
      </c>
      <c r="L49" s="630">
        <f t="shared" si="15"/>
        <v>167772.88830137052</v>
      </c>
      <c r="M49" s="630">
        <f t="shared" si="15"/>
        <v>166095.15941835681</v>
      </c>
      <c r="N49" s="630">
        <f t="shared" si="15"/>
        <v>164434.20782417324</v>
      </c>
      <c r="O49" s="630">
        <f t="shared" si="15"/>
        <v>162789.86574593151</v>
      </c>
      <c r="P49" s="630">
        <f t="shared" si="15"/>
        <v>161161.96708847219</v>
      </c>
      <c r="Q49" s="630">
        <f t="shared" si="15"/>
        <v>159550.34741758747</v>
      </c>
      <c r="R49" s="630">
        <f t="shared" si="15"/>
        <v>157954.8439434116</v>
      </c>
      <c r="S49" s="630">
        <f t="shared" si="15"/>
        <v>111375.29550397748</v>
      </c>
      <c r="T49" s="630">
        <f t="shared" si="15"/>
        <v>65261.542548937708</v>
      </c>
      <c r="U49" s="631">
        <f t="shared" si="15"/>
        <v>19608.927123448331</v>
      </c>
      <c r="V49" s="830">
        <f t="shared" ref="V49:AA49" si="16">U56</f>
        <v>0</v>
      </c>
      <c r="W49" s="630">
        <f t="shared" si="16"/>
        <v>0</v>
      </c>
      <c r="X49" s="630">
        <f t="shared" si="16"/>
        <v>0</v>
      </c>
      <c r="Y49" s="630">
        <f t="shared" si="16"/>
        <v>0</v>
      </c>
      <c r="Z49" s="630">
        <f t="shared" si="16"/>
        <v>0</v>
      </c>
      <c r="AA49" s="630">
        <f t="shared" si="16"/>
        <v>0</v>
      </c>
    </row>
    <row r="50" spans="2:27" ht="15" customHeight="1" x14ac:dyDescent="0.2">
      <c r="B50" s="547" t="s">
        <v>626</v>
      </c>
      <c r="C50" s="547"/>
      <c r="D50" s="632"/>
      <c r="E50" s="547"/>
      <c r="F50" s="547"/>
      <c r="G50" s="547"/>
      <c r="H50" s="627"/>
      <c r="I50" s="627"/>
      <c r="J50" s="547">
        <f>'Input data'!$AE24*'Batch 3 - S1 Smolts'!J49</f>
        <v>21180.771152805268</v>
      </c>
      <c r="K50" s="547">
        <f>'Input data'!$AE24*'Batch 3 - S1 Smolts'!K49</f>
        <v>18850.886325996686</v>
      </c>
      <c r="L50" s="547"/>
      <c r="M50" s="547">
        <f>VLOOKUP(M20,'Input data'!$R$5:$U$56,4,FALSE)*M49</f>
        <v>0</v>
      </c>
      <c r="N50" s="547">
        <f>VLOOKUP(N20,'Input data'!$R$5:$U$56,4,FALSE)*N49</f>
        <v>0</v>
      </c>
      <c r="O50" s="547">
        <f>VLOOKUP(O20,'Input data'!$R$5:$U$56,4,FALSE)*O49</f>
        <v>0</v>
      </c>
      <c r="P50" s="547">
        <f>VLOOKUP(P20,'Input data'!$R$5:$U$56,4,FALSE)*P49</f>
        <v>0</v>
      </c>
      <c r="Q50" s="547">
        <f>VLOOKUP(Q20,'Input data'!$R$5:$U$56,4,FALSE)*Q49</f>
        <v>0</v>
      </c>
      <c r="R50" s="547">
        <f>VLOOKUP(R20,'Input data'!$R$5:$U$56,4,FALSE)*R49</f>
        <v>0</v>
      </c>
      <c r="S50" s="547">
        <f>VLOOKUP(S20,'Input data'!$R$5:$U$56,4,FALSE)*S49</f>
        <v>0</v>
      </c>
      <c r="T50" s="547">
        <f>VLOOKUP(T20,'Input data'!$R$5:$U$56,4,FALSE)*T49</f>
        <v>0</v>
      </c>
      <c r="U50" s="633">
        <f>VLOOKUP(U20,'Input data'!$R$5:$U$56,4,FALSE)*U49</f>
        <v>0</v>
      </c>
      <c r="V50" s="627">
        <f>VLOOKUP(V20,'Input data'!$R$5:$U$56,4,FALSE)*V49</f>
        <v>0</v>
      </c>
      <c r="W50" s="547">
        <f>VLOOKUP(W20,'Input data'!$R$5:$U$56,4,FALSE)*W49</f>
        <v>0</v>
      </c>
      <c r="X50" s="547">
        <f>VLOOKUP(X20,'Input data'!$R$5:$U$56,4,FALSE)*X49</f>
        <v>0</v>
      </c>
      <c r="Y50" s="547">
        <f>VLOOKUP(Y20,'Input data'!$R$5:$U$56,4,FALSE)*Y49</f>
        <v>0</v>
      </c>
      <c r="Z50" s="547">
        <f>VLOOKUP(Z20,'Input data'!$R$5:$U$56,4,FALSE)*Z49</f>
        <v>0</v>
      </c>
      <c r="AA50" s="547">
        <f>VLOOKUP(AA20,'Input data'!$R$5:$U$56,4,FALSE)*AA49</f>
        <v>0</v>
      </c>
    </row>
    <row r="51" spans="2:27" s="268" customFormat="1" ht="15" customHeight="1" x14ac:dyDescent="0.2">
      <c r="B51" s="547" t="s">
        <v>417</v>
      </c>
      <c r="C51" s="547"/>
      <c r="D51" s="632">
        <f>D49*D53</f>
        <v>2249.7310396062153</v>
      </c>
      <c r="E51" s="547">
        <f>E49*E53</f>
        <v>2227.2337292101533</v>
      </c>
      <c r="F51" s="547">
        <f t="shared" ref="F51:U51" si="17">F49*F53</f>
        <v>2204.9613919180515</v>
      </c>
      <c r="G51" s="769">
        <f t="shared" si="17"/>
        <v>2182.911777998871</v>
      </c>
      <c r="H51" s="627">
        <f t="shared" si="17"/>
        <v>2161.0826602188822</v>
      </c>
      <c r="I51" s="627">
        <f t="shared" si="17"/>
        <v>2139.4718336166939</v>
      </c>
      <c r="J51" s="547">
        <f t="shared" si="17"/>
        <v>2118.0771152805269</v>
      </c>
      <c r="K51" s="547">
        <f t="shared" si="17"/>
        <v>1885.0886325996687</v>
      </c>
      <c r="L51" s="547">
        <f t="shared" si="17"/>
        <v>1677.7288830137052</v>
      </c>
      <c r="M51" s="547">
        <f t="shared" si="17"/>
        <v>1660.9515941835682</v>
      </c>
      <c r="N51" s="547">
        <f t="shared" si="17"/>
        <v>1644.3420782417325</v>
      </c>
      <c r="O51" s="547">
        <f t="shared" si="17"/>
        <v>1627.8986574593152</v>
      </c>
      <c r="P51" s="547">
        <f t="shared" si="17"/>
        <v>1611.6196708847219</v>
      </c>
      <c r="Q51" s="547">
        <f t="shared" si="17"/>
        <v>1595.5034741758748</v>
      </c>
      <c r="R51" s="547">
        <f t="shared" si="17"/>
        <v>1579.5484394341161</v>
      </c>
      <c r="S51" s="547">
        <f t="shared" si="17"/>
        <v>1113.7529550397749</v>
      </c>
      <c r="T51" s="547">
        <f t="shared" si="17"/>
        <v>652.61542548937712</v>
      </c>
      <c r="U51" s="633">
        <f t="shared" si="17"/>
        <v>196.08927123448331</v>
      </c>
      <c r="V51" s="627">
        <f t="shared" ref="V51:AA51" si="18">V49*V53</f>
        <v>0</v>
      </c>
      <c r="W51" s="547">
        <f t="shared" si="18"/>
        <v>0</v>
      </c>
      <c r="X51" s="547">
        <f t="shared" si="18"/>
        <v>0</v>
      </c>
      <c r="Y51" s="547">
        <f t="shared" si="18"/>
        <v>0</v>
      </c>
      <c r="Z51" s="547">
        <f t="shared" si="18"/>
        <v>0</v>
      </c>
      <c r="AA51" s="547">
        <f t="shared" si="18"/>
        <v>0</v>
      </c>
    </row>
    <row r="52" spans="2:27" s="268" customFormat="1" ht="15" customHeight="1" x14ac:dyDescent="0.2">
      <c r="B52" s="547" t="s">
        <v>437</v>
      </c>
      <c r="C52" s="547"/>
      <c r="D52" s="632">
        <f>C52+D51</f>
        <v>2249.7310396062153</v>
      </c>
      <c r="E52" s="547">
        <f>D52+E51</f>
        <v>4476.9647688163686</v>
      </c>
      <c r="F52" s="547">
        <f>E52+F51</f>
        <v>6681.9261607344197</v>
      </c>
      <c r="G52" s="769">
        <f>F52+G51</f>
        <v>8864.8379387332898</v>
      </c>
      <c r="H52" s="627">
        <f t="shared" ref="H52:U52" si="19">G52+H51</f>
        <v>11025.920598952172</v>
      </c>
      <c r="I52" s="627">
        <f t="shared" si="19"/>
        <v>13165.392432568866</v>
      </c>
      <c r="J52" s="627">
        <f t="shared" si="19"/>
        <v>15283.469547849392</v>
      </c>
      <c r="K52" s="627">
        <f t="shared" si="19"/>
        <v>17168.558180449061</v>
      </c>
      <c r="L52" s="627">
        <f t="shared" si="19"/>
        <v>18846.287063462765</v>
      </c>
      <c r="M52" s="627">
        <f t="shared" si="19"/>
        <v>20507.238657646332</v>
      </c>
      <c r="N52" s="627">
        <f t="shared" si="19"/>
        <v>22151.580735888063</v>
      </c>
      <c r="O52" s="627">
        <f t="shared" si="19"/>
        <v>23779.479393347377</v>
      </c>
      <c r="P52" s="627">
        <f t="shared" si="19"/>
        <v>25391.099064232098</v>
      </c>
      <c r="Q52" s="627">
        <f t="shared" si="19"/>
        <v>26986.602538407973</v>
      </c>
      <c r="R52" s="627">
        <f t="shared" si="19"/>
        <v>28566.150977842088</v>
      </c>
      <c r="S52" s="627">
        <f t="shared" si="19"/>
        <v>29679.903932881862</v>
      </c>
      <c r="T52" s="627">
        <f t="shared" si="19"/>
        <v>30332.519358371239</v>
      </c>
      <c r="U52" s="767">
        <f t="shared" si="19"/>
        <v>30528.608629605722</v>
      </c>
      <c r="V52" s="627">
        <f t="shared" ref="V52:AA52" si="20">U52+V51</f>
        <v>30528.608629605722</v>
      </c>
      <c r="W52" s="627">
        <f t="shared" si="20"/>
        <v>30528.608629605722</v>
      </c>
      <c r="X52" s="627">
        <f t="shared" si="20"/>
        <v>30528.608629605722</v>
      </c>
      <c r="Y52" s="627">
        <f t="shared" si="20"/>
        <v>30528.608629605722</v>
      </c>
      <c r="Z52" s="627">
        <f t="shared" si="20"/>
        <v>30528.608629605722</v>
      </c>
      <c r="AA52" s="627">
        <f t="shared" si="20"/>
        <v>30528.608629605722</v>
      </c>
    </row>
    <row r="53" spans="2:27" s="268" customFormat="1" ht="15" customHeight="1" x14ac:dyDescent="0.2">
      <c r="B53" s="547" t="s">
        <v>438</v>
      </c>
      <c r="C53" s="547"/>
      <c r="D53" s="673">
        <f>VLOOKUP(D60,'Input data'!$R$5:$U$59,3,FALSE)</f>
        <v>0.01</v>
      </c>
      <c r="E53" s="551">
        <f>VLOOKUP(E60,'Input data'!$R$5:$U$59,3,FALSE)</f>
        <v>0.01</v>
      </c>
      <c r="F53" s="551">
        <f>VLOOKUP(F60,'Input data'!$R$5:$U$59,3,FALSE)</f>
        <v>0.01</v>
      </c>
      <c r="G53" s="551">
        <f>VLOOKUP(G60,'Input data'!$R$5:$U$59,3,FALSE)</f>
        <v>0.01</v>
      </c>
      <c r="H53" s="551">
        <f>VLOOKUP(H60,'Input data'!$R$5:$U$59,3,FALSE)</f>
        <v>0.01</v>
      </c>
      <c r="I53" s="551">
        <f>VLOOKUP(I60,'Input data'!$R$5:$U$59,3,FALSE)</f>
        <v>0.01</v>
      </c>
      <c r="J53" s="551">
        <f>VLOOKUP(J60,'Input data'!$R$5:$U$59,3,FALSE)</f>
        <v>0.01</v>
      </c>
      <c r="K53" s="551">
        <f>VLOOKUP(K60,'Input data'!$R$5:$U$59,3,FALSE)</f>
        <v>0.01</v>
      </c>
      <c r="L53" s="551">
        <f>VLOOKUP(L60,'Input data'!$R$5:$U$59,3,FALSE)</f>
        <v>0.01</v>
      </c>
      <c r="M53" s="551">
        <f>VLOOKUP(M60,'Input data'!$R$5:$U$59,3,FALSE)</f>
        <v>0.01</v>
      </c>
      <c r="N53" s="551">
        <f>VLOOKUP(N60,'Input data'!$R$5:$U$59,3,FALSE)</f>
        <v>0.01</v>
      </c>
      <c r="O53" s="551">
        <f>VLOOKUP(O60,'Input data'!$R$5:$U$59,3,FALSE)</f>
        <v>0.01</v>
      </c>
      <c r="P53" s="551">
        <f>VLOOKUP(P60,'Input data'!$R$5:$U$59,3,FALSE)</f>
        <v>0.01</v>
      </c>
      <c r="Q53" s="551">
        <f>VLOOKUP(Q60,'Input data'!$R$5:$U$59,3,FALSE)</f>
        <v>0.01</v>
      </c>
      <c r="R53" s="551">
        <f>VLOOKUP(R60,'Input data'!$R$5:$U$59,3,FALSE)</f>
        <v>0.01</v>
      </c>
      <c r="S53" s="551">
        <f>VLOOKUP(S60,'Input data'!$R$5:$U$59,3,FALSE)</f>
        <v>0.01</v>
      </c>
      <c r="T53" s="551">
        <f>VLOOKUP(T60,'Input data'!$R$5:$U$59,3,FALSE)</f>
        <v>0.01</v>
      </c>
      <c r="U53" s="635">
        <f>VLOOKUP(U60,'Input data'!$R$5:$U$59,3,FALSE)</f>
        <v>0.01</v>
      </c>
      <c r="V53" s="628">
        <f>VLOOKUP(V60,'Input data'!$R$5:$U$59,3,FALSE)</f>
        <v>0.01</v>
      </c>
      <c r="W53" s="551">
        <f>VLOOKUP(W60,'Input data'!$R$5:$U$59,3,FALSE)</f>
        <v>0.01</v>
      </c>
      <c r="X53" s="551">
        <f>VLOOKUP(X60,'Input data'!$R$5:$U$59,3,FALSE)</f>
        <v>0.01</v>
      </c>
      <c r="Y53" s="551">
        <f>VLOOKUP(Y60,'Input data'!$R$5:$U$59,3,FALSE)</f>
        <v>0.01</v>
      </c>
      <c r="Z53" s="551">
        <f>VLOOKUP(Z60,'Input data'!$R$5:$U$59,3,FALSE)</f>
        <v>0.01</v>
      </c>
      <c r="AA53" s="551">
        <f>VLOOKUP(AA60,'Input data'!$R$5:$U$59,3,FALSE)</f>
        <v>0.01</v>
      </c>
    </row>
    <row r="54" spans="2:27" s="268" customFormat="1" ht="15" customHeight="1" x14ac:dyDescent="0.2">
      <c r="B54" s="547" t="s">
        <v>609</v>
      </c>
      <c r="C54" s="547"/>
      <c r="D54" s="649">
        <f t="shared" ref="D54:U54" si="21">D52/$E49</f>
        <v>1.0101010101010102E-2</v>
      </c>
      <c r="E54" s="648">
        <f t="shared" si="21"/>
        <v>2.0101010101010102E-2</v>
      </c>
      <c r="F54" s="648">
        <f>F52/$E49</f>
        <v>3.0001010101010101E-2</v>
      </c>
      <c r="G54" s="771">
        <f t="shared" si="21"/>
        <v>3.9802010101010095E-2</v>
      </c>
      <c r="H54" s="650">
        <f t="shared" si="21"/>
        <v>4.9505000101010097E-2</v>
      </c>
      <c r="I54" s="650">
        <f t="shared" si="21"/>
        <v>5.9110960201010095E-2</v>
      </c>
      <c r="J54" s="648">
        <f t="shared" si="21"/>
        <v>6.8620860700010097E-2</v>
      </c>
      <c r="K54" s="648">
        <f t="shared" si="21"/>
        <v>7.7084672144120098E-2</v>
      </c>
      <c r="L54" s="648">
        <f t="shared" si="21"/>
        <v>8.4617464329377987E-2</v>
      </c>
      <c r="M54" s="648">
        <f t="shared" si="21"/>
        <v>9.2074928592783309E-2</v>
      </c>
      <c r="N54" s="648">
        <f t="shared" si="21"/>
        <v>9.9457818213554566E-2</v>
      </c>
      <c r="O54" s="648">
        <f t="shared" si="21"/>
        <v>0.10676687893811812</v>
      </c>
      <c r="P54" s="648">
        <f t="shared" si="21"/>
        <v>0.11400284905543603</v>
      </c>
      <c r="Q54" s="648">
        <f t="shared" si="21"/>
        <v>0.12116645947158078</v>
      </c>
      <c r="R54" s="648">
        <f t="shared" si="21"/>
        <v>0.12825843378356405</v>
      </c>
      <c r="S54" s="648">
        <f t="shared" si="21"/>
        <v>0.133259044812541</v>
      </c>
      <c r="T54" s="648">
        <f t="shared" si="21"/>
        <v>0.13618920619134167</v>
      </c>
      <c r="U54" s="823">
        <f t="shared" si="21"/>
        <v>0.13706962241646781</v>
      </c>
      <c r="V54" s="650">
        <f t="shared" ref="V54:AA54" si="22">V52/$E49</f>
        <v>0.13706962241646781</v>
      </c>
      <c r="W54" s="648">
        <f t="shared" si="22"/>
        <v>0.13706962241646781</v>
      </c>
      <c r="X54" s="648">
        <f t="shared" si="22"/>
        <v>0.13706962241646781</v>
      </c>
      <c r="Y54" s="648">
        <f t="shared" si="22"/>
        <v>0.13706962241646781</v>
      </c>
      <c r="Z54" s="648">
        <f t="shared" si="22"/>
        <v>0.13706962241646781</v>
      </c>
      <c r="AA54" s="648">
        <f t="shared" si="22"/>
        <v>0.13706962241646781</v>
      </c>
    </row>
    <row r="55" spans="2:27" ht="15" customHeight="1" x14ac:dyDescent="0.2">
      <c r="B55" s="547" t="s">
        <v>421</v>
      </c>
      <c r="C55" s="547"/>
      <c r="D55" s="632"/>
      <c r="E55" s="547">
        <f>IF(E58&gt;$R$7,IF(E49&gt;$R$6,$R$6,E49-E51),0)</f>
        <v>0</v>
      </c>
      <c r="F55" s="547">
        <f t="shared" ref="F55:U55" si="23">IF(F58&gt;$R$7,IF(F49&gt;$R$6,$R$6,F49-F51),0)</f>
        <v>0</v>
      </c>
      <c r="G55" s="769">
        <f t="shared" si="23"/>
        <v>0</v>
      </c>
      <c r="H55" s="627">
        <f t="shared" si="23"/>
        <v>0</v>
      </c>
      <c r="I55" s="627">
        <f t="shared" si="23"/>
        <v>0</v>
      </c>
      <c r="J55" s="547">
        <f t="shared" si="23"/>
        <v>0</v>
      </c>
      <c r="K55" s="547">
        <f t="shared" si="23"/>
        <v>0</v>
      </c>
      <c r="L55" s="547">
        <f t="shared" si="23"/>
        <v>0</v>
      </c>
      <c r="M55" s="547">
        <f t="shared" si="23"/>
        <v>0</v>
      </c>
      <c r="N55" s="547">
        <f t="shared" si="23"/>
        <v>0</v>
      </c>
      <c r="O55" s="547">
        <f t="shared" si="23"/>
        <v>0</v>
      </c>
      <c r="P55" s="547">
        <f t="shared" si="23"/>
        <v>0</v>
      </c>
      <c r="Q55" s="547">
        <f t="shared" si="23"/>
        <v>0</v>
      </c>
      <c r="R55" s="547">
        <f t="shared" si="23"/>
        <v>45000</v>
      </c>
      <c r="S55" s="547">
        <f t="shared" si="23"/>
        <v>45000</v>
      </c>
      <c r="T55" s="547">
        <f t="shared" si="23"/>
        <v>45000</v>
      </c>
      <c r="U55" s="633">
        <f t="shared" si="23"/>
        <v>19412.837852213848</v>
      </c>
      <c r="V55" s="627">
        <f t="shared" ref="V55:AA55" si="24">IF(V58&gt;$R$7,IF(V49&gt;$R$6,$R$6,V49-V51),0)</f>
        <v>0</v>
      </c>
      <c r="W55" s="547">
        <f t="shared" si="24"/>
        <v>0</v>
      </c>
      <c r="X55" s="547">
        <f t="shared" si="24"/>
        <v>0</v>
      </c>
      <c r="Y55" s="547">
        <f t="shared" si="24"/>
        <v>0</v>
      </c>
      <c r="Z55" s="547">
        <f t="shared" si="24"/>
        <v>0</v>
      </c>
      <c r="AA55" s="547">
        <f t="shared" si="24"/>
        <v>0</v>
      </c>
    </row>
    <row r="56" spans="2:27" ht="15" customHeight="1" x14ac:dyDescent="0.2">
      <c r="B56" s="547" t="s">
        <v>422</v>
      </c>
      <c r="C56" s="547"/>
      <c r="D56" s="632">
        <f t="shared" ref="D56:U56" si="25">D49-D50-D51-D55</f>
        <v>222723.37292101531</v>
      </c>
      <c r="E56" s="547">
        <f t="shared" si="25"/>
        <v>220496.13919180515</v>
      </c>
      <c r="F56" s="547">
        <f t="shared" si="25"/>
        <v>218291.17779988711</v>
      </c>
      <c r="G56" s="769">
        <f t="shared" si="25"/>
        <v>216108.26602188824</v>
      </c>
      <c r="H56" s="627">
        <f t="shared" si="25"/>
        <v>213947.18336166936</v>
      </c>
      <c r="I56" s="627">
        <f t="shared" si="25"/>
        <v>211807.71152805266</v>
      </c>
      <c r="J56" s="547">
        <f t="shared" si="25"/>
        <v>188508.86325996686</v>
      </c>
      <c r="K56" s="547">
        <f t="shared" si="25"/>
        <v>167772.88830137052</v>
      </c>
      <c r="L56" s="547">
        <f t="shared" si="25"/>
        <v>166095.15941835681</v>
      </c>
      <c r="M56" s="547">
        <f t="shared" si="25"/>
        <v>164434.20782417324</v>
      </c>
      <c r="N56" s="547">
        <f t="shared" si="25"/>
        <v>162789.86574593151</v>
      </c>
      <c r="O56" s="547">
        <f t="shared" si="25"/>
        <v>161161.96708847219</v>
      </c>
      <c r="P56" s="547">
        <f t="shared" si="25"/>
        <v>159550.34741758747</v>
      </c>
      <c r="Q56" s="547">
        <f t="shared" si="25"/>
        <v>157954.8439434116</v>
      </c>
      <c r="R56" s="547">
        <f t="shared" si="25"/>
        <v>111375.29550397748</v>
      </c>
      <c r="S56" s="547">
        <f t="shared" si="25"/>
        <v>65261.542548937708</v>
      </c>
      <c r="T56" s="547">
        <f t="shared" si="25"/>
        <v>19608.927123448331</v>
      </c>
      <c r="U56" s="633">
        <f t="shared" si="25"/>
        <v>0</v>
      </c>
      <c r="V56" s="627">
        <f t="shared" ref="V56:AA56" si="26">V49-V50-V51-V55</f>
        <v>0</v>
      </c>
      <c r="W56" s="547">
        <f t="shared" si="26"/>
        <v>0</v>
      </c>
      <c r="X56" s="547">
        <f t="shared" si="26"/>
        <v>0</v>
      </c>
      <c r="Y56" s="547">
        <f t="shared" si="26"/>
        <v>0</v>
      </c>
      <c r="Z56" s="547">
        <f t="shared" si="26"/>
        <v>0</v>
      </c>
      <c r="AA56" s="547">
        <f t="shared" si="26"/>
        <v>0</v>
      </c>
    </row>
    <row r="57" spans="2:27" ht="15" customHeight="1" x14ac:dyDescent="0.25">
      <c r="B57" s="545" t="s">
        <v>439</v>
      </c>
      <c r="C57" s="545"/>
      <c r="D57" s="1514" t="s">
        <v>600</v>
      </c>
      <c r="E57" s="1515"/>
      <c r="F57" s="1515"/>
      <c r="G57" s="1515"/>
      <c r="H57" s="1516"/>
      <c r="I57" s="1516"/>
      <c r="J57" s="1516"/>
      <c r="K57" s="1516"/>
      <c r="L57" s="1516"/>
      <c r="M57" s="1516"/>
      <c r="N57" s="1516"/>
      <c r="O57" s="1516"/>
      <c r="P57" s="1516"/>
      <c r="Q57" s="1516"/>
      <c r="R57" s="1516"/>
      <c r="S57" s="1516"/>
      <c r="T57" s="1516"/>
      <c r="U57" s="1517"/>
    </row>
    <row r="58" spans="2:27" ht="15" customHeight="1" x14ac:dyDescent="0.2">
      <c r="B58" s="547" t="s">
        <v>440</v>
      </c>
      <c r="C58" s="547"/>
      <c r="D58" s="765">
        <f>'Smolt Production'!R61</f>
        <v>159.99660976692255</v>
      </c>
      <c r="E58" s="766">
        <f>D62</f>
        <v>255.510989498122</v>
      </c>
      <c r="F58" s="766">
        <f>E62</f>
        <v>366.20657013414353</v>
      </c>
      <c r="G58" s="768">
        <f>F62</f>
        <v>479.82496793127495</v>
      </c>
      <c r="H58" s="813">
        <f t="shared" ref="H58:M58" si="27">G62</f>
        <v>608.08983759806108</v>
      </c>
      <c r="I58" s="627">
        <f t="shared" si="27"/>
        <v>714.58125025947356</v>
      </c>
      <c r="J58" s="547">
        <f t="shared" si="27"/>
        <v>881.63948016991856</v>
      </c>
      <c r="K58" s="547">
        <f t="shared" si="27"/>
        <v>1127.9071219242328</v>
      </c>
      <c r="L58" s="547">
        <f t="shared" si="27"/>
        <v>1489.4739841349044</v>
      </c>
      <c r="M58" s="547">
        <f t="shared" si="27"/>
        <v>1867.3473482366749</v>
      </c>
      <c r="N58" s="547">
        <f>M62</f>
        <v>2285.883959132188</v>
      </c>
      <c r="O58" s="547">
        <f t="shared" ref="O58:U58" si="28">N62</f>
        <v>2740.2158800599354</v>
      </c>
      <c r="P58" s="547">
        <f t="shared" si="28"/>
        <v>3208.2370158152298</v>
      </c>
      <c r="Q58" s="547">
        <f t="shared" si="28"/>
        <v>3733.1434482612663</v>
      </c>
      <c r="R58" s="547">
        <f t="shared" si="28"/>
        <v>4208.1001049545212</v>
      </c>
      <c r="S58" s="547">
        <f t="shared" si="28"/>
        <v>4617.5859307899182</v>
      </c>
      <c r="T58" s="547">
        <f t="shared" si="28"/>
        <v>4797.0469898931206</v>
      </c>
      <c r="U58" s="633">
        <f t="shared" si="28"/>
        <v>4933.1066790760733</v>
      </c>
      <c r="V58" s="627">
        <f t="shared" ref="V58:AA58" si="29">U62</f>
        <v>5127.767738681734</v>
      </c>
      <c r="W58" s="547">
        <f t="shared" si="29"/>
        <v>5127.767738681734</v>
      </c>
      <c r="X58" s="547">
        <f t="shared" si="29"/>
        <v>5127.767738681734</v>
      </c>
      <c r="Y58" s="547">
        <f t="shared" si="29"/>
        <v>5127.767738681734</v>
      </c>
      <c r="Z58" s="547">
        <f t="shared" si="29"/>
        <v>5127.767738681734</v>
      </c>
      <c r="AA58" s="547">
        <f t="shared" si="29"/>
        <v>5127.767738681734</v>
      </c>
    </row>
    <row r="59" spans="2:27" ht="15" customHeight="1" x14ac:dyDescent="0.2">
      <c r="B59" s="547" t="s">
        <v>441</v>
      </c>
      <c r="C59" s="547"/>
      <c r="D59" s="632">
        <f>ROUNDUP(D58*1.1,0)</f>
        <v>176</v>
      </c>
      <c r="E59" s="547">
        <f>ROUNDUP(E58*1.1,0)</f>
        <v>282</v>
      </c>
      <c r="F59" s="547">
        <f t="shared" ref="F59:U59" si="30">ROUNDUP(F58*1.1,0)</f>
        <v>403</v>
      </c>
      <c r="G59" s="769">
        <f t="shared" si="30"/>
        <v>528</v>
      </c>
      <c r="H59" s="627">
        <f t="shared" si="30"/>
        <v>669</v>
      </c>
      <c r="I59" s="627">
        <f t="shared" si="30"/>
        <v>787</v>
      </c>
      <c r="J59" s="547">
        <f t="shared" si="30"/>
        <v>970</v>
      </c>
      <c r="K59" s="547">
        <f t="shared" si="30"/>
        <v>1241</v>
      </c>
      <c r="L59" s="547">
        <f t="shared" si="30"/>
        <v>1639</v>
      </c>
      <c r="M59" s="547">
        <f t="shared" si="30"/>
        <v>2055</v>
      </c>
      <c r="N59" s="547">
        <f t="shared" si="30"/>
        <v>2515</v>
      </c>
      <c r="O59" s="547">
        <f t="shared" si="30"/>
        <v>3015</v>
      </c>
      <c r="P59" s="547">
        <f t="shared" si="30"/>
        <v>3530</v>
      </c>
      <c r="Q59" s="547">
        <f t="shared" si="30"/>
        <v>4107</v>
      </c>
      <c r="R59" s="547">
        <f t="shared" si="30"/>
        <v>4629</v>
      </c>
      <c r="S59" s="547">
        <f t="shared" si="30"/>
        <v>5080</v>
      </c>
      <c r="T59" s="547">
        <f t="shared" si="30"/>
        <v>5277</v>
      </c>
      <c r="U59" s="633">
        <f t="shared" si="30"/>
        <v>5427</v>
      </c>
      <c r="V59" s="627">
        <f t="shared" ref="V59:AA59" si="31">ROUNDUP(V58*1.1,0)</f>
        <v>5641</v>
      </c>
      <c r="W59" s="547">
        <f t="shared" si="31"/>
        <v>5641</v>
      </c>
      <c r="X59" s="547">
        <f t="shared" si="31"/>
        <v>5641</v>
      </c>
      <c r="Y59" s="547">
        <f t="shared" si="31"/>
        <v>5641</v>
      </c>
      <c r="Z59" s="547">
        <f t="shared" si="31"/>
        <v>5641</v>
      </c>
      <c r="AA59" s="547">
        <f t="shared" si="31"/>
        <v>5641</v>
      </c>
    </row>
    <row r="60" spans="2:27" ht="15" customHeight="1" x14ac:dyDescent="0.2">
      <c r="B60" s="547" t="s">
        <v>442</v>
      </c>
      <c r="C60" s="674"/>
      <c r="D60" s="632">
        <f>IF(D59&gt;0,(VLOOKUP(D59,'Input data'!$W$5:$X$6509,2,FALSE)),(0))</f>
        <v>15</v>
      </c>
      <c r="E60" s="547">
        <f>IF(E59&gt;0,(VLOOKUP(E59,'Input data'!$W$5:$X$6509,2,FALSE)),(0))</f>
        <v>17</v>
      </c>
      <c r="F60" s="547">
        <f>IF(F59&gt;0,(VLOOKUP(F59,'Input data'!$W$5:$X$6509,2,FALSE)),(0))</f>
        <v>20</v>
      </c>
      <c r="G60" s="547">
        <f>IF(G59&gt;0,(VLOOKUP(G59,'Input data'!$W$5:$X$6509,2,FALSE)),(0))</f>
        <v>22</v>
      </c>
      <c r="H60" s="547">
        <f>IF(H59&gt;0,(VLOOKUP(H59,'Input data'!$W$5:$X$6509,2,FALSE)),(0))</f>
        <v>25</v>
      </c>
      <c r="I60" s="547">
        <f>IF(I59&gt;0,(VLOOKUP(I59,'Input data'!$W$5:$X$6509,2,FALSE)),(0))</f>
        <v>27</v>
      </c>
      <c r="J60" s="547">
        <f>IF(J59&gt;0,(VLOOKUP(J59,'Input data'!$W$5:$X$6509,2,FALSE)),(0))</f>
        <v>31</v>
      </c>
      <c r="K60" s="547">
        <f>IF(K59&gt;0,(VLOOKUP(K59,'Input data'!$W$5:$X$6509,2,FALSE)),(0))</f>
        <v>32</v>
      </c>
      <c r="L60" s="547">
        <f>IF(L59&gt;0,(VLOOKUP(L59,'Input data'!$W$5:$X$6509,2,FALSE)),(0))</f>
        <v>34</v>
      </c>
      <c r="M60" s="547">
        <f>IF(M59&gt;0,(VLOOKUP(M59,'Input data'!$W$5:$X$6509,2,FALSE)),(0))</f>
        <v>36</v>
      </c>
      <c r="N60" s="547">
        <f>IF(N59&gt;0,(VLOOKUP(N59,'Input data'!$W$5:$X$6509,2,FALSE)),(0))</f>
        <v>38</v>
      </c>
      <c r="O60" s="547">
        <f>IF(O59&gt;0,(VLOOKUP(O59,'Input data'!$W$5:$X$6509,2,FALSE)),(0))</f>
        <v>40</v>
      </c>
      <c r="P60" s="547">
        <f>IF(P59&gt;0,(VLOOKUP(P59,'Input data'!$W$5:$X$6509,2,FALSE)),(0))</f>
        <v>42</v>
      </c>
      <c r="Q60" s="547">
        <f>IF(Q59&gt;0,(VLOOKUP(Q59,'Input data'!$W$5:$X$6509,2,FALSE)),(0))</f>
        <v>44</v>
      </c>
      <c r="R60" s="547">
        <f>IF(R59&gt;0,(VLOOKUP(R59,'Input data'!$W$5:$X$6509,2,FALSE)),(0))</f>
        <v>46</v>
      </c>
      <c r="S60" s="547">
        <f>IF(S59&gt;0,(VLOOKUP(S59,'Input data'!$W$5:$X$6509,2,FALSE)),(0))</f>
        <v>48</v>
      </c>
      <c r="T60" s="547">
        <f>IF(T59&gt;0,(VLOOKUP(T59,'Input data'!$W$5:$X$6509,2,FALSE)),(0))</f>
        <v>49</v>
      </c>
      <c r="U60" s="633">
        <f>IF(U59&gt;0,(VLOOKUP(U59,'Input data'!$W$5:$X$6509,2,FALSE)),(0))</f>
        <v>49</v>
      </c>
      <c r="V60" s="627">
        <f>IF(V59&gt;0,(VLOOKUP(V59,'Input data'!$W$5:$X$6509,2,FALSE)),(0))</f>
        <v>50</v>
      </c>
      <c r="W60" s="547">
        <f>IF(W59&gt;0,(VLOOKUP(W59,'Input data'!$W$5:$X$6509,2,FALSE)),(0))</f>
        <v>50</v>
      </c>
      <c r="X60" s="547">
        <f>IF(X59&gt;0,(VLOOKUP(X59,'Input data'!$W$5:$X$6509,2,FALSE)),(0))</f>
        <v>50</v>
      </c>
      <c r="Y60" s="547">
        <f>IF(Y59&gt;0,(VLOOKUP(Y59,'Input data'!$W$5:$X$6509,2,FALSE)),(0))</f>
        <v>50</v>
      </c>
      <c r="Z60" s="547">
        <f>IF(Z59&gt;0,(VLOOKUP(Z59,'Input data'!$W$5:$X$6509,2,FALSE)),(0))</f>
        <v>50</v>
      </c>
      <c r="AA60" s="547">
        <f>IF(AA59&gt;0,(VLOOKUP(AA59,'Input data'!$W$5:$X$6509,2,FALSE)),(0))</f>
        <v>50</v>
      </c>
    </row>
    <row r="61" spans="2:27" ht="15" customHeight="1" x14ac:dyDescent="0.2">
      <c r="B61" s="547" t="s">
        <v>426</v>
      </c>
      <c r="C61" s="547"/>
      <c r="D61" s="641">
        <f>IF(D55&gt;=0,(VLOOKUP(D60,'Input data'!$C$19:$P$65,(HLOOKUP(D19,'Input data'!$D$4:$P$5,2,FALSE)),FALSE)),(0))</f>
        <v>1.5215000000000001</v>
      </c>
      <c r="E61" s="552">
        <f>IF(E55&gt;=0,(VLOOKUP(E60,'Input data'!$C$19:$P$65,(HLOOKUP(E19,'Input data'!$D$4:$P$5,2,FALSE)),FALSE)),(0))</f>
        <v>1.2069999999999999</v>
      </c>
      <c r="F61" s="552">
        <f>IF(F55&gt;=0,(VLOOKUP(F60,'Input data'!$C$19:$P$65,(HLOOKUP(F19,'Input data'!$D$4:$P$5,2,FALSE)),FALSE)),(0))</f>
        <v>0.87549999999999994</v>
      </c>
      <c r="G61" s="552">
        <f>IF(G55&gt;=0,(VLOOKUP(G60,'Input data'!$C$19:$P$65,(HLOOKUP(G19,'Input data'!$D$4:$P$5,2,FALSE)),FALSE)),(0))</f>
        <v>0.76712499999999995</v>
      </c>
      <c r="H61" s="552">
        <f>IF(H55&gt;=0,(VLOOKUP(H60,'Input data'!$C$19:$P$65,(HLOOKUP(H19,'Input data'!$D$4:$P$5,2,FALSE)),FALSE)),(0))</f>
        <v>0.57800000000000007</v>
      </c>
      <c r="I61" s="552">
        <f>IF(I55&gt;=0,(VLOOKUP(I60,'Input data'!$C$19:$P$65,(HLOOKUP(I19,'Input data'!$D$4:$P$5,2,FALSE)),FALSE)),(0))</f>
        <v>0.68</v>
      </c>
      <c r="J61" s="552">
        <f>IF(J55&gt;=0,(VLOOKUP(J60,'Input data'!$C$19:$P$65,(HLOOKUP(J19,'Input data'!$D$4:$P$5,2,FALSE)),FALSE)),(0))</f>
        <v>0.82450000000000001</v>
      </c>
      <c r="K61" s="552">
        <f>IF(K55&gt;=0,(VLOOKUP(K60,'Input data'!$C$19:$P$65,(HLOOKUP(K19,'Input data'!$D$4:$P$5,2,FALSE)),FALSE)),(0))</f>
        <v>0.90100000000000002</v>
      </c>
      <c r="L61" s="552">
        <f>IF(L55&gt;=0,(VLOOKUP(L60,'Input data'!$C$19:$P$65,(HLOOKUP(L19,'Input data'!$D$4:$P$5,2,FALSE)),FALSE)),(0))</f>
        <v>0.75649999999999995</v>
      </c>
      <c r="M61" s="552">
        <f>IF(M55&gt;=0,(VLOOKUP(M60,'Input data'!$C$19:$P$65,(HLOOKUP(M19,'Input data'!$D$4:$P$5,2,FALSE)),FALSE)),(0))</f>
        <v>0.65449999999999997</v>
      </c>
      <c r="N61" s="552">
        <f>IF(N55&gt;=0,(VLOOKUP(N60,'Input data'!$C$19:$P$65,(HLOOKUP(N19,'Input data'!$D$4:$P$5,2,FALSE)),FALSE)),(0))</f>
        <v>0.58649999999999991</v>
      </c>
      <c r="O61" s="552">
        <f>IF(O55&gt;=0,(VLOOKUP(O60,'Input data'!$C$19:$P$65,(HLOOKUP(O19,'Input data'!$D$4:$P$5,2,FALSE)),FALSE)),(0))</f>
        <v>0.52700000000000002</v>
      </c>
      <c r="P61" s="552">
        <f>IF(P55&gt;=0,(VLOOKUP(P60,'Input data'!$C$19:$P$65,(HLOOKUP(P19,'Input data'!$D$4:$P$5,2,FALSE)),FALSE)),(0))</f>
        <v>0.49</v>
      </c>
      <c r="Q61" s="552">
        <f>IF(Q55&gt;=0,(VLOOKUP(Q60,'Input data'!$C$19:$P$65,(HLOOKUP(Q19,'Input data'!$D$4:$P$5,2,FALSE)),FALSE)),(0))</f>
        <v>0.4</v>
      </c>
      <c r="R61" s="552">
        <f>IF(R55&gt;=0,(VLOOKUP(R60,'Input data'!$C$19:$P$65,(HLOOKUP(R19,'Input data'!$D$4:$P$5,2,FALSE)),FALSE)),(0))</f>
        <v>0.3</v>
      </c>
      <c r="S61" s="552">
        <f>IF(S55&gt;=0,(VLOOKUP(S60,'Input data'!$C$19:$P$65,(HLOOKUP(S19,'Input data'!$D$4:$P$5,2,FALSE)),FALSE)),(0))</f>
        <v>0.12307075200000001</v>
      </c>
      <c r="T61" s="552">
        <f>IF(T55&gt;=0,(VLOOKUP(T60,'Input data'!$C$19:$P$65,(HLOOKUP(T19,'Input data'!$D$4:$P$5,2,FALSE)),FALSE)),(0))</f>
        <v>9.9937152000000001E-2</v>
      </c>
      <c r="U61" s="642">
        <f>IF(U55&gt;=0,(VLOOKUP(U60,'Input data'!$C$19:$P$65,(HLOOKUP(U19,'Input data'!$D$4:$P$5,2,FALSE)),FALSE)),(0))</f>
        <v>0.12492143999999999</v>
      </c>
      <c r="V61" s="640">
        <f>IF(V55&gt;=0,(VLOOKUP(V60,'Input data'!$C$19:$P$65,(HLOOKUP(V19,'Input data'!$D$4:$P$5,2,FALSE)),FALSE)),(0))</f>
        <v>0.17141997599999997</v>
      </c>
      <c r="W61" s="552">
        <f>IF(W55&gt;=0,(VLOOKUP(W60,'Input data'!$C$19:$P$65,(HLOOKUP(W19,'Input data'!$D$4:$P$5,2,FALSE)),FALSE)),(0))</f>
        <v>0.20218766399999996</v>
      </c>
      <c r="X61" s="552">
        <f>IF(X55&gt;=0,(VLOOKUP(X60,'Input data'!$C$19:$P$65,(HLOOKUP(X19,'Input data'!$D$4:$P$5,2,FALSE)),FALSE)),(0))</f>
        <v>0.20658304799999996</v>
      </c>
      <c r="Y61" s="552">
        <f>IF(Y55&gt;=0,(VLOOKUP(Y60,'Input data'!$C$19:$P$65,(HLOOKUP(Y19,'Input data'!$D$4:$P$5,2,FALSE)),FALSE)),(0))</f>
        <v>0.20658304799999996</v>
      </c>
      <c r="Z61" s="552">
        <f>IF(Z55&gt;=0,(VLOOKUP(Z60,'Input data'!$C$19:$P$65,(HLOOKUP(Z19,'Input data'!$D$4:$P$5,2,FALSE)),FALSE)),(0))</f>
        <v>0.20658304799999996</v>
      </c>
      <c r="AA61" s="552">
        <f>IF(AA55&gt;=0,(VLOOKUP(AA60,'Input data'!$C$19:$P$65,(HLOOKUP(AA19,'Input data'!$D$4:$P$5,2,FALSE)),FALSE)),(0))</f>
        <v>0.20218766399999996</v>
      </c>
    </row>
    <row r="62" spans="2:27" ht="15" customHeight="1" x14ac:dyDescent="0.2">
      <c r="B62" s="547" t="s">
        <v>443</v>
      </c>
      <c r="C62" s="547"/>
      <c r="D62" s="632">
        <f t="shared" ref="D62:U62" si="32">IF(D49&gt;0,D58*(1+(D61/100))^D18,D58)</f>
        <v>255.510989498122</v>
      </c>
      <c r="E62" s="547">
        <f t="shared" si="32"/>
        <v>366.20657013414353</v>
      </c>
      <c r="F62" s="547">
        <f t="shared" si="32"/>
        <v>479.82496793127495</v>
      </c>
      <c r="G62" s="769">
        <f t="shared" si="32"/>
        <v>608.08983759806108</v>
      </c>
      <c r="H62" s="627">
        <f t="shared" si="32"/>
        <v>714.58125025947356</v>
      </c>
      <c r="I62" s="627">
        <f t="shared" si="32"/>
        <v>881.63948016991856</v>
      </c>
      <c r="J62" s="547">
        <f t="shared" si="32"/>
        <v>1127.9071219242328</v>
      </c>
      <c r="K62" s="547">
        <f t="shared" si="32"/>
        <v>1489.4739841349044</v>
      </c>
      <c r="L62" s="547">
        <f t="shared" si="32"/>
        <v>1867.3473482366749</v>
      </c>
      <c r="M62" s="547">
        <f t="shared" si="32"/>
        <v>2285.883959132188</v>
      </c>
      <c r="N62" s="547">
        <f t="shared" si="32"/>
        <v>2740.2158800599354</v>
      </c>
      <c r="O62" s="547">
        <f t="shared" si="32"/>
        <v>3208.2370158152298</v>
      </c>
      <c r="P62" s="547">
        <f t="shared" si="32"/>
        <v>3733.1434482612663</v>
      </c>
      <c r="Q62" s="547">
        <f t="shared" si="32"/>
        <v>4208.1001049545212</v>
      </c>
      <c r="R62" s="547">
        <f t="shared" si="32"/>
        <v>4617.5859307899182</v>
      </c>
      <c r="S62" s="547">
        <f t="shared" si="32"/>
        <v>4797.0469898931206</v>
      </c>
      <c r="T62" s="547">
        <f t="shared" si="32"/>
        <v>4933.1066790760733</v>
      </c>
      <c r="U62" s="633">
        <f t="shared" si="32"/>
        <v>5127.767738681734</v>
      </c>
      <c r="V62" s="627">
        <f t="shared" ref="V62:AA62" si="33">IF(V49&gt;0,V58*(1+(V61/100))^V18,V58)</f>
        <v>5127.767738681734</v>
      </c>
      <c r="W62" s="547">
        <f t="shared" si="33"/>
        <v>5127.767738681734</v>
      </c>
      <c r="X62" s="547">
        <f t="shared" si="33"/>
        <v>5127.767738681734</v>
      </c>
      <c r="Y62" s="547">
        <f t="shared" si="33"/>
        <v>5127.767738681734</v>
      </c>
      <c r="Z62" s="547">
        <f t="shared" si="33"/>
        <v>5127.767738681734</v>
      </c>
      <c r="AA62" s="547">
        <f t="shared" si="33"/>
        <v>5127.767738681734</v>
      </c>
    </row>
    <row r="63" spans="2:27" ht="15" customHeight="1" x14ac:dyDescent="0.2">
      <c r="B63" s="547" t="s">
        <v>444</v>
      </c>
      <c r="C63" s="547"/>
      <c r="D63" s="632">
        <f t="shared" ref="D63:U63" si="34">(D49*D58)/1000</f>
        <v>35994.933922440854</v>
      </c>
      <c r="E63" s="547">
        <f t="shared" si="34"/>
        <v>56908.269399407858</v>
      </c>
      <c r="F63" s="547">
        <f t="shared" si="34"/>
        <v>80747.134861251674</v>
      </c>
      <c r="G63" s="769">
        <f t="shared" si="34"/>
        <v>104741.55738751107</v>
      </c>
      <c r="H63" s="627">
        <f t="shared" si="34"/>
        <v>131413.24038884862</v>
      </c>
      <c r="I63" s="627">
        <f t="shared" si="34"/>
        <v>152882.64577607453</v>
      </c>
      <c r="J63" s="547">
        <f t="shared" si="34"/>
        <v>186738.04068757241</v>
      </c>
      <c r="K63" s="547">
        <f t="shared" si="34"/>
        <v>212620.48941675798</v>
      </c>
      <c r="L63" s="547">
        <f t="shared" si="34"/>
        <v>249893.35236806265</v>
      </c>
      <c r="M63" s="547">
        <f t="shared" si="34"/>
        <v>310157.35549481638</v>
      </c>
      <c r="N63" s="547">
        <f t="shared" si="34"/>
        <v>375877.51799788611</v>
      </c>
      <c r="O63" s="547">
        <f t="shared" si="34"/>
        <v>446079.37522982643</v>
      </c>
      <c r="P63" s="547">
        <f t="shared" si="34"/>
        <v>517045.78835483227</v>
      </c>
      <c r="Q63" s="547">
        <f t="shared" si="34"/>
        <v>595624.33412977553</v>
      </c>
      <c r="R63" s="547">
        <f t="shared" si="34"/>
        <v>664689.7953763454</v>
      </c>
      <c r="S63" s="547">
        <f t="shared" si="34"/>
        <v>514284.99755673605</v>
      </c>
      <c r="T63" s="547">
        <f t="shared" si="34"/>
        <v>313062.68624016346</v>
      </c>
      <c r="U63" s="633">
        <f t="shared" si="34"/>
        <v>96732.929362198935</v>
      </c>
      <c r="V63" s="627">
        <f t="shared" ref="V63:AA63" si="35">(V49*V58)/1000</f>
        <v>0</v>
      </c>
      <c r="W63" s="547">
        <f t="shared" si="35"/>
        <v>0</v>
      </c>
      <c r="X63" s="547">
        <f t="shared" si="35"/>
        <v>0</v>
      </c>
      <c r="Y63" s="547">
        <f t="shared" si="35"/>
        <v>0</v>
      </c>
      <c r="Z63" s="547">
        <f t="shared" si="35"/>
        <v>0</v>
      </c>
      <c r="AA63" s="547">
        <f t="shared" si="35"/>
        <v>0</v>
      </c>
    </row>
    <row r="64" spans="2:27" ht="15" customHeight="1" x14ac:dyDescent="0.2">
      <c r="B64" s="547" t="s">
        <v>445</v>
      </c>
      <c r="C64" s="547"/>
      <c r="D64" s="632">
        <f t="shared" ref="D64:U64" si="36">(D51*D59)/1000</f>
        <v>395.95266297069389</v>
      </c>
      <c r="E64" s="547">
        <f t="shared" si="36"/>
        <v>628.07991163726331</v>
      </c>
      <c r="F64" s="547">
        <f t="shared" si="36"/>
        <v>888.59944094297475</v>
      </c>
      <c r="G64" s="769">
        <f t="shared" si="36"/>
        <v>1152.577418783404</v>
      </c>
      <c r="H64" s="627">
        <f t="shared" si="36"/>
        <v>1445.7642996864322</v>
      </c>
      <c r="I64" s="627">
        <f t="shared" si="36"/>
        <v>1683.764333056338</v>
      </c>
      <c r="J64" s="547">
        <f t="shared" si="36"/>
        <v>2054.5348018221111</v>
      </c>
      <c r="K64" s="547">
        <f t="shared" si="36"/>
        <v>2339.3949930561889</v>
      </c>
      <c r="L64" s="547">
        <f t="shared" si="36"/>
        <v>2749.7976392594628</v>
      </c>
      <c r="M64" s="547">
        <f t="shared" si="36"/>
        <v>3413.2555260472327</v>
      </c>
      <c r="N64" s="547">
        <f t="shared" si="36"/>
        <v>4135.5203267779571</v>
      </c>
      <c r="O64" s="547">
        <f t="shared" si="36"/>
        <v>4908.1144522398354</v>
      </c>
      <c r="P64" s="547">
        <f t="shared" si="36"/>
        <v>5689.0174382230689</v>
      </c>
      <c r="Q64" s="547">
        <f t="shared" si="36"/>
        <v>6552.7327684403172</v>
      </c>
      <c r="R64" s="547">
        <f t="shared" si="36"/>
        <v>7311.7297261405238</v>
      </c>
      <c r="S64" s="547">
        <f t="shared" si="36"/>
        <v>5657.8650116020563</v>
      </c>
      <c r="T64" s="547">
        <f t="shared" si="36"/>
        <v>3443.8516003074433</v>
      </c>
      <c r="U64" s="633">
        <f t="shared" si="36"/>
        <v>1064.1764749895408</v>
      </c>
      <c r="V64" s="627">
        <f t="shared" ref="V64:AA64" si="37">(V51*V59)/1000</f>
        <v>0</v>
      </c>
      <c r="W64" s="547">
        <f t="shared" si="37"/>
        <v>0</v>
      </c>
      <c r="X64" s="547">
        <f t="shared" si="37"/>
        <v>0</v>
      </c>
      <c r="Y64" s="547">
        <f t="shared" si="37"/>
        <v>0</v>
      </c>
      <c r="Z64" s="547">
        <f t="shared" si="37"/>
        <v>0</v>
      </c>
      <c r="AA64" s="547">
        <f t="shared" si="37"/>
        <v>0</v>
      </c>
    </row>
    <row r="65" spans="2:29" ht="15" customHeight="1" x14ac:dyDescent="0.2">
      <c r="B65" s="547" t="s">
        <v>446</v>
      </c>
      <c r="C65" s="547"/>
      <c r="D65" s="632"/>
      <c r="E65" s="547">
        <f t="shared" ref="E65:U65" si="38">(E55*E58)/1000</f>
        <v>0</v>
      </c>
      <c r="F65" s="547">
        <f t="shared" si="38"/>
        <v>0</v>
      </c>
      <c r="G65" s="769">
        <f t="shared" si="38"/>
        <v>0</v>
      </c>
      <c r="H65" s="627">
        <f t="shared" si="38"/>
        <v>0</v>
      </c>
      <c r="I65" s="627">
        <f t="shared" si="38"/>
        <v>0</v>
      </c>
      <c r="J65" s="547">
        <f>J50*J58/1000</f>
        <v>18673.804068757243</v>
      </c>
      <c r="K65" s="547">
        <f>K50*K58/1000</f>
        <v>21262.048941675796</v>
      </c>
      <c r="L65" s="547">
        <f t="shared" si="38"/>
        <v>0</v>
      </c>
      <c r="M65" s="547">
        <f t="shared" si="38"/>
        <v>0</v>
      </c>
      <c r="N65" s="547">
        <f t="shared" si="38"/>
        <v>0</v>
      </c>
      <c r="O65" s="547">
        <f t="shared" si="38"/>
        <v>0</v>
      </c>
      <c r="P65" s="547">
        <f t="shared" si="38"/>
        <v>0</v>
      </c>
      <c r="Q65" s="547">
        <f t="shared" si="38"/>
        <v>0</v>
      </c>
      <c r="R65" s="547">
        <f t="shared" si="38"/>
        <v>189364.50472295342</v>
      </c>
      <c r="S65" s="547">
        <f t="shared" si="38"/>
        <v>207791.36688554633</v>
      </c>
      <c r="T65" s="547">
        <f t="shared" si="38"/>
        <v>215867.11454519042</v>
      </c>
      <c r="U65" s="633">
        <f t="shared" si="38"/>
        <v>95765.600068576954</v>
      </c>
      <c r="V65" s="627">
        <f t="shared" ref="V65:AA65" si="39">(V55*V58)/1000</f>
        <v>0</v>
      </c>
      <c r="W65" s="547">
        <f t="shared" si="39"/>
        <v>0</v>
      </c>
      <c r="X65" s="547">
        <f t="shared" si="39"/>
        <v>0</v>
      </c>
      <c r="Y65" s="547">
        <f t="shared" si="39"/>
        <v>0</v>
      </c>
      <c r="Z65" s="547">
        <f t="shared" si="39"/>
        <v>0</v>
      </c>
      <c r="AA65" s="547">
        <f t="shared" si="39"/>
        <v>0</v>
      </c>
    </row>
    <row r="66" spans="2:29" ht="15" customHeight="1" thickBot="1" x14ac:dyDescent="0.25">
      <c r="B66" s="547" t="s">
        <v>447</v>
      </c>
      <c r="C66" s="547"/>
      <c r="D66" s="632">
        <f t="shared" ref="D66:U66" si="40">(D56*D62)/1000</f>
        <v>56908.269399407858</v>
      </c>
      <c r="E66" s="547">
        <f t="shared" si="40"/>
        <v>80747.134861251674</v>
      </c>
      <c r="F66" s="547">
        <f t="shared" si="40"/>
        <v>104741.55738751107</v>
      </c>
      <c r="G66" s="769">
        <f t="shared" si="40"/>
        <v>131413.24038884862</v>
      </c>
      <c r="H66" s="627">
        <f t="shared" si="40"/>
        <v>152882.64577607453</v>
      </c>
      <c r="I66" s="627">
        <f t="shared" si="40"/>
        <v>186738.04068757241</v>
      </c>
      <c r="J66" s="547">
        <f t="shared" si="40"/>
        <v>212620.48941675798</v>
      </c>
      <c r="K66" s="547">
        <f t="shared" si="40"/>
        <v>249893.35236806265</v>
      </c>
      <c r="L66" s="547">
        <f t="shared" si="40"/>
        <v>310157.35549481638</v>
      </c>
      <c r="M66" s="547">
        <f t="shared" si="40"/>
        <v>375877.51799788611</v>
      </c>
      <c r="N66" s="547">
        <f t="shared" si="40"/>
        <v>446079.37522982643</v>
      </c>
      <c r="O66" s="547">
        <f t="shared" si="40"/>
        <v>517045.78835483227</v>
      </c>
      <c r="P66" s="547">
        <f t="shared" si="40"/>
        <v>595624.33412977553</v>
      </c>
      <c r="Q66" s="547">
        <f t="shared" si="40"/>
        <v>664689.7953763454</v>
      </c>
      <c r="R66" s="547">
        <f t="shared" si="40"/>
        <v>514284.99755673605</v>
      </c>
      <c r="S66" s="547">
        <f t="shared" si="40"/>
        <v>313062.68624016346</v>
      </c>
      <c r="T66" s="547">
        <f t="shared" si="40"/>
        <v>96732.929362198935</v>
      </c>
      <c r="U66" s="633">
        <f t="shared" si="40"/>
        <v>0</v>
      </c>
      <c r="V66" s="627">
        <f t="shared" ref="V66:AA66" si="41">(V56*V62)/1000</f>
        <v>0</v>
      </c>
      <c r="W66" s="547">
        <f t="shared" si="41"/>
        <v>0</v>
      </c>
      <c r="X66" s="547">
        <f t="shared" si="41"/>
        <v>0</v>
      </c>
      <c r="Y66" s="547">
        <f t="shared" si="41"/>
        <v>0</v>
      </c>
      <c r="Z66" s="547">
        <f t="shared" si="41"/>
        <v>0</v>
      </c>
      <c r="AA66" s="547">
        <f t="shared" si="41"/>
        <v>0</v>
      </c>
    </row>
    <row r="67" spans="2:29" ht="15" customHeight="1" thickBot="1" x14ac:dyDescent="0.3">
      <c r="B67" s="545" t="s">
        <v>431</v>
      </c>
      <c r="C67" s="545"/>
      <c r="D67" s="1496" t="s">
        <v>600</v>
      </c>
      <c r="E67" s="1512"/>
      <c r="F67" s="1512"/>
      <c r="G67" s="1512"/>
      <c r="H67" s="1497"/>
      <c r="I67" s="1497"/>
      <c r="J67" s="1497"/>
      <c r="K67" s="1497"/>
      <c r="L67" s="1497"/>
      <c r="M67" s="1497"/>
      <c r="N67" s="1497"/>
      <c r="O67" s="1497"/>
      <c r="P67" s="1497"/>
      <c r="Q67" s="1497"/>
      <c r="R67" s="1497"/>
      <c r="S67" s="1497"/>
      <c r="T67" s="1497"/>
      <c r="U67" s="1498"/>
    </row>
    <row r="68" spans="2:29" s="349" customFormat="1" ht="15" customHeight="1" x14ac:dyDescent="0.2">
      <c r="B68" s="547" t="s">
        <v>448</v>
      </c>
      <c r="C68" s="547"/>
      <c r="D68" s="643">
        <f>VLOOKUP(D60,'Input data'!$R$5:$S$59,2,FALSE)</f>
        <v>1.3</v>
      </c>
      <c r="E68" s="644">
        <f>VLOOKUP(E60,'Input data'!$R$5:$S$59,2,FALSE)</f>
        <v>1.3</v>
      </c>
      <c r="F68" s="644">
        <f>VLOOKUP(F60,'Input data'!$R$5:$S$59,2,FALSE)</f>
        <v>1.3</v>
      </c>
      <c r="G68" s="644">
        <f>VLOOKUP(G60,'Input data'!$R$5:$S$59,2,FALSE)</f>
        <v>1.3</v>
      </c>
      <c r="H68" s="644">
        <f>VLOOKUP(H60,'Input data'!$R$5:$S$59,2,FALSE)</f>
        <v>1.3</v>
      </c>
      <c r="I68" s="644">
        <f>VLOOKUP(I60,'Input data'!$R$5:$S$59,2,FALSE)</f>
        <v>1.3</v>
      </c>
      <c r="J68" s="644">
        <f>VLOOKUP(J60,'Input data'!$R$5:$S$59,2,FALSE)</f>
        <v>1.3</v>
      </c>
      <c r="K68" s="644">
        <f>VLOOKUP(K60,'Input data'!$R$5:$S$59,2,FALSE)</f>
        <v>1.3</v>
      </c>
      <c r="L68" s="644">
        <f>VLOOKUP(L60,'Input data'!$R$5:$S$59,2,FALSE)</f>
        <v>1.3</v>
      </c>
      <c r="M68" s="644">
        <f>VLOOKUP(M60,'Input data'!$R$5:$S$59,2,FALSE)</f>
        <v>1.3</v>
      </c>
      <c r="N68" s="644">
        <f>VLOOKUP(N60,'Input data'!$R$5:$S$59,2,FALSE)</f>
        <v>1.3</v>
      </c>
      <c r="O68" s="644">
        <f>VLOOKUP(O60,'Input data'!$R$5:$S$59,2,FALSE)</f>
        <v>1.3</v>
      </c>
      <c r="P68" s="644">
        <f>VLOOKUP(P60,'Input data'!$R$5:$S$59,2,FALSE)</f>
        <v>1.3</v>
      </c>
      <c r="Q68" s="644">
        <f>VLOOKUP(Q60,'Input data'!$R$5:$S$59,2,FALSE)</f>
        <v>1.3</v>
      </c>
      <c r="R68" s="644">
        <f>VLOOKUP(R60,'Input data'!$R$5:$S$59,2,FALSE)</f>
        <v>1.3</v>
      </c>
      <c r="S68" s="644">
        <f>VLOOKUP(S60,'Input data'!$R$5:$S$59,2,FALSE)</f>
        <v>1.3</v>
      </c>
      <c r="T68" s="644">
        <f>VLOOKUP(T60,'Input data'!$R$5:$S$59,2,FALSE)</f>
        <v>1.3</v>
      </c>
      <c r="U68" s="645">
        <f>VLOOKUP(U60,'Input data'!$R$5:$S$59,2,FALSE)</f>
        <v>1.3</v>
      </c>
      <c r="V68" s="1221">
        <f>VLOOKUP(V60,'Input data'!$R$5:$S$59,2,FALSE)</f>
        <v>1.3</v>
      </c>
      <c r="W68" s="775">
        <f>VLOOKUP(W60,'Input data'!$R$5:$S$59,2,FALSE)</f>
        <v>1.3</v>
      </c>
      <c r="X68" s="775">
        <f>VLOOKUP(X60,'Input data'!$R$5:$S$59,2,FALSE)</f>
        <v>1.3</v>
      </c>
      <c r="Y68" s="775">
        <f>VLOOKUP(Y60,'Input data'!$R$5:$S$59,2,FALSE)</f>
        <v>1.3</v>
      </c>
      <c r="Z68" s="775">
        <f>VLOOKUP(Z60,'Input data'!$R$5:$S$59,2,FALSE)</f>
        <v>1.3</v>
      </c>
      <c r="AA68" s="775">
        <f>VLOOKUP(AA60,'Input data'!$R$5:$S$59,2,FALSE)</f>
        <v>1.3</v>
      </c>
    </row>
    <row r="69" spans="2:29" s="349" customFormat="1" ht="15" customHeight="1" x14ac:dyDescent="0.2">
      <c r="B69" s="547" t="s">
        <v>449</v>
      </c>
      <c r="C69" s="547"/>
      <c r="D69" s="632">
        <f t="shared" ref="D69:S69" si="42">IF(D55&gt;=0,(((D66+D65)-D63)*D68),(0))</f>
        <v>27187.336120057105</v>
      </c>
      <c r="E69" s="547">
        <f t="shared" si="42"/>
        <v>30990.525100396961</v>
      </c>
      <c r="F69" s="547">
        <f t="shared" si="42"/>
        <v>31192.749284137219</v>
      </c>
      <c r="G69" s="547">
        <f t="shared" si="42"/>
        <v>34673.187901738806</v>
      </c>
      <c r="H69" s="547">
        <f t="shared" si="42"/>
        <v>27910.227003393684</v>
      </c>
      <c r="I69" s="547">
        <f t="shared" si="42"/>
        <v>44012.013384947255</v>
      </c>
      <c r="J69" s="547">
        <f t="shared" si="42"/>
        <v>57923.128637325659</v>
      </c>
      <c r="K69" s="547">
        <f t="shared" si="42"/>
        <v>76095.385460874633</v>
      </c>
      <c r="L69" s="547">
        <f t="shared" si="42"/>
        <v>78343.204064779842</v>
      </c>
      <c r="M69" s="547">
        <f t="shared" si="42"/>
        <v>85436.211253990652</v>
      </c>
      <c r="N69" s="547">
        <f t="shared" si="42"/>
        <v>91262.414401522416</v>
      </c>
      <c r="O69" s="547">
        <f t="shared" si="42"/>
        <v>92256.337062507591</v>
      </c>
      <c r="P69" s="547">
        <f t="shared" si="42"/>
        <v>102152.10950742623</v>
      </c>
      <c r="Q69" s="547">
        <f t="shared" si="42"/>
        <v>89785.099620540845</v>
      </c>
      <c r="R69" s="547">
        <f t="shared" si="42"/>
        <v>50647.618974347381</v>
      </c>
      <c r="S69" s="547">
        <f t="shared" si="42"/>
        <v>8539.772239665821</v>
      </c>
      <c r="T69" s="547">
        <f>IF(T55=0,(((T66+T65)-T63)*T68),(0))</f>
        <v>0</v>
      </c>
      <c r="U69" s="633">
        <f>IF(U55=0,(((U66+U65)-U63)*U68),(0))</f>
        <v>0</v>
      </c>
      <c r="V69" s="627">
        <f t="shared" ref="V69:AA69" si="43">IF(V55&gt;=0,(((V66+V65)-V63)*V68),(0))</f>
        <v>0</v>
      </c>
      <c r="W69" s="547">
        <f t="shared" si="43"/>
        <v>0</v>
      </c>
      <c r="X69" s="547">
        <f t="shared" si="43"/>
        <v>0</v>
      </c>
      <c r="Y69" s="547">
        <f t="shared" si="43"/>
        <v>0</v>
      </c>
      <c r="Z69" s="547">
        <f t="shared" si="43"/>
        <v>0</v>
      </c>
      <c r="AA69" s="547">
        <f t="shared" si="43"/>
        <v>0</v>
      </c>
    </row>
    <row r="70" spans="2:29" s="349" customFormat="1" ht="15" customHeight="1" x14ac:dyDescent="0.2">
      <c r="B70" s="547" t="s">
        <v>546</v>
      </c>
      <c r="C70" s="547"/>
      <c r="D70" s="675">
        <f t="shared" ref="D70:U70" si="44">D68+D63</f>
        <v>35996.233922440857</v>
      </c>
      <c r="E70" s="627">
        <f t="shared" si="44"/>
        <v>56909.569399407861</v>
      </c>
      <c r="F70" s="627">
        <f t="shared" si="44"/>
        <v>80748.434861251677</v>
      </c>
      <c r="G70" s="627">
        <f t="shared" si="44"/>
        <v>104742.85738751107</v>
      </c>
      <c r="H70" s="627">
        <f t="shared" si="44"/>
        <v>131414.5403888486</v>
      </c>
      <c r="I70" s="627">
        <f t="shared" si="44"/>
        <v>152883.94577607451</v>
      </c>
      <c r="J70" s="627">
        <f t="shared" si="44"/>
        <v>186739.3406875724</v>
      </c>
      <c r="K70" s="627">
        <f t="shared" si="44"/>
        <v>212621.78941675797</v>
      </c>
      <c r="L70" s="627">
        <f t="shared" si="44"/>
        <v>249894.65236806264</v>
      </c>
      <c r="M70" s="627">
        <f t="shared" si="44"/>
        <v>310158.65549481637</v>
      </c>
      <c r="N70" s="627">
        <f t="shared" si="44"/>
        <v>375878.8179978861</v>
      </c>
      <c r="O70" s="627">
        <f t="shared" si="44"/>
        <v>446080.67522982642</v>
      </c>
      <c r="P70" s="627">
        <f t="shared" si="44"/>
        <v>517047.08835483226</v>
      </c>
      <c r="Q70" s="627">
        <f t="shared" si="44"/>
        <v>595625.63412977557</v>
      </c>
      <c r="R70" s="627">
        <f t="shared" si="44"/>
        <v>664691.09537634545</v>
      </c>
      <c r="S70" s="627">
        <f t="shared" si="44"/>
        <v>514286.29755673604</v>
      </c>
      <c r="T70" s="627">
        <f t="shared" si="44"/>
        <v>313063.98624016345</v>
      </c>
      <c r="U70" s="767">
        <f t="shared" si="44"/>
        <v>96734.229362198937</v>
      </c>
      <c r="V70" s="627">
        <f t="shared" ref="V70:AA70" si="45">V68+V63</f>
        <v>1.3</v>
      </c>
      <c r="W70" s="627">
        <f t="shared" si="45"/>
        <v>1.3</v>
      </c>
      <c r="X70" s="627">
        <f t="shared" si="45"/>
        <v>1.3</v>
      </c>
      <c r="Y70" s="627">
        <f t="shared" si="45"/>
        <v>1.3</v>
      </c>
      <c r="Z70" s="627">
        <f t="shared" si="45"/>
        <v>1.3</v>
      </c>
      <c r="AA70" s="627">
        <f t="shared" si="45"/>
        <v>1.3</v>
      </c>
    </row>
    <row r="71" spans="2:29" s="349" customFormat="1" ht="15" customHeight="1" thickBot="1" x14ac:dyDescent="0.25">
      <c r="B71" s="547" t="s">
        <v>585</v>
      </c>
      <c r="C71" s="547"/>
      <c r="D71" s="646">
        <f t="shared" ref="D71:U71" si="46">IF(D64=0,(D69/D65),(D69/SUM($D64:$U64)))</f>
        <v>0.48973194492724387</v>
      </c>
      <c r="E71" s="829">
        <f t="shared" si="46"/>
        <v>0.55823969162382558</v>
      </c>
      <c r="F71" s="829">
        <f t="shared" si="46"/>
        <v>0.56188240389166622</v>
      </c>
      <c r="G71" s="829">
        <f t="shared" si="46"/>
        <v>0.6245763716224898</v>
      </c>
      <c r="H71" s="829">
        <f t="shared" si="46"/>
        <v>0.50275355015929968</v>
      </c>
      <c r="I71" s="829">
        <f t="shared" si="46"/>
        <v>0.79279885384845994</v>
      </c>
      <c r="J71" s="829">
        <f t="shared" si="46"/>
        <v>1.0433830780096616</v>
      </c>
      <c r="K71" s="829">
        <f t="shared" si="46"/>
        <v>1.370724257690318</v>
      </c>
      <c r="L71" s="829">
        <f t="shared" si="46"/>
        <v>1.4112147482581681</v>
      </c>
      <c r="M71" s="829">
        <f t="shared" si="46"/>
        <v>1.5389827719739038</v>
      </c>
      <c r="N71" s="829">
        <f t="shared" si="46"/>
        <v>1.6439315535088843</v>
      </c>
      <c r="O71" s="829">
        <f t="shared" si="46"/>
        <v>1.6618353185457404</v>
      </c>
      <c r="P71" s="829">
        <f t="shared" si="46"/>
        <v>1.8400902187171533</v>
      </c>
      <c r="Q71" s="829">
        <f t="shared" si="46"/>
        <v>1.6173203313661557</v>
      </c>
      <c r="R71" s="829">
        <f t="shared" si="46"/>
        <v>0.91232759387347517</v>
      </c>
      <c r="S71" s="829">
        <f t="shared" si="46"/>
        <v>0.15382894630422669</v>
      </c>
      <c r="T71" s="829">
        <f t="shared" si="46"/>
        <v>0</v>
      </c>
      <c r="U71" s="774">
        <f t="shared" si="46"/>
        <v>0</v>
      </c>
      <c r="V71" s="829" t="e">
        <f t="shared" ref="V71:AC71" si="47">IF(V64&gt;=0,(V69/V65),(V69/SUM($D64:$U64)))</f>
        <v>#DIV/0!</v>
      </c>
      <c r="W71" s="829" t="e">
        <f t="shared" si="47"/>
        <v>#DIV/0!</v>
      </c>
      <c r="X71" s="829" t="e">
        <f t="shared" si="47"/>
        <v>#DIV/0!</v>
      </c>
      <c r="Y71" s="829" t="e">
        <f t="shared" si="47"/>
        <v>#DIV/0!</v>
      </c>
      <c r="Z71" s="829" t="e">
        <f t="shared" si="47"/>
        <v>#DIV/0!</v>
      </c>
      <c r="AA71" s="829" t="e">
        <f t="shared" si="47"/>
        <v>#DIV/0!</v>
      </c>
      <c r="AB71" s="829" t="e">
        <f t="shared" si="47"/>
        <v>#DIV/0!</v>
      </c>
      <c r="AC71" s="829" t="e">
        <f t="shared" si="47"/>
        <v>#DIV/0!</v>
      </c>
    </row>
    <row r="72" spans="2:29" ht="15" customHeight="1" x14ac:dyDescent="0.2">
      <c r="B72" s="545"/>
      <c r="C72" s="545"/>
      <c r="D72" s="636"/>
      <c r="E72" s="636"/>
      <c r="F72" s="636"/>
      <c r="G72" s="636"/>
      <c r="H72" s="636"/>
      <c r="I72" s="636"/>
      <c r="J72" s="636"/>
      <c r="K72" s="636"/>
      <c r="L72" s="636"/>
      <c r="M72" s="636"/>
      <c r="N72" s="636"/>
      <c r="O72" s="636"/>
      <c r="P72" s="636"/>
      <c r="Q72" s="636"/>
      <c r="R72" s="636"/>
      <c r="S72" s="636"/>
      <c r="T72" s="636"/>
      <c r="U72" s="636"/>
    </row>
  </sheetData>
  <mergeCells count="22">
    <mergeCell ref="D48:U48"/>
    <mergeCell ref="D57:U57"/>
    <mergeCell ref="D67:U67"/>
    <mergeCell ref="P1:Q1"/>
    <mergeCell ref="R1:T1"/>
    <mergeCell ref="P2:Q2"/>
    <mergeCell ref="R2:T2"/>
    <mergeCell ref="P3:Q3"/>
    <mergeCell ref="R3:T3"/>
    <mergeCell ref="P4:Q4"/>
    <mergeCell ref="R4:T4"/>
    <mergeCell ref="P5:Q5"/>
    <mergeCell ref="R5:T5"/>
    <mergeCell ref="P6:Q6"/>
    <mergeCell ref="R6:T6"/>
    <mergeCell ref="B46:C46"/>
    <mergeCell ref="P7:Q7"/>
    <mergeCell ref="R7:T7"/>
    <mergeCell ref="P8:Q8"/>
    <mergeCell ref="R8:T8"/>
    <mergeCell ref="P9:T15"/>
    <mergeCell ref="B16:C16"/>
  </mergeCells>
  <conditionalFormatting sqref="E28:O28">
    <cfRule type="cellIs" dxfId="3" priority="4" operator="greaterThan">
      <formula>2%</formula>
    </cfRule>
  </conditionalFormatting>
  <conditionalFormatting sqref="P28:U28">
    <cfRule type="cellIs" dxfId="2" priority="3" operator="greaterThan">
      <formula>2%</formula>
    </cfRule>
  </conditionalFormatting>
  <conditionalFormatting sqref="P43:U43">
    <cfRule type="cellIs" dxfId="1" priority="1" operator="greaterThan">
      <formula>2%</formula>
    </cfRule>
  </conditionalFormatting>
  <conditionalFormatting sqref="E43:O43">
    <cfRule type="cellIs" dxfId="0" priority="2" operator="greaterThan">
      <formula>2%</formula>
    </cfRule>
  </conditionalFormatting>
  <pageMargins left="0.25" right="0.25" top="0.75" bottom="0.75" header="0.3" footer="0.3"/>
  <pageSetup paperSize="9" scale="46" fitToHeight="2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86"/>
  <sheetViews>
    <sheetView workbookViewId="0">
      <selection activeCell="B9" sqref="B9"/>
    </sheetView>
  </sheetViews>
  <sheetFormatPr defaultRowHeight="15" x14ac:dyDescent="0.25"/>
  <cols>
    <col min="1" max="1" width="49.140625" bestFit="1" customWidth="1"/>
    <col min="2" max="2" width="10" bestFit="1" customWidth="1"/>
    <col min="3" max="3" width="12" bestFit="1" customWidth="1"/>
    <col min="4" max="4" width="10.42578125" bestFit="1" customWidth="1"/>
    <col min="5" max="5" width="8.85546875" bestFit="1" customWidth="1"/>
    <col min="7" max="7" width="10.42578125" bestFit="1" customWidth="1"/>
    <col min="13" max="13" width="10" customWidth="1"/>
    <col min="14" max="14" width="10.5703125" customWidth="1"/>
    <col min="16" max="16" width="10" bestFit="1" customWidth="1"/>
    <col min="18" max="18" width="10" bestFit="1" customWidth="1"/>
  </cols>
  <sheetData>
    <row r="1" spans="1:18" ht="47.25" x14ac:dyDescent="0.25">
      <c r="A1" s="901" t="s">
        <v>777</v>
      </c>
      <c r="B1" s="902" t="s">
        <v>525</v>
      </c>
      <c r="C1" s="903" t="s">
        <v>531</v>
      </c>
      <c r="D1" s="903" t="s">
        <v>532</v>
      </c>
      <c r="E1" s="903" t="s">
        <v>526</v>
      </c>
      <c r="F1" s="903" t="s">
        <v>660</v>
      </c>
      <c r="G1" s="903" t="s">
        <v>527</v>
      </c>
      <c r="H1" s="903" t="s">
        <v>528</v>
      </c>
      <c r="I1" s="903" t="s">
        <v>661</v>
      </c>
      <c r="J1" s="903" t="s">
        <v>662</v>
      </c>
      <c r="K1" s="1385" t="s">
        <v>782</v>
      </c>
      <c r="L1" s="903" t="s">
        <v>663</v>
      </c>
      <c r="M1" s="903" t="s">
        <v>664</v>
      </c>
      <c r="N1" s="903" t="s">
        <v>529</v>
      </c>
      <c r="O1" s="903" t="s">
        <v>665</v>
      </c>
      <c r="P1" s="903" t="s">
        <v>666</v>
      </c>
      <c r="Q1" s="903" t="s">
        <v>667</v>
      </c>
      <c r="R1" s="903" t="s">
        <v>668</v>
      </c>
    </row>
    <row r="2" spans="1:18" x14ac:dyDescent="0.25">
      <c r="A2" s="906" t="s">
        <v>669</v>
      </c>
      <c r="B2" s="652"/>
      <c r="C2" s="907"/>
      <c r="D2" s="907"/>
      <c r="E2" s="907"/>
      <c r="F2" s="907"/>
      <c r="G2" s="907"/>
      <c r="H2" s="908"/>
      <c r="I2" s="908"/>
      <c r="J2" s="619"/>
      <c r="K2" s="1386"/>
      <c r="L2" s="619"/>
      <c r="M2" s="619"/>
      <c r="N2" s="619"/>
      <c r="O2" s="619"/>
      <c r="P2" s="905"/>
      <c r="Q2" s="620"/>
      <c r="R2" s="905"/>
    </row>
    <row r="3" spans="1:18" x14ac:dyDescent="0.25">
      <c r="A3" s="904" t="s">
        <v>670</v>
      </c>
      <c r="B3" s="617">
        <v>1500000</v>
      </c>
      <c r="C3" s="909"/>
      <c r="D3" s="909"/>
      <c r="E3" s="909"/>
      <c r="F3" s="909"/>
      <c r="G3" s="909"/>
      <c r="H3" s="910" t="s">
        <v>783</v>
      </c>
      <c r="I3" s="910"/>
      <c r="J3" s="620"/>
      <c r="K3" s="1387">
        <f>B3/15000</f>
        <v>100</v>
      </c>
      <c r="L3" s="620">
        <f>K3*1/1000</f>
        <v>0.1</v>
      </c>
      <c r="M3" s="620">
        <f>K3</f>
        <v>100</v>
      </c>
      <c r="N3" s="620"/>
      <c r="O3" s="620"/>
      <c r="P3" s="951">
        <f>2/60</f>
        <v>3.3333333333333333E-2</v>
      </c>
      <c r="Q3" s="620"/>
      <c r="R3" s="905"/>
    </row>
    <row r="4" spans="1:18" x14ac:dyDescent="0.25">
      <c r="A4" s="1390" t="s">
        <v>535</v>
      </c>
      <c r="B4" s="909">
        <v>0.95</v>
      </c>
      <c r="C4" s="618"/>
      <c r="D4" s="618"/>
      <c r="E4" s="618"/>
      <c r="F4" s="618"/>
      <c r="G4" s="618"/>
      <c r="H4" s="911"/>
      <c r="I4" s="911"/>
      <c r="J4" s="620"/>
      <c r="K4" s="1387"/>
      <c r="L4" s="620"/>
      <c r="M4" s="620"/>
      <c r="N4" s="620"/>
      <c r="O4" s="620"/>
      <c r="P4" s="905"/>
      <c r="Q4" s="620"/>
      <c r="R4" s="905"/>
    </row>
    <row r="5" spans="1:18" x14ac:dyDescent="0.25">
      <c r="A5" s="653" t="s">
        <v>781</v>
      </c>
      <c r="B5" s="654">
        <v>0.8</v>
      </c>
      <c r="C5" s="915"/>
      <c r="D5" s="623"/>
      <c r="E5" s="623"/>
      <c r="F5" s="621"/>
      <c r="G5" s="621"/>
      <c r="H5" s="624"/>
      <c r="I5" s="624"/>
      <c r="J5" s="625"/>
      <c r="K5" s="1389"/>
      <c r="L5" s="625"/>
      <c r="M5" s="625"/>
      <c r="N5" s="625"/>
      <c r="O5" s="625"/>
      <c r="P5" s="626"/>
      <c r="Q5" s="625"/>
      <c r="R5" s="626"/>
    </row>
    <row r="6" spans="1:18" x14ac:dyDescent="0.25">
      <c r="A6" s="1391" t="s">
        <v>595</v>
      </c>
      <c r="B6" s="617">
        <f>B3*B4*B5</f>
        <v>1140000</v>
      </c>
      <c r="C6" s="912" t="s">
        <v>530</v>
      </c>
      <c r="D6" s="913"/>
      <c r="E6" s="913"/>
      <c r="F6" s="617"/>
      <c r="G6" s="617"/>
      <c r="H6" s="914"/>
      <c r="I6" s="620">
        <f>B6/100/1000</f>
        <v>11.4</v>
      </c>
      <c r="J6" s="620">
        <v>0.5</v>
      </c>
      <c r="K6" s="1388">
        <f>I6/J6</f>
        <v>22.8</v>
      </c>
      <c r="L6" s="620">
        <f>I6</f>
        <v>11.4</v>
      </c>
      <c r="M6" s="620">
        <f>L6*1000</f>
        <v>11400</v>
      </c>
      <c r="N6" s="620">
        <v>1</v>
      </c>
      <c r="O6" s="620">
        <f>L6*N6</f>
        <v>11.4</v>
      </c>
      <c r="P6" s="905">
        <f>M6*N6/60</f>
        <v>190</v>
      </c>
      <c r="Q6" s="620">
        <f>O6*0.1</f>
        <v>1.1400000000000001</v>
      </c>
      <c r="R6" s="905">
        <f>P6*0.1</f>
        <v>19</v>
      </c>
    </row>
    <row r="7" spans="1:18" x14ac:dyDescent="0.25">
      <c r="A7" s="653" t="s">
        <v>536</v>
      </c>
      <c r="B7" s="654">
        <v>0.8</v>
      </c>
      <c r="C7" s="915"/>
      <c r="D7" s="623"/>
      <c r="E7" s="623"/>
      <c r="F7" s="621"/>
      <c r="G7" s="621"/>
      <c r="H7" s="624"/>
      <c r="I7" s="624"/>
      <c r="J7" s="620"/>
      <c r="K7" s="1387"/>
      <c r="L7" s="620"/>
      <c r="M7" s="620"/>
      <c r="N7" s="620"/>
      <c r="O7" s="620"/>
      <c r="P7" s="626"/>
      <c r="Q7" s="625"/>
      <c r="R7" s="626"/>
    </row>
    <row r="8" spans="1:18" x14ac:dyDescent="0.25">
      <c r="A8" s="651" t="s">
        <v>596</v>
      </c>
      <c r="B8" s="652">
        <f>B6*B7</f>
        <v>912000</v>
      </c>
      <c r="C8" s="1392"/>
      <c r="D8" s="1393"/>
      <c r="E8" s="1393"/>
      <c r="F8" s="652"/>
      <c r="G8" s="652"/>
      <c r="H8" s="1394">
        <v>15</v>
      </c>
      <c r="I8" s="1394"/>
      <c r="J8" s="619"/>
      <c r="K8" s="1386"/>
      <c r="L8" s="619"/>
      <c r="M8" s="619"/>
      <c r="N8" s="619"/>
      <c r="O8" s="619"/>
      <c r="P8" s="1395"/>
      <c r="Q8" s="619"/>
      <c r="R8" s="1395"/>
    </row>
    <row r="9" spans="1:18" x14ac:dyDescent="0.25">
      <c r="A9" s="653" t="s">
        <v>537</v>
      </c>
      <c r="B9" s="655">
        <f>1-SUM('Input data'!T6:T7)</f>
        <v>0.97</v>
      </c>
      <c r="C9" s="623"/>
      <c r="D9" s="623"/>
      <c r="E9" s="623" t="s">
        <v>530</v>
      </c>
      <c r="F9" s="621"/>
      <c r="G9" s="1396"/>
      <c r="H9" s="1384"/>
      <c r="I9" s="1397">
        <f>B9/15/1000</f>
        <v>6.4666666666666662E-5</v>
      </c>
      <c r="J9" s="625">
        <f>3.14*1.75*1.75*1.2</f>
        <v>11.5395</v>
      </c>
      <c r="K9" s="1389">
        <f>B17</f>
        <v>6</v>
      </c>
      <c r="L9" s="625">
        <f>J9*K9</f>
        <v>69.236999999999995</v>
      </c>
      <c r="M9" s="625">
        <f>L9*1000</f>
        <v>69237</v>
      </c>
      <c r="N9" s="625">
        <v>4</v>
      </c>
      <c r="O9" s="625">
        <f>L9*N9</f>
        <v>276.94799999999998</v>
      </c>
      <c r="P9" s="626">
        <f>M9*N9/60</f>
        <v>4615.8</v>
      </c>
      <c r="Q9" s="625">
        <f>O9*10%</f>
        <v>27.694800000000001</v>
      </c>
      <c r="R9" s="626">
        <f>P9*0.1</f>
        <v>461.58000000000004</v>
      </c>
    </row>
    <row r="10" spans="1:18" x14ac:dyDescent="0.25">
      <c r="A10" s="1398" t="s">
        <v>597</v>
      </c>
      <c r="B10" s="652">
        <f>B8*B9</f>
        <v>884640</v>
      </c>
      <c r="C10" s="1399"/>
      <c r="D10" s="1393"/>
      <c r="E10" s="1393"/>
      <c r="F10" s="652"/>
      <c r="G10" s="652"/>
      <c r="H10" s="1394">
        <v>50</v>
      </c>
      <c r="I10" s="1394"/>
      <c r="J10" s="619"/>
      <c r="K10" s="1400"/>
      <c r="L10" s="619"/>
      <c r="M10" s="619"/>
      <c r="N10" s="619"/>
      <c r="O10" s="619"/>
      <c r="P10" s="1395"/>
      <c r="Q10" s="619"/>
      <c r="R10" s="1395"/>
    </row>
    <row r="11" spans="1:18" s="660" customFormat="1" x14ac:dyDescent="0.25">
      <c r="A11" s="653" t="s">
        <v>537</v>
      </c>
      <c r="B11" s="950">
        <f>1-SUM('Batch1 - S0 Smolts'!D53:T53)</f>
        <v>0.82499999999999996</v>
      </c>
      <c r="C11" s="622"/>
      <c r="D11" s="623"/>
      <c r="E11" s="623"/>
      <c r="F11" s="621"/>
      <c r="G11" s="621"/>
      <c r="H11" s="624"/>
      <c r="I11" s="624"/>
      <c r="J11" s="625"/>
      <c r="K11" s="1389"/>
      <c r="L11" s="625"/>
      <c r="M11" s="625"/>
      <c r="N11" s="625"/>
      <c r="O11" s="625"/>
      <c r="P11" s="626"/>
      <c r="Q11" s="625"/>
      <c r="R11" s="626"/>
    </row>
    <row r="12" spans="1:18" x14ac:dyDescent="0.25">
      <c r="A12" s="1401" t="s">
        <v>778</v>
      </c>
      <c r="B12" s="1402">
        <f>B10*B11</f>
        <v>729828</v>
      </c>
      <c r="C12" s="1402"/>
      <c r="D12" s="1402"/>
      <c r="E12" s="1402"/>
      <c r="F12" s="1402"/>
      <c r="G12" s="1402"/>
      <c r="H12" s="1402"/>
      <c r="I12" s="1402"/>
      <c r="J12" s="1402"/>
      <c r="K12" s="1402"/>
      <c r="L12" s="1402"/>
      <c r="M12" s="1402"/>
      <c r="N12" s="1402"/>
      <c r="O12" s="1402"/>
      <c r="P12" s="1402"/>
      <c r="Q12" s="1402"/>
      <c r="R12" s="1402"/>
    </row>
    <row r="13" spans="1:18" x14ac:dyDescent="0.25">
      <c r="A13" s="583"/>
      <c r="B13" s="583"/>
      <c r="C13" s="583"/>
      <c r="D13" s="583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</row>
    <row r="14" spans="1:18" x14ac:dyDescent="0.25">
      <c r="A14" s="916" t="s">
        <v>671</v>
      </c>
      <c r="B14" s="917" t="s">
        <v>525</v>
      </c>
      <c r="C14" s="917" t="s">
        <v>672</v>
      </c>
      <c r="D14" s="917" t="s">
        <v>673</v>
      </c>
      <c r="E14" s="917" t="s">
        <v>674</v>
      </c>
      <c r="F14" s="917" t="s">
        <v>675</v>
      </c>
      <c r="G14" s="917" t="s">
        <v>676</v>
      </c>
      <c r="H14" s="917" t="s">
        <v>677</v>
      </c>
      <c r="I14" s="583"/>
      <c r="J14" s="583"/>
      <c r="K14" s="583"/>
      <c r="L14" s="583"/>
      <c r="M14" s="583"/>
      <c r="N14" s="583"/>
      <c r="O14" s="583"/>
      <c r="P14" s="583"/>
      <c r="Q14" s="583"/>
      <c r="R14" s="583"/>
    </row>
    <row r="15" spans="1:18" x14ac:dyDescent="0.25">
      <c r="A15" s="917" t="s">
        <v>780</v>
      </c>
      <c r="B15" s="919">
        <f>K3</f>
        <v>100</v>
      </c>
      <c r="C15" s="952">
        <f>0.001</f>
        <v>1E-3</v>
      </c>
      <c r="D15" s="918">
        <f>B15*C15</f>
        <v>0.1</v>
      </c>
      <c r="E15" s="918">
        <f>D15*1000</f>
        <v>100</v>
      </c>
      <c r="F15" s="918">
        <v>1</v>
      </c>
      <c r="G15" s="918">
        <f>D15*F15</f>
        <v>0.1</v>
      </c>
      <c r="H15" s="918">
        <f>E15/F15/60</f>
        <v>1.6666666666666667</v>
      </c>
      <c r="I15" s="583"/>
      <c r="J15" s="583"/>
      <c r="K15" s="583"/>
      <c r="L15" s="583"/>
      <c r="M15" s="583"/>
      <c r="N15" s="583"/>
      <c r="O15" s="583"/>
      <c r="P15" s="583"/>
      <c r="Q15" s="583"/>
      <c r="R15" s="583"/>
    </row>
    <row r="16" spans="1:18" x14ac:dyDescent="0.25">
      <c r="A16" s="917" t="s">
        <v>779</v>
      </c>
      <c r="B16" s="919">
        <f>MAX('Summary Bioplan'!V133:DT133)</f>
        <v>15</v>
      </c>
      <c r="C16" s="918">
        <v>15</v>
      </c>
      <c r="D16" s="918">
        <f>B16*C16</f>
        <v>225</v>
      </c>
      <c r="E16" s="918">
        <f>D16*1000</f>
        <v>225000</v>
      </c>
      <c r="F16" s="918">
        <v>2</v>
      </c>
      <c r="G16" s="918">
        <f>D16*F16</f>
        <v>450</v>
      </c>
      <c r="H16" s="918">
        <f>E16/F16/60</f>
        <v>1875</v>
      </c>
      <c r="I16" s="583"/>
      <c r="J16" s="583"/>
      <c r="K16" s="583"/>
      <c r="L16" s="583"/>
      <c r="M16" s="583"/>
      <c r="N16" s="583"/>
      <c r="O16" s="583"/>
      <c r="P16" s="583"/>
      <c r="Q16" s="583"/>
      <c r="R16" s="583"/>
    </row>
    <row r="17" spans="1:18" x14ac:dyDescent="0.25">
      <c r="A17" s="917" t="s">
        <v>534</v>
      </c>
      <c r="B17" s="919">
        <f>MAX('Summary Bioplan'!Q146:DT146)</f>
        <v>6</v>
      </c>
      <c r="C17" s="918">
        <v>200</v>
      </c>
      <c r="D17" s="918">
        <f>B17*C17</f>
        <v>1200</v>
      </c>
      <c r="E17" s="918">
        <f>D17*1000</f>
        <v>1200000</v>
      </c>
      <c r="F17" s="918">
        <v>1.5</v>
      </c>
      <c r="G17" s="918">
        <f>D17*F17</f>
        <v>1800</v>
      </c>
      <c r="H17" s="918">
        <f>E17/F17/60</f>
        <v>13333.333333333334</v>
      </c>
      <c r="I17" s="583"/>
      <c r="J17" s="583"/>
      <c r="K17" s="583"/>
      <c r="L17" s="583"/>
      <c r="M17" s="583"/>
      <c r="N17" s="583"/>
      <c r="O17" s="583"/>
      <c r="P17" s="583"/>
      <c r="Q17" s="583"/>
      <c r="R17" s="583"/>
    </row>
    <row r="18" spans="1:18" x14ac:dyDescent="0.25">
      <c r="A18" s="917" t="s">
        <v>678</v>
      </c>
      <c r="B18" s="920">
        <f>SUM(B15:B17)</f>
        <v>121</v>
      </c>
      <c r="C18" s="921"/>
      <c r="D18" s="921">
        <f>SUM(D15:D17)</f>
        <v>1425.1</v>
      </c>
      <c r="E18" s="921">
        <f>SUM(E15:E17)</f>
        <v>1425100</v>
      </c>
      <c r="F18" s="921"/>
      <c r="G18" s="921">
        <f>SUM(G15:G17)</f>
        <v>2250.1</v>
      </c>
      <c r="H18" s="921">
        <f>SUM(H15:H17)</f>
        <v>15210</v>
      </c>
      <c r="I18" s="583"/>
      <c r="J18" s="583"/>
      <c r="K18" s="583"/>
      <c r="L18" s="583"/>
      <c r="M18" s="583"/>
      <c r="N18" s="583"/>
      <c r="O18" s="583"/>
      <c r="P18" s="583"/>
      <c r="Q18" s="583"/>
      <c r="R18" s="583"/>
    </row>
    <row r="19" spans="1:18" x14ac:dyDescent="0.25">
      <c r="A19" s="656"/>
      <c r="B19" s="617"/>
      <c r="C19" s="620"/>
      <c r="D19" s="583"/>
      <c r="E19" s="583"/>
      <c r="F19" s="583"/>
      <c r="G19" s="583"/>
      <c r="H19" s="583"/>
      <c r="I19" s="583"/>
      <c r="J19" s="583"/>
      <c r="K19" s="583"/>
      <c r="L19" s="583"/>
      <c r="M19" s="583"/>
      <c r="N19" s="583"/>
      <c r="O19" s="583"/>
      <c r="P19" s="583"/>
      <c r="Q19" s="583"/>
      <c r="R19" s="583"/>
    </row>
    <row r="20" spans="1:18" x14ac:dyDescent="0.25">
      <c r="A20" s="922" t="s">
        <v>533</v>
      </c>
      <c r="B20" s="923" t="s">
        <v>525</v>
      </c>
      <c r="C20" s="924" t="s">
        <v>679</v>
      </c>
      <c r="D20" s="925"/>
      <c r="E20" s="925"/>
      <c r="F20" s="925"/>
      <c r="G20" s="925"/>
      <c r="H20" s="925"/>
      <c r="I20" s="583"/>
      <c r="J20" s="583"/>
      <c r="K20" s="583"/>
      <c r="L20" s="583"/>
      <c r="M20" s="583"/>
      <c r="N20" s="583"/>
      <c r="O20" s="583"/>
      <c r="P20" s="583"/>
      <c r="Q20" s="583"/>
      <c r="R20" s="583"/>
    </row>
    <row r="21" spans="1:18" x14ac:dyDescent="0.25">
      <c r="A21" s="926" t="s">
        <v>680</v>
      </c>
      <c r="B21" s="923">
        <f>MAX('Summary Bioplan'!AD163:DT163)</f>
        <v>34</v>
      </c>
      <c r="C21" s="924">
        <f>3.14*7.95*7.95*15</f>
        <v>2976.8377500000001</v>
      </c>
      <c r="D21" s="925"/>
      <c r="E21" s="925"/>
      <c r="F21" s="927"/>
      <c r="G21" s="927"/>
      <c r="H21" s="928"/>
      <c r="I21" s="583"/>
      <c r="J21" s="583"/>
      <c r="K21" s="583"/>
      <c r="L21" s="583"/>
      <c r="M21" s="583"/>
      <c r="N21" s="583"/>
      <c r="O21" s="583"/>
      <c r="P21" s="583"/>
      <c r="Q21" s="583"/>
      <c r="R21" s="583"/>
    </row>
    <row r="22" spans="1:18" x14ac:dyDescent="0.25">
      <c r="A22" s="926" t="s">
        <v>538</v>
      </c>
      <c r="B22" s="929">
        <f>SUM(B21)</f>
        <v>34</v>
      </c>
      <c r="C22" s="923"/>
      <c r="D22" s="930"/>
      <c r="E22" s="930"/>
      <c r="F22" s="931"/>
      <c r="G22" s="930"/>
      <c r="H22" s="930"/>
    </row>
    <row r="23" spans="1:18" x14ac:dyDescent="0.25">
      <c r="A23" s="932"/>
      <c r="B23" s="933"/>
      <c r="C23" s="934"/>
      <c r="E23" s="660"/>
      <c r="F23" s="660"/>
      <c r="G23" s="660"/>
      <c r="H23" s="660"/>
      <c r="I23" s="660"/>
    </row>
    <row r="24" spans="1:18" x14ac:dyDescent="0.25">
      <c r="A24" s="935" t="s">
        <v>681</v>
      </c>
      <c r="B24" s="935" t="s">
        <v>682</v>
      </c>
      <c r="C24" s="935" t="s">
        <v>683</v>
      </c>
    </row>
    <row r="25" spans="1:18" x14ac:dyDescent="0.25">
      <c r="A25" s="672" t="s">
        <v>684</v>
      </c>
      <c r="B25" s="936">
        <v>5</v>
      </c>
      <c r="C25" s="937" t="s">
        <v>685</v>
      </c>
    </row>
    <row r="26" spans="1:18" x14ac:dyDescent="0.25">
      <c r="A26" s="672" t="s">
        <v>686</v>
      </c>
      <c r="B26" s="936">
        <v>24</v>
      </c>
      <c r="C26" s="936" t="s">
        <v>687</v>
      </c>
    </row>
    <row r="27" spans="1:18" x14ac:dyDescent="0.25">
      <c r="A27" s="672" t="s">
        <v>688</v>
      </c>
      <c r="B27" s="936">
        <v>7.2</v>
      </c>
      <c r="C27" s="672" t="s">
        <v>689</v>
      </c>
    </row>
    <row r="28" spans="1:18" x14ac:dyDescent="0.25">
      <c r="A28" s="672" t="s">
        <v>690</v>
      </c>
      <c r="B28" s="936">
        <v>40</v>
      </c>
      <c r="C28" s="672" t="s">
        <v>691</v>
      </c>
    </row>
    <row r="29" spans="1:18" x14ac:dyDescent="0.25">
      <c r="A29" s="672" t="s">
        <v>692</v>
      </c>
      <c r="B29" s="936">
        <v>2</v>
      </c>
      <c r="C29" s="936"/>
    </row>
    <row r="30" spans="1:18" x14ac:dyDescent="0.25">
      <c r="A30" s="672" t="s">
        <v>693</v>
      </c>
      <c r="B30" s="936">
        <v>1</v>
      </c>
      <c r="C30" s="936"/>
    </row>
    <row r="31" spans="1:18" x14ac:dyDescent="0.25">
      <c r="A31" s="672" t="s">
        <v>694</v>
      </c>
      <c r="B31" s="936">
        <v>100</v>
      </c>
      <c r="C31" s="936" t="s">
        <v>695</v>
      </c>
    </row>
    <row r="32" spans="1:18" x14ac:dyDescent="0.25">
      <c r="A32" s="672" t="s">
        <v>696</v>
      </c>
      <c r="B32" s="936">
        <v>35</v>
      </c>
      <c r="C32" s="936"/>
    </row>
    <row r="33" spans="1:3" x14ac:dyDescent="0.25">
      <c r="A33" s="672" t="s">
        <v>697</v>
      </c>
      <c r="B33" s="936">
        <v>150</v>
      </c>
      <c r="C33" s="936" t="s">
        <v>698</v>
      </c>
    </row>
    <row r="34" spans="1:3" x14ac:dyDescent="0.25">
      <c r="A34" s="672" t="s">
        <v>699</v>
      </c>
      <c r="B34" s="936">
        <v>100</v>
      </c>
      <c r="C34" s="936"/>
    </row>
    <row r="35" spans="1:3" x14ac:dyDescent="0.25">
      <c r="A35" s="672" t="s">
        <v>700</v>
      </c>
      <c r="B35" s="936">
        <v>10</v>
      </c>
      <c r="C35" s="936" t="s">
        <v>701</v>
      </c>
    </row>
    <row r="37" spans="1:3" ht="15.75" thickBot="1" x14ac:dyDescent="0.3">
      <c r="A37" s="938" t="s">
        <v>702</v>
      </c>
      <c r="B37" s="939"/>
      <c r="C37" s="940"/>
    </row>
    <row r="38" spans="1:3" x14ac:dyDescent="0.25">
      <c r="A38" s="941" t="s">
        <v>703</v>
      </c>
      <c r="B38" s="664">
        <f>MAX('Summary Bioplan'!I28:DT28)</f>
        <v>50586.105145123031</v>
      </c>
      <c r="C38" s="665" t="s">
        <v>704</v>
      </c>
    </row>
    <row r="39" spans="1:3" x14ac:dyDescent="0.25">
      <c r="A39" s="669" t="s">
        <v>539</v>
      </c>
      <c r="B39" s="942">
        <f>MAX('Summary Bioplan'!AH58:DT58)/30</f>
        <v>786.23646955730021</v>
      </c>
      <c r="C39" s="667" t="s">
        <v>540</v>
      </c>
    </row>
    <row r="40" spans="1:3" x14ac:dyDescent="0.25">
      <c r="A40" s="669" t="s">
        <v>705</v>
      </c>
      <c r="B40" s="666">
        <v>0.4</v>
      </c>
      <c r="C40" s="667" t="s">
        <v>706</v>
      </c>
    </row>
    <row r="41" spans="1:3" x14ac:dyDescent="0.25">
      <c r="A41" s="669" t="s">
        <v>707</v>
      </c>
      <c r="B41" s="666">
        <v>0.16</v>
      </c>
      <c r="C41" s="667"/>
    </row>
    <row r="42" spans="1:3" x14ac:dyDescent="0.25">
      <c r="A42" s="669" t="s">
        <v>708</v>
      </c>
      <c r="B42" s="666">
        <v>0.61</v>
      </c>
      <c r="C42" s="667"/>
    </row>
    <row r="43" spans="1:3" x14ac:dyDescent="0.25">
      <c r="A43" s="669" t="s">
        <v>709</v>
      </c>
      <c r="B43" s="666">
        <v>1.2</v>
      </c>
      <c r="C43" s="667" t="s">
        <v>706</v>
      </c>
    </row>
    <row r="44" spans="1:3" x14ac:dyDescent="0.25">
      <c r="A44" s="669" t="s">
        <v>710</v>
      </c>
      <c r="B44" s="943">
        <f>B39*B40*B41*B42*B43</f>
        <v>36.833606125820403</v>
      </c>
      <c r="C44" s="667" t="s">
        <v>711</v>
      </c>
    </row>
    <row r="45" spans="1:3" x14ac:dyDescent="0.25">
      <c r="A45" s="669" t="s">
        <v>712</v>
      </c>
      <c r="B45" s="668">
        <v>0.2</v>
      </c>
      <c r="C45" s="667"/>
    </row>
    <row r="46" spans="1:3" x14ac:dyDescent="0.25">
      <c r="A46" s="669" t="s">
        <v>713</v>
      </c>
      <c r="B46" s="670">
        <f>B44*0.8</f>
        <v>29.466884900656325</v>
      </c>
      <c r="C46" s="667" t="s">
        <v>714</v>
      </c>
    </row>
    <row r="47" spans="1:3" x14ac:dyDescent="0.25">
      <c r="A47" s="669" t="s">
        <v>715</v>
      </c>
      <c r="B47" s="671">
        <v>7.5000000000000002E-4</v>
      </c>
      <c r="C47" s="667" t="s">
        <v>716</v>
      </c>
    </row>
    <row r="48" spans="1:3" x14ac:dyDescent="0.25">
      <c r="A48" s="669" t="s">
        <v>717</v>
      </c>
      <c r="B48" s="670">
        <f>B46*(1/B47)</f>
        <v>39289.179867541767</v>
      </c>
      <c r="C48" s="667" t="s">
        <v>718</v>
      </c>
    </row>
    <row r="49" spans="1:3" x14ac:dyDescent="0.25">
      <c r="A49" s="669" t="s">
        <v>719</v>
      </c>
      <c r="B49" s="944">
        <v>1200</v>
      </c>
      <c r="C49" s="667" t="s">
        <v>720</v>
      </c>
    </row>
    <row r="50" spans="1:3" x14ac:dyDescent="0.25">
      <c r="A50" s="669" t="s">
        <v>721</v>
      </c>
      <c r="B50" s="945">
        <f>B48*(1/B49)</f>
        <v>32.740983222951478</v>
      </c>
      <c r="C50" s="667" t="s">
        <v>722</v>
      </c>
    </row>
    <row r="51" spans="1:3" x14ac:dyDescent="0.25">
      <c r="A51" s="669" t="s">
        <v>723</v>
      </c>
      <c r="B51" s="944">
        <v>1.5</v>
      </c>
      <c r="C51" s="667" t="s">
        <v>724</v>
      </c>
    </row>
    <row r="52" spans="1:3" x14ac:dyDescent="0.25">
      <c r="A52" s="669" t="s">
        <v>725</v>
      </c>
      <c r="B52" s="945">
        <f>B46/(B49*B51/1000000)/24</f>
        <v>682.1038171448223</v>
      </c>
      <c r="C52" s="667" t="s">
        <v>726</v>
      </c>
    </row>
    <row r="53" spans="1:3" x14ac:dyDescent="0.25">
      <c r="A53" s="669" t="s">
        <v>727</v>
      </c>
      <c r="B53" s="666">
        <v>24</v>
      </c>
      <c r="C53" s="667" t="s">
        <v>728</v>
      </c>
    </row>
    <row r="54" spans="1:3" x14ac:dyDescent="0.25">
      <c r="A54" s="669" t="s">
        <v>729</v>
      </c>
      <c r="B54" s="666">
        <v>30</v>
      </c>
      <c r="C54" s="667" t="s">
        <v>730</v>
      </c>
    </row>
    <row r="55" spans="1:3" x14ac:dyDescent="0.25">
      <c r="A55" s="669" t="s">
        <v>731</v>
      </c>
      <c r="B55" s="666">
        <f>1000*1.42903*(EXP(-58.3877+(85.8079*(100/(B53+273.15)))+(23.8439*LN((B53+273.15)/100))))*0.20946*(((10^(2.880814-((B54/3.281)/19748.2)))-(4.7603*EXP(0.0645*B53)))/760)</f>
        <v>8.3930447699764219</v>
      </c>
      <c r="C55" s="667" t="s">
        <v>724</v>
      </c>
    </row>
    <row r="56" spans="1:3" x14ac:dyDescent="0.25">
      <c r="A56" s="669" t="s">
        <v>732</v>
      </c>
      <c r="B56" s="666">
        <v>14.2</v>
      </c>
      <c r="C56" s="667" t="s">
        <v>724</v>
      </c>
    </row>
    <row r="57" spans="1:3" x14ac:dyDescent="0.25">
      <c r="A57" s="669" t="s">
        <v>733</v>
      </c>
      <c r="B57" s="943">
        <v>5</v>
      </c>
      <c r="C57" s="667" t="s">
        <v>724</v>
      </c>
    </row>
    <row r="58" spans="1:3" x14ac:dyDescent="0.25">
      <c r="A58" s="669" t="s">
        <v>734</v>
      </c>
      <c r="B58" s="943">
        <v>0.5</v>
      </c>
      <c r="C58" s="667" t="s">
        <v>735</v>
      </c>
    </row>
    <row r="59" spans="1:3" x14ac:dyDescent="0.25">
      <c r="A59" s="669" t="s">
        <v>736</v>
      </c>
      <c r="B59" s="943">
        <f>1000*(B39*B58)/1440</f>
        <v>272.99877415184034</v>
      </c>
      <c r="C59" s="667" t="s">
        <v>737</v>
      </c>
    </row>
    <row r="60" spans="1:3" x14ac:dyDescent="0.25">
      <c r="A60" s="669"/>
      <c r="B60" s="946">
        <f>B59*1.44</f>
        <v>393.11823477865005</v>
      </c>
      <c r="C60" s="667" t="s">
        <v>738</v>
      </c>
    </row>
    <row r="61" spans="1:3" x14ac:dyDescent="0.25">
      <c r="A61" s="669" t="s">
        <v>739</v>
      </c>
      <c r="B61" s="943">
        <f>B39*B81/24</f>
        <v>0.65519705796441685</v>
      </c>
      <c r="C61" s="667" t="s">
        <v>740</v>
      </c>
    </row>
    <row r="62" spans="1:3" x14ac:dyDescent="0.25">
      <c r="A62" s="669"/>
      <c r="B62" s="666">
        <f>(B39*B81)*1000/1440</f>
        <v>10.919950966073614</v>
      </c>
      <c r="C62" s="667" t="s">
        <v>741</v>
      </c>
    </row>
    <row r="63" spans="1:3" x14ac:dyDescent="0.25">
      <c r="A63" s="669" t="s">
        <v>742</v>
      </c>
      <c r="B63" s="666">
        <f>1.375*B58</f>
        <v>0.6875</v>
      </c>
      <c r="C63" s="667" t="s">
        <v>743</v>
      </c>
    </row>
    <row r="64" spans="1:3" x14ac:dyDescent="0.25">
      <c r="A64" s="669" t="s">
        <v>744</v>
      </c>
      <c r="B64" s="666">
        <f>B63*B39*1000/24</f>
        <v>22522.39886752683</v>
      </c>
      <c r="C64" s="667" t="s">
        <v>745</v>
      </c>
    </row>
    <row r="65" spans="1:4" x14ac:dyDescent="0.25">
      <c r="A65" s="669" t="s">
        <v>746</v>
      </c>
      <c r="B65" s="666">
        <f>B63*B39</f>
        <v>540.53757282064385</v>
      </c>
      <c r="C65" s="667" t="s">
        <v>747</v>
      </c>
    </row>
    <row r="66" spans="1:4" x14ac:dyDescent="0.25">
      <c r="A66" s="669" t="s">
        <v>748</v>
      </c>
      <c r="B66" s="666">
        <v>0.3</v>
      </c>
      <c r="C66" s="667" t="s">
        <v>749</v>
      </c>
    </row>
    <row r="67" spans="1:4" x14ac:dyDescent="0.25">
      <c r="A67" s="669" t="s">
        <v>750</v>
      </c>
      <c r="B67" s="666">
        <f>B66*B39</f>
        <v>235.87094086719006</v>
      </c>
      <c r="C67" s="667" t="s">
        <v>751</v>
      </c>
    </row>
    <row r="68" spans="1:4" x14ac:dyDescent="0.25">
      <c r="A68" s="669" t="s">
        <v>752</v>
      </c>
      <c r="B68" s="666">
        <f>B67*1000000/1000</f>
        <v>235870.94086719007</v>
      </c>
      <c r="C68" s="667" t="s">
        <v>753</v>
      </c>
    </row>
    <row r="69" spans="1:4" x14ac:dyDescent="0.25">
      <c r="A69" s="669" t="s">
        <v>754</v>
      </c>
      <c r="B69" s="947">
        <v>0.1</v>
      </c>
      <c r="C69" s="667" t="s">
        <v>541</v>
      </c>
    </row>
    <row r="70" spans="1:4" x14ac:dyDescent="0.25">
      <c r="A70" s="669" t="s">
        <v>755</v>
      </c>
      <c r="B70" s="670">
        <f>B69*H18</f>
        <v>1521</v>
      </c>
      <c r="C70" s="667" t="s">
        <v>756</v>
      </c>
    </row>
    <row r="71" spans="1:4" x14ac:dyDescent="0.25">
      <c r="A71" s="669" t="s">
        <v>757</v>
      </c>
      <c r="B71" s="943">
        <f>0.95*B55</f>
        <v>7.9733925314776002</v>
      </c>
      <c r="C71" s="667" t="s">
        <v>724</v>
      </c>
    </row>
    <row r="72" spans="1:4" x14ac:dyDescent="0.25">
      <c r="A72" s="669" t="s">
        <v>758</v>
      </c>
      <c r="B72" s="943">
        <v>0.03</v>
      </c>
      <c r="C72" s="667" t="s">
        <v>724</v>
      </c>
    </row>
    <row r="73" spans="1:4" x14ac:dyDescent="0.25">
      <c r="A73" s="669" t="s">
        <v>759</v>
      </c>
      <c r="B73" s="943">
        <v>0.5</v>
      </c>
      <c r="C73" s="667" t="s">
        <v>724</v>
      </c>
    </row>
    <row r="74" spans="1:4" x14ac:dyDescent="0.25">
      <c r="A74" s="669" t="s">
        <v>760</v>
      </c>
      <c r="B74" s="943">
        <v>0.05</v>
      </c>
      <c r="C74" s="667" t="s">
        <v>724</v>
      </c>
    </row>
    <row r="75" spans="1:4" x14ac:dyDescent="0.25">
      <c r="A75" s="669" t="s">
        <v>761</v>
      </c>
      <c r="B75" s="943">
        <v>0.5</v>
      </c>
      <c r="C75" s="948" t="s">
        <v>724</v>
      </c>
    </row>
    <row r="76" spans="1:4" ht="23.25" x14ac:dyDescent="0.25">
      <c r="A76" s="669"/>
      <c r="B76" s="666"/>
      <c r="C76" s="667" t="s">
        <v>762</v>
      </c>
      <c r="D76" s="949" t="s">
        <v>763</v>
      </c>
    </row>
    <row r="77" spans="1:4" x14ac:dyDescent="0.25">
      <c r="A77" s="669" t="s">
        <v>764</v>
      </c>
      <c r="B77" s="943">
        <v>0.7</v>
      </c>
      <c r="C77" s="667">
        <v>0.5</v>
      </c>
      <c r="D77" s="663">
        <f>B28+B77*(C77-B28)</f>
        <v>12.350000000000001</v>
      </c>
    </row>
    <row r="78" spans="1:4" x14ac:dyDescent="0.25">
      <c r="A78" s="669" t="s">
        <v>765</v>
      </c>
      <c r="B78" s="943">
        <v>0.35</v>
      </c>
      <c r="C78" s="667">
        <v>0</v>
      </c>
      <c r="D78" s="663">
        <f>B29+B78*(C78-B29)</f>
        <v>1.3</v>
      </c>
    </row>
    <row r="79" spans="1:4" x14ac:dyDescent="0.25">
      <c r="A79" s="669" t="s">
        <v>766</v>
      </c>
      <c r="B79" s="943">
        <v>0.75</v>
      </c>
      <c r="C79" s="667">
        <v>0</v>
      </c>
      <c r="D79" s="663">
        <f>B30+B79*(C79-B30)</f>
        <v>0.25</v>
      </c>
    </row>
    <row r="80" spans="1:4" x14ac:dyDescent="0.25">
      <c r="A80" s="669" t="s">
        <v>767</v>
      </c>
      <c r="B80" s="943">
        <v>70</v>
      </c>
      <c r="C80" s="665" t="s">
        <v>768</v>
      </c>
    </row>
    <row r="81" spans="1:3" x14ac:dyDescent="0.25">
      <c r="A81" s="669" t="s">
        <v>769</v>
      </c>
      <c r="B81" s="943">
        <v>0.02</v>
      </c>
      <c r="C81" s="667" t="s">
        <v>770</v>
      </c>
    </row>
    <row r="82" spans="1:3" x14ac:dyDescent="0.25">
      <c r="A82" s="669" t="s">
        <v>771</v>
      </c>
      <c r="B82" s="666">
        <f>H18</f>
        <v>15210</v>
      </c>
      <c r="C82" s="667" t="s">
        <v>772</v>
      </c>
    </row>
    <row r="83" spans="1:3" x14ac:dyDescent="0.25">
      <c r="A83" s="669" t="s">
        <v>773</v>
      </c>
      <c r="B83" s="666">
        <f>(B39*B58/1440)/((B56-B57)*(1/1000000))</f>
        <v>29673.77979911309</v>
      </c>
      <c r="C83" s="667" t="s">
        <v>772</v>
      </c>
    </row>
    <row r="84" spans="1:3" x14ac:dyDescent="0.25">
      <c r="A84" s="669" t="s">
        <v>774</v>
      </c>
      <c r="B84" s="666">
        <f>(B46*1000000/1440)/(((B29-(B29*(1-B78)))*(1)))</f>
        <v>29233.020734778103</v>
      </c>
      <c r="C84" s="667" t="s">
        <v>772</v>
      </c>
    </row>
    <row r="85" spans="1:3" x14ac:dyDescent="0.25">
      <c r="A85" s="669" t="s">
        <v>775</v>
      </c>
      <c r="B85" s="666">
        <f>(B64*1000/60)/(((B28-(B28*(1-B77)))*1))</f>
        <v>13406.189802099305</v>
      </c>
      <c r="C85" s="667" t="s">
        <v>772</v>
      </c>
    </row>
    <row r="86" spans="1:3" x14ac:dyDescent="0.25">
      <c r="A86" s="669" t="s">
        <v>776</v>
      </c>
      <c r="B86" s="666">
        <f>((B46*1000000)*(1-(B45/1000))/(1440*(B31-B74)))</f>
        <v>204.69256519701653</v>
      </c>
      <c r="C86" s="667" t="s">
        <v>772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32"/>
  <sheetViews>
    <sheetView topLeftCell="A22" zoomScale="46" zoomScaleNormal="46" workbookViewId="0">
      <selection sqref="A1:AY26"/>
    </sheetView>
  </sheetViews>
  <sheetFormatPr defaultColWidth="9.140625" defaultRowHeight="15" x14ac:dyDescent="0.25"/>
  <cols>
    <col min="1" max="1" width="31.28515625" bestFit="1" customWidth="1"/>
    <col min="2" max="2" width="3.85546875" bestFit="1" customWidth="1"/>
    <col min="3" max="3" width="4.28515625" bestFit="1" customWidth="1"/>
    <col min="4" max="4" width="4.42578125" bestFit="1" customWidth="1"/>
    <col min="5" max="5" width="4.140625" bestFit="1" customWidth="1"/>
    <col min="6" max="6" width="4.7109375" bestFit="1" customWidth="1"/>
    <col min="7" max="7" width="4" bestFit="1" customWidth="1"/>
    <col min="8" max="8" width="3.42578125" bestFit="1" customWidth="1"/>
    <col min="9" max="9" width="4.42578125" bestFit="1" customWidth="1"/>
    <col min="10" max="10" width="4.28515625" bestFit="1" customWidth="1"/>
    <col min="11" max="11" width="4" bestFit="1" customWidth="1"/>
    <col min="12" max="12" width="4.5703125" bestFit="1" customWidth="1"/>
    <col min="13" max="13" width="4.28515625" bestFit="1" customWidth="1"/>
    <col min="14" max="14" width="3.85546875" bestFit="1" customWidth="1"/>
    <col min="15" max="15" width="4.28515625" bestFit="1" customWidth="1"/>
    <col min="16" max="16" width="4.42578125" bestFit="1" customWidth="1"/>
    <col min="17" max="17" width="4.140625" bestFit="1" customWidth="1"/>
    <col min="18" max="18" width="4.7109375" bestFit="1" customWidth="1"/>
    <col min="19" max="19" width="4" bestFit="1" customWidth="1"/>
    <col min="20" max="20" width="3.42578125" bestFit="1" customWidth="1"/>
    <col min="21" max="21" width="4.42578125" bestFit="1" customWidth="1"/>
    <col min="22" max="22" width="4.28515625" bestFit="1" customWidth="1"/>
    <col min="23" max="23" width="4" bestFit="1" customWidth="1"/>
    <col min="24" max="24" width="4.5703125" bestFit="1" customWidth="1"/>
    <col min="25" max="25" width="4.28515625" bestFit="1" customWidth="1"/>
    <col min="26" max="26" width="3.85546875" bestFit="1" customWidth="1"/>
    <col min="27" max="27" width="4.28515625" bestFit="1" customWidth="1"/>
    <col min="28" max="28" width="4.42578125" bestFit="1" customWidth="1"/>
    <col min="29" max="29" width="4.140625" bestFit="1" customWidth="1"/>
    <col min="30" max="30" width="4.7109375" bestFit="1" customWidth="1"/>
    <col min="31" max="31" width="4" bestFit="1" customWidth="1"/>
    <col min="32" max="32" width="3.42578125" bestFit="1" customWidth="1"/>
    <col min="33" max="33" width="4.42578125" bestFit="1" customWidth="1"/>
    <col min="34" max="34" width="4.28515625" bestFit="1" customWidth="1"/>
    <col min="35" max="35" width="4" bestFit="1" customWidth="1"/>
    <col min="36" max="36" width="4.5703125" bestFit="1" customWidth="1"/>
    <col min="37" max="37" width="4.28515625" bestFit="1" customWidth="1"/>
    <col min="38" max="38" width="3.85546875" bestFit="1" customWidth="1"/>
    <col min="39" max="39" width="4.28515625" bestFit="1" customWidth="1"/>
    <col min="40" max="40" width="4.42578125" bestFit="1" customWidth="1"/>
    <col min="41" max="41" width="4.140625" bestFit="1" customWidth="1"/>
    <col min="42" max="42" width="4.7109375" bestFit="1" customWidth="1"/>
    <col min="43" max="43" width="4" bestFit="1" customWidth="1"/>
    <col min="44" max="44" width="3.42578125" bestFit="1" customWidth="1"/>
    <col min="45" max="45" width="4.42578125" bestFit="1" customWidth="1"/>
    <col min="46" max="46" width="4.28515625" bestFit="1" customWidth="1"/>
    <col min="47" max="47" width="4" bestFit="1" customWidth="1"/>
    <col min="48" max="48" width="4.5703125" bestFit="1" customWidth="1"/>
    <col min="49" max="49" width="4.28515625" bestFit="1" customWidth="1"/>
    <col min="50" max="50" width="3.85546875" bestFit="1" customWidth="1"/>
    <col min="51" max="51" width="5.42578125" bestFit="1" customWidth="1"/>
    <col min="52" max="52" width="4" bestFit="1" customWidth="1"/>
    <col min="53" max="53" width="3.5703125" bestFit="1" customWidth="1"/>
    <col min="54" max="54" width="4.28515625" bestFit="1" customWidth="1"/>
    <col min="55" max="55" width="3.42578125" bestFit="1" customWidth="1"/>
    <col min="56" max="56" width="2.85546875" bestFit="1" customWidth="1"/>
    <col min="57" max="57" width="3.85546875" bestFit="1" customWidth="1"/>
    <col min="58" max="58" width="3.5703125" bestFit="1" customWidth="1"/>
    <col min="59" max="59" width="3.42578125" bestFit="1" customWidth="1"/>
    <col min="60" max="60" width="4" bestFit="1" customWidth="1"/>
    <col min="61" max="61" width="3.5703125" bestFit="1" customWidth="1"/>
    <col min="62" max="62" width="3.42578125" bestFit="1" customWidth="1"/>
    <col min="63" max="63" width="3.5703125" bestFit="1" customWidth="1"/>
    <col min="64" max="64" width="4" bestFit="1" customWidth="1"/>
    <col min="65" max="65" width="3.5703125" bestFit="1" customWidth="1"/>
    <col min="66" max="66" width="4.28515625" bestFit="1" customWidth="1"/>
    <col min="67" max="67" width="3.42578125" bestFit="1" customWidth="1"/>
    <col min="68" max="68" width="2.85546875" bestFit="1" customWidth="1"/>
    <col min="69" max="69" width="3.85546875" bestFit="1" customWidth="1"/>
    <col min="70" max="70" width="3.5703125" bestFit="1" customWidth="1"/>
    <col min="71" max="71" width="3.42578125" bestFit="1" customWidth="1"/>
    <col min="72" max="72" width="4" bestFit="1" customWidth="1"/>
    <col min="73" max="73" width="3.5703125" bestFit="1" customWidth="1"/>
    <col min="74" max="74" width="3.42578125" bestFit="1" customWidth="1"/>
    <col min="75" max="75" width="3.5703125" bestFit="1" customWidth="1"/>
    <col min="76" max="76" width="4" bestFit="1" customWidth="1"/>
    <col min="77" max="77" width="3.5703125" bestFit="1" customWidth="1"/>
    <col min="78" max="78" width="4.28515625" bestFit="1" customWidth="1"/>
    <col min="79" max="79" width="3.42578125" bestFit="1" customWidth="1"/>
    <col min="80" max="80" width="2.85546875" bestFit="1" customWidth="1"/>
    <col min="81" max="81" width="3.85546875" bestFit="1" customWidth="1"/>
    <col min="82" max="82" width="3.5703125" bestFit="1" customWidth="1"/>
    <col min="83" max="83" width="3.42578125" bestFit="1" customWidth="1"/>
    <col min="84" max="84" width="4" bestFit="1" customWidth="1"/>
    <col min="85" max="85" width="3.5703125" bestFit="1" customWidth="1"/>
    <col min="86" max="86" width="3.42578125" bestFit="1" customWidth="1"/>
    <col min="87" max="87" width="3.5703125" bestFit="1" customWidth="1"/>
  </cols>
  <sheetData>
    <row r="1" spans="1:87" x14ac:dyDescent="0.25">
      <c r="A1" s="953" t="s">
        <v>784</v>
      </c>
      <c r="B1" s="845"/>
      <c r="C1" s="845"/>
      <c r="D1" s="1520" t="s">
        <v>508</v>
      </c>
      <c r="E1" s="1521"/>
      <c r="F1" s="1521"/>
      <c r="G1" s="1521"/>
      <c r="H1" s="1521"/>
      <c r="I1" s="1521"/>
      <c r="J1" s="1521"/>
      <c r="K1" s="1521"/>
      <c r="L1" s="1521"/>
      <c r="M1" s="1521"/>
      <c r="N1" s="1521"/>
      <c r="O1" s="1522"/>
      <c r="P1" s="1523" t="s">
        <v>509</v>
      </c>
      <c r="Q1" s="1521"/>
      <c r="R1" s="1521"/>
      <c r="S1" s="1521"/>
      <c r="T1" s="1521"/>
      <c r="U1" s="1521"/>
      <c r="V1" s="1521"/>
      <c r="W1" s="1521"/>
      <c r="X1" s="1521"/>
      <c r="Y1" s="1521"/>
      <c r="Z1" s="1521"/>
      <c r="AA1" s="1522"/>
      <c r="AB1" s="1520" t="s">
        <v>510</v>
      </c>
      <c r="AC1" s="1521"/>
      <c r="AD1" s="1521"/>
      <c r="AE1" s="1521"/>
      <c r="AF1" s="1521"/>
      <c r="AG1" s="1521"/>
      <c r="AH1" s="1521"/>
      <c r="AI1" s="1521"/>
      <c r="AJ1" s="1521"/>
      <c r="AK1" s="1521"/>
      <c r="AL1" s="1521"/>
      <c r="AM1" s="1522"/>
      <c r="AN1" s="1520" t="s">
        <v>511</v>
      </c>
      <c r="AO1" s="1521"/>
      <c r="AP1" s="1521"/>
      <c r="AQ1" s="1521"/>
      <c r="AR1" s="1521"/>
      <c r="AS1" s="1521"/>
      <c r="AT1" s="1521"/>
      <c r="AU1" s="1521"/>
      <c r="AV1" s="1521"/>
      <c r="AW1" s="1521"/>
      <c r="AX1" s="1521"/>
      <c r="AY1" s="1522"/>
      <c r="AZ1" s="1520" t="s">
        <v>512</v>
      </c>
      <c r="BA1" s="1521"/>
      <c r="BB1" s="1521"/>
      <c r="BC1" s="1521"/>
      <c r="BD1" s="1521"/>
      <c r="BE1" s="1521"/>
      <c r="BF1" s="1521"/>
      <c r="BG1" s="1521"/>
      <c r="BH1" s="1521"/>
      <c r="BI1" s="1521"/>
      <c r="BJ1" s="1521"/>
      <c r="BK1" s="1522"/>
      <c r="BL1" s="1523" t="s">
        <v>513</v>
      </c>
      <c r="BM1" s="1521"/>
      <c r="BN1" s="1521"/>
      <c r="BO1" s="1521"/>
      <c r="BP1" s="1521"/>
      <c r="BQ1" s="1521"/>
      <c r="BR1" s="1521"/>
      <c r="BS1" s="1521"/>
      <c r="BT1" s="1521"/>
      <c r="BU1" s="1521"/>
      <c r="BV1" s="1521"/>
      <c r="BW1" s="1522"/>
      <c r="BX1" s="1520" t="s">
        <v>514</v>
      </c>
      <c r="BY1" s="1521"/>
      <c r="BZ1" s="1521"/>
      <c r="CA1" s="1521"/>
      <c r="CB1" s="1521"/>
      <c r="CC1" s="1521"/>
      <c r="CD1" s="1521"/>
      <c r="CE1" s="1521"/>
      <c r="CF1" s="1521"/>
      <c r="CG1" s="1521"/>
      <c r="CH1" s="1521"/>
      <c r="CI1" s="1522"/>
    </row>
    <row r="2" spans="1:87" x14ac:dyDescent="0.25">
      <c r="A2" s="954" t="s">
        <v>785</v>
      </c>
      <c r="B2" s="658" t="s">
        <v>173</v>
      </c>
      <c r="C2" s="658" t="s">
        <v>174</v>
      </c>
      <c r="D2" s="658" t="s">
        <v>175</v>
      </c>
      <c r="E2" s="658" t="s">
        <v>176</v>
      </c>
      <c r="F2" s="658" t="s">
        <v>177</v>
      </c>
      <c r="G2" s="658" t="s">
        <v>178</v>
      </c>
      <c r="H2" s="658" t="s">
        <v>167</v>
      </c>
      <c r="I2" s="658" t="s">
        <v>168</v>
      </c>
      <c r="J2" s="658" t="s">
        <v>169</v>
      </c>
      <c r="K2" s="658" t="s">
        <v>170</v>
      </c>
      <c r="L2" s="658" t="s">
        <v>171</v>
      </c>
      <c r="M2" s="658" t="s">
        <v>172</v>
      </c>
      <c r="N2" s="658" t="s">
        <v>173</v>
      </c>
      <c r="O2" s="954" t="s">
        <v>174</v>
      </c>
      <c r="P2" s="1247" t="s">
        <v>175</v>
      </c>
      <c r="Q2" s="658" t="s">
        <v>176</v>
      </c>
      <c r="R2" s="658" t="s">
        <v>177</v>
      </c>
      <c r="S2" s="658" t="s">
        <v>178</v>
      </c>
      <c r="T2" s="658" t="s">
        <v>167</v>
      </c>
      <c r="U2" s="658" t="s">
        <v>168</v>
      </c>
      <c r="V2" s="658" t="s">
        <v>169</v>
      </c>
      <c r="W2" s="658" t="s">
        <v>170</v>
      </c>
      <c r="X2" s="658" t="s">
        <v>171</v>
      </c>
      <c r="Y2" s="658" t="s">
        <v>172</v>
      </c>
      <c r="Z2" s="658" t="s">
        <v>173</v>
      </c>
      <c r="AA2" s="954" t="s">
        <v>174</v>
      </c>
      <c r="AB2" s="658" t="s">
        <v>175</v>
      </c>
      <c r="AC2" s="658" t="s">
        <v>176</v>
      </c>
      <c r="AD2" s="658" t="s">
        <v>177</v>
      </c>
      <c r="AE2" s="658" t="s">
        <v>178</v>
      </c>
      <c r="AF2" s="658" t="s">
        <v>167</v>
      </c>
      <c r="AG2" s="658" t="s">
        <v>168</v>
      </c>
      <c r="AH2" s="658" t="s">
        <v>169</v>
      </c>
      <c r="AI2" s="658" t="s">
        <v>170</v>
      </c>
      <c r="AJ2" s="658" t="s">
        <v>171</v>
      </c>
      <c r="AK2" s="658" t="s">
        <v>172</v>
      </c>
      <c r="AL2" s="658" t="s">
        <v>173</v>
      </c>
      <c r="AM2" s="954" t="s">
        <v>174</v>
      </c>
      <c r="AN2" s="658" t="s">
        <v>175</v>
      </c>
      <c r="AO2" s="658" t="s">
        <v>176</v>
      </c>
      <c r="AP2" s="658" t="s">
        <v>177</v>
      </c>
      <c r="AQ2" s="658" t="s">
        <v>178</v>
      </c>
      <c r="AR2" s="658" t="s">
        <v>167</v>
      </c>
      <c r="AS2" s="658" t="s">
        <v>168</v>
      </c>
      <c r="AT2" s="658" t="s">
        <v>169</v>
      </c>
      <c r="AU2" s="658" t="s">
        <v>170</v>
      </c>
      <c r="AV2" s="658" t="s">
        <v>171</v>
      </c>
      <c r="AW2" s="658" t="s">
        <v>172</v>
      </c>
      <c r="AX2" s="658" t="s">
        <v>173</v>
      </c>
      <c r="AY2" s="954" t="s">
        <v>174</v>
      </c>
      <c r="AZ2" s="658" t="s">
        <v>175</v>
      </c>
      <c r="BA2" s="658" t="s">
        <v>176</v>
      </c>
      <c r="BB2" s="658" t="s">
        <v>177</v>
      </c>
      <c r="BC2" s="658" t="s">
        <v>178</v>
      </c>
      <c r="BD2" s="658" t="s">
        <v>167</v>
      </c>
      <c r="BE2" s="658" t="s">
        <v>168</v>
      </c>
      <c r="BF2" s="658" t="s">
        <v>169</v>
      </c>
      <c r="BG2" s="658" t="s">
        <v>170</v>
      </c>
      <c r="BH2" s="658" t="s">
        <v>171</v>
      </c>
      <c r="BI2" s="658" t="s">
        <v>172</v>
      </c>
      <c r="BJ2" s="658" t="s">
        <v>173</v>
      </c>
      <c r="BK2" s="954" t="s">
        <v>174</v>
      </c>
      <c r="BL2" s="1247" t="s">
        <v>175</v>
      </c>
      <c r="BM2" s="658" t="s">
        <v>176</v>
      </c>
      <c r="BN2" s="658" t="s">
        <v>177</v>
      </c>
      <c r="BO2" s="658" t="s">
        <v>178</v>
      </c>
      <c r="BP2" s="658" t="s">
        <v>167</v>
      </c>
      <c r="BQ2" s="658" t="s">
        <v>168</v>
      </c>
      <c r="BR2" s="658" t="s">
        <v>169</v>
      </c>
      <c r="BS2" s="658" t="s">
        <v>170</v>
      </c>
      <c r="BT2" s="658" t="s">
        <v>171</v>
      </c>
      <c r="BU2" s="658" t="s">
        <v>172</v>
      </c>
      <c r="BV2" s="658" t="s">
        <v>173</v>
      </c>
      <c r="BW2" s="954" t="s">
        <v>174</v>
      </c>
      <c r="BX2" s="658" t="s">
        <v>175</v>
      </c>
      <c r="BY2" s="658" t="s">
        <v>176</v>
      </c>
      <c r="BZ2" s="658" t="s">
        <v>177</v>
      </c>
      <c r="CA2" s="658" t="s">
        <v>178</v>
      </c>
      <c r="CB2" s="658" t="s">
        <v>167</v>
      </c>
      <c r="CC2" s="658" t="s">
        <v>168</v>
      </c>
      <c r="CD2" s="658" t="s">
        <v>169</v>
      </c>
      <c r="CE2" s="658" t="s">
        <v>170</v>
      </c>
      <c r="CF2" s="658" t="s">
        <v>171</v>
      </c>
      <c r="CG2" s="658" t="s">
        <v>172</v>
      </c>
      <c r="CH2" s="658" t="s">
        <v>173</v>
      </c>
      <c r="CI2" s="954" t="s">
        <v>174</v>
      </c>
    </row>
    <row r="3" spans="1:87" x14ac:dyDescent="0.25">
      <c r="A3" s="955" t="s">
        <v>786</v>
      </c>
      <c r="B3" s="660"/>
      <c r="C3" s="660"/>
      <c r="D3" s="660"/>
      <c r="E3" s="660"/>
      <c r="F3" s="958"/>
      <c r="G3" s="660"/>
      <c r="H3" s="660"/>
      <c r="I3" s="660"/>
      <c r="J3" s="956"/>
      <c r="K3" s="660"/>
      <c r="L3" s="660"/>
      <c r="M3" s="660"/>
      <c r="N3" s="660"/>
      <c r="O3" s="955"/>
      <c r="P3" s="1248"/>
      <c r="Q3" s="660"/>
      <c r="R3" s="660"/>
      <c r="S3" s="660"/>
      <c r="T3" s="660"/>
      <c r="U3" s="660"/>
      <c r="V3" s="660"/>
      <c r="W3" s="660"/>
      <c r="X3" s="660"/>
      <c r="Y3" s="660"/>
      <c r="Z3" s="660"/>
      <c r="AA3" s="955"/>
      <c r="AB3" s="660"/>
      <c r="AC3" s="660"/>
      <c r="AD3" s="660"/>
      <c r="AE3" s="660"/>
      <c r="AF3" s="660"/>
      <c r="AG3" s="660"/>
      <c r="AH3" s="660"/>
      <c r="AI3" s="660"/>
      <c r="AJ3" s="660"/>
      <c r="AK3" s="660"/>
      <c r="AL3" s="660"/>
      <c r="AM3" s="955"/>
      <c r="AN3" s="660"/>
      <c r="AO3" s="660"/>
      <c r="AP3" s="660"/>
      <c r="AQ3" s="660"/>
      <c r="AR3" s="660"/>
      <c r="AS3" s="660"/>
      <c r="AT3" s="660"/>
      <c r="AU3" s="660"/>
      <c r="AV3" s="660"/>
      <c r="AW3" s="660"/>
      <c r="AX3" s="660"/>
      <c r="AY3" s="955"/>
      <c r="AZ3" s="660"/>
      <c r="BA3" s="660"/>
      <c r="BB3" s="660"/>
      <c r="BC3" s="660"/>
      <c r="BD3" s="660"/>
      <c r="BE3" s="660"/>
      <c r="BF3" s="660"/>
      <c r="BG3" s="660"/>
      <c r="BH3" s="660"/>
      <c r="BI3" s="660"/>
      <c r="BJ3" s="660"/>
      <c r="BK3" s="955"/>
      <c r="BL3" s="1248"/>
      <c r="BM3" s="660"/>
      <c r="BN3" s="660"/>
      <c r="BO3" s="660"/>
      <c r="BP3" s="660"/>
      <c r="BQ3" s="660"/>
      <c r="BR3" s="660"/>
      <c r="BS3" s="660"/>
      <c r="BT3" s="660"/>
      <c r="BU3" s="660"/>
      <c r="BV3" s="660"/>
      <c r="BW3" s="955"/>
      <c r="BX3" s="660"/>
      <c r="BY3" s="660"/>
      <c r="BZ3" s="660"/>
      <c r="CA3" s="660"/>
      <c r="CB3" s="660"/>
      <c r="CC3" s="660"/>
      <c r="CD3" s="660"/>
      <c r="CE3" s="660"/>
      <c r="CF3" s="660"/>
      <c r="CG3" s="660"/>
      <c r="CH3" s="660"/>
      <c r="CI3" s="955"/>
    </row>
    <row r="4" spans="1:87" x14ac:dyDescent="0.25">
      <c r="A4" s="955" t="s">
        <v>787</v>
      </c>
      <c r="B4" s="660"/>
      <c r="C4" s="660"/>
      <c r="D4" s="660"/>
      <c r="E4" s="660"/>
      <c r="F4" s="660"/>
      <c r="G4" s="960"/>
      <c r="H4" s="960"/>
      <c r="I4" s="660"/>
      <c r="J4" s="660"/>
      <c r="K4" s="660"/>
      <c r="L4" s="660"/>
      <c r="M4" s="660"/>
      <c r="N4" s="660"/>
      <c r="O4" s="955"/>
      <c r="P4" s="1248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955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955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955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J4" s="660"/>
      <c r="BK4" s="955"/>
      <c r="BL4" s="1248"/>
      <c r="BM4" s="660"/>
      <c r="BN4" s="660"/>
      <c r="BO4" s="660"/>
      <c r="BP4" s="660"/>
      <c r="BQ4" s="660"/>
      <c r="BR4" s="660"/>
      <c r="BS4" s="660"/>
      <c r="BT4" s="660"/>
      <c r="BU4" s="660"/>
      <c r="BV4" s="660"/>
      <c r="BW4" s="955"/>
      <c r="BX4" s="660"/>
      <c r="BY4" s="660"/>
      <c r="BZ4" s="660"/>
      <c r="CA4" s="660"/>
      <c r="CB4" s="660"/>
      <c r="CC4" s="660"/>
      <c r="CD4" s="660"/>
      <c r="CE4" s="660"/>
      <c r="CF4" s="660"/>
      <c r="CG4" s="660"/>
      <c r="CH4" s="660"/>
      <c r="CI4" s="955"/>
    </row>
    <row r="5" spans="1:87" x14ac:dyDescent="0.25">
      <c r="A5" s="955" t="s">
        <v>596</v>
      </c>
      <c r="B5" s="659"/>
      <c r="C5" s="659"/>
      <c r="D5" s="659"/>
      <c r="E5" s="659"/>
      <c r="F5" s="659"/>
      <c r="G5" s="659"/>
      <c r="H5" s="659"/>
      <c r="I5" s="961"/>
      <c r="J5" s="961"/>
      <c r="K5" s="961"/>
      <c r="L5" s="961"/>
      <c r="M5" s="961"/>
      <c r="N5" s="961"/>
      <c r="O5" s="962"/>
      <c r="P5" s="1249"/>
      <c r="Q5" s="961"/>
      <c r="R5" s="961"/>
      <c r="S5" s="961"/>
      <c r="T5" s="961"/>
      <c r="U5" s="961"/>
      <c r="V5" s="961"/>
      <c r="W5" s="961"/>
      <c r="X5" s="660"/>
      <c r="Y5" s="660"/>
      <c r="Z5" s="660"/>
      <c r="AA5" s="955"/>
      <c r="AB5" s="660"/>
      <c r="AC5" s="660"/>
      <c r="AD5" s="660"/>
      <c r="AE5" s="660"/>
      <c r="AF5" s="660"/>
      <c r="AG5" s="660"/>
      <c r="AH5" s="660"/>
      <c r="AI5" s="660"/>
      <c r="AJ5" s="660"/>
      <c r="AK5" s="660"/>
      <c r="AL5" s="660"/>
      <c r="AM5" s="955"/>
      <c r="AN5" s="660"/>
      <c r="AO5" s="660"/>
      <c r="AP5" s="660"/>
      <c r="AQ5" s="660"/>
      <c r="AR5" s="660"/>
      <c r="AS5" s="660"/>
      <c r="AT5" s="660"/>
      <c r="AU5" s="660"/>
      <c r="AV5" s="660"/>
      <c r="AW5" s="660"/>
      <c r="AX5" s="660"/>
      <c r="AY5" s="955"/>
      <c r="AZ5" s="660"/>
      <c r="BA5" s="660"/>
      <c r="BB5" s="660"/>
      <c r="BC5" s="660"/>
      <c r="BD5" s="660"/>
      <c r="BE5" s="660"/>
      <c r="BF5" s="660"/>
      <c r="BG5" s="660"/>
      <c r="BH5" s="660"/>
      <c r="BI5" s="660"/>
      <c r="BJ5" s="660"/>
      <c r="BK5" s="955"/>
      <c r="BL5" s="1248"/>
      <c r="BM5" s="660"/>
      <c r="BN5" s="660"/>
      <c r="BO5" s="660"/>
      <c r="BP5" s="660"/>
      <c r="BQ5" s="660"/>
      <c r="BR5" s="660"/>
      <c r="BS5" s="660"/>
      <c r="BT5" s="660"/>
      <c r="BU5" s="660"/>
      <c r="BV5" s="660"/>
      <c r="BW5" s="955"/>
      <c r="BX5" s="660"/>
      <c r="BY5" s="660"/>
      <c r="BZ5" s="660"/>
      <c r="CA5" s="660"/>
      <c r="CB5" s="660"/>
      <c r="CC5" s="660"/>
      <c r="CD5" s="660"/>
      <c r="CE5" s="660"/>
      <c r="CF5" s="660"/>
      <c r="CG5" s="660"/>
      <c r="CH5" s="660"/>
      <c r="CI5" s="955"/>
    </row>
    <row r="6" spans="1:87" x14ac:dyDescent="0.25">
      <c r="A6" s="955" t="s">
        <v>788</v>
      </c>
      <c r="B6" s="659"/>
      <c r="C6" s="659"/>
      <c r="D6" s="659"/>
      <c r="E6" s="659"/>
      <c r="F6" s="659"/>
      <c r="G6" s="659"/>
      <c r="H6" s="659"/>
      <c r="I6" s="659"/>
      <c r="J6" s="659"/>
      <c r="K6" s="659"/>
      <c r="L6" s="659"/>
      <c r="M6" s="659"/>
      <c r="N6" s="659"/>
      <c r="O6" s="963"/>
      <c r="P6" s="1250"/>
      <c r="Q6" s="964"/>
      <c r="R6" s="964"/>
      <c r="S6" s="964"/>
      <c r="T6" s="964"/>
      <c r="U6" s="964"/>
      <c r="V6" s="964"/>
      <c r="W6" s="964"/>
      <c r="X6" s="964"/>
      <c r="Y6" s="964"/>
      <c r="Z6" s="964"/>
      <c r="AA6" s="1251"/>
      <c r="AB6" s="964"/>
      <c r="AC6" s="964"/>
      <c r="AD6" s="964"/>
      <c r="AE6" s="965"/>
      <c r="AF6" s="965"/>
      <c r="AG6" s="965"/>
      <c r="AH6" s="660"/>
      <c r="AI6" s="660"/>
      <c r="AJ6" s="660"/>
      <c r="AK6" s="660"/>
      <c r="AL6" s="660"/>
      <c r="AM6" s="955"/>
      <c r="AN6" s="660"/>
      <c r="AO6" s="660"/>
      <c r="AP6" s="660"/>
      <c r="AQ6" s="660"/>
      <c r="AR6" s="660"/>
      <c r="AS6" s="660"/>
      <c r="AT6" s="660"/>
      <c r="AU6" s="660"/>
      <c r="AV6" s="660"/>
      <c r="AW6" s="660"/>
      <c r="AX6" s="660"/>
      <c r="AY6" s="955"/>
      <c r="AZ6" s="660"/>
      <c r="BA6" s="660"/>
      <c r="BB6" s="660"/>
      <c r="BC6" s="660"/>
      <c r="BD6" s="660"/>
      <c r="BE6" s="660"/>
      <c r="BF6" s="660"/>
      <c r="BG6" s="660"/>
      <c r="BH6" s="660"/>
      <c r="BI6" s="660"/>
      <c r="BJ6" s="660"/>
      <c r="BK6" s="955"/>
      <c r="BL6" s="1250"/>
      <c r="BM6" s="659"/>
      <c r="BN6" s="659"/>
      <c r="BO6" s="659"/>
      <c r="BP6" s="659"/>
      <c r="BQ6" s="659"/>
      <c r="BR6" s="659"/>
      <c r="BS6" s="659"/>
      <c r="BT6" s="659"/>
      <c r="BU6" s="659"/>
      <c r="BV6" s="659"/>
      <c r="BW6" s="963"/>
      <c r="BX6" s="659"/>
      <c r="BY6" s="660"/>
      <c r="BZ6" s="660"/>
      <c r="CA6" s="660"/>
      <c r="CB6" s="660"/>
      <c r="CC6" s="660"/>
      <c r="CD6" s="660"/>
      <c r="CE6" s="660"/>
      <c r="CF6" s="660"/>
      <c r="CG6" s="660"/>
      <c r="CH6" s="660"/>
      <c r="CI6" s="955"/>
    </row>
    <row r="7" spans="1:87" x14ac:dyDescent="0.25">
      <c r="A7" s="955" t="s">
        <v>788</v>
      </c>
      <c r="B7" s="659"/>
      <c r="C7" s="659"/>
      <c r="D7" s="659"/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963"/>
      <c r="P7" s="1250"/>
      <c r="Q7" s="659"/>
      <c r="R7" s="659"/>
      <c r="S7" s="659"/>
      <c r="T7" s="959"/>
      <c r="U7" s="959"/>
      <c r="V7" s="959"/>
      <c r="W7" s="959"/>
      <c r="X7" s="959"/>
      <c r="Y7" s="959"/>
      <c r="Z7" s="959"/>
      <c r="AA7" s="1252"/>
      <c r="AB7" s="959"/>
      <c r="AC7" s="1518" t="s">
        <v>790</v>
      </c>
      <c r="AD7" s="1524"/>
      <c r="AE7" s="959"/>
      <c r="AF7" s="959"/>
      <c r="AG7" s="959"/>
      <c r="AH7" s="965"/>
      <c r="AI7" s="965"/>
      <c r="AJ7" s="965"/>
      <c r="AK7" s="659"/>
      <c r="AL7" s="660"/>
      <c r="AM7" s="955"/>
      <c r="AN7" s="660"/>
      <c r="AO7" s="660"/>
      <c r="AP7" s="660"/>
      <c r="AQ7" s="660"/>
      <c r="AR7" s="660"/>
      <c r="AS7" s="660"/>
      <c r="AT7" s="660"/>
      <c r="AU7" s="660"/>
      <c r="AV7" s="660"/>
      <c r="AW7" s="660"/>
      <c r="AX7" s="660"/>
      <c r="AY7" s="955"/>
      <c r="AZ7" s="660"/>
      <c r="BA7" s="660"/>
      <c r="BB7" s="660"/>
      <c r="BC7" s="660"/>
      <c r="BD7" s="660"/>
      <c r="BE7" s="660"/>
      <c r="BF7" s="660"/>
      <c r="BG7" s="660"/>
      <c r="BH7" s="660"/>
      <c r="BI7" s="660"/>
      <c r="BJ7" s="660"/>
      <c r="BK7" s="955"/>
      <c r="BL7" s="1250"/>
      <c r="BM7" s="659"/>
      <c r="BN7" s="659"/>
      <c r="BO7" s="659"/>
      <c r="BP7" s="659"/>
      <c r="BQ7" s="659"/>
      <c r="BR7" s="659"/>
      <c r="BS7" s="659"/>
      <c r="BT7" s="659"/>
      <c r="BU7" s="659"/>
      <c r="BV7" s="659"/>
      <c r="BW7" s="963"/>
      <c r="BX7" s="659"/>
      <c r="BY7" s="660"/>
      <c r="BZ7" s="660"/>
      <c r="CA7" s="660"/>
      <c r="CB7" s="660"/>
      <c r="CC7" s="660"/>
      <c r="CD7" s="660"/>
      <c r="CE7" s="660"/>
      <c r="CF7" s="660"/>
      <c r="CG7" s="660"/>
      <c r="CH7" s="660"/>
      <c r="CI7" s="955"/>
    </row>
    <row r="8" spans="1:87" x14ac:dyDescent="0.25">
      <c r="A8" s="953" t="s">
        <v>789</v>
      </c>
      <c r="B8" s="662"/>
      <c r="C8" s="662"/>
      <c r="D8" s="662"/>
      <c r="E8" s="661"/>
      <c r="F8" s="661"/>
      <c r="G8" s="661"/>
      <c r="H8" s="661"/>
      <c r="I8" s="661"/>
      <c r="J8" s="661"/>
      <c r="K8" s="661"/>
      <c r="L8" s="661"/>
      <c r="M8" s="661"/>
      <c r="N8" s="661"/>
      <c r="O8" s="966"/>
      <c r="P8" s="1253"/>
      <c r="Q8" s="661"/>
      <c r="R8" s="661"/>
      <c r="S8" s="661"/>
      <c r="T8" s="661"/>
      <c r="U8" s="661"/>
      <c r="V8" s="661"/>
      <c r="W8" s="967"/>
      <c r="X8" s="967"/>
      <c r="Y8" s="967"/>
      <c r="Z8" s="967"/>
      <c r="AA8" s="1254"/>
      <c r="AB8" s="967"/>
      <c r="AC8" s="967"/>
      <c r="AD8" s="967"/>
      <c r="AE8" s="967"/>
      <c r="AF8" s="967"/>
      <c r="AG8" s="967"/>
      <c r="AH8" s="967"/>
      <c r="AI8" s="967"/>
      <c r="AJ8" s="967"/>
      <c r="AK8" s="957"/>
      <c r="AL8" s="957"/>
      <c r="AM8" s="1255"/>
      <c r="AN8" s="957"/>
      <c r="AO8" s="661"/>
      <c r="AP8" s="662"/>
      <c r="AQ8" s="662"/>
      <c r="AR8" s="662"/>
      <c r="AS8" s="662"/>
      <c r="AT8" s="662"/>
      <c r="AU8" s="662"/>
      <c r="AV8" s="662"/>
      <c r="AW8" s="662"/>
      <c r="AX8" s="662"/>
      <c r="AY8" s="953"/>
      <c r="AZ8" s="661"/>
      <c r="BA8" s="661"/>
      <c r="BB8" s="662"/>
      <c r="BC8" s="662"/>
      <c r="BD8" s="662"/>
      <c r="BE8" s="662"/>
      <c r="BF8" s="662"/>
      <c r="BG8" s="662"/>
      <c r="BH8" s="662"/>
      <c r="BI8" s="662"/>
      <c r="BJ8" s="662"/>
      <c r="BK8" s="953"/>
      <c r="BL8" s="1253"/>
      <c r="BM8" s="661"/>
      <c r="BN8" s="661"/>
      <c r="BO8" s="661"/>
      <c r="BP8" s="661"/>
      <c r="BQ8" s="661"/>
      <c r="BR8" s="661"/>
      <c r="BS8" s="661"/>
      <c r="BT8" s="661"/>
      <c r="BU8" s="661"/>
      <c r="BV8" s="661"/>
      <c r="BW8" s="966"/>
      <c r="BX8" s="661"/>
      <c r="BY8" s="661"/>
      <c r="BZ8" s="662"/>
      <c r="CA8" s="662"/>
      <c r="CB8" s="662"/>
      <c r="CC8" s="662"/>
      <c r="CD8" s="662"/>
      <c r="CE8" s="662"/>
      <c r="CF8" s="662"/>
      <c r="CG8" s="662"/>
      <c r="CH8" s="662"/>
      <c r="CI8" s="953"/>
    </row>
    <row r="9" spans="1:87" x14ac:dyDescent="0.25">
      <c r="A9" s="955" t="s">
        <v>786</v>
      </c>
      <c r="B9" s="660"/>
      <c r="C9" s="660"/>
      <c r="D9" s="659"/>
      <c r="E9" s="659"/>
      <c r="F9" s="969"/>
      <c r="G9" s="659"/>
      <c r="H9" s="659"/>
      <c r="I9" s="659"/>
      <c r="J9" s="970"/>
      <c r="K9" s="659"/>
      <c r="L9" s="659"/>
      <c r="M9" s="659"/>
      <c r="N9" s="659"/>
      <c r="O9" s="963"/>
      <c r="P9" s="1250"/>
      <c r="Q9" s="659"/>
      <c r="R9" s="958"/>
      <c r="S9" s="660"/>
      <c r="T9" s="660"/>
      <c r="U9" s="660"/>
      <c r="V9" s="956"/>
      <c r="W9" s="660"/>
      <c r="X9" s="660"/>
      <c r="Y9" s="660"/>
      <c r="Z9" s="660"/>
      <c r="AA9" s="955"/>
      <c r="AB9" s="660"/>
      <c r="AC9" s="660"/>
      <c r="AD9" s="660"/>
      <c r="AE9" s="660"/>
      <c r="AF9" s="660"/>
      <c r="AG9" s="660"/>
      <c r="AH9" s="660"/>
      <c r="AI9" s="660"/>
      <c r="AJ9" s="660"/>
      <c r="AK9" s="660"/>
      <c r="AL9" s="660"/>
      <c r="AM9" s="955"/>
      <c r="AN9" s="660"/>
      <c r="AO9" s="660"/>
      <c r="AP9" s="660"/>
      <c r="AQ9" s="660"/>
      <c r="AR9" s="660"/>
      <c r="AS9" s="660"/>
      <c r="AT9" s="660"/>
      <c r="AU9" s="660"/>
      <c r="AV9" s="660"/>
      <c r="AW9" s="660"/>
      <c r="AX9" s="660"/>
      <c r="AY9" s="955"/>
      <c r="AZ9" s="660"/>
      <c r="BA9" s="660"/>
      <c r="BB9" s="660"/>
      <c r="BC9" s="660"/>
      <c r="BD9" s="660"/>
      <c r="BE9" s="660"/>
      <c r="BF9" s="660"/>
      <c r="BG9" s="660"/>
      <c r="BH9" s="660"/>
      <c r="BI9" s="660"/>
      <c r="BJ9" s="660"/>
      <c r="BK9" s="955"/>
      <c r="BL9" s="1250"/>
      <c r="BM9" s="659"/>
      <c r="BN9" s="659"/>
      <c r="BO9" s="659"/>
      <c r="BP9" s="659"/>
      <c r="BQ9" s="659"/>
      <c r="BR9" s="659"/>
      <c r="BS9" s="659"/>
      <c r="BT9" s="659"/>
      <c r="BU9" s="659"/>
      <c r="BV9" s="659"/>
      <c r="BW9" s="963"/>
      <c r="BX9" s="659"/>
      <c r="BY9" s="660"/>
      <c r="BZ9" s="660"/>
      <c r="CA9" s="660"/>
      <c r="CB9" s="660"/>
      <c r="CC9" s="660"/>
      <c r="CD9" s="660"/>
      <c r="CE9" s="660"/>
      <c r="CF9" s="660"/>
      <c r="CG9" s="660"/>
      <c r="CH9" s="660"/>
      <c r="CI9" s="955"/>
    </row>
    <row r="10" spans="1:87" x14ac:dyDescent="0.25">
      <c r="A10" s="955" t="s">
        <v>787</v>
      </c>
      <c r="B10" s="660"/>
      <c r="C10" s="660"/>
      <c r="D10" s="659"/>
      <c r="E10" s="659"/>
      <c r="F10" s="659"/>
      <c r="G10" s="659"/>
      <c r="H10" s="659"/>
      <c r="I10" s="659"/>
      <c r="J10" s="659"/>
      <c r="K10" s="659"/>
      <c r="L10" s="659"/>
      <c r="M10" s="659"/>
      <c r="N10" s="659"/>
      <c r="O10" s="963"/>
      <c r="P10" s="1250"/>
      <c r="Q10" s="659"/>
      <c r="R10" s="660"/>
      <c r="S10" s="960"/>
      <c r="T10" s="960"/>
      <c r="U10" s="660"/>
      <c r="V10" s="660"/>
      <c r="W10" s="660"/>
      <c r="X10" s="660"/>
      <c r="Y10" s="660"/>
      <c r="Z10" s="660"/>
      <c r="AA10" s="955"/>
      <c r="AB10" s="660"/>
      <c r="AC10" s="660"/>
      <c r="AD10" s="660"/>
      <c r="AE10" s="660"/>
      <c r="AF10" s="660"/>
      <c r="AG10" s="660"/>
      <c r="AH10" s="660"/>
      <c r="AI10" s="660"/>
      <c r="AJ10" s="660"/>
      <c r="AK10" s="660"/>
      <c r="AL10" s="660"/>
      <c r="AM10" s="955"/>
      <c r="AN10" s="660"/>
      <c r="AO10" s="660"/>
      <c r="AP10" s="660"/>
      <c r="AQ10" s="660"/>
      <c r="AR10" s="660"/>
      <c r="AS10" s="660"/>
      <c r="AT10" s="660"/>
      <c r="AU10" s="660"/>
      <c r="AV10" s="660"/>
      <c r="AW10" s="660"/>
      <c r="AX10" s="660"/>
      <c r="AY10" s="955"/>
      <c r="AZ10" s="660"/>
      <c r="BA10" s="660"/>
      <c r="BB10" s="660"/>
      <c r="BC10" s="660"/>
      <c r="BD10" s="660"/>
      <c r="BE10" s="660"/>
      <c r="BF10" s="660"/>
      <c r="BG10" s="660"/>
      <c r="BH10" s="660"/>
      <c r="BI10" s="660"/>
      <c r="BJ10" s="660"/>
      <c r="BK10" s="955"/>
      <c r="BL10" s="1250"/>
      <c r="BM10" s="659"/>
      <c r="BN10" s="659"/>
      <c r="BO10" s="659"/>
      <c r="BP10" s="659"/>
      <c r="BQ10" s="659"/>
      <c r="BR10" s="659"/>
      <c r="BS10" s="659"/>
      <c r="BT10" s="659"/>
      <c r="BU10" s="659"/>
      <c r="BV10" s="659"/>
      <c r="BW10" s="963"/>
      <c r="BX10" s="659"/>
      <c r="BY10" s="660"/>
      <c r="BZ10" s="660"/>
      <c r="CA10" s="660"/>
      <c r="CB10" s="660"/>
      <c r="CC10" s="660"/>
      <c r="CD10" s="660"/>
      <c r="CE10" s="660"/>
      <c r="CF10" s="660"/>
      <c r="CG10" s="660"/>
      <c r="CH10" s="660"/>
      <c r="CI10" s="955"/>
    </row>
    <row r="11" spans="1:87" x14ac:dyDescent="0.25">
      <c r="A11" s="955" t="s">
        <v>596</v>
      </c>
      <c r="B11" s="659"/>
      <c r="C11" s="659"/>
      <c r="D11" s="659"/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963"/>
      <c r="P11" s="1250"/>
      <c r="Q11" s="659"/>
      <c r="R11" s="659"/>
      <c r="S11" s="659"/>
      <c r="T11" s="659"/>
      <c r="U11" s="961"/>
      <c r="V11" s="961"/>
      <c r="W11" s="961"/>
      <c r="X11" s="961"/>
      <c r="Y11" s="961"/>
      <c r="Z11" s="961"/>
      <c r="AA11" s="962"/>
      <c r="AB11" s="961"/>
      <c r="AC11" s="961"/>
      <c r="AD11" s="961"/>
      <c r="AE11" s="961"/>
      <c r="AF11" s="961"/>
      <c r="AG11" s="961"/>
      <c r="AH11" s="961"/>
      <c r="AI11" s="961"/>
      <c r="AJ11" s="660"/>
      <c r="AK11" s="660"/>
      <c r="AL11" s="660"/>
      <c r="AM11" s="955"/>
      <c r="AN11" s="660"/>
      <c r="AO11" s="660"/>
      <c r="AP11" s="660"/>
      <c r="AQ11" s="660"/>
      <c r="AR11" s="660"/>
      <c r="AS11" s="660"/>
      <c r="AT11" s="660"/>
      <c r="AU11" s="660"/>
      <c r="AV11" s="660"/>
      <c r="AW11" s="660"/>
      <c r="AX11" s="660"/>
      <c r="AY11" s="955"/>
      <c r="AZ11" s="660"/>
      <c r="BA11" s="660"/>
      <c r="BB11" s="660"/>
      <c r="BC11" s="660"/>
      <c r="BD11" s="660"/>
      <c r="BE11" s="660"/>
      <c r="BF11" s="660"/>
      <c r="BG11" s="660"/>
      <c r="BH11" s="660"/>
      <c r="BI11" s="660"/>
      <c r="BJ11" s="660"/>
      <c r="BK11" s="955"/>
      <c r="BL11" s="1250"/>
      <c r="BM11" s="659"/>
      <c r="BN11" s="659"/>
      <c r="BO11" s="659"/>
      <c r="BP11" s="659"/>
      <c r="BQ11" s="659"/>
      <c r="BR11" s="659"/>
      <c r="BS11" s="659"/>
      <c r="BT11" s="659"/>
      <c r="BU11" s="659"/>
      <c r="BV11" s="659"/>
      <c r="BW11" s="963"/>
      <c r="BX11" s="659"/>
      <c r="BY11" s="660"/>
      <c r="BZ11" s="660"/>
      <c r="CA11" s="660"/>
      <c r="CB11" s="660"/>
      <c r="CC11" s="660"/>
      <c r="CD11" s="660"/>
      <c r="CE11" s="660"/>
      <c r="CF11" s="660"/>
      <c r="CG11" s="660"/>
      <c r="CH11" s="660"/>
      <c r="CI11" s="955"/>
    </row>
    <row r="12" spans="1:87" x14ac:dyDescent="0.25">
      <c r="A12" s="955" t="s">
        <v>788</v>
      </c>
      <c r="B12" s="659"/>
      <c r="C12" s="659"/>
      <c r="D12" s="659"/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963"/>
      <c r="P12" s="1250"/>
      <c r="Q12" s="659"/>
      <c r="R12" s="659"/>
      <c r="S12" s="659"/>
      <c r="T12" s="659"/>
      <c r="U12" s="659"/>
      <c r="V12" s="659"/>
      <c r="W12" s="659"/>
      <c r="X12" s="659"/>
      <c r="Y12" s="659"/>
      <c r="Z12" s="659"/>
      <c r="AA12" s="963"/>
      <c r="AB12" s="659"/>
      <c r="AC12" s="964"/>
      <c r="AD12" s="964"/>
      <c r="AE12" s="964"/>
      <c r="AF12" s="964"/>
      <c r="AG12" s="964"/>
      <c r="AH12" s="964"/>
      <c r="AI12" s="964"/>
      <c r="AJ12" s="964"/>
      <c r="AK12" s="964"/>
      <c r="AL12" s="964"/>
      <c r="AM12" s="1251"/>
      <c r="AN12" s="964"/>
      <c r="AO12" s="964"/>
      <c r="AP12" s="964"/>
      <c r="AQ12" s="965"/>
      <c r="AR12" s="965"/>
      <c r="AS12" s="965"/>
      <c r="AT12" s="660"/>
      <c r="AU12" s="660"/>
      <c r="AV12" s="660"/>
      <c r="AW12" s="660"/>
      <c r="AX12" s="660"/>
      <c r="AY12" s="955"/>
      <c r="AZ12" s="660"/>
      <c r="BA12" s="660"/>
      <c r="BB12" s="660"/>
      <c r="BC12" s="660"/>
      <c r="BD12" s="660"/>
      <c r="BE12" s="660"/>
      <c r="BF12" s="660"/>
      <c r="BG12" s="660"/>
      <c r="BH12" s="660"/>
      <c r="BI12" s="660"/>
      <c r="BJ12" s="660"/>
      <c r="BK12" s="955"/>
      <c r="BL12" s="1250"/>
      <c r="BM12" s="659"/>
      <c r="BN12" s="659"/>
      <c r="BO12" s="659"/>
      <c r="BP12" s="659"/>
      <c r="BQ12" s="659"/>
      <c r="BR12" s="659"/>
      <c r="BS12" s="659"/>
      <c r="BT12" s="659"/>
      <c r="BU12" s="659"/>
      <c r="BV12" s="659"/>
      <c r="BW12" s="963"/>
      <c r="BX12" s="659"/>
      <c r="BY12" s="660"/>
      <c r="BZ12" s="660"/>
      <c r="CA12" s="660"/>
      <c r="CB12" s="660"/>
      <c r="CC12" s="660"/>
      <c r="CD12" s="660"/>
      <c r="CE12" s="660"/>
      <c r="CF12" s="660"/>
      <c r="CG12" s="660"/>
      <c r="CH12" s="660"/>
      <c r="CI12" s="955"/>
    </row>
    <row r="13" spans="1:87" x14ac:dyDescent="0.25">
      <c r="A13" s="955" t="s">
        <v>788</v>
      </c>
      <c r="B13" s="659"/>
      <c r="C13" s="659"/>
      <c r="D13" s="659"/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963"/>
      <c r="P13" s="1250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963"/>
      <c r="AB13" s="659"/>
      <c r="AC13" s="659"/>
      <c r="AD13" s="659"/>
      <c r="AE13" s="659"/>
      <c r="AF13" s="959"/>
      <c r="AG13" s="959"/>
      <c r="AH13" s="959"/>
      <c r="AI13" s="959"/>
      <c r="AJ13" s="959"/>
      <c r="AK13" s="959"/>
      <c r="AL13" s="959"/>
      <c r="AM13" s="1252"/>
      <c r="AN13" s="959"/>
      <c r="AO13" s="1518" t="s">
        <v>790</v>
      </c>
      <c r="AP13" s="1524"/>
      <c r="AQ13" s="959"/>
      <c r="AR13" s="959"/>
      <c r="AS13" s="959"/>
      <c r="AT13" s="965"/>
      <c r="AU13" s="965"/>
      <c r="AV13" s="965"/>
      <c r="AW13" s="659"/>
      <c r="AX13" s="660"/>
      <c r="AY13" s="955"/>
      <c r="AZ13" s="660"/>
      <c r="BA13" s="660"/>
      <c r="BB13" s="660"/>
      <c r="BC13" s="660"/>
      <c r="BD13" s="660"/>
      <c r="BE13" s="660"/>
      <c r="BF13" s="660"/>
      <c r="BG13" s="660"/>
      <c r="BH13" s="660"/>
      <c r="BI13" s="660"/>
      <c r="BJ13" s="660"/>
      <c r="BK13" s="955"/>
      <c r="BL13" s="1250"/>
      <c r="BM13" s="659"/>
      <c r="BN13" s="659"/>
      <c r="BO13" s="659"/>
      <c r="BP13" s="659"/>
      <c r="BQ13" s="659"/>
      <c r="BR13" s="659"/>
      <c r="BS13" s="659"/>
      <c r="BT13" s="659"/>
      <c r="BU13" s="659"/>
      <c r="BV13" s="659"/>
      <c r="BW13" s="963"/>
      <c r="BX13" s="659"/>
      <c r="BY13" s="660"/>
      <c r="BZ13" s="660"/>
      <c r="CA13" s="660"/>
      <c r="CB13" s="660"/>
      <c r="CC13" s="660"/>
      <c r="CD13" s="660"/>
      <c r="CE13" s="660"/>
      <c r="CF13" s="660"/>
      <c r="CG13" s="660"/>
      <c r="CH13" s="660"/>
      <c r="CI13" s="955"/>
    </row>
    <row r="14" spans="1:87" x14ac:dyDescent="0.25">
      <c r="A14" s="953" t="s">
        <v>789</v>
      </c>
      <c r="B14" s="662"/>
      <c r="C14" s="662"/>
      <c r="D14" s="661"/>
      <c r="E14" s="661"/>
      <c r="F14" s="661"/>
      <c r="G14" s="661"/>
      <c r="H14" s="661"/>
      <c r="I14" s="661"/>
      <c r="J14" s="661"/>
      <c r="K14" s="661"/>
      <c r="L14" s="661"/>
      <c r="M14" s="661"/>
      <c r="N14" s="661"/>
      <c r="O14" s="966"/>
      <c r="P14" s="1253"/>
      <c r="Q14" s="661"/>
      <c r="R14" s="661"/>
      <c r="S14" s="661"/>
      <c r="T14" s="661"/>
      <c r="U14" s="661"/>
      <c r="V14" s="661"/>
      <c r="W14" s="661"/>
      <c r="X14" s="661"/>
      <c r="Y14" s="661"/>
      <c r="Z14" s="661"/>
      <c r="AA14" s="966"/>
      <c r="AB14" s="661"/>
      <c r="AC14" s="661"/>
      <c r="AD14" s="661"/>
      <c r="AE14" s="661"/>
      <c r="AF14" s="661"/>
      <c r="AG14" s="661"/>
      <c r="AH14" s="661"/>
      <c r="AI14" s="967"/>
      <c r="AJ14" s="967"/>
      <c r="AK14" s="967"/>
      <c r="AL14" s="967"/>
      <c r="AM14" s="1254"/>
      <c r="AN14" s="967"/>
      <c r="AO14" s="967"/>
      <c r="AP14" s="967"/>
      <c r="AQ14" s="967"/>
      <c r="AR14" s="967"/>
      <c r="AS14" s="967"/>
      <c r="AT14" s="967"/>
      <c r="AU14" s="967"/>
      <c r="AV14" s="967"/>
      <c r="AW14" s="957"/>
      <c r="AX14" s="957"/>
      <c r="AY14" s="1255"/>
      <c r="AZ14" s="957"/>
      <c r="BA14" s="661"/>
      <c r="BB14" s="662"/>
      <c r="BC14" s="662"/>
      <c r="BD14" s="662"/>
      <c r="BE14" s="662"/>
      <c r="BF14" s="662"/>
      <c r="BG14" s="662"/>
      <c r="BH14" s="662"/>
      <c r="BI14" s="662"/>
      <c r="BJ14" s="662"/>
      <c r="BK14" s="953"/>
      <c r="BL14" s="1253"/>
      <c r="BM14" s="661"/>
      <c r="BN14" s="661"/>
      <c r="BO14" s="661"/>
      <c r="BP14" s="661"/>
      <c r="BQ14" s="661"/>
      <c r="BR14" s="661"/>
      <c r="BS14" s="661"/>
      <c r="BT14" s="661"/>
      <c r="BU14" s="661"/>
      <c r="BV14" s="661"/>
      <c r="BW14" s="966"/>
      <c r="BX14" s="661"/>
      <c r="BY14" s="661"/>
      <c r="BZ14" s="662"/>
      <c r="CA14" s="662"/>
      <c r="CB14" s="662"/>
      <c r="CC14" s="662"/>
      <c r="CD14" s="662"/>
      <c r="CE14" s="662"/>
      <c r="CF14" s="662"/>
      <c r="CG14" s="662"/>
      <c r="CH14" s="662"/>
      <c r="CI14" s="953"/>
    </row>
    <row r="15" spans="1:87" x14ac:dyDescent="0.25">
      <c r="A15" s="955" t="s">
        <v>786</v>
      </c>
      <c r="B15" s="660"/>
      <c r="C15" s="660"/>
      <c r="D15" s="659"/>
      <c r="E15" s="659"/>
      <c r="F15" s="969"/>
      <c r="G15" s="659"/>
      <c r="H15" s="659"/>
      <c r="I15" s="659"/>
      <c r="J15" s="970"/>
      <c r="K15" s="659"/>
      <c r="L15" s="659"/>
      <c r="M15" s="659"/>
      <c r="N15" s="659"/>
      <c r="O15" s="963"/>
      <c r="P15" s="1250"/>
      <c r="Q15" s="659"/>
      <c r="R15" s="659"/>
      <c r="S15" s="659"/>
      <c r="T15" s="659"/>
      <c r="U15" s="659"/>
      <c r="V15" s="659"/>
      <c r="W15" s="659"/>
      <c r="X15" s="659"/>
      <c r="Y15" s="659"/>
      <c r="Z15" s="659"/>
      <c r="AA15" s="963"/>
      <c r="AB15" s="659"/>
      <c r="AC15" s="659"/>
      <c r="AD15" s="958"/>
      <c r="AE15" s="660"/>
      <c r="AF15" s="660"/>
      <c r="AG15" s="660"/>
      <c r="AH15" s="956"/>
      <c r="AI15" s="660"/>
      <c r="AJ15" s="660"/>
      <c r="AK15" s="660"/>
      <c r="AL15" s="660"/>
      <c r="AM15" s="955"/>
      <c r="AN15" s="660"/>
      <c r="AO15" s="660"/>
      <c r="AP15" s="660"/>
      <c r="AQ15" s="660"/>
      <c r="AR15" s="660"/>
      <c r="AS15" s="660"/>
      <c r="AT15" s="660"/>
      <c r="AU15" s="660"/>
      <c r="AV15" s="660"/>
      <c r="AW15" s="660"/>
      <c r="AX15" s="660"/>
      <c r="AY15" s="955"/>
      <c r="AZ15" s="660"/>
      <c r="BA15" s="660"/>
      <c r="BB15" s="660"/>
      <c r="BC15" s="660"/>
      <c r="BD15" s="660"/>
      <c r="BE15" s="660"/>
      <c r="BF15" s="660"/>
      <c r="BG15" s="660"/>
      <c r="BH15" s="660"/>
      <c r="BI15" s="660"/>
      <c r="BJ15" s="660"/>
      <c r="BK15" s="955"/>
      <c r="BL15" s="1248"/>
      <c r="BM15" s="660"/>
      <c r="BN15" s="660"/>
      <c r="BO15" s="660"/>
      <c r="BP15" s="660"/>
      <c r="BQ15" s="660"/>
      <c r="BR15" s="660"/>
      <c r="BS15" s="660"/>
      <c r="BT15" s="660"/>
      <c r="BU15" s="660"/>
      <c r="BV15" s="660"/>
      <c r="BW15" s="955"/>
      <c r="BX15" s="660"/>
      <c r="BY15" s="660"/>
      <c r="BZ15" s="660"/>
      <c r="CA15" s="660"/>
      <c r="CB15" s="660"/>
      <c r="CC15" s="660"/>
      <c r="CD15" s="660"/>
      <c r="CE15" s="660"/>
      <c r="CF15" s="660"/>
      <c r="CG15" s="660"/>
      <c r="CH15" s="660"/>
      <c r="CI15" s="955"/>
    </row>
    <row r="16" spans="1:87" x14ac:dyDescent="0.25">
      <c r="A16" s="955" t="s">
        <v>787</v>
      </c>
      <c r="B16" s="660"/>
      <c r="C16" s="660"/>
      <c r="D16" s="659"/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963"/>
      <c r="P16" s="1250"/>
      <c r="Q16" s="659"/>
      <c r="R16" s="659"/>
      <c r="S16" s="659"/>
      <c r="T16" s="659"/>
      <c r="U16" s="659"/>
      <c r="V16" s="659"/>
      <c r="W16" s="659"/>
      <c r="X16" s="659"/>
      <c r="Y16" s="659"/>
      <c r="Z16" s="659"/>
      <c r="AA16" s="963"/>
      <c r="AB16" s="659"/>
      <c r="AC16" s="659"/>
      <c r="AD16" s="660"/>
      <c r="AE16" s="960"/>
      <c r="AF16" s="960"/>
      <c r="AG16" s="660"/>
      <c r="AH16" s="660"/>
      <c r="AI16" s="660"/>
      <c r="AJ16" s="660"/>
      <c r="AK16" s="660"/>
      <c r="AL16" s="660"/>
      <c r="AM16" s="955"/>
      <c r="AN16" s="660"/>
      <c r="AO16" s="660"/>
      <c r="AP16" s="660"/>
      <c r="AQ16" s="660"/>
      <c r="AR16" s="660"/>
      <c r="AS16" s="660"/>
      <c r="AT16" s="660"/>
      <c r="AU16" s="660"/>
      <c r="AV16" s="660"/>
      <c r="AW16" s="660"/>
      <c r="AX16" s="660"/>
      <c r="AY16" s="955"/>
      <c r="AZ16" s="660"/>
      <c r="BA16" s="660"/>
      <c r="BB16" s="660"/>
      <c r="BC16" s="660"/>
      <c r="BD16" s="660"/>
      <c r="BE16" s="660"/>
      <c r="BF16" s="660"/>
      <c r="BG16" s="660"/>
      <c r="BH16" s="660"/>
      <c r="BI16" s="660"/>
      <c r="BJ16" s="660"/>
      <c r="BK16" s="955"/>
      <c r="BL16" s="1248"/>
      <c r="BM16" s="660"/>
      <c r="BN16" s="660"/>
      <c r="BO16" s="660"/>
      <c r="BP16" s="660"/>
      <c r="BQ16" s="660"/>
      <c r="BR16" s="660"/>
      <c r="BS16" s="660"/>
      <c r="BT16" s="660"/>
      <c r="BU16" s="660"/>
      <c r="BV16" s="660"/>
      <c r="BW16" s="955"/>
      <c r="BX16" s="660"/>
      <c r="BY16" s="660"/>
      <c r="BZ16" s="660"/>
      <c r="CA16" s="660"/>
      <c r="CB16" s="660"/>
      <c r="CC16" s="660"/>
      <c r="CD16" s="660"/>
      <c r="CE16" s="660"/>
      <c r="CF16" s="660"/>
      <c r="CG16" s="660"/>
      <c r="CH16" s="660"/>
      <c r="CI16" s="955"/>
    </row>
    <row r="17" spans="1:87" x14ac:dyDescent="0.25">
      <c r="A17" s="955" t="s">
        <v>596</v>
      </c>
      <c r="B17" s="659"/>
      <c r="C17" s="659"/>
      <c r="D17" s="659"/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963"/>
      <c r="P17" s="1250"/>
      <c r="Q17" s="659"/>
      <c r="R17" s="659"/>
      <c r="S17" s="659"/>
      <c r="T17" s="659"/>
      <c r="U17" s="659"/>
      <c r="V17" s="659"/>
      <c r="W17" s="659"/>
      <c r="X17" s="659"/>
      <c r="Y17" s="659"/>
      <c r="Z17" s="659"/>
      <c r="AA17" s="963"/>
      <c r="AB17" s="659"/>
      <c r="AC17" s="659"/>
      <c r="AD17" s="659"/>
      <c r="AE17" s="659"/>
      <c r="AF17" s="659"/>
      <c r="AG17" s="961"/>
      <c r="AH17" s="961"/>
      <c r="AI17" s="961"/>
      <c r="AJ17" s="961"/>
      <c r="AK17" s="961"/>
      <c r="AL17" s="961"/>
      <c r="AM17" s="962"/>
      <c r="AN17" s="961"/>
      <c r="AO17" s="961"/>
      <c r="AP17" s="961"/>
      <c r="AQ17" s="961"/>
      <c r="AR17" s="961"/>
      <c r="AS17" s="961"/>
      <c r="AT17" s="961"/>
      <c r="AU17" s="961"/>
      <c r="AV17" s="660"/>
      <c r="AW17" s="660"/>
      <c r="AX17" s="660"/>
      <c r="AY17" s="955"/>
      <c r="AZ17" s="660"/>
      <c r="BA17" s="660"/>
      <c r="BB17" s="660"/>
      <c r="BC17" s="660"/>
      <c r="BD17" s="660"/>
      <c r="BE17" s="660"/>
      <c r="BF17" s="660"/>
      <c r="BG17" s="660"/>
      <c r="BH17" s="660"/>
      <c r="BI17" s="660"/>
      <c r="BJ17" s="660"/>
      <c r="BK17" s="955"/>
      <c r="BL17" s="1248"/>
      <c r="BM17" s="660"/>
      <c r="BN17" s="660"/>
      <c r="BO17" s="660"/>
      <c r="BP17" s="660"/>
      <c r="BQ17" s="660"/>
      <c r="BR17" s="660"/>
      <c r="BS17" s="660"/>
      <c r="BT17" s="660"/>
      <c r="BU17" s="660"/>
      <c r="BV17" s="660"/>
      <c r="BW17" s="955"/>
      <c r="BX17" s="660"/>
      <c r="BY17" s="660"/>
      <c r="BZ17" s="660"/>
      <c r="CA17" s="660"/>
      <c r="CB17" s="660"/>
      <c r="CC17" s="660"/>
      <c r="CD17" s="660"/>
      <c r="CE17" s="660"/>
      <c r="CF17" s="660"/>
      <c r="CG17" s="660"/>
      <c r="CH17" s="660"/>
      <c r="CI17" s="955"/>
    </row>
    <row r="18" spans="1:87" x14ac:dyDescent="0.25">
      <c r="A18" s="955" t="s">
        <v>788</v>
      </c>
      <c r="B18" s="659"/>
      <c r="C18" s="659"/>
      <c r="D18" s="659"/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963"/>
      <c r="P18" s="1250"/>
      <c r="Q18" s="659"/>
      <c r="R18" s="659"/>
      <c r="S18" s="659"/>
      <c r="T18" s="659"/>
      <c r="U18" s="659"/>
      <c r="V18" s="659"/>
      <c r="W18" s="659"/>
      <c r="X18" s="659"/>
      <c r="Y18" s="659"/>
      <c r="Z18" s="659"/>
      <c r="AA18" s="963"/>
      <c r="AB18" s="659"/>
      <c r="AC18" s="659"/>
      <c r="AD18" s="659"/>
      <c r="AE18" s="659"/>
      <c r="AF18" s="659"/>
      <c r="AG18" s="659"/>
      <c r="AH18" s="659"/>
      <c r="AI18" s="659"/>
      <c r="AJ18" s="659"/>
      <c r="AK18" s="659"/>
      <c r="AL18" s="659"/>
      <c r="AM18" s="963"/>
      <c r="AN18" s="659"/>
      <c r="AO18" s="964"/>
      <c r="AP18" s="964"/>
      <c r="AQ18" s="964"/>
      <c r="AR18" s="964"/>
      <c r="AS18" s="964"/>
      <c r="AT18" s="964"/>
      <c r="AU18" s="964"/>
      <c r="AV18" s="964"/>
      <c r="AW18" s="964"/>
      <c r="AX18" s="964"/>
      <c r="AY18" s="1251"/>
      <c r="AZ18" s="964"/>
      <c r="BA18" s="964"/>
      <c r="BB18" s="964"/>
      <c r="BC18" s="965"/>
      <c r="BD18" s="965"/>
      <c r="BE18" s="965"/>
      <c r="BF18" s="660"/>
      <c r="BG18" s="660"/>
      <c r="BH18" s="660"/>
      <c r="BI18" s="660"/>
      <c r="BJ18" s="660"/>
      <c r="BK18" s="955"/>
      <c r="BL18" s="1248"/>
      <c r="BM18" s="660"/>
      <c r="BN18" s="660"/>
      <c r="BO18" s="660"/>
      <c r="BP18" s="660"/>
      <c r="BQ18" s="660"/>
      <c r="BR18" s="660"/>
      <c r="BS18" s="660"/>
      <c r="BT18" s="660"/>
      <c r="BU18" s="660"/>
      <c r="BV18" s="660"/>
      <c r="BW18" s="955"/>
      <c r="BX18" s="660"/>
      <c r="BY18" s="660"/>
      <c r="BZ18" s="660"/>
      <c r="CA18" s="660"/>
      <c r="CB18" s="660"/>
      <c r="CC18" s="660"/>
      <c r="CD18" s="660"/>
      <c r="CE18" s="660"/>
      <c r="CF18" s="660"/>
      <c r="CG18" s="660"/>
      <c r="CH18" s="660"/>
      <c r="CI18" s="955"/>
    </row>
    <row r="19" spans="1:87" x14ac:dyDescent="0.25">
      <c r="A19" s="955" t="s">
        <v>788</v>
      </c>
      <c r="B19" s="659"/>
      <c r="C19" s="659"/>
      <c r="D19" s="659"/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963"/>
      <c r="P19" s="1250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963"/>
      <c r="AB19" s="659"/>
      <c r="AC19" s="659"/>
      <c r="AD19" s="659"/>
      <c r="AE19" s="659"/>
      <c r="AF19" s="659"/>
      <c r="AG19" s="659"/>
      <c r="AH19" s="659"/>
      <c r="AI19" s="659"/>
      <c r="AJ19" s="659"/>
      <c r="AK19" s="659"/>
      <c r="AL19" s="659"/>
      <c r="AM19" s="963"/>
      <c r="AN19" s="659"/>
      <c r="AO19" s="659"/>
      <c r="AP19" s="659"/>
      <c r="AQ19" s="659"/>
      <c r="AR19" s="959"/>
      <c r="AS19" s="959"/>
      <c r="AT19" s="959"/>
      <c r="AU19" s="959"/>
      <c r="AV19" s="959"/>
      <c r="AW19" s="959"/>
      <c r="AX19" s="959"/>
      <c r="AY19" s="1252"/>
      <c r="AZ19" s="959"/>
      <c r="BA19" s="1518" t="s">
        <v>790</v>
      </c>
      <c r="BB19" s="1524"/>
      <c r="BC19" s="959"/>
      <c r="BD19" s="959"/>
      <c r="BE19" s="959"/>
      <c r="BF19" s="965"/>
      <c r="BG19" s="965"/>
      <c r="BH19" s="965"/>
      <c r="BI19" s="659"/>
      <c r="BJ19" s="660"/>
      <c r="BK19" s="955"/>
      <c r="BL19" s="1248"/>
      <c r="BM19" s="660"/>
      <c r="BN19" s="660"/>
      <c r="BO19" s="660"/>
      <c r="BP19" s="660"/>
      <c r="BQ19" s="660"/>
      <c r="BR19" s="660"/>
      <c r="BS19" s="660"/>
      <c r="BT19" s="660"/>
      <c r="BU19" s="660"/>
      <c r="BV19" s="660"/>
      <c r="BW19" s="955"/>
      <c r="BX19" s="660"/>
      <c r="BY19" s="660"/>
      <c r="BZ19" s="660"/>
      <c r="CA19" s="660"/>
      <c r="CB19" s="660"/>
      <c r="CC19" s="660"/>
      <c r="CD19" s="660"/>
      <c r="CE19" s="660"/>
      <c r="CF19" s="660"/>
      <c r="CG19" s="660"/>
      <c r="CH19" s="660"/>
      <c r="CI19" s="955"/>
    </row>
    <row r="20" spans="1:87" x14ac:dyDescent="0.25">
      <c r="A20" s="953" t="s">
        <v>789</v>
      </c>
      <c r="B20" s="662"/>
      <c r="C20" s="662"/>
      <c r="D20" s="661"/>
      <c r="E20" s="661"/>
      <c r="F20" s="661"/>
      <c r="G20" s="661"/>
      <c r="H20" s="661"/>
      <c r="I20" s="661"/>
      <c r="J20" s="661"/>
      <c r="K20" s="661"/>
      <c r="L20" s="661"/>
      <c r="M20" s="661"/>
      <c r="N20" s="661"/>
      <c r="O20" s="966"/>
      <c r="P20" s="1253"/>
      <c r="Q20" s="661"/>
      <c r="R20" s="661"/>
      <c r="S20" s="661"/>
      <c r="T20" s="661"/>
      <c r="U20" s="661"/>
      <c r="V20" s="661"/>
      <c r="W20" s="661"/>
      <c r="X20" s="661"/>
      <c r="Y20" s="661"/>
      <c r="Z20" s="661"/>
      <c r="AA20" s="966"/>
      <c r="AB20" s="661"/>
      <c r="AC20" s="661"/>
      <c r="AD20" s="661"/>
      <c r="AE20" s="661"/>
      <c r="AF20" s="661"/>
      <c r="AG20" s="661"/>
      <c r="AH20" s="661"/>
      <c r="AI20" s="661"/>
      <c r="AJ20" s="661"/>
      <c r="AK20" s="661"/>
      <c r="AL20" s="661"/>
      <c r="AM20" s="966"/>
      <c r="AN20" s="661"/>
      <c r="AO20" s="661"/>
      <c r="AP20" s="661"/>
      <c r="AQ20" s="661"/>
      <c r="AR20" s="661"/>
      <c r="AS20" s="661"/>
      <c r="AT20" s="661"/>
      <c r="AU20" s="967"/>
      <c r="AV20" s="967"/>
      <c r="AW20" s="967"/>
      <c r="AX20" s="967"/>
      <c r="AY20" s="1254"/>
      <c r="AZ20" s="967"/>
      <c r="BA20" s="967"/>
      <c r="BB20" s="967"/>
      <c r="BC20" s="967"/>
      <c r="BD20" s="967"/>
      <c r="BE20" s="967"/>
      <c r="BF20" s="967"/>
      <c r="BG20" s="967"/>
      <c r="BH20" s="967"/>
      <c r="BI20" s="957"/>
      <c r="BJ20" s="957"/>
      <c r="BK20" s="1255"/>
      <c r="BL20" s="1256"/>
      <c r="BM20" s="661"/>
      <c r="BN20" s="662"/>
      <c r="BO20" s="662"/>
      <c r="BP20" s="662"/>
      <c r="BQ20" s="662"/>
      <c r="BR20" s="662"/>
      <c r="BS20" s="662"/>
      <c r="BT20" s="662"/>
      <c r="BU20" s="662"/>
      <c r="BV20" s="662"/>
      <c r="BW20" s="953"/>
      <c r="BX20" s="661"/>
      <c r="BY20" s="661"/>
      <c r="BZ20" s="662"/>
      <c r="CA20" s="662"/>
      <c r="CB20" s="662"/>
      <c r="CC20" s="662"/>
      <c r="CD20" s="662"/>
      <c r="CE20" s="662"/>
      <c r="CF20" s="662"/>
      <c r="CG20" s="662"/>
      <c r="CH20" s="662"/>
      <c r="CI20" s="953"/>
    </row>
    <row r="21" spans="1:87" x14ac:dyDescent="0.25">
      <c r="A21" s="955" t="s">
        <v>786</v>
      </c>
      <c r="B21" s="660"/>
      <c r="C21" s="660"/>
      <c r="D21" s="659"/>
      <c r="E21" s="659"/>
      <c r="F21" s="969"/>
      <c r="G21" s="659"/>
      <c r="H21" s="659"/>
      <c r="I21" s="659"/>
      <c r="J21" s="970"/>
      <c r="K21" s="659"/>
      <c r="L21" s="659"/>
      <c r="M21" s="659"/>
      <c r="N21" s="659"/>
      <c r="O21" s="963"/>
      <c r="P21" s="1250"/>
      <c r="Q21" s="659"/>
      <c r="R21" s="659"/>
      <c r="S21" s="659"/>
      <c r="T21" s="659"/>
      <c r="U21" s="659"/>
      <c r="V21" s="659"/>
      <c r="W21" s="659"/>
      <c r="X21" s="659"/>
      <c r="Y21" s="659"/>
      <c r="Z21" s="659"/>
      <c r="AA21" s="963"/>
      <c r="AB21" s="659"/>
      <c r="AC21" s="659"/>
      <c r="AD21" s="659"/>
      <c r="AE21" s="659"/>
      <c r="AF21" s="659"/>
      <c r="AG21" s="659"/>
      <c r="AH21" s="659"/>
      <c r="AI21" s="659"/>
      <c r="AJ21" s="659"/>
      <c r="AK21" s="659"/>
      <c r="AL21" s="659"/>
      <c r="AM21" s="963"/>
      <c r="AN21" s="659"/>
      <c r="AO21" s="659"/>
      <c r="AP21" s="958"/>
      <c r="AQ21" s="660"/>
      <c r="AR21" s="660"/>
      <c r="AS21" s="660"/>
      <c r="AT21" s="956"/>
      <c r="AU21" s="660"/>
      <c r="AV21" s="660"/>
      <c r="AW21" s="660"/>
      <c r="AX21" s="660"/>
      <c r="AY21" s="955"/>
      <c r="AZ21" s="660"/>
      <c r="BA21" s="660"/>
      <c r="BB21" s="660"/>
      <c r="BC21" s="660"/>
      <c r="BD21" s="660"/>
      <c r="BE21" s="660"/>
      <c r="BF21" s="660"/>
      <c r="BG21" s="660"/>
      <c r="BH21" s="660"/>
      <c r="BI21" s="660"/>
      <c r="BJ21" s="660"/>
      <c r="BK21" s="955"/>
      <c r="BL21" s="1248"/>
      <c r="BM21" s="660"/>
      <c r="BN21" s="660"/>
      <c r="BO21" s="660"/>
      <c r="BP21" s="660"/>
      <c r="BQ21" s="660"/>
      <c r="BR21" s="660"/>
      <c r="BS21" s="660"/>
      <c r="BT21" s="660"/>
      <c r="BU21" s="660"/>
      <c r="BV21" s="660"/>
      <c r="BW21" s="955"/>
      <c r="BX21" s="660"/>
      <c r="BY21" s="660"/>
      <c r="BZ21" s="660"/>
      <c r="CA21" s="660"/>
      <c r="CB21" s="660"/>
      <c r="CC21" s="660"/>
      <c r="CD21" s="660"/>
      <c r="CE21" s="660"/>
      <c r="CF21" s="660"/>
      <c r="CG21" s="660"/>
      <c r="CH21" s="660"/>
      <c r="CI21" s="955"/>
    </row>
    <row r="22" spans="1:87" x14ac:dyDescent="0.25">
      <c r="A22" s="955" t="s">
        <v>787</v>
      </c>
      <c r="B22" s="660"/>
      <c r="C22" s="660"/>
      <c r="D22" s="659"/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963"/>
      <c r="P22" s="1250"/>
      <c r="Q22" s="659"/>
      <c r="R22" s="659"/>
      <c r="S22" s="659"/>
      <c r="T22" s="659"/>
      <c r="U22" s="659"/>
      <c r="V22" s="659"/>
      <c r="W22" s="659"/>
      <c r="X22" s="659"/>
      <c r="Y22" s="659"/>
      <c r="Z22" s="659"/>
      <c r="AA22" s="963"/>
      <c r="AB22" s="659"/>
      <c r="AC22" s="659"/>
      <c r="AD22" s="659"/>
      <c r="AE22" s="659"/>
      <c r="AF22" s="659"/>
      <c r="AG22" s="659"/>
      <c r="AH22" s="659"/>
      <c r="AI22" s="659"/>
      <c r="AJ22" s="659"/>
      <c r="AK22" s="659"/>
      <c r="AL22" s="659"/>
      <c r="AM22" s="963"/>
      <c r="AN22" s="659"/>
      <c r="AO22" s="659"/>
      <c r="AP22" s="660"/>
      <c r="AQ22" s="960"/>
      <c r="AR22" s="960"/>
      <c r="AS22" s="660"/>
      <c r="AT22" s="660"/>
      <c r="AU22" s="660"/>
      <c r="AV22" s="660"/>
      <c r="AW22" s="660"/>
      <c r="AX22" s="660"/>
      <c r="AY22" s="955"/>
      <c r="AZ22" s="660"/>
      <c r="BA22" s="660"/>
      <c r="BB22" s="660"/>
      <c r="BC22" s="660"/>
      <c r="BD22" s="660"/>
      <c r="BE22" s="660"/>
      <c r="BF22" s="660"/>
      <c r="BG22" s="660"/>
      <c r="BH22" s="660"/>
      <c r="BI22" s="660"/>
      <c r="BJ22" s="660"/>
      <c r="BK22" s="955"/>
      <c r="BL22" s="1248"/>
      <c r="BM22" s="660"/>
      <c r="BN22" s="660"/>
      <c r="BO22" s="660"/>
      <c r="BP22" s="660"/>
      <c r="BQ22" s="660"/>
      <c r="BR22" s="660"/>
      <c r="BS22" s="660"/>
      <c r="BT22" s="660"/>
      <c r="BU22" s="660"/>
      <c r="BV22" s="660"/>
      <c r="BW22" s="955"/>
      <c r="BX22" s="660"/>
      <c r="BY22" s="660"/>
      <c r="BZ22" s="660"/>
      <c r="CA22" s="660"/>
      <c r="CB22" s="660"/>
      <c r="CC22" s="660"/>
      <c r="CD22" s="660"/>
      <c r="CE22" s="660"/>
      <c r="CF22" s="660"/>
      <c r="CG22" s="660"/>
      <c r="CH22" s="660"/>
      <c r="CI22" s="955"/>
    </row>
    <row r="23" spans="1:87" x14ac:dyDescent="0.25">
      <c r="A23" s="955" t="s">
        <v>596</v>
      </c>
      <c r="B23" s="659"/>
      <c r="C23" s="659"/>
      <c r="D23" s="659"/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963"/>
      <c r="P23" s="1250"/>
      <c r="Q23" s="659"/>
      <c r="R23" s="659"/>
      <c r="S23" s="659"/>
      <c r="T23" s="659"/>
      <c r="U23" s="659"/>
      <c r="V23" s="659"/>
      <c r="W23" s="659"/>
      <c r="X23" s="659"/>
      <c r="Y23" s="659"/>
      <c r="Z23" s="659"/>
      <c r="AA23" s="963"/>
      <c r="AB23" s="659"/>
      <c r="AC23" s="659"/>
      <c r="AD23" s="659"/>
      <c r="AE23" s="659"/>
      <c r="AF23" s="659"/>
      <c r="AG23" s="659"/>
      <c r="AH23" s="659"/>
      <c r="AI23" s="659"/>
      <c r="AJ23" s="659"/>
      <c r="AK23" s="659"/>
      <c r="AL23" s="659"/>
      <c r="AM23" s="963"/>
      <c r="AN23" s="659"/>
      <c r="AO23" s="659"/>
      <c r="AP23" s="659"/>
      <c r="AQ23" s="659"/>
      <c r="AR23" s="659"/>
      <c r="AS23" s="961"/>
      <c r="AT23" s="961"/>
      <c r="AU23" s="961"/>
      <c r="AV23" s="961"/>
      <c r="AW23" s="961"/>
      <c r="AX23" s="961"/>
      <c r="AY23" s="962"/>
      <c r="AZ23" s="961"/>
      <c r="BA23" s="961"/>
      <c r="BB23" s="961"/>
      <c r="BC23" s="961"/>
      <c r="BD23" s="961"/>
      <c r="BE23" s="961"/>
      <c r="BF23" s="961"/>
      <c r="BG23" s="961"/>
      <c r="BH23" s="660"/>
      <c r="BI23" s="660"/>
      <c r="BJ23" s="660"/>
      <c r="BK23" s="955"/>
      <c r="BL23" s="1248"/>
      <c r="BM23" s="660"/>
      <c r="BN23" s="660"/>
      <c r="BO23" s="660"/>
      <c r="BP23" s="660"/>
      <c r="BQ23" s="660"/>
      <c r="BR23" s="660"/>
      <c r="BS23" s="660"/>
      <c r="BT23" s="660"/>
      <c r="BU23" s="660"/>
      <c r="BV23" s="660"/>
      <c r="BW23" s="955"/>
      <c r="BX23" s="660"/>
      <c r="BY23" s="660"/>
      <c r="BZ23" s="660"/>
      <c r="CA23" s="660"/>
      <c r="CB23" s="660"/>
      <c r="CC23" s="660"/>
      <c r="CD23" s="660"/>
      <c r="CE23" s="660"/>
      <c r="CF23" s="660"/>
      <c r="CG23" s="660"/>
      <c r="CH23" s="660"/>
      <c r="CI23" s="955"/>
    </row>
    <row r="24" spans="1:87" x14ac:dyDescent="0.25">
      <c r="A24" s="955" t="s">
        <v>788</v>
      </c>
      <c r="B24" s="659"/>
      <c r="C24" s="659"/>
      <c r="D24" s="659"/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963"/>
      <c r="P24" s="1250"/>
      <c r="Q24" s="659"/>
      <c r="R24" s="659"/>
      <c r="S24" s="659"/>
      <c r="T24" s="659"/>
      <c r="U24" s="659"/>
      <c r="V24" s="659"/>
      <c r="W24" s="659"/>
      <c r="X24" s="659"/>
      <c r="Y24" s="659"/>
      <c r="Z24" s="659"/>
      <c r="AA24" s="963"/>
      <c r="AB24" s="659"/>
      <c r="AC24" s="659"/>
      <c r="AD24" s="659"/>
      <c r="AE24" s="659"/>
      <c r="AF24" s="659"/>
      <c r="AG24" s="659"/>
      <c r="AH24" s="659"/>
      <c r="AI24" s="659"/>
      <c r="AJ24" s="659"/>
      <c r="AK24" s="659"/>
      <c r="AL24" s="659"/>
      <c r="AM24" s="963"/>
      <c r="AN24" s="659"/>
      <c r="AO24" s="659"/>
      <c r="AP24" s="659"/>
      <c r="AQ24" s="659"/>
      <c r="AR24" s="659"/>
      <c r="AS24" s="659"/>
      <c r="AT24" s="659"/>
      <c r="AU24" s="659"/>
      <c r="AV24" s="659"/>
      <c r="AW24" s="659"/>
      <c r="AX24" s="659"/>
      <c r="AY24" s="963"/>
      <c r="AZ24" s="659"/>
      <c r="BA24" s="964"/>
      <c r="BB24" s="964"/>
      <c r="BC24" s="964"/>
      <c r="BD24" s="964"/>
      <c r="BE24" s="964"/>
      <c r="BF24" s="964"/>
      <c r="BG24" s="964"/>
      <c r="BH24" s="964"/>
      <c r="BI24" s="964"/>
      <c r="BJ24" s="964"/>
      <c r="BK24" s="1251"/>
      <c r="BL24" s="1257"/>
      <c r="BM24" s="964"/>
      <c r="BN24" s="964"/>
      <c r="BO24" s="965"/>
      <c r="BP24" s="965"/>
      <c r="BQ24" s="965"/>
      <c r="BR24" s="660"/>
      <c r="BS24" s="660"/>
      <c r="BT24" s="660"/>
      <c r="BU24" s="660"/>
      <c r="BV24" s="660"/>
      <c r="BW24" s="955"/>
      <c r="BX24" s="660"/>
      <c r="BY24" s="660"/>
      <c r="BZ24" s="660"/>
      <c r="CA24" s="660"/>
      <c r="CB24" s="660"/>
      <c r="CC24" s="660"/>
      <c r="CD24" s="660"/>
      <c r="CE24" s="660"/>
      <c r="CF24" s="660"/>
      <c r="CG24" s="660"/>
      <c r="CH24" s="660"/>
      <c r="CI24" s="955"/>
    </row>
    <row r="25" spans="1:87" x14ac:dyDescent="0.25">
      <c r="A25" s="955" t="s">
        <v>788</v>
      </c>
      <c r="B25" s="659"/>
      <c r="C25" s="659"/>
      <c r="D25" s="659"/>
      <c r="E25" s="659"/>
      <c r="F25" s="659"/>
      <c r="G25" s="659"/>
      <c r="H25" s="659"/>
      <c r="I25" s="659"/>
      <c r="J25" s="659"/>
      <c r="K25" s="659"/>
      <c r="L25" s="659"/>
      <c r="M25" s="659"/>
      <c r="N25" s="659"/>
      <c r="O25" s="963"/>
      <c r="P25" s="1250"/>
      <c r="Q25" s="659"/>
      <c r="R25" s="659"/>
      <c r="S25" s="659"/>
      <c r="T25" s="659"/>
      <c r="U25" s="659"/>
      <c r="V25" s="659"/>
      <c r="W25" s="659"/>
      <c r="X25" s="659"/>
      <c r="Y25" s="659"/>
      <c r="Z25" s="659"/>
      <c r="AA25" s="963"/>
      <c r="AB25" s="659"/>
      <c r="AC25" s="659"/>
      <c r="AD25" s="659"/>
      <c r="AE25" s="659"/>
      <c r="AF25" s="659"/>
      <c r="AG25" s="659"/>
      <c r="AH25" s="659"/>
      <c r="AI25" s="659"/>
      <c r="AJ25" s="659"/>
      <c r="AK25" s="659"/>
      <c r="AL25" s="659"/>
      <c r="AM25" s="963"/>
      <c r="AN25" s="659"/>
      <c r="AO25" s="659"/>
      <c r="AP25" s="659"/>
      <c r="AQ25" s="659"/>
      <c r="AR25" s="659"/>
      <c r="AS25" s="659"/>
      <c r="AT25" s="659"/>
      <c r="AU25" s="659"/>
      <c r="AV25" s="659"/>
      <c r="AW25" s="659"/>
      <c r="AX25" s="659"/>
      <c r="AY25" s="963"/>
      <c r="AZ25" s="659"/>
      <c r="BA25" s="659"/>
      <c r="BB25" s="659"/>
      <c r="BC25" s="659"/>
      <c r="BD25" s="959"/>
      <c r="BE25" s="959"/>
      <c r="BF25" s="959"/>
      <c r="BG25" s="959"/>
      <c r="BH25" s="959"/>
      <c r="BI25" s="959"/>
      <c r="BJ25" s="959"/>
      <c r="BK25" s="1252"/>
      <c r="BL25" s="1258"/>
      <c r="BM25" s="1518" t="s">
        <v>790</v>
      </c>
      <c r="BN25" s="1524"/>
      <c r="BO25" s="959"/>
      <c r="BP25" s="959"/>
      <c r="BQ25" s="959"/>
      <c r="BR25" s="965"/>
      <c r="BS25" s="965"/>
      <c r="BT25" s="965"/>
      <c r="BU25" s="659"/>
      <c r="BV25" s="660"/>
      <c r="BW25" s="955"/>
      <c r="BX25" s="660"/>
      <c r="BY25" s="660"/>
      <c r="BZ25" s="660"/>
      <c r="CA25" s="660"/>
      <c r="CB25" s="660"/>
      <c r="CC25" s="660"/>
      <c r="CD25" s="660"/>
      <c r="CE25" s="660"/>
      <c r="CF25" s="660"/>
      <c r="CG25" s="660"/>
      <c r="CH25" s="660"/>
      <c r="CI25" s="955"/>
    </row>
    <row r="26" spans="1:87" x14ac:dyDescent="0.25">
      <c r="A26" s="953" t="s">
        <v>789</v>
      </c>
      <c r="B26" s="662"/>
      <c r="C26" s="662"/>
      <c r="D26" s="661"/>
      <c r="E26" s="661"/>
      <c r="F26" s="661"/>
      <c r="G26" s="661"/>
      <c r="H26" s="661"/>
      <c r="I26" s="661"/>
      <c r="J26" s="661"/>
      <c r="K26" s="661"/>
      <c r="L26" s="661"/>
      <c r="M26" s="661"/>
      <c r="N26" s="661"/>
      <c r="O26" s="966"/>
      <c r="P26" s="1253"/>
      <c r="Q26" s="661"/>
      <c r="R26" s="661"/>
      <c r="S26" s="661"/>
      <c r="T26" s="661"/>
      <c r="U26" s="661"/>
      <c r="V26" s="661"/>
      <c r="W26" s="661"/>
      <c r="X26" s="661"/>
      <c r="Y26" s="661"/>
      <c r="Z26" s="661"/>
      <c r="AA26" s="966"/>
      <c r="AB26" s="661"/>
      <c r="AC26" s="661"/>
      <c r="AD26" s="661"/>
      <c r="AE26" s="661"/>
      <c r="AF26" s="661"/>
      <c r="AG26" s="661"/>
      <c r="AH26" s="661"/>
      <c r="AI26" s="661"/>
      <c r="AJ26" s="661"/>
      <c r="AK26" s="661"/>
      <c r="AL26" s="661"/>
      <c r="AM26" s="966"/>
      <c r="AN26" s="661"/>
      <c r="AO26" s="661"/>
      <c r="AP26" s="661"/>
      <c r="AQ26" s="661"/>
      <c r="AR26" s="661"/>
      <c r="AS26" s="661"/>
      <c r="AT26" s="661"/>
      <c r="AU26" s="661"/>
      <c r="AV26" s="661"/>
      <c r="AW26" s="661"/>
      <c r="AX26" s="661"/>
      <c r="AY26" s="966"/>
      <c r="AZ26" s="661"/>
      <c r="BA26" s="661"/>
      <c r="BB26" s="661"/>
      <c r="BC26" s="661"/>
      <c r="BD26" s="661"/>
      <c r="BE26" s="661"/>
      <c r="BF26" s="661"/>
      <c r="BG26" s="967"/>
      <c r="BH26" s="967"/>
      <c r="BI26" s="967"/>
      <c r="BJ26" s="967"/>
      <c r="BK26" s="1254"/>
      <c r="BL26" s="1259"/>
      <c r="BM26" s="967"/>
      <c r="BN26" s="967"/>
      <c r="BO26" s="967"/>
      <c r="BP26" s="967"/>
      <c r="BQ26" s="967"/>
      <c r="BR26" s="967"/>
      <c r="BS26" s="967"/>
      <c r="BT26" s="967"/>
      <c r="BU26" s="957"/>
      <c r="BV26" s="957"/>
      <c r="BW26" s="1255"/>
      <c r="BX26" s="957"/>
      <c r="BY26" s="661"/>
      <c r="BZ26" s="662"/>
      <c r="CA26" s="662"/>
      <c r="CB26" s="662"/>
      <c r="CC26" s="662"/>
      <c r="CD26" s="662"/>
      <c r="CE26" s="662"/>
      <c r="CF26" s="662"/>
      <c r="CG26" s="662"/>
      <c r="CH26" s="662"/>
      <c r="CI26" s="953"/>
    </row>
    <row r="27" spans="1:87" x14ac:dyDescent="0.25">
      <c r="A27" s="955" t="s">
        <v>786</v>
      </c>
      <c r="B27" s="660"/>
      <c r="C27" s="660"/>
      <c r="D27" s="659"/>
      <c r="E27" s="659"/>
      <c r="F27" s="969"/>
      <c r="G27" s="659"/>
      <c r="H27" s="659"/>
      <c r="I27" s="659"/>
      <c r="J27" s="970"/>
      <c r="K27" s="659"/>
      <c r="L27" s="659"/>
      <c r="M27" s="659"/>
      <c r="N27" s="659"/>
      <c r="O27" s="963"/>
      <c r="P27" s="1250"/>
      <c r="Q27" s="659"/>
      <c r="R27" s="659"/>
      <c r="S27" s="659"/>
      <c r="T27" s="659"/>
      <c r="U27" s="659"/>
      <c r="V27" s="659"/>
      <c r="W27" s="659"/>
      <c r="X27" s="659"/>
      <c r="Y27" s="659"/>
      <c r="Z27" s="659"/>
      <c r="AA27" s="963"/>
      <c r="AB27" s="659"/>
      <c r="AC27" s="659"/>
      <c r="AD27" s="659"/>
      <c r="AE27" s="659"/>
      <c r="AF27" s="659"/>
      <c r="AG27" s="659"/>
      <c r="AH27" s="659"/>
      <c r="AI27" s="659"/>
      <c r="AJ27" s="659"/>
      <c r="AK27" s="659"/>
      <c r="AL27" s="659"/>
      <c r="AM27" s="963"/>
      <c r="AN27" s="659"/>
      <c r="AO27" s="659"/>
      <c r="AP27" s="659"/>
      <c r="AQ27" s="659"/>
      <c r="AR27" s="659"/>
      <c r="AS27" s="659"/>
      <c r="AT27" s="659"/>
      <c r="AU27" s="659"/>
      <c r="AV27" s="659"/>
      <c r="AW27" s="659"/>
      <c r="AX27" s="659"/>
      <c r="AY27" s="963"/>
      <c r="AZ27" s="659"/>
      <c r="BA27" s="659"/>
      <c r="BB27" s="958"/>
      <c r="BC27" s="660"/>
      <c r="BD27" s="660"/>
      <c r="BE27" s="660"/>
      <c r="BF27" s="956"/>
      <c r="BG27" s="660"/>
      <c r="BH27" s="660"/>
      <c r="BI27" s="660"/>
      <c r="BJ27" s="660"/>
      <c r="BK27" s="955"/>
      <c r="BL27" s="1248"/>
      <c r="BM27" s="660"/>
      <c r="BN27" s="660"/>
      <c r="BO27" s="660"/>
      <c r="BP27" s="660"/>
      <c r="BQ27" s="660"/>
      <c r="BR27" s="660"/>
      <c r="BS27" s="660"/>
      <c r="BT27" s="660"/>
      <c r="BU27" s="660"/>
      <c r="BV27" s="660"/>
      <c r="BW27" s="955"/>
      <c r="BX27" s="660"/>
      <c r="BY27" s="660"/>
      <c r="BZ27" s="660"/>
      <c r="CA27" s="660"/>
      <c r="CB27" s="660"/>
      <c r="CC27" s="660"/>
      <c r="CD27" s="660"/>
      <c r="CE27" s="660"/>
      <c r="CF27" s="660"/>
      <c r="CG27" s="660"/>
      <c r="CH27" s="660"/>
      <c r="CI27" s="955"/>
    </row>
    <row r="28" spans="1:87" x14ac:dyDescent="0.25">
      <c r="A28" s="955" t="s">
        <v>787</v>
      </c>
      <c r="B28" s="660"/>
      <c r="C28" s="660"/>
      <c r="D28" s="659"/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963"/>
      <c r="P28" s="1250"/>
      <c r="Q28" s="659"/>
      <c r="R28" s="659"/>
      <c r="S28" s="659"/>
      <c r="T28" s="659"/>
      <c r="U28" s="659"/>
      <c r="V28" s="659"/>
      <c r="W28" s="659"/>
      <c r="X28" s="659"/>
      <c r="Y28" s="659"/>
      <c r="Z28" s="659"/>
      <c r="AA28" s="963"/>
      <c r="AB28" s="659"/>
      <c r="AC28" s="659"/>
      <c r="AD28" s="659"/>
      <c r="AE28" s="659"/>
      <c r="AF28" s="659"/>
      <c r="AG28" s="659"/>
      <c r="AH28" s="659"/>
      <c r="AI28" s="659"/>
      <c r="AJ28" s="659"/>
      <c r="AK28" s="659"/>
      <c r="AL28" s="659"/>
      <c r="AM28" s="963"/>
      <c r="AN28" s="659"/>
      <c r="AO28" s="659"/>
      <c r="AP28" s="659"/>
      <c r="AQ28" s="659"/>
      <c r="AR28" s="659"/>
      <c r="AS28" s="659"/>
      <c r="AT28" s="659"/>
      <c r="AU28" s="659"/>
      <c r="AV28" s="659"/>
      <c r="AW28" s="659"/>
      <c r="AX28" s="659"/>
      <c r="AY28" s="963"/>
      <c r="AZ28" s="659"/>
      <c r="BA28" s="659"/>
      <c r="BB28" s="660"/>
      <c r="BC28" s="960"/>
      <c r="BD28" s="960"/>
      <c r="BE28" s="660"/>
      <c r="BF28" s="660"/>
      <c r="BG28" s="660"/>
      <c r="BH28" s="660"/>
      <c r="BI28" s="660"/>
      <c r="BJ28" s="660"/>
      <c r="BK28" s="955"/>
      <c r="BL28" s="1248"/>
      <c r="BM28" s="660"/>
      <c r="BN28" s="660"/>
      <c r="BO28" s="660"/>
      <c r="BP28" s="660"/>
      <c r="BQ28" s="660"/>
      <c r="BR28" s="660"/>
      <c r="BS28" s="660"/>
      <c r="BT28" s="660"/>
      <c r="BU28" s="660"/>
      <c r="BV28" s="660"/>
      <c r="BW28" s="955"/>
      <c r="BX28" s="660"/>
      <c r="BY28" s="660"/>
      <c r="BZ28" s="660"/>
      <c r="CA28" s="660"/>
      <c r="CB28" s="660"/>
      <c r="CC28" s="660"/>
      <c r="CD28" s="660"/>
      <c r="CE28" s="660"/>
      <c r="CF28" s="660"/>
      <c r="CG28" s="660"/>
      <c r="CH28" s="660"/>
      <c r="CI28" s="955"/>
    </row>
    <row r="29" spans="1:87" x14ac:dyDescent="0.25">
      <c r="A29" s="955" t="s">
        <v>596</v>
      </c>
      <c r="B29" s="659"/>
      <c r="C29" s="659"/>
      <c r="D29" s="659"/>
      <c r="E29" s="659"/>
      <c r="F29" s="659"/>
      <c r="G29" s="659"/>
      <c r="H29" s="659"/>
      <c r="I29" s="659"/>
      <c r="J29" s="659"/>
      <c r="K29" s="659"/>
      <c r="L29" s="659"/>
      <c r="M29" s="659"/>
      <c r="N29" s="659"/>
      <c r="O29" s="963"/>
      <c r="P29" s="1250"/>
      <c r="Q29" s="659"/>
      <c r="R29" s="659"/>
      <c r="S29" s="659"/>
      <c r="T29" s="659"/>
      <c r="U29" s="659"/>
      <c r="V29" s="659"/>
      <c r="W29" s="659"/>
      <c r="X29" s="659"/>
      <c r="Y29" s="659"/>
      <c r="Z29" s="659"/>
      <c r="AA29" s="963"/>
      <c r="AB29" s="659"/>
      <c r="AC29" s="659"/>
      <c r="AD29" s="659"/>
      <c r="AE29" s="659"/>
      <c r="AF29" s="659"/>
      <c r="AG29" s="659"/>
      <c r="AH29" s="659"/>
      <c r="AI29" s="659"/>
      <c r="AJ29" s="659"/>
      <c r="AK29" s="659"/>
      <c r="AL29" s="659"/>
      <c r="AM29" s="963"/>
      <c r="AN29" s="659"/>
      <c r="AO29" s="659"/>
      <c r="AP29" s="659"/>
      <c r="AQ29" s="659"/>
      <c r="AR29" s="659"/>
      <c r="AS29" s="659"/>
      <c r="AT29" s="659"/>
      <c r="AU29" s="659"/>
      <c r="AV29" s="659"/>
      <c r="AW29" s="659"/>
      <c r="AX29" s="659"/>
      <c r="AY29" s="963"/>
      <c r="AZ29" s="659"/>
      <c r="BA29" s="659"/>
      <c r="BB29" s="659"/>
      <c r="BC29" s="659"/>
      <c r="BD29" s="659"/>
      <c r="BE29" s="961"/>
      <c r="BF29" s="961"/>
      <c r="BG29" s="961"/>
      <c r="BH29" s="961"/>
      <c r="BI29" s="961"/>
      <c r="BJ29" s="961"/>
      <c r="BK29" s="962"/>
      <c r="BL29" s="1249"/>
      <c r="BM29" s="961"/>
      <c r="BN29" s="961"/>
      <c r="BO29" s="961"/>
      <c r="BP29" s="961"/>
      <c r="BQ29" s="961"/>
      <c r="BR29" s="961"/>
      <c r="BS29" s="961"/>
      <c r="BT29" s="660"/>
      <c r="BU29" s="660"/>
      <c r="BV29" s="660"/>
      <c r="BW29" s="955"/>
      <c r="BX29" s="660"/>
      <c r="BY29" s="660"/>
      <c r="BZ29" s="660"/>
      <c r="CA29" s="660"/>
      <c r="CB29" s="660"/>
      <c r="CC29" s="660"/>
      <c r="CD29" s="660"/>
      <c r="CE29" s="660"/>
      <c r="CF29" s="660"/>
      <c r="CG29" s="660"/>
      <c r="CH29" s="660"/>
      <c r="CI29" s="955"/>
    </row>
    <row r="30" spans="1:87" x14ac:dyDescent="0.25">
      <c r="A30" s="955" t="s">
        <v>788</v>
      </c>
      <c r="B30" s="659"/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963"/>
      <c r="P30" s="1250"/>
      <c r="Q30" s="659"/>
      <c r="R30" s="659"/>
      <c r="S30" s="659"/>
      <c r="T30" s="659"/>
      <c r="U30" s="659"/>
      <c r="V30" s="659"/>
      <c r="W30" s="659"/>
      <c r="X30" s="659"/>
      <c r="Y30" s="659"/>
      <c r="Z30" s="659"/>
      <c r="AA30" s="963"/>
      <c r="AB30" s="659"/>
      <c r="AC30" s="659"/>
      <c r="AD30" s="659"/>
      <c r="AE30" s="659"/>
      <c r="AF30" s="659"/>
      <c r="AG30" s="659"/>
      <c r="AH30" s="659"/>
      <c r="AI30" s="659"/>
      <c r="AJ30" s="659"/>
      <c r="AK30" s="659"/>
      <c r="AL30" s="659"/>
      <c r="AM30" s="963"/>
      <c r="AN30" s="659"/>
      <c r="AO30" s="659"/>
      <c r="AP30" s="659"/>
      <c r="AQ30" s="659"/>
      <c r="AR30" s="659"/>
      <c r="AS30" s="659"/>
      <c r="AT30" s="659"/>
      <c r="AU30" s="659"/>
      <c r="AV30" s="659"/>
      <c r="AW30" s="659"/>
      <c r="AX30" s="659"/>
      <c r="AY30" s="963"/>
      <c r="AZ30" s="659"/>
      <c r="BA30" s="659"/>
      <c r="BB30" s="659"/>
      <c r="BC30" s="659"/>
      <c r="BD30" s="659"/>
      <c r="BE30" s="659"/>
      <c r="BF30" s="659"/>
      <c r="BG30" s="659"/>
      <c r="BH30" s="659"/>
      <c r="BI30" s="659"/>
      <c r="BJ30" s="659"/>
      <c r="BK30" s="963"/>
      <c r="BL30" s="1250"/>
      <c r="BM30" s="964"/>
      <c r="BN30" s="964"/>
      <c r="BO30" s="964"/>
      <c r="BP30" s="964"/>
      <c r="BQ30" s="964"/>
      <c r="BR30" s="964"/>
      <c r="BS30" s="964"/>
      <c r="BT30" s="964"/>
      <c r="BU30" s="964"/>
      <c r="BV30" s="964"/>
      <c r="BW30" s="1251"/>
      <c r="BX30" s="964"/>
      <c r="BY30" s="964"/>
      <c r="BZ30" s="964"/>
      <c r="CA30" s="965"/>
      <c r="CB30" s="965"/>
      <c r="CC30" s="965"/>
      <c r="CD30" s="660"/>
      <c r="CE30" s="660"/>
      <c r="CF30" s="660"/>
      <c r="CG30" s="660"/>
      <c r="CH30" s="660"/>
      <c r="CI30" s="955"/>
    </row>
    <row r="31" spans="1:87" x14ac:dyDescent="0.25">
      <c r="A31" s="955" t="s">
        <v>788</v>
      </c>
      <c r="B31" s="659"/>
      <c r="C31" s="659"/>
      <c r="D31" s="659"/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963"/>
      <c r="P31" s="1250"/>
      <c r="Q31" s="659"/>
      <c r="R31" s="659"/>
      <c r="S31" s="659"/>
      <c r="T31" s="659"/>
      <c r="U31" s="659"/>
      <c r="V31" s="659"/>
      <c r="W31" s="659"/>
      <c r="X31" s="659"/>
      <c r="Y31" s="659"/>
      <c r="Z31" s="659"/>
      <c r="AA31" s="963"/>
      <c r="AB31" s="659"/>
      <c r="AC31" s="659"/>
      <c r="AD31" s="659"/>
      <c r="AE31" s="659"/>
      <c r="AF31" s="659"/>
      <c r="AG31" s="659"/>
      <c r="AH31" s="659"/>
      <c r="AI31" s="659"/>
      <c r="AJ31" s="659"/>
      <c r="AK31" s="659"/>
      <c r="AL31" s="659"/>
      <c r="AM31" s="963"/>
      <c r="AN31" s="659"/>
      <c r="AO31" s="659"/>
      <c r="AP31" s="659"/>
      <c r="AQ31" s="659"/>
      <c r="AR31" s="659"/>
      <c r="AS31" s="659"/>
      <c r="AT31" s="659"/>
      <c r="AU31" s="659"/>
      <c r="AV31" s="659"/>
      <c r="AW31" s="659"/>
      <c r="AX31" s="659"/>
      <c r="AY31" s="963"/>
      <c r="AZ31" s="659"/>
      <c r="BA31" s="659"/>
      <c r="BB31" s="659"/>
      <c r="BC31" s="659"/>
      <c r="BD31" s="659"/>
      <c r="BE31" s="659"/>
      <c r="BF31" s="659"/>
      <c r="BG31" s="659"/>
      <c r="BH31" s="659"/>
      <c r="BI31" s="659"/>
      <c r="BJ31" s="659"/>
      <c r="BK31" s="963"/>
      <c r="BL31" s="1250"/>
      <c r="BM31" s="659"/>
      <c r="BN31" s="659"/>
      <c r="BO31" s="659"/>
      <c r="BP31" s="959"/>
      <c r="BQ31" s="959"/>
      <c r="BR31" s="959"/>
      <c r="BS31" s="959"/>
      <c r="BT31" s="959"/>
      <c r="BU31" s="959"/>
      <c r="BV31" s="959"/>
      <c r="BW31" s="1252"/>
      <c r="BX31" s="959"/>
      <c r="BY31" s="1518" t="s">
        <v>790</v>
      </c>
      <c r="BZ31" s="1519"/>
      <c r="CA31" s="959"/>
      <c r="CB31" s="959"/>
      <c r="CC31" s="959"/>
      <c r="CD31" s="965"/>
      <c r="CE31" s="965"/>
      <c r="CF31" s="965"/>
      <c r="CG31" s="659"/>
      <c r="CH31" s="660"/>
      <c r="CI31" s="955"/>
    </row>
    <row r="32" spans="1:87" x14ac:dyDescent="0.25">
      <c r="A32" s="953" t="s">
        <v>789</v>
      </c>
      <c r="B32" s="662"/>
      <c r="C32" s="662"/>
      <c r="D32" s="661"/>
      <c r="E32" s="661"/>
      <c r="F32" s="661"/>
      <c r="G32" s="661"/>
      <c r="H32" s="661"/>
      <c r="I32" s="661"/>
      <c r="J32" s="661"/>
      <c r="K32" s="661"/>
      <c r="L32" s="661"/>
      <c r="M32" s="661"/>
      <c r="N32" s="661"/>
      <c r="O32" s="966"/>
      <c r="P32" s="1253"/>
      <c r="Q32" s="661"/>
      <c r="R32" s="661"/>
      <c r="S32" s="661"/>
      <c r="T32" s="661"/>
      <c r="U32" s="661"/>
      <c r="V32" s="661"/>
      <c r="W32" s="661"/>
      <c r="X32" s="661"/>
      <c r="Y32" s="661"/>
      <c r="Z32" s="661"/>
      <c r="AA32" s="966"/>
      <c r="AB32" s="661"/>
      <c r="AC32" s="661"/>
      <c r="AD32" s="661"/>
      <c r="AE32" s="661"/>
      <c r="AF32" s="661"/>
      <c r="AG32" s="661"/>
      <c r="AH32" s="661"/>
      <c r="AI32" s="661"/>
      <c r="AJ32" s="661"/>
      <c r="AK32" s="661"/>
      <c r="AL32" s="661"/>
      <c r="AM32" s="966"/>
      <c r="AN32" s="661"/>
      <c r="AO32" s="661"/>
      <c r="AP32" s="661"/>
      <c r="AQ32" s="661"/>
      <c r="AR32" s="661"/>
      <c r="AS32" s="661"/>
      <c r="AT32" s="661"/>
      <c r="AU32" s="661"/>
      <c r="AV32" s="661"/>
      <c r="AW32" s="661"/>
      <c r="AX32" s="661"/>
      <c r="AY32" s="966"/>
      <c r="AZ32" s="661"/>
      <c r="BA32" s="661"/>
      <c r="BB32" s="661"/>
      <c r="BC32" s="661"/>
      <c r="BD32" s="661"/>
      <c r="BE32" s="661"/>
      <c r="BF32" s="661"/>
      <c r="BG32" s="661"/>
      <c r="BH32" s="661"/>
      <c r="BI32" s="661"/>
      <c r="BJ32" s="661"/>
      <c r="BK32" s="966"/>
      <c r="BL32" s="1253"/>
      <c r="BM32" s="661"/>
      <c r="BN32" s="661"/>
      <c r="BO32" s="661"/>
      <c r="BP32" s="661"/>
      <c r="BQ32" s="661"/>
      <c r="BR32" s="661"/>
      <c r="BS32" s="967"/>
      <c r="BT32" s="967"/>
      <c r="BU32" s="967"/>
      <c r="BV32" s="967"/>
      <c r="BW32" s="1254"/>
      <c r="BX32" s="967"/>
      <c r="BY32" s="967"/>
      <c r="BZ32" s="967"/>
      <c r="CA32" s="967"/>
      <c r="CB32" s="967"/>
      <c r="CC32" s="967"/>
      <c r="CD32" s="967"/>
      <c r="CE32" s="967"/>
      <c r="CF32" s="967"/>
      <c r="CG32" s="957"/>
      <c r="CH32" s="957"/>
      <c r="CI32" s="957"/>
    </row>
  </sheetData>
  <mergeCells count="12">
    <mergeCell ref="BY31:BZ31"/>
    <mergeCell ref="D1:O1"/>
    <mergeCell ref="P1:AA1"/>
    <mergeCell ref="AB1:AM1"/>
    <mergeCell ref="AN1:AY1"/>
    <mergeCell ref="AZ1:BK1"/>
    <mergeCell ref="BL1:BW1"/>
    <mergeCell ref="BX1:CI1"/>
    <mergeCell ref="AC7:AD7"/>
    <mergeCell ref="AO13:AP13"/>
    <mergeCell ref="BA19:BB19"/>
    <mergeCell ref="BM25:BN2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4"/>
  <sheetViews>
    <sheetView workbookViewId="0">
      <selection activeCell="F12" sqref="F12"/>
    </sheetView>
  </sheetViews>
  <sheetFormatPr defaultColWidth="9.140625" defaultRowHeight="15" x14ac:dyDescent="0.25"/>
  <cols>
    <col min="1" max="1" width="12.85546875" style="988" customWidth="1"/>
    <col min="2" max="2" width="78.42578125" customWidth="1"/>
    <col min="3" max="3" width="6.7109375" customWidth="1"/>
    <col min="4" max="5" width="13.5703125" customWidth="1"/>
    <col min="6" max="6" width="24" style="989" customWidth="1"/>
  </cols>
  <sheetData>
    <row r="1" spans="1:6" x14ac:dyDescent="0.25">
      <c r="A1" s="990" t="s">
        <v>791</v>
      </c>
      <c r="B1" s="991" t="s">
        <v>792</v>
      </c>
      <c r="C1" s="992" t="s">
        <v>793</v>
      </c>
      <c r="D1" s="993" t="s">
        <v>794</v>
      </c>
      <c r="E1" s="1246" t="s">
        <v>205</v>
      </c>
      <c r="F1" s="1012" t="s">
        <v>795</v>
      </c>
    </row>
    <row r="2" spans="1:6" x14ac:dyDescent="0.25">
      <c r="A2" s="973"/>
      <c r="C2" s="974"/>
      <c r="D2" s="974"/>
      <c r="F2" s="975"/>
    </row>
    <row r="3" spans="1:6" x14ac:dyDescent="0.25">
      <c r="A3" s="973"/>
      <c r="B3" s="976" t="s">
        <v>796</v>
      </c>
      <c r="C3" s="974"/>
      <c r="D3" s="974"/>
      <c r="F3" s="975"/>
    </row>
    <row r="4" spans="1:6" x14ac:dyDescent="0.25">
      <c r="A4" s="977"/>
      <c r="B4" s="978"/>
      <c r="D4" s="974"/>
      <c r="F4" s="975"/>
    </row>
    <row r="5" spans="1:6" x14ac:dyDescent="0.25">
      <c r="A5" s="974">
        <v>1</v>
      </c>
      <c r="B5" s="979" t="s">
        <v>589</v>
      </c>
      <c r="C5" s="974"/>
      <c r="D5" s="974"/>
      <c r="F5" s="980">
        <f>'1. Pre-development'!F15</f>
        <v>855731.41490065644</v>
      </c>
    </row>
    <row r="6" spans="1:6" x14ac:dyDescent="0.25">
      <c r="A6" s="974">
        <v>2</v>
      </c>
      <c r="B6" s="979" t="s">
        <v>590</v>
      </c>
      <c r="C6" s="974"/>
      <c r="D6" s="974"/>
      <c r="F6" s="980">
        <f>'2. Land'!F18</f>
        <v>10000000</v>
      </c>
    </row>
    <row r="7" spans="1:6" x14ac:dyDescent="0.25">
      <c r="A7" s="974">
        <v>3</v>
      </c>
      <c r="B7" s="979" t="s">
        <v>591</v>
      </c>
      <c r="C7" s="974"/>
      <c r="D7" s="974"/>
      <c r="F7" s="980">
        <f>'3. Infrastructure'!F50</f>
        <v>2532000</v>
      </c>
    </row>
    <row r="8" spans="1:6" x14ac:dyDescent="0.25">
      <c r="A8" s="974">
        <v>4</v>
      </c>
      <c r="B8" s="979" t="s">
        <v>65</v>
      </c>
      <c r="C8" s="974"/>
      <c r="D8" s="974"/>
      <c r="F8" s="980">
        <f>'4. Buildings'!F88</f>
        <v>32653050</v>
      </c>
    </row>
    <row r="9" spans="1:6" x14ac:dyDescent="0.25">
      <c r="A9" s="974">
        <v>5</v>
      </c>
      <c r="B9" s="979" t="s">
        <v>522</v>
      </c>
      <c r="C9" s="974"/>
      <c r="D9" s="974"/>
      <c r="F9" s="980">
        <f>'5. Services'!F52</f>
        <v>4159750</v>
      </c>
    </row>
    <row r="10" spans="1:6" x14ac:dyDescent="0.25">
      <c r="A10" s="974">
        <v>6</v>
      </c>
      <c r="B10" s="979" t="s">
        <v>797</v>
      </c>
      <c r="C10" s="974"/>
      <c r="D10" s="974"/>
      <c r="F10" s="980">
        <f>'6. Aquaculture systems - Hatch'!F61</f>
        <v>8164190.9933770886</v>
      </c>
    </row>
    <row r="11" spans="1:6" x14ac:dyDescent="0.25">
      <c r="A11" s="974">
        <v>7</v>
      </c>
      <c r="B11" s="979" t="s">
        <v>798</v>
      </c>
      <c r="C11" s="974"/>
      <c r="D11" s="974"/>
      <c r="F11" s="980">
        <f>'7. Aquaculture systems - Cages'!F18</f>
        <v>12071770</v>
      </c>
    </row>
    <row r="12" spans="1:6" x14ac:dyDescent="0.25">
      <c r="A12" s="974">
        <v>8</v>
      </c>
      <c r="B12" s="979" t="s">
        <v>592</v>
      </c>
      <c r="C12" s="974"/>
      <c r="D12" s="974"/>
      <c r="F12" s="980">
        <f>'8. Vehicles'!F14</f>
        <v>26982500</v>
      </c>
    </row>
    <row r="13" spans="1:6" x14ac:dyDescent="0.25">
      <c r="A13" s="974">
        <v>9</v>
      </c>
      <c r="B13" s="979" t="s">
        <v>799</v>
      </c>
      <c r="C13" s="974"/>
      <c r="D13" s="974"/>
      <c r="F13" s="980">
        <f>'9. Transport and logistics'!F9</f>
        <v>1000000</v>
      </c>
    </row>
    <row r="14" spans="1:6" x14ac:dyDescent="0.25">
      <c r="A14" s="974">
        <v>10</v>
      </c>
      <c r="B14" s="979" t="s">
        <v>594</v>
      </c>
      <c r="C14" s="974"/>
      <c r="D14" s="974"/>
      <c r="F14" s="980">
        <f>'10. Professional Fees'!F19</f>
        <v>8808610.9043045957</v>
      </c>
    </row>
    <row r="15" spans="1:6" x14ac:dyDescent="0.25">
      <c r="A15" s="974">
        <v>11</v>
      </c>
      <c r="B15" s="979" t="s">
        <v>354</v>
      </c>
      <c r="C15" s="974"/>
      <c r="D15" s="974"/>
      <c r="F15" s="980">
        <f>'11. Contingency'!F8</f>
        <v>5361380.1656291177</v>
      </c>
    </row>
    <row r="16" spans="1:6" x14ac:dyDescent="0.25">
      <c r="A16" s="974"/>
      <c r="B16" s="979"/>
      <c r="C16" s="974"/>
      <c r="D16" s="974"/>
      <c r="F16" s="981"/>
    </row>
    <row r="17" spans="1:6" x14ac:dyDescent="0.25">
      <c r="A17" s="974"/>
      <c r="B17" s="1122" t="s">
        <v>800</v>
      </c>
      <c r="C17" s="974"/>
      <c r="D17" s="974"/>
      <c r="F17" s="975">
        <f>F23-(F15+F14)</f>
        <v>98418992.40827775</v>
      </c>
    </row>
    <row r="18" spans="1:6" x14ac:dyDescent="0.25">
      <c r="A18" s="973"/>
      <c r="B18" s="1122" t="s">
        <v>801</v>
      </c>
      <c r="C18" s="974"/>
      <c r="D18" s="974"/>
      <c r="F18" s="975">
        <f>F14</f>
        <v>8808610.9043045957</v>
      </c>
    </row>
    <row r="19" spans="1:6" x14ac:dyDescent="0.25">
      <c r="A19" s="973"/>
      <c r="B19" s="1122" t="s">
        <v>802</v>
      </c>
      <c r="C19" s="974"/>
      <c r="D19" s="974"/>
      <c r="F19" s="982">
        <f>F18/F17</f>
        <v>8.9501128682188458E-2</v>
      </c>
    </row>
    <row r="20" spans="1:6" x14ac:dyDescent="0.25">
      <c r="A20" s="973"/>
      <c r="C20" s="974"/>
      <c r="D20" s="974"/>
      <c r="F20" s="975"/>
    </row>
    <row r="21" spans="1:6" x14ac:dyDescent="0.25">
      <c r="A21" s="973"/>
      <c r="C21" s="974"/>
      <c r="D21" s="974"/>
      <c r="F21" s="975"/>
    </row>
    <row r="22" spans="1:6" x14ac:dyDescent="0.25">
      <c r="A22" s="973"/>
      <c r="C22" s="974"/>
      <c r="D22" s="974"/>
      <c r="F22" s="975"/>
    </row>
    <row r="23" spans="1:6" ht="16.5" thickBot="1" x14ac:dyDescent="0.3">
      <c r="A23" s="983"/>
      <c r="B23" s="984" t="s">
        <v>678</v>
      </c>
      <c r="C23" s="985"/>
      <c r="D23" s="985"/>
      <c r="E23" s="986"/>
      <c r="F23" s="987">
        <f>SUM(F5:F15)</f>
        <v>112588983.47821146</v>
      </c>
    </row>
    <row r="24" spans="1:6" ht="15.75" thickTop="1" x14ac:dyDescent="0.25">
      <c r="A24"/>
      <c r="F2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R106"/>
  <sheetViews>
    <sheetView workbookViewId="0">
      <selection activeCell="L4" sqref="L4"/>
    </sheetView>
  </sheetViews>
  <sheetFormatPr defaultColWidth="8.85546875" defaultRowHeight="12.75" x14ac:dyDescent="0.2"/>
  <cols>
    <col min="1" max="1" width="1.42578125" style="2" customWidth="1"/>
    <col min="2" max="2" width="36.7109375" style="2" customWidth="1"/>
    <col min="3" max="3" width="13.28515625" style="2" customWidth="1"/>
    <col min="4" max="13" width="12.7109375" style="2" customWidth="1"/>
    <col min="14" max="18" width="12.5703125" style="2" customWidth="1"/>
    <col min="19" max="16384" width="8.85546875" style="2"/>
  </cols>
  <sheetData>
    <row r="1" spans="1:13" ht="34.5" customHeight="1" x14ac:dyDescent="0.2">
      <c r="A1" s="207" t="s">
        <v>1403</v>
      </c>
      <c r="B1" s="203" t="s">
        <v>1457</v>
      </c>
      <c r="C1" s="155"/>
      <c r="D1" s="155"/>
      <c r="E1" s="155"/>
      <c r="F1" s="155"/>
      <c r="G1" s="155"/>
    </row>
    <row r="2" spans="1:13" s="3" customFormat="1" ht="20.100000000000001" customHeight="1" x14ac:dyDescent="0.2">
      <c r="B2" s="1260"/>
      <c r="C2" s="1261"/>
      <c r="D2" s="1262"/>
      <c r="E2" s="1262"/>
      <c r="F2" s="1262"/>
      <c r="G2" s="1262"/>
      <c r="H2" s="1264"/>
      <c r="I2" s="1264"/>
      <c r="J2" s="1263"/>
      <c r="K2" s="1265"/>
      <c r="L2" s="1265"/>
    </row>
    <row r="3" spans="1:13" s="32" customFormat="1" ht="20.100000000000001" customHeight="1" x14ac:dyDescent="0.25">
      <c r="B3" s="1407"/>
      <c r="C3" s="1407"/>
      <c r="D3" s="1326"/>
      <c r="E3" s="1403"/>
      <c r="F3" s="1382"/>
      <c r="G3" s="1382"/>
      <c r="H3" s="57"/>
      <c r="I3" s="57"/>
      <c r="J3" s="57"/>
      <c r="K3" s="57"/>
      <c r="L3" s="57"/>
      <c r="M3" s="57"/>
    </row>
    <row r="4" spans="1:13" s="32" customFormat="1" ht="20.100000000000001" customHeight="1" x14ac:dyDescent="0.25">
      <c r="B4" s="1407"/>
      <c r="C4" s="1407"/>
      <c r="D4" s="1326"/>
      <c r="E4" s="1403"/>
      <c r="F4" s="1382"/>
      <c r="G4" s="1382"/>
      <c r="H4" s="57"/>
      <c r="I4" s="57"/>
      <c r="J4" s="57"/>
      <c r="K4" s="57"/>
      <c r="L4" s="57"/>
      <c r="M4" s="57"/>
    </row>
    <row r="5" spans="1:13" s="1330" customFormat="1" ht="20.100000000000001" customHeight="1" x14ac:dyDescent="0.25">
      <c r="B5" s="1407"/>
      <c r="C5" s="1407"/>
      <c r="D5" s="1408"/>
      <c r="E5" s="1408"/>
      <c r="F5" s="1408"/>
      <c r="G5" s="1408"/>
      <c r="H5" s="1408"/>
      <c r="I5" s="1408"/>
      <c r="J5" s="1408"/>
      <c r="K5" s="1408"/>
      <c r="L5" s="1408"/>
      <c r="M5" s="1408"/>
    </row>
    <row r="6" spans="1:13" s="32" customFormat="1" ht="20.100000000000001" customHeight="1" x14ac:dyDescent="0.3">
      <c r="B6" s="1331"/>
      <c r="C6" s="1332"/>
      <c r="D6" s="1333"/>
      <c r="E6" s="1333"/>
      <c r="F6" s="1333"/>
      <c r="G6" s="1333"/>
      <c r="H6" s="1333"/>
      <c r="I6" s="1333"/>
      <c r="J6" s="1333"/>
      <c r="K6" s="1333"/>
      <c r="L6" s="1333"/>
      <c r="M6" s="1333"/>
    </row>
    <row r="7" spans="1:13" s="1334" customFormat="1" ht="20.100000000000001" customHeight="1" x14ac:dyDescent="0.3">
      <c r="B7" s="1335"/>
      <c r="C7" s="1336"/>
      <c r="D7" s="262"/>
      <c r="E7" s="262"/>
      <c r="F7" s="262"/>
      <c r="G7" s="262"/>
      <c r="H7" s="262"/>
      <c r="I7" s="262"/>
      <c r="J7" s="262"/>
      <c r="K7" s="262"/>
      <c r="L7" s="262"/>
      <c r="M7" s="262"/>
    </row>
    <row r="8" spans="1:13" s="32" customFormat="1" ht="20.100000000000001" customHeight="1" x14ac:dyDescent="0.25">
      <c r="B8" s="1337"/>
      <c r="C8" s="1338"/>
      <c r="D8" s="1339"/>
      <c r="E8" s="1339"/>
      <c r="F8" s="1339"/>
      <c r="G8" s="1339"/>
      <c r="H8" s="1339"/>
      <c r="I8" s="1339"/>
      <c r="J8" s="1339"/>
      <c r="K8" s="1339"/>
      <c r="L8" s="1339"/>
      <c r="M8" s="1339"/>
    </row>
    <row r="9" spans="1:13" s="32" customFormat="1" ht="20.100000000000001" customHeight="1" x14ac:dyDescent="0.25">
      <c r="B9" s="1337"/>
      <c r="C9" s="1336"/>
      <c r="D9" s="1339"/>
      <c r="E9" s="1339"/>
      <c r="F9" s="1339"/>
      <c r="G9" s="1339"/>
      <c r="H9" s="1339"/>
      <c r="I9" s="1339"/>
      <c r="J9" s="1339"/>
      <c r="K9" s="1339"/>
      <c r="L9" s="1339"/>
      <c r="M9" s="1339"/>
    </row>
    <row r="10" spans="1:13" s="32" customFormat="1" ht="20.100000000000001" customHeight="1" x14ac:dyDescent="0.25">
      <c r="B10" s="1337"/>
      <c r="C10" s="1336"/>
      <c r="D10" s="1339"/>
      <c r="E10" s="1339"/>
      <c r="F10" s="1339"/>
      <c r="G10" s="1339"/>
      <c r="H10" s="1339"/>
      <c r="I10" s="1339"/>
      <c r="J10" s="1339"/>
      <c r="K10" s="1339"/>
      <c r="L10" s="1339"/>
      <c r="M10" s="1339"/>
    </row>
    <row r="11" spans="1:13" s="32" customFormat="1" ht="20.100000000000001" customHeight="1" x14ac:dyDescent="0.25">
      <c r="B11" s="1337"/>
      <c r="C11" s="1336"/>
      <c r="D11" s="1339"/>
      <c r="E11" s="1339"/>
      <c r="F11" s="1339"/>
      <c r="G11" s="1339"/>
      <c r="H11" s="1339"/>
      <c r="I11" s="1339"/>
      <c r="J11" s="1339"/>
      <c r="K11" s="1339"/>
      <c r="L11" s="1339"/>
      <c r="M11" s="1339"/>
    </row>
    <row r="12" spans="1:13" s="1334" customFormat="1" ht="20.100000000000001" customHeight="1" x14ac:dyDescent="0.3">
      <c r="B12" s="261"/>
      <c r="C12" s="1340"/>
      <c r="D12" s="262"/>
      <c r="E12" s="262"/>
      <c r="F12" s="262"/>
      <c r="G12" s="262"/>
      <c r="H12" s="262"/>
      <c r="I12" s="262"/>
      <c r="J12" s="262"/>
      <c r="K12" s="262"/>
      <c r="L12" s="262"/>
      <c r="M12" s="262"/>
    </row>
    <row r="13" spans="1:13" s="32" customFormat="1" ht="20.100000000000001" customHeight="1" x14ac:dyDescent="0.25">
      <c r="B13" s="1337"/>
      <c r="C13" s="1336"/>
      <c r="D13" s="1339"/>
      <c r="E13" s="1339"/>
      <c r="F13" s="1339"/>
      <c r="G13" s="1339"/>
      <c r="H13" s="1339"/>
      <c r="I13" s="1339"/>
      <c r="J13" s="1339"/>
      <c r="K13" s="1339"/>
      <c r="L13" s="1339"/>
      <c r="M13" s="1339"/>
    </row>
    <row r="14" spans="1:13" s="32" customFormat="1" ht="20.100000000000001" customHeight="1" x14ac:dyDescent="0.25">
      <c r="B14" s="1337"/>
      <c r="C14" s="1336"/>
      <c r="D14" s="1339"/>
      <c r="E14" s="1339"/>
      <c r="F14" s="1339"/>
      <c r="G14" s="1339"/>
      <c r="H14" s="1339"/>
      <c r="I14" s="1339"/>
      <c r="J14" s="1339"/>
      <c r="K14" s="1339"/>
      <c r="L14" s="1339"/>
      <c r="M14" s="1339"/>
    </row>
    <row r="15" spans="1:13" s="32" customFormat="1" ht="20.100000000000001" customHeight="1" x14ac:dyDescent="0.25">
      <c r="B15" s="1337"/>
      <c r="C15" s="1336"/>
      <c r="D15" s="1339"/>
      <c r="E15" s="1339"/>
      <c r="F15" s="1339"/>
      <c r="G15" s="1339"/>
      <c r="H15" s="1339"/>
      <c r="I15" s="1339"/>
      <c r="J15" s="1339"/>
      <c r="K15" s="1339"/>
      <c r="L15" s="1339"/>
      <c r="M15" s="1339"/>
    </row>
    <row r="16" spans="1:13" s="1334" customFormat="1" ht="20.100000000000001" customHeight="1" x14ac:dyDescent="0.3">
      <c r="B16" s="1335"/>
      <c r="C16" s="1336"/>
      <c r="D16" s="1341"/>
      <c r="E16" s="1341"/>
      <c r="F16" s="1341"/>
      <c r="G16" s="1341"/>
      <c r="H16" s="1341"/>
      <c r="I16" s="1341"/>
      <c r="J16" s="1341"/>
      <c r="K16" s="1341"/>
      <c r="L16" s="1341"/>
      <c r="M16" s="1341"/>
    </row>
    <row r="17" spans="2:18" s="32" customFormat="1" ht="20.100000000000001" customHeight="1" x14ac:dyDescent="0.25">
      <c r="B17" s="1337"/>
      <c r="C17" s="1336"/>
      <c r="D17" s="1339"/>
      <c r="E17" s="1339"/>
      <c r="F17" s="1339"/>
      <c r="G17" s="1339"/>
      <c r="H17" s="1339"/>
      <c r="I17" s="1339"/>
      <c r="J17" s="1339"/>
      <c r="K17" s="1339"/>
      <c r="L17" s="1339"/>
      <c r="M17" s="1339"/>
    </row>
    <row r="18" spans="2:18" s="1334" customFormat="1" ht="20.100000000000001" customHeight="1" x14ac:dyDescent="0.3">
      <c r="B18" s="1335"/>
      <c r="C18" s="1336"/>
      <c r="D18" s="262"/>
      <c r="E18" s="262"/>
      <c r="F18" s="262"/>
      <c r="G18" s="262"/>
      <c r="H18" s="262"/>
      <c r="I18" s="262"/>
      <c r="J18" s="262"/>
      <c r="K18" s="262"/>
      <c r="L18" s="262"/>
      <c r="M18" s="262"/>
    </row>
    <row r="19" spans="2:18" ht="20.100000000000001" customHeight="1" x14ac:dyDescent="0.2"/>
    <row r="20" spans="2:18" ht="20.100000000000001" customHeight="1" thickBot="1" x14ac:dyDescent="0.25"/>
    <row r="21" spans="2:18" s="6" customFormat="1" ht="27" customHeight="1" thickBot="1" x14ac:dyDescent="0.35">
      <c r="B21" s="101"/>
      <c r="C21" s="150"/>
      <c r="D21" s="102">
        <v>0</v>
      </c>
      <c r="E21" s="102">
        <v>250</v>
      </c>
      <c r="F21" s="102">
        <v>500</v>
      </c>
      <c r="G21" s="102">
        <v>750</v>
      </c>
      <c r="H21" s="102">
        <v>1000</v>
      </c>
      <c r="I21" s="102">
        <v>1250</v>
      </c>
      <c r="J21" s="102">
        <v>1500</v>
      </c>
      <c r="K21" s="102">
        <v>1750</v>
      </c>
      <c r="L21" s="1377">
        <v>2000</v>
      </c>
      <c r="M21" s="102">
        <v>2250</v>
      </c>
      <c r="N21" s="102">
        <v>2500</v>
      </c>
      <c r="O21" s="102">
        <v>2750</v>
      </c>
      <c r="P21" s="102">
        <v>3000</v>
      </c>
      <c r="Q21" s="102">
        <v>3250</v>
      </c>
      <c r="R21" s="102">
        <v>3500</v>
      </c>
    </row>
    <row r="22" spans="2:18" s="73" customFormat="1" ht="26.25" customHeight="1" x14ac:dyDescent="0.3">
      <c r="B22" s="1325" t="s">
        <v>1441</v>
      </c>
      <c r="C22" s="145"/>
      <c r="D22" s="114"/>
      <c r="E22" s="114"/>
      <c r="F22" s="114"/>
      <c r="G22" s="114"/>
      <c r="H22" s="114"/>
      <c r="I22" s="114"/>
      <c r="J22" s="114"/>
      <c r="K22" s="1342"/>
      <c r="L22" s="1378">
        <f>'Capex Summary Sheet'!F23</f>
        <v>112588983.47821146</v>
      </c>
      <c r="M22" s="1344"/>
    </row>
    <row r="23" spans="2:18" s="6" customFormat="1" ht="18.75" customHeight="1" x14ac:dyDescent="0.25">
      <c r="B23" s="1329" t="s">
        <v>1442</v>
      </c>
      <c r="C23" s="1345">
        <v>30000000</v>
      </c>
      <c r="D23" s="115"/>
      <c r="E23" s="1349">
        <f t="shared" ref="E23:R23" si="0">$C23</f>
        <v>30000000</v>
      </c>
      <c r="F23" s="1349">
        <f t="shared" si="0"/>
        <v>30000000</v>
      </c>
      <c r="G23" s="1349">
        <f t="shared" si="0"/>
        <v>30000000</v>
      </c>
      <c r="H23" s="1349">
        <f t="shared" si="0"/>
        <v>30000000</v>
      </c>
      <c r="I23" s="1349">
        <f t="shared" si="0"/>
        <v>30000000</v>
      </c>
      <c r="J23" s="1349">
        <f t="shared" si="0"/>
        <v>30000000</v>
      </c>
      <c r="K23" s="1346">
        <f t="shared" si="0"/>
        <v>30000000</v>
      </c>
      <c r="L23" s="1347">
        <f t="shared" si="0"/>
        <v>30000000</v>
      </c>
      <c r="M23" s="1348">
        <f t="shared" si="0"/>
        <v>30000000</v>
      </c>
      <c r="N23" s="1348">
        <f t="shared" si="0"/>
        <v>30000000</v>
      </c>
      <c r="O23" s="1348">
        <f t="shared" si="0"/>
        <v>30000000</v>
      </c>
      <c r="P23" s="1348">
        <f t="shared" si="0"/>
        <v>30000000</v>
      </c>
      <c r="Q23" s="1348">
        <f t="shared" si="0"/>
        <v>30000000</v>
      </c>
      <c r="R23" s="1348">
        <f t="shared" si="0"/>
        <v>30000000</v>
      </c>
    </row>
    <row r="24" spans="2:18" s="6" customFormat="1" ht="18.75" customHeight="1" x14ac:dyDescent="0.25">
      <c r="B24" s="1329" t="s">
        <v>1443</v>
      </c>
      <c r="C24" s="1350">
        <f>(L22-C23)/(L21*1000)</f>
        <v>41.29449173910573</v>
      </c>
      <c r="D24" s="1351"/>
      <c r="E24" s="1351">
        <f t="shared" ref="E24" si="1">$C24*(E21*1000)</f>
        <v>10323622.934776433</v>
      </c>
      <c r="F24" s="1351">
        <f t="shared" ref="F24:M24" si="2">$C24*(F21*1000)</f>
        <v>20647245.869552866</v>
      </c>
      <c r="G24" s="1351">
        <f t="shared" si="2"/>
        <v>30970868.804329298</v>
      </c>
      <c r="H24" s="1351">
        <f t="shared" si="2"/>
        <v>41294491.739105731</v>
      </c>
      <c r="I24" s="1351">
        <f t="shared" si="2"/>
        <v>51618114.673882164</v>
      </c>
      <c r="J24" s="1351">
        <f t="shared" si="2"/>
        <v>61941737.608658597</v>
      </c>
      <c r="K24" s="1352">
        <f t="shared" si="2"/>
        <v>72265360.543435022</v>
      </c>
      <c r="L24" s="1353">
        <f t="shared" si="2"/>
        <v>82588983.478211462</v>
      </c>
      <c r="M24" s="1354">
        <f t="shared" si="2"/>
        <v>92912606.412987888</v>
      </c>
      <c r="N24" s="1354">
        <f>$C24*(N21*1000)</f>
        <v>103236229.34776433</v>
      </c>
      <c r="O24" s="1354">
        <f>$C24*(O21*1000)</f>
        <v>113559852.28254075</v>
      </c>
      <c r="P24" s="1354">
        <f>$C24*(P21*1000)</f>
        <v>123883475.21731719</v>
      </c>
      <c r="Q24" s="1354">
        <f>$C24*(Q21*1000)</f>
        <v>134207098.15209362</v>
      </c>
      <c r="R24" s="1354">
        <f>$C24*(R21*1000)</f>
        <v>144530721.08687004</v>
      </c>
    </row>
    <row r="25" spans="2:18" s="73" customFormat="1" ht="26.25" customHeight="1" x14ac:dyDescent="0.3">
      <c r="B25" s="1325" t="s">
        <v>1444</v>
      </c>
      <c r="C25" s="145"/>
      <c r="D25" s="114"/>
      <c r="E25" s="114"/>
      <c r="F25" s="114"/>
      <c r="G25" s="114"/>
      <c r="H25" s="114"/>
      <c r="I25" s="114"/>
      <c r="J25" s="114"/>
      <c r="K25" s="1342"/>
      <c r="L25" s="1343"/>
      <c r="M25" s="1344"/>
      <c r="N25" s="1344"/>
      <c r="O25" s="1344"/>
      <c r="P25" s="1344"/>
      <c r="Q25" s="1344"/>
      <c r="R25" s="1344"/>
    </row>
    <row r="26" spans="2:18" s="6" customFormat="1" ht="18.75" customHeight="1" x14ac:dyDescent="0.25">
      <c r="B26" s="1329" t="s">
        <v>1458</v>
      </c>
      <c r="C26" s="1355">
        <f>(Assumptions!C22*Assumptions!C34)+(Assumptions!C23*Assumptions!C36)+(Assumptions!C24*Assumptions!C37)+(Assumptions!C25*Assumptions!C42)+(Assumptions!C26*Assumptions!C43)</f>
        <v>84</v>
      </c>
      <c r="D26" s="115">
        <f>(D$21*0.9*1000)*$C26</f>
        <v>0</v>
      </c>
      <c r="E26" s="1271">
        <f t="shared" ref="E26:R26" si="3">$C26</f>
        <v>84</v>
      </c>
      <c r="F26" s="1271">
        <f t="shared" si="3"/>
        <v>84</v>
      </c>
      <c r="G26" s="1271">
        <f t="shared" si="3"/>
        <v>84</v>
      </c>
      <c r="H26" s="1271">
        <f t="shared" si="3"/>
        <v>84</v>
      </c>
      <c r="I26" s="1271">
        <f t="shared" si="3"/>
        <v>84</v>
      </c>
      <c r="J26" s="1271">
        <f t="shared" si="3"/>
        <v>84</v>
      </c>
      <c r="K26" s="1272">
        <f t="shared" si="3"/>
        <v>84</v>
      </c>
      <c r="L26" s="1310">
        <f t="shared" si="3"/>
        <v>84</v>
      </c>
      <c r="M26" s="1273">
        <f t="shared" si="3"/>
        <v>84</v>
      </c>
      <c r="N26" s="1273">
        <f t="shared" si="3"/>
        <v>84</v>
      </c>
      <c r="O26" s="1273">
        <f t="shared" si="3"/>
        <v>84</v>
      </c>
      <c r="P26" s="1273">
        <f t="shared" si="3"/>
        <v>84</v>
      </c>
      <c r="Q26" s="1273">
        <f t="shared" si="3"/>
        <v>84</v>
      </c>
      <c r="R26" s="1273">
        <f t="shared" si="3"/>
        <v>84</v>
      </c>
    </row>
    <row r="27" spans="2:18" s="73" customFormat="1" ht="26.25" customHeight="1" x14ac:dyDescent="0.3">
      <c r="B27" s="1327" t="s">
        <v>1445</v>
      </c>
      <c r="C27" s="148"/>
      <c r="D27" s="114"/>
      <c r="E27" s="114"/>
      <c r="F27" s="114"/>
      <c r="G27" s="114"/>
      <c r="H27" s="114"/>
      <c r="I27" s="114"/>
      <c r="J27" s="114"/>
      <c r="K27" s="1342"/>
      <c r="L27" s="1343"/>
      <c r="M27" s="1344"/>
      <c r="N27" s="1344"/>
      <c r="O27" s="1344"/>
      <c r="P27" s="1344"/>
      <c r="Q27" s="1344"/>
      <c r="R27" s="1344"/>
    </row>
    <row r="28" spans="2:18" s="6" customFormat="1" ht="19.5" customHeight="1" x14ac:dyDescent="0.25">
      <c r="B28" s="1329" t="s">
        <v>1459</v>
      </c>
      <c r="C28" s="1356">
        <f>Valuation!H31</f>
        <v>1.6098718234158429</v>
      </c>
      <c r="D28" s="115">
        <f>-D$21*1000*$C28</f>
        <v>0</v>
      </c>
      <c r="E28" s="1271">
        <f>$C28*2.5</f>
        <v>4.0246795585396073</v>
      </c>
      <c r="F28" s="1271">
        <f>$C28*2.2</f>
        <v>3.5417180115148548</v>
      </c>
      <c r="G28" s="1271">
        <f>$C28*2</f>
        <v>3.2197436468316858</v>
      </c>
      <c r="H28" s="1271">
        <f>$C28*1.75</f>
        <v>2.8172756909777252</v>
      </c>
      <c r="I28" s="1271">
        <f>$C28*1.5</f>
        <v>2.4148077351237642</v>
      </c>
      <c r="J28" s="1271">
        <f>$C28*1.3</f>
        <v>2.0928333704405957</v>
      </c>
      <c r="K28" s="1272">
        <f>$C28*1.1</f>
        <v>1.7708590057574274</v>
      </c>
      <c r="L28" s="1310">
        <f>C28</f>
        <v>1.6098718234158429</v>
      </c>
      <c r="M28" s="1273">
        <f>$C28</f>
        <v>1.6098718234158429</v>
      </c>
      <c r="N28" s="1273">
        <f>$C28</f>
        <v>1.6098718234158429</v>
      </c>
      <c r="O28" s="1273">
        <f t="shared" ref="O28:R29" si="4">$C28*0.975</f>
        <v>1.5696250278304469</v>
      </c>
      <c r="P28" s="1273">
        <f t="shared" si="4"/>
        <v>1.5696250278304469</v>
      </c>
      <c r="Q28" s="1273">
        <f t="shared" si="4"/>
        <v>1.5696250278304469</v>
      </c>
      <c r="R28" s="1273">
        <f t="shared" si="4"/>
        <v>1.5696250278304469</v>
      </c>
    </row>
    <row r="29" spans="2:18" s="6" customFormat="1" ht="19.5" customHeight="1" x14ac:dyDescent="0.25">
      <c r="B29" s="1329" t="s">
        <v>1446</v>
      </c>
      <c r="C29" s="1356">
        <f>Valuation!H32</f>
        <v>3.3174833058358133</v>
      </c>
      <c r="D29" s="115">
        <f t="shared" ref="D29:D36" si="5">-D$21*1000*$C29</f>
        <v>0</v>
      </c>
      <c r="E29" s="1359">
        <f>$C29*2.5</f>
        <v>8.293708264589533</v>
      </c>
      <c r="F29" s="1359">
        <f>$C29*2.2</f>
        <v>7.2984632728387897</v>
      </c>
      <c r="G29" s="1359">
        <f>$C29*2</f>
        <v>6.6349666116716266</v>
      </c>
      <c r="H29" s="1359">
        <f>$C29*1.75</f>
        <v>5.8055957852126729</v>
      </c>
      <c r="I29" s="1359">
        <f>$C29*1.5</f>
        <v>4.9762249587537202</v>
      </c>
      <c r="J29" s="1359">
        <f>$C29*1.3</f>
        <v>4.3127282975865571</v>
      </c>
      <c r="K29" s="1357">
        <f>$C29*1.1</f>
        <v>3.6492316364193949</v>
      </c>
      <c r="L29" s="1379">
        <f>C29</f>
        <v>3.3174833058358133</v>
      </c>
      <c r="M29" s="1358">
        <f>C29</f>
        <v>3.3174833058358133</v>
      </c>
      <c r="N29" s="1358">
        <f>C29</f>
        <v>3.3174833058358133</v>
      </c>
      <c r="O29" s="1358">
        <f t="shared" si="4"/>
        <v>3.234546223189918</v>
      </c>
      <c r="P29" s="1358">
        <f t="shared" si="4"/>
        <v>3.234546223189918</v>
      </c>
      <c r="Q29" s="1358">
        <f t="shared" si="4"/>
        <v>3.234546223189918</v>
      </c>
      <c r="R29" s="1358">
        <f t="shared" si="4"/>
        <v>3.234546223189918</v>
      </c>
    </row>
    <row r="30" spans="2:18" s="6" customFormat="1" ht="19.5" customHeight="1" x14ac:dyDescent="0.25">
      <c r="B30" s="1380" t="s">
        <v>1460</v>
      </c>
      <c r="C30" s="1356">
        <f>Valuation!H33</f>
        <v>0.51103014002989811</v>
      </c>
      <c r="D30" s="115"/>
      <c r="E30" s="1359">
        <f>$C$30*1.5</f>
        <v>0.7665452100448471</v>
      </c>
      <c r="F30" s="1359">
        <f>$C$30*1.5</f>
        <v>0.7665452100448471</v>
      </c>
      <c r="G30" s="1359">
        <f>$C$30*1.5</f>
        <v>0.7665452100448471</v>
      </c>
      <c r="H30" s="1359">
        <f>$C$30*1.25</f>
        <v>0.63878767503737266</v>
      </c>
      <c r="I30" s="1359">
        <f>$C$30*1.25</f>
        <v>0.63878767503737266</v>
      </c>
      <c r="J30" s="1359">
        <f>$C$30*1.15</f>
        <v>0.58768466103438277</v>
      </c>
      <c r="K30" s="1357">
        <f>$C$30*1.15</f>
        <v>0.58768466103438277</v>
      </c>
      <c r="L30" s="1379">
        <f t="shared" ref="L30:R30" si="6">$C$30</f>
        <v>0.51103014002989811</v>
      </c>
      <c r="M30" s="1358">
        <f t="shared" si="6"/>
        <v>0.51103014002989811</v>
      </c>
      <c r="N30" s="1359">
        <f t="shared" si="6"/>
        <v>0.51103014002989811</v>
      </c>
      <c r="O30" s="1359">
        <f t="shared" si="6"/>
        <v>0.51103014002989811</v>
      </c>
      <c r="P30" s="1359">
        <f t="shared" si="6"/>
        <v>0.51103014002989811</v>
      </c>
      <c r="Q30" s="1359">
        <f t="shared" si="6"/>
        <v>0.51103014002989811</v>
      </c>
      <c r="R30" s="1359">
        <f t="shared" si="6"/>
        <v>0.51103014002989811</v>
      </c>
    </row>
    <row r="31" spans="2:18" s="6" customFormat="1" ht="19.5" customHeight="1" x14ac:dyDescent="0.25">
      <c r="B31" s="1329" t="s">
        <v>1419</v>
      </c>
      <c r="C31" s="1356">
        <f>Valuation!H34</f>
        <v>34.770528304512169</v>
      </c>
      <c r="D31" s="115">
        <f t="shared" si="5"/>
        <v>0</v>
      </c>
      <c r="E31" s="1359">
        <f>$C31</f>
        <v>34.770528304512169</v>
      </c>
      <c r="F31" s="1359">
        <f t="shared" ref="F31:K31" si="7">$C31</f>
        <v>34.770528304512169</v>
      </c>
      <c r="G31" s="1359">
        <f t="shared" si="7"/>
        <v>34.770528304512169</v>
      </c>
      <c r="H31" s="1359">
        <f t="shared" si="7"/>
        <v>34.770528304512169</v>
      </c>
      <c r="I31" s="1359">
        <f t="shared" si="7"/>
        <v>34.770528304512169</v>
      </c>
      <c r="J31" s="1359">
        <f t="shared" si="7"/>
        <v>34.770528304512169</v>
      </c>
      <c r="K31" s="1357">
        <f t="shared" si="7"/>
        <v>34.770528304512169</v>
      </c>
      <c r="L31" s="1379">
        <f>C31</f>
        <v>34.770528304512169</v>
      </c>
      <c r="M31" s="1358">
        <f t="shared" ref="M31:R31" si="8">$C31</f>
        <v>34.770528304512169</v>
      </c>
      <c r="N31" s="1358">
        <f t="shared" si="8"/>
        <v>34.770528304512169</v>
      </c>
      <c r="O31" s="1358">
        <f t="shared" si="8"/>
        <v>34.770528304512169</v>
      </c>
      <c r="P31" s="1358">
        <f t="shared" si="8"/>
        <v>34.770528304512169</v>
      </c>
      <c r="Q31" s="1358">
        <f t="shared" si="8"/>
        <v>34.770528304512169</v>
      </c>
      <c r="R31" s="1358">
        <f t="shared" si="8"/>
        <v>34.770528304512169</v>
      </c>
    </row>
    <row r="32" spans="2:18" s="6" customFormat="1" ht="19.5" customHeight="1" x14ac:dyDescent="0.25">
      <c r="B32" s="1329" t="s">
        <v>1421</v>
      </c>
      <c r="C32" s="1356">
        <f>Valuation!H35</f>
        <v>0.82381457779705358</v>
      </c>
      <c r="D32" s="1361"/>
      <c r="E32" s="1271">
        <f>$C32*2.5</f>
        <v>2.0595364444926338</v>
      </c>
      <c r="F32" s="1271">
        <f>$C32*2.2</f>
        <v>1.812392071153518</v>
      </c>
      <c r="G32" s="1271">
        <f>$C32*2</f>
        <v>1.6476291555941072</v>
      </c>
      <c r="H32" s="1271">
        <f>$C32*1.75</f>
        <v>1.4416755111448438</v>
      </c>
      <c r="I32" s="1271">
        <f>C32*1.15</f>
        <v>0.94738676446661152</v>
      </c>
      <c r="J32" s="1271">
        <f>C32*1.1</f>
        <v>0.90619603557675898</v>
      </c>
      <c r="K32" s="1272">
        <f>C32*1.05</f>
        <v>0.86500530668690634</v>
      </c>
      <c r="L32" s="1310">
        <f>C32</f>
        <v>0.82381457779705358</v>
      </c>
      <c r="M32" s="1273">
        <f>C32</f>
        <v>0.82381457779705358</v>
      </c>
      <c r="N32" s="1273">
        <f>C32*0.95</f>
        <v>0.78262384890720083</v>
      </c>
      <c r="O32" s="1273">
        <f>$C32*0.95</f>
        <v>0.78262384890720083</v>
      </c>
      <c r="P32" s="1273">
        <f>$C32*0.95</f>
        <v>0.78262384890720083</v>
      </c>
      <c r="Q32" s="1273">
        <f>$C32*0.95</f>
        <v>0.78262384890720083</v>
      </c>
      <c r="R32" s="1273">
        <f>$C32*0.95</f>
        <v>0.78262384890720083</v>
      </c>
    </row>
    <row r="33" spans="2:18" s="6" customFormat="1" ht="19.5" customHeight="1" x14ac:dyDescent="0.25">
      <c r="B33" s="1329" t="s">
        <v>1447</v>
      </c>
      <c r="C33" s="1381">
        <f>Valuation!H36</f>
        <v>3.2952583111882143</v>
      </c>
      <c r="D33" s="1361"/>
      <c r="E33" s="1360">
        <f>$C$33*2.35</f>
        <v>7.7438570312923041</v>
      </c>
      <c r="F33" s="1360">
        <f>$C$33*2.2</f>
        <v>7.2495682846140719</v>
      </c>
      <c r="G33" s="1360">
        <f>$C$33*2</f>
        <v>6.5905166223764287</v>
      </c>
      <c r="H33" s="1360">
        <f>$C$33*1.75</f>
        <v>5.7667020445793753</v>
      </c>
      <c r="I33" s="1360">
        <f>$C$33*1.5</f>
        <v>4.9428874667823219</v>
      </c>
      <c r="J33" s="1360">
        <f>$C$33*1.25</f>
        <v>4.1190728889852677</v>
      </c>
      <c r="K33" s="1360">
        <f>$C$33*1.15</f>
        <v>3.7895470578664461</v>
      </c>
      <c r="L33" s="1379">
        <f>$C$33</f>
        <v>3.2952583111882143</v>
      </c>
      <c r="M33" s="1360">
        <f>$C$33</f>
        <v>3.2952583111882143</v>
      </c>
      <c r="N33" s="1360">
        <f>$C$33*0.95</f>
        <v>3.1304953956288033</v>
      </c>
      <c r="O33" s="1360">
        <f>$C$33*0.95</f>
        <v>3.1304953956288033</v>
      </c>
      <c r="P33" s="1360">
        <f>$C$33*0.95</f>
        <v>3.1304953956288033</v>
      </c>
      <c r="Q33" s="1360">
        <f>$C$33*0.95</f>
        <v>3.1304953956288033</v>
      </c>
      <c r="R33" s="1360">
        <f>$C$33*0.95</f>
        <v>3.1304953956288033</v>
      </c>
    </row>
    <row r="34" spans="2:18" s="6" customFormat="1" ht="19.5" customHeight="1" x14ac:dyDescent="0.25">
      <c r="B34" s="1329" t="s">
        <v>1422</v>
      </c>
      <c r="C34" s="1356">
        <f>Valuation!H41</f>
        <v>5.887823555160943</v>
      </c>
      <c r="D34" s="115">
        <f t="shared" si="5"/>
        <v>0</v>
      </c>
      <c r="E34" s="1360">
        <f>C34*1.5</f>
        <v>8.831735332741415</v>
      </c>
      <c r="F34" s="1360">
        <f>C34*1.25</f>
        <v>7.3597794439511786</v>
      </c>
      <c r="G34" s="1360">
        <f>C34*1.2</f>
        <v>7.0653882661931311</v>
      </c>
      <c r="H34" s="1360">
        <f>C34*1.1</f>
        <v>6.4766059106770379</v>
      </c>
      <c r="I34" s="1360">
        <f>C34*1.05</f>
        <v>6.1822147329189905</v>
      </c>
      <c r="J34" s="1360">
        <f>C34*1.025</f>
        <v>6.0350191440399659</v>
      </c>
      <c r="K34" s="1360">
        <f>C34</f>
        <v>5.887823555160943</v>
      </c>
      <c r="L34" s="1379">
        <f>C34</f>
        <v>5.887823555160943</v>
      </c>
      <c r="M34" s="1360">
        <f>$C34</f>
        <v>5.887823555160943</v>
      </c>
      <c r="N34" s="1360">
        <f>$C34</f>
        <v>5.887823555160943</v>
      </c>
      <c r="O34" s="1360">
        <f>$C34</f>
        <v>5.887823555160943</v>
      </c>
      <c r="P34" s="1360">
        <f>$C34*0.975</f>
        <v>5.7406279662819193</v>
      </c>
      <c r="Q34" s="1360">
        <f>$C34*0.975</f>
        <v>5.7406279662819193</v>
      </c>
      <c r="R34" s="1360">
        <f>$C34*0.975</f>
        <v>5.7406279662819193</v>
      </c>
    </row>
    <row r="35" spans="2:18" s="6" customFormat="1" ht="19.5" customHeight="1" x14ac:dyDescent="0.25">
      <c r="B35" s="1383" t="s">
        <v>1470</v>
      </c>
      <c r="C35" s="1356">
        <f>Valuation!H39</f>
        <v>10.348399986527042</v>
      </c>
      <c r="D35" s="115"/>
      <c r="E35" s="1360">
        <f>$C$35</f>
        <v>10.348399986527042</v>
      </c>
      <c r="F35" s="1360">
        <f>$C$35</f>
        <v>10.348399986527042</v>
      </c>
      <c r="G35" s="1360">
        <f t="shared" ref="G35:R35" si="9">$C$35</f>
        <v>10.348399986527042</v>
      </c>
      <c r="H35" s="1360">
        <f t="shared" si="9"/>
        <v>10.348399986527042</v>
      </c>
      <c r="I35" s="1360">
        <f t="shared" si="9"/>
        <v>10.348399986527042</v>
      </c>
      <c r="J35" s="1360">
        <f t="shared" si="9"/>
        <v>10.348399986527042</v>
      </c>
      <c r="K35" s="1360">
        <f t="shared" si="9"/>
        <v>10.348399986527042</v>
      </c>
      <c r="L35" s="1379">
        <f t="shared" si="9"/>
        <v>10.348399986527042</v>
      </c>
      <c r="M35" s="1360">
        <f t="shared" si="9"/>
        <v>10.348399986527042</v>
      </c>
      <c r="N35" s="1360">
        <f t="shared" si="9"/>
        <v>10.348399986527042</v>
      </c>
      <c r="O35" s="1360">
        <f t="shared" si="9"/>
        <v>10.348399986527042</v>
      </c>
      <c r="P35" s="1360">
        <f t="shared" si="9"/>
        <v>10.348399986527042</v>
      </c>
      <c r="Q35" s="1360">
        <f t="shared" si="9"/>
        <v>10.348399986527042</v>
      </c>
      <c r="R35" s="1360">
        <f t="shared" si="9"/>
        <v>10.348399986527042</v>
      </c>
    </row>
    <row r="36" spans="2:18" s="6" customFormat="1" ht="19.5" customHeight="1" x14ac:dyDescent="0.25">
      <c r="B36" s="1329" t="s">
        <v>179</v>
      </c>
      <c r="C36" s="1356">
        <f>Valuation!H43</f>
        <v>5.5436989374535264</v>
      </c>
      <c r="D36" s="115">
        <f t="shared" si="5"/>
        <v>0</v>
      </c>
      <c r="E36" s="1360">
        <f t="shared" ref="E36:J36" si="10">$C36</f>
        <v>5.5436989374535264</v>
      </c>
      <c r="F36" s="1360">
        <f t="shared" si="10"/>
        <v>5.5436989374535264</v>
      </c>
      <c r="G36" s="1360">
        <f t="shared" si="10"/>
        <v>5.5436989374535264</v>
      </c>
      <c r="H36" s="1360">
        <f t="shared" si="10"/>
        <v>5.5436989374535264</v>
      </c>
      <c r="I36" s="1360">
        <f t="shared" si="10"/>
        <v>5.5436989374535264</v>
      </c>
      <c r="J36" s="1360">
        <f t="shared" si="10"/>
        <v>5.5436989374535264</v>
      </c>
      <c r="K36" s="1360">
        <f>$C36*1.025</f>
        <v>5.6822914108898637</v>
      </c>
      <c r="L36" s="1379">
        <f t="shared" ref="L36:R36" si="11">$C36</f>
        <v>5.5436989374535264</v>
      </c>
      <c r="M36" s="1360">
        <f t="shared" si="11"/>
        <v>5.5436989374535264</v>
      </c>
      <c r="N36" s="1360">
        <f t="shared" si="11"/>
        <v>5.5436989374535264</v>
      </c>
      <c r="O36" s="1360">
        <f t="shared" si="11"/>
        <v>5.5436989374535264</v>
      </c>
      <c r="P36" s="1360">
        <f t="shared" si="11"/>
        <v>5.5436989374535264</v>
      </c>
      <c r="Q36" s="1360">
        <f t="shared" si="11"/>
        <v>5.5436989374535264</v>
      </c>
      <c r="R36" s="1360">
        <f t="shared" si="11"/>
        <v>5.5436989374535264</v>
      </c>
    </row>
    <row r="37" spans="2:18" s="6" customFormat="1" ht="19.5" customHeight="1" x14ac:dyDescent="0.25">
      <c r="B37" s="1329" t="s">
        <v>1448</v>
      </c>
      <c r="C37" s="1362">
        <v>0.05</v>
      </c>
      <c r="D37" s="1361"/>
      <c r="E37" s="1360">
        <f>AMORLINC(E23+E24,1,2,0,1,$C37,0)/(E21*1000)</f>
        <v>8.0647245869552862</v>
      </c>
      <c r="F37" s="1360">
        <f>AMORLINC(F23+F24,1,2,0,1,$C37,0)/(F21*1000)</f>
        <v>5.0647245869552862</v>
      </c>
      <c r="G37" s="1360">
        <f>AMORLINC(G23+G24,1,2,0,1,$C37,0)/(G21*1000)</f>
        <v>4.0647245869552862</v>
      </c>
      <c r="H37" s="1360">
        <f t="shared" ref="H37:R37" si="12">AMORLINC(H23+H24,1,2,0,1,$C37,0)/(H21*1000)</f>
        <v>3.5647245869552866</v>
      </c>
      <c r="I37" s="1360">
        <f t="shared" si="12"/>
        <v>3.2647245869552868</v>
      </c>
      <c r="J37" s="1360">
        <f t="shared" si="12"/>
        <v>3.0647245869552866</v>
      </c>
      <c r="K37" s="1360">
        <f t="shared" si="12"/>
        <v>2.9218674440981438</v>
      </c>
      <c r="L37" s="1379">
        <f t="shared" si="12"/>
        <v>2.8147245869552866</v>
      </c>
      <c r="M37" s="1360">
        <f t="shared" si="12"/>
        <v>2.7313912536219531</v>
      </c>
      <c r="N37" s="1360">
        <f t="shared" si="12"/>
        <v>2.6647245869552867</v>
      </c>
      <c r="O37" s="1360">
        <f t="shared" si="12"/>
        <v>2.6101791324098316</v>
      </c>
      <c r="P37" s="1360">
        <f t="shared" si="12"/>
        <v>2.5647245869552866</v>
      </c>
      <c r="Q37" s="1360">
        <f t="shared" si="12"/>
        <v>2.5262630484937483</v>
      </c>
      <c r="R37" s="1360">
        <f t="shared" si="12"/>
        <v>2.493296015526715</v>
      </c>
    </row>
    <row r="38" spans="2:18" s="73" customFormat="1" ht="26.25" customHeight="1" thickBot="1" x14ac:dyDescent="0.35">
      <c r="B38" s="1327" t="s">
        <v>1449</v>
      </c>
      <c r="C38" s="1363"/>
      <c r="D38" s="1363">
        <f t="shared" ref="D38:R38" si="13">SUM(D28:D37)</f>
        <v>0</v>
      </c>
      <c r="E38" s="1363">
        <f>SUM(E28:E37)</f>
        <v>90.44741365714836</v>
      </c>
      <c r="F38" s="1363">
        <f>SUM(F28:F37)</f>
        <v>83.755818109565269</v>
      </c>
      <c r="G38" s="1363">
        <f>SUM(G28:G37)</f>
        <v>80.652141328159843</v>
      </c>
      <c r="H38" s="1363">
        <f t="shared" si="13"/>
        <v>77.173994433077056</v>
      </c>
      <c r="I38" s="1363">
        <f t="shared" si="13"/>
        <v>74.029661148530806</v>
      </c>
      <c r="J38" s="1363">
        <f t="shared" si="13"/>
        <v>71.780886213111557</v>
      </c>
      <c r="K38" s="1364">
        <f t="shared" si="13"/>
        <v>70.273238368952704</v>
      </c>
      <c r="L38" s="1365">
        <f t="shared" si="13"/>
        <v>68.922633528875792</v>
      </c>
      <c r="M38" s="1363">
        <f t="shared" si="13"/>
        <v>68.83930019554245</v>
      </c>
      <c r="N38" s="1363">
        <f t="shared" si="13"/>
        <v>68.56667988442652</v>
      </c>
      <c r="O38" s="1363">
        <f t="shared" si="13"/>
        <v>68.388950551649771</v>
      </c>
      <c r="P38" s="1363">
        <f t="shared" si="13"/>
        <v>68.196300417316223</v>
      </c>
      <c r="Q38" s="1363">
        <f t="shared" si="13"/>
        <v>68.157838878854676</v>
      </c>
      <c r="R38" s="1363">
        <f t="shared" si="13"/>
        <v>68.12487184588764</v>
      </c>
    </row>
    <row r="39" spans="2:18" s="73" customFormat="1" ht="38.25" customHeight="1" x14ac:dyDescent="0.3">
      <c r="B39" s="1327" t="s">
        <v>1450</v>
      </c>
      <c r="C39" s="148"/>
      <c r="D39" s="114"/>
      <c r="E39" s="1342"/>
      <c r="F39" s="1342"/>
      <c r="G39" s="1342"/>
      <c r="H39" s="1342"/>
      <c r="I39" s="1342"/>
      <c r="J39" s="1342"/>
      <c r="K39" s="1342"/>
      <c r="L39" s="1342"/>
      <c r="M39" s="1342"/>
    </row>
    <row r="40" spans="2:18" s="6" customFormat="1" ht="19.5" customHeight="1" x14ac:dyDescent="0.25">
      <c r="B40" s="1366" t="s">
        <v>1458</v>
      </c>
      <c r="C40" s="1367">
        <f>C26</f>
        <v>84</v>
      </c>
      <c r="D40" s="115"/>
      <c r="E40" s="1272">
        <f>E26</f>
        <v>84</v>
      </c>
      <c r="F40" s="1272">
        <f>F26</f>
        <v>84</v>
      </c>
      <c r="G40" s="1272">
        <f>G26</f>
        <v>84</v>
      </c>
      <c r="H40" s="1272">
        <f t="shared" ref="H40:R40" si="14">H26</f>
        <v>84</v>
      </c>
      <c r="I40" s="1272">
        <f t="shared" si="14"/>
        <v>84</v>
      </c>
      <c r="J40" s="1272">
        <f t="shared" si="14"/>
        <v>84</v>
      </c>
      <c r="K40" s="1272">
        <f t="shared" si="14"/>
        <v>84</v>
      </c>
      <c r="L40" s="1272">
        <f t="shared" si="14"/>
        <v>84</v>
      </c>
      <c r="M40" s="1272">
        <f t="shared" si="14"/>
        <v>84</v>
      </c>
      <c r="N40" s="1272">
        <f t="shared" si="14"/>
        <v>84</v>
      </c>
      <c r="O40" s="1272">
        <f t="shared" si="14"/>
        <v>84</v>
      </c>
      <c r="P40" s="1272">
        <f t="shared" si="14"/>
        <v>84</v>
      </c>
      <c r="Q40" s="1272">
        <f t="shared" si="14"/>
        <v>84</v>
      </c>
      <c r="R40" s="1272">
        <f t="shared" si="14"/>
        <v>84</v>
      </c>
    </row>
    <row r="41" spans="2:18" s="6" customFormat="1" ht="19.5" customHeight="1" x14ac:dyDescent="0.25">
      <c r="B41" s="1329" t="s">
        <v>1451</v>
      </c>
      <c r="C41" s="1356">
        <v>1.05</v>
      </c>
      <c r="D41" s="115"/>
      <c r="E41" s="1357">
        <f>E40*$C41</f>
        <v>88.2</v>
      </c>
      <c r="F41" s="1357">
        <f>F40*$C41</f>
        <v>88.2</v>
      </c>
      <c r="G41" s="1357">
        <f>G40*$C41</f>
        <v>88.2</v>
      </c>
      <c r="H41" s="1357">
        <f t="shared" ref="H41:M41" si="15">H40*$C41</f>
        <v>88.2</v>
      </c>
      <c r="I41" s="1357">
        <f t="shared" si="15"/>
        <v>88.2</v>
      </c>
      <c r="J41" s="1357">
        <f t="shared" si="15"/>
        <v>88.2</v>
      </c>
      <c r="K41" s="1357">
        <f t="shared" si="15"/>
        <v>88.2</v>
      </c>
      <c r="L41" s="1357">
        <f t="shared" si="15"/>
        <v>88.2</v>
      </c>
      <c r="M41" s="1357">
        <f t="shared" si="15"/>
        <v>88.2</v>
      </c>
      <c r="N41" s="1357">
        <f>N40*$C41</f>
        <v>88.2</v>
      </c>
      <c r="O41" s="1357">
        <f>O40*$C41</f>
        <v>88.2</v>
      </c>
      <c r="P41" s="1357">
        <f>P40*$C41</f>
        <v>88.2</v>
      </c>
      <c r="Q41" s="1357">
        <f>Q40*$C41</f>
        <v>88.2</v>
      </c>
      <c r="R41" s="1357">
        <f>R40*$C41</f>
        <v>88.2</v>
      </c>
    </row>
    <row r="42" spans="2:18" s="6" customFormat="1" ht="19.5" customHeight="1" x14ac:dyDescent="0.25">
      <c r="B42" s="1329" t="s">
        <v>1452</v>
      </c>
      <c r="C42" s="1356">
        <v>0.8</v>
      </c>
      <c r="D42" s="115"/>
      <c r="E42" s="1357">
        <f>E40*$C42</f>
        <v>67.2</v>
      </c>
      <c r="F42" s="1357">
        <f>F40*$C42</f>
        <v>67.2</v>
      </c>
      <c r="G42" s="1357">
        <f>G40*$C42</f>
        <v>67.2</v>
      </c>
      <c r="H42" s="1357">
        <f t="shared" ref="H42:M42" si="16">H40*$C42</f>
        <v>67.2</v>
      </c>
      <c r="I42" s="1357">
        <f t="shared" si="16"/>
        <v>67.2</v>
      </c>
      <c r="J42" s="1357">
        <f t="shared" si="16"/>
        <v>67.2</v>
      </c>
      <c r="K42" s="1357">
        <f t="shared" si="16"/>
        <v>67.2</v>
      </c>
      <c r="L42" s="1357">
        <f t="shared" si="16"/>
        <v>67.2</v>
      </c>
      <c r="M42" s="1357">
        <f t="shared" si="16"/>
        <v>67.2</v>
      </c>
      <c r="N42" s="1357">
        <f>N40*$C42</f>
        <v>67.2</v>
      </c>
      <c r="O42" s="1357">
        <f>O40*$C42</f>
        <v>67.2</v>
      </c>
      <c r="P42" s="1357">
        <f>P40*$C42</f>
        <v>67.2</v>
      </c>
      <c r="Q42" s="1357">
        <f>Q40*$C42</f>
        <v>67.2</v>
      </c>
      <c r="R42" s="1357">
        <f>R40*$C42</f>
        <v>67.2</v>
      </c>
    </row>
    <row r="43" spans="2:18" ht="15" x14ac:dyDescent="0.25">
      <c r="H43" s="1357"/>
      <c r="I43" s="1357"/>
      <c r="J43" s="1357"/>
      <c r="K43" s="1357"/>
      <c r="L43" s="1357"/>
      <c r="M43" s="1357"/>
      <c r="N43" s="1368"/>
    </row>
    <row r="44" spans="2:18" s="6" customFormat="1" ht="19.5" customHeight="1" x14ac:dyDescent="0.25">
      <c r="B44" s="1369" t="s">
        <v>1459</v>
      </c>
      <c r="C44" s="1370">
        <f>C28</f>
        <v>1.6098718234158429</v>
      </c>
      <c r="D44" s="1371"/>
      <c r="E44" s="1372">
        <f>E28</f>
        <v>4.0246795585396073</v>
      </c>
      <c r="F44" s="1372">
        <f>F28</f>
        <v>3.5417180115148548</v>
      </c>
      <c r="G44" s="1372">
        <f>G28</f>
        <v>3.2197436468316858</v>
      </c>
      <c r="H44" s="1372">
        <f t="shared" ref="H44:R44" si="17">H28</f>
        <v>2.8172756909777252</v>
      </c>
      <c r="I44" s="1372">
        <f t="shared" si="17"/>
        <v>2.4148077351237642</v>
      </c>
      <c r="J44" s="1372">
        <f t="shared" si="17"/>
        <v>2.0928333704405957</v>
      </c>
      <c r="K44" s="1372">
        <f t="shared" si="17"/>
        <v>1.7708590057574274</v>
      </c>
      <c r="L44" s="1372">
        <f t="shared" si="17"/>
        <v>1.6098718234158429</v>
      </c>
      <c r="M44" s="1372">
        <f t="shared" si="17"/>
        <v>1.6098718234158429</v>
      </c>
      <c r="N44" s="1372">
        <f t="shared" si="17"/>
        <v>1.6098718234158429</v>
      </c>
      <c r="O44" s="1372">
        <f t="shared" si="17"/>
        <v>1.5696250278304469</v>
      </c>
      <c r="P44" s="1372">
        <f t="shared" si="17"/>
        <v>1.5696250278304469</v>
      </c>
      <c r="Q44" s="1372">
        <f t="shared" si="17"/>
        <v>1.5696250278304469</v>
      </c>
      <c r="R44" s="1372">
        <f t="shared" si="17"/>
        <v>1.5696250278304469</v>
      </c>
    </row>
    <row r="45" spans="2:18" s="6" customFormat="1" ht="19.5" customHeight="1" x14ac:dyDescent="0.25">
      <c r="B45" s="1373" t="s">
        <v>1453</v>
      </c>
      <c r="C45" s="1356">
        <v>1.1000000000000001</v>
      </c>
      <c r="D45" s="1371"/>
      <c r="E45" s="1374">
        <f>E44*$C45</f>
        <v>4.4271475143935684</v>
      </c>
      <c r="F45" s="1374">
        <f>F44*$C45</f>
        <v>3.8958898126663404</v>
      </c>
      <c r="G45" s="1374">
        <f>G44*$C45</f>
        <v>3.5417180115148548</v>
      </c>
      <c r="H45" s="1374">
        <f t="shared" ref="H45:M45" si="18">H44*$C45</f>
        <v>3.0990032600754982</v>
      </c>
      <c r="I45" s="1374">
        <f t="shared" si="18"/>
        <v>2.6562885086361407</v>
      </c>
      <c r="J45" s="1374">
        <f t="shared" si="18"/>
        <v>2.3021167074846556</v>
      </c>
      <c r="K45" s="1374">
        <f t="shared" si="18"/>
        <v>1.9479449063331702</v>
      </c>
      <c r="L45" s="1374">
        <f t="shared" si="18"/>
        <v>1.7708590057574274</v>
      </c>
      <c r="M45" s="1374">
        <f t="shared" si="18"/>
        <v>1.7708590057574274</v>
      </c>
      <c r="N45" s="1374">
        <f>N44*$C45</f>
        <v>1.7708590057574274</v>
      </c>
      <c r="O45" s="1374">
        <f>O44*$C45</f>
        <v>1.7265875306134917</v>
      </c>
      <c r="P45" s="1374">
        <f>P44*$C45</f>
        <v>1.7265875306134917</v>
      </c>
      <c r="Q45" s="1374">
        <f>Q44*$C45</f>
        <v>1.7265875306134917</v>
      </c>
      <c r="R45" s="1374">
        <f>R44*$C45</f>
        <v>1.7265875306134917</v>
      </c>
    </row>
    <row r="46" spans="2:18" s="6" customFormat="1" ht="19.5" customHeight="1" x14ac:dyDescent="0.25">
      <c r="B46" s="1373" t="s">
        <v>1454</v>
      </c>
      <c r="C46" s="1356">
        <v>0.95</v>
      </c>
      <c r="D46" s="1371"/>
      <c r="E46" s="1374">
        <f>E44*$C46</f>
        <v>3.8234455806126268</v>
      </c>
      <c r="F46" s="1374">
        <f>F44*$C46</f>
        <v>3.364632110939112</v>
      </c>
      <c r="G46" s="1374">
        <f>G44*$C46</f>
        <v>3.0587564644901013</v>
      </c>
      <c r="H46" s="1374">
        <f t="shared" ref="H46:M46" si="19">H44*$C46</f>
        <v>2.676411906428839</v>
      </c>
      <c r="I46" s="1374">
        <f t="shared" si="19"/>
        <v>2.2940673483675758</v>
      </c>
      <c r="J46" s="1374">
        <f t="shared" si="19"/>
        <v>1.9881917019185658</v>
      </c>
      <c r="K46" s="1374">
        <f t="shared" si="19"/>
        <v>1.682316055469556</v>
      </c>
      <c r="L46" s="1374">
        <f t="shared" si="19"/>
        <v>1.5293782322450507</v>
      </c>
      <c r="M46" s="1374">
        <f t="shared" si="19"/>
        <v>1.5293782322450507</v>
      </c>
      <c r="N46" s="1372">
        <f>N44*$C46</f>
        <v>1.5293782322450507</v>
      </c>
      <c r="O46" s="1372">
        <f>O44*$C46</f>
        <v>1.4911437764389244</v>
      </c>
      <c r="P46" s="1372">
        <f>P44*$C46</f>
        <v>1.4911437764389244</v>
      </c>
      <c r="Q46" s="1372">
        <f>Q44*$C46</f>
        <v>1.4911437764389244</v>
      </c>
      <c r="R46" s="1372">
        <f>R44*$C46</f>
        <v>1.4911437764389244</v>
      </c>
    </row>
    <row r="47" spans="2:18" ht="15" x14ac:dyDescent="0.25">
      <c r="H47" s="1357"/>
      <c r="I47" s="1357"/>
      <c r="J47" s="1357"/>
      <c r="K47" s="1357"/>
      <c r="L47" s="1357"/>
      <c r="M47" s="1357"/>
      <c r="N47" s="1368"/>
    </row>
    <row r="48" spans="2:18" s="6" customFormat="1" ht="19.5" customHeight="1" x14ac:dyDescent="0.25">
      <c r="B48" s="1369" t="s">
        <v>1446</v>
      </c>
      <c r="C48" s="1370">
        <f>C29</f>
        <v>3.3174833058358133</v>
      </c>
      <c r="D48" s="1371"/>
      <c r="E48" s="1372">
        <f>E29</f>
        <v>8.293708264589533</v>
      </c>
      <c r="F48" s="1372">
        <f>F29</f>
        <v>7.2984632728387897</v>
      </c>
      <c r="G48" s="1372">
        <f>G29</f>
        <v>6.6349666116716266</v>
      </c>
      <c r="H48" s="1372">
        <f t="shared" ref="H48:R48" si="20">H29</f>
        <v>5.8055957852126729</v>
      </c>
      <c r="I48" s="1372">
        <f t="shared" si="20"/>
        <v>4.9762249587537202</v>
      </c>
      <c r="J48" s="1372">
        <f t="shared" si="20"/>
        <v>4.3127282975865571</v>
      </c>
      <c r="K48" s="1372">
        <f t="shared" si="20"/>
        <v>3.6492316364193949</v>
      </c>
      <c r="L48" s="1372">
        <f t="shared" si="20"/>
        <v>3.3174833058358133</v>
      </c>
      <c r="M48" s="1372">
        <f t="shared" si="20"/>
        <v>3.3174833058358133</v>
      </c>
      <c r="N48" s="1372">
        <f t="shared" si="20"/>
        <v>3.3174833058358133</v>
      </c>
      <c r="O48" s="1372">
        <f t="shared" si="20"/>
        <v>3.234546223189918</v>
      </c>
      <c r="P48" s="1372">
        <f t="shared" si="20"/>
        <v>3.234546223189918</v>
      </c>
      <c r="Q48" s="1372">
        <f t="shared" si="20"/>
        <v>3.234546223189918</v>
      </c>
      <c r="R48" s="1372">
        <f t="shared" si="20"/>
        <v>3.234546223189918</v>
      </c>
    </row>
    <row r="49" spans="2:18" s="6" customFormat="1" ht="19.5" customHeight="1" x14ac:dyDescent="0.25">
      <c r="B49" s="1373" t="s">
        <v>1453</v>
      </c>
      <c r="C49" s="1356">
        <v>1.05</v>
      </c>
      <c r="D49" s="1371"/>
      <c r="E49" s="1374">
        <f>E48*$C49</f>
        <v>8.7083936778190107</v>
      </c>
      <c r="F49" s="1374">
        <f>F48*$C49</f>
        <v>7.6633864364807298</v>
      </c>
      <c r="G49" s="1374">
        <f>G48*$C49</f>
        <v>6.9667149422552086</v>
      </c>
      <c r="H49" s="1374">
        <f t="shared" ref="H49:M49" si="21">H48*$C49</f>
        <v>6.0958755744733066</v>
      </c>
      <c r="I49" s="1374">
        <f t="shared" si="21"/>
        <v>5.2250362066914064</v>
      </c>
      <c r="J49" s="1374">
        <f t="shared" si="21"/>
        <v>4.5283647124658852</v>
      </c>
      <c r="K49" s="1374">
        <f t="shared" si="21"/>
        <v>3.8316932182403649</v>
      </c>
      <c r="L49" s="1374">
        <f t="shared" si="21"/>
        <v>3.4833574711276043</v>
      </c>
      <c r="M49" s="1374">
        <f t="shared" si="21"/>
        <v>3.4833574711276043</v>
      </c>
      <c r="N49" s="1374">
        <f>N48*$C49</f>
        <v>3.4833574711276043</v>
      </c>
      <c r="O49" s="1374">
        <f>O48*$C49</f>
        <v>3.3962735343494139</v>
      </c>
      <c r="P49" s="1374">
        <f>P48*$C49</f>
        <v>3.3962735343494139</v>
      </c>
      <c r="Q49" s="1374">
        <f>Q48*$C49</f>
        <v>3.3962735343494139</v>
      </c>
      <c r="R49" s="1374">
        <f>R48*$C49</f>
        <v>3.3962735343494139</v>
      </c>
    </row>
    <row r="50" spans="2:18" s="6" customFormat="1" ht="19.5" customHeight="1" x14ac:dyDescent="0.25">
      <c r="B50" s="1373" t="s">
        <v>1454</v>
      </c>
      <c r="C50" s="1356">
        <v>0.95</v>
      </c>
      <c r="D50" s="1371"/>
      <c r="E50" s="1374">
        <f>E48*$C50</f>
        <v>7.8790228513600562</v>
      </c>
      <c r="F50" s="1374">
        <f>F48*$C50</f>
        <v>6.9335401091968496</v>
      </c>
      <c r="G50" s="1374">
        <f>G48*$C50</f>
        <v>6.3032182810880446</v>
      </c>
      <c r="H50" s="1374">
        <f t="shared" ref="H50:M50" si="22">H48*$C50</f>
        <v>5.5153159959520393</v>
      </c>
      <c r="I50" s="1374">
        <f t="shared" si="22"/>
        <v>4.7274137108160339</v>
      </c>
      <c r="J50" s="1374">
        <f t="shared" si="22"/>
        <v>4.0970918827072289</v>
      </c>
      <c r="K50" s="1374">
        <f t="shared" si="22"/>
        <v>3.4667700545984248</v>
      </c>
      <c r="L50" s="1374">
        <f t="shared" si="22"/>
        <v>3.1516091405440223</v>
      </c>
      <c r="M50" s="1374">
        <f t="shared" si="22"/>
        <v>3.1516091405440223</v>
      </c>
      <c r="N50" s="1372">
        <f>N48*$C50</f>
        <v>3.1516091405440223</v>
      </c>
      <c r="O50" s="1372">
        <f>O48*$C50</f>
        <v>3.0728189120304221</v>
      </c>
      <c r="P50" s="1372">
        <f>P48*$C50</f>
        <v>3.0728189120304221</v>
      </c>
      <c r="Q50" s="1372">
        <f>Q48*$C50</f>
        <v>3.0728189120304221</v>
      </c>
      <c r="R50" s="1372">
        <f>R48*$C50</f>
        <v>3.0728189120304221</v>
      </c>
    </row>
    <row r="51" spans="2:18" ht="15" x14ac:dyDescent="0.25">
      <c r="H51" s="1357"/>
      <c r="I51" s="1357"/>
      <c r="J51" s="1357"/>
      <c r="K51" s="1357"/>
      <c r="L51" s="1357"/>
      <c r="M51" s="1357"/>
    </row>
    <row r="52" spans="2:18" s="6" customFormat="1" ht="19.5" customHeight="1" x14ac:dyDescent="0.25">
      <c r="B52" s="1369" t="s">
        <v>1460</v>
      </c>
      <c r="C52" s="1370">
        <f>C30</f>
        <v>0.51103014002989811</v>
      </c>
      <c r="D52" s="1371"/>
      <c r="E52" s="1372">
        <f>E30</f>
        <v>0.7665452100448471</v>
      </c>
      <c r="F52" s="1372">
        <f>F30</f>
        <v>0.7665452100448471</v>
      </c>
      <c r="G52" s="1372">
        <f>G30</f>
        <v>0.7665452100448471</v>
      </c>
      <c r="H52" s="1372">
        <f t="shared" ref="H52:R52" si="23">H30</f>
        <v>0.63878767503737266</v>
      </c>
      <c r="I52" s="1372">
        <f t="shared" si="23"/>
        <v>0.63878767503737266</v>
      </c>
      <c r="J52" s="1372">
        <f t="shared" si="23"/>
        <v>0.58768466103438277</v>
      </c>
      <c r="K52" s="1372">
        <f t="shared" si="23"/>
        <v>0.58768466103438277</v>
      </c>
      <c r="L52" s="1372">
        <f t="shared" si="23"/>
        <v>0.51103014002989811</v>
      </c>
      <c r="M52" s="1372">
        <f t="shared" si="23"/>
        <v>0.51103014002989811</v>
      </c>
      <c r="N52" s="1372">
        <f t="shared" si="23"/>
        <v>0.51103014002989811</v>
      </c>
      <c r="O52" s="1372">
        <f t="shared" si="23"/>
        <v>0.51103014002989811</v>
      </c>
      <c r="P52" s="1372">
        <f t="shared" si="23"/>
        <v>0.51103014002989811</v>
      </c>
      <c r="Q52" s="1372">
        <f t="shared" si="23"/>
        <v>0.51103014002989811</v>
      </c>
      <c r="R52" s="1372">
        <f t="shared" si="23"/>
        <v>0.51103014002989811</v>
      </c>
    </row>
    <row r="53" spans="2:18" s="6" customFormat="1" ht="19.5" customHeight="1" x14ac:dyDescent="0.25">
      <c r="B53" s="1373" t="s">
        <v>1453</v>
      </c>
      <c r="C53" s="1356">
        <v>1.05</v>
      </c>
      <c r="D53" s="1371"/>
      <c r="E53" s="1374">
        <f>E52*$C53</f>
        <v>0.80487247054708955</v>
      </c>
      <c r="F53" s="1374">
        <f>F52*$C53</f>
        <v>0.80487247054708955</v>
      </c>
      <c r="G53" s="1374">
        <f>G52*$C53</f>
        <v>0.80487247054708955</v>
      </c>
      <c r="H53" s="1374">
        <f t="shared" ref="H53:R53" si="24">H52*$C53</f>
        <v>0.67072705878924133</v>
      </c>
      <c r="I53" s="1374">
        <f t="shared" si="24"/>
        <v>0.67072705878924133</v>
      </c>
      <c r="J53" s="1374">
        <f t="shared" si="24"/>
        <v>0.61706889408610188</v>
      </c>
      <c r="K53" s="1374">
        <f t="shared" si="24"/>
        <v>0.61706889408610188</v>
      </c>
      <c r="L53" s="1374">
        <f t="shared" si="24"/>
        <v>0.53658164703139299</v>
      </c>
      <c r="M53" s="1374">
        <f t="shared" si="24"/>
        <v>0.53658164703139299</v>
      </c>
      <c r="N53" s="1374">
        <f t="shared" si="24"/>
        <v>0.53658164703139299</v>
      </c>
      <c r="O53" s="1374">
        <f t="shared" si="24"/>
        <v>0.53658164703139299</v>
      </c>
      <c r="P53" s="1374">
        <f t="shared" si="24"/>
        <v>0.53658164703139299</v>
      </c>
      <c r="Q53" s="1374">
        <f t="shared" si="24"/>
        <v>0.53658164703139299</v>
      </c>
      <c r="R53" s="1374">
        <f t="shared" si="24"/>
        <v>0.53658164703139299</v>
      </c>
    </row>
    <row r="54" spans="2:18" s="6" customFormat="1" ht="19.5" customHeight="1" x14ac:dyDescent="0.25">
      <c r="B54" s="1373" t="s">
        <v>1454</v>
      </c>
      <c r="C54" s="1356">
        <v>0.95</v>
      </c>
      <c r="D54" s="1371"/>
      <c r="E54" s="1374">
        <f>E52*$C54</f>
        <v>0.72821794954260466</v>
      </c>
      <c r="F54" s="1374">
        <f>F52*$C54</f>
        <v>0.72821794954260466</v>
      </c>
      <c r="G54" s="1374">
        <f>G52*$C54</f>
        <v>0.72821794954260466</v>
      </c>
      <c r="H54" s="1374">
        <f t="shared" ref="H54:R54" si="25">H52*$C54</f>
        <v>0.60684829128550399</v>
      </c>
      <c r="I54" s="1374">
        <f t="shared" si="25"/>
        <v>0.60684829128550399</v>
      </c>
      <c r="J54" s="1374">
        <f t="shared" si="25"/>
        <v>0.55830042798266366</v>
      </c>
      <c r="K54" s="1374">
        <f t="shared" si="25"/>
        <v>0.55830042798266366</v>
      </c>
      <c r="L54" s="1374">
        <f t="shared" si="25"/>
        <v>0.48547863302840316</v>
      </c>
      <c r="M54" s="1374">
        <f t="shared" si="25"/>
        <v>0.48547863302840316</v>
      </c>
      <c r="N54" s="1372">
        <f t="shared" si="25"/>
        <v>0.48547863302840316</v>
      </c>
      <c r="O54" s="1372">
        <f t="shared" si="25"/>
        <v>0.48547863302840316</v>
      </c>
      <c r="P54" s="1372">
        <f t="shared" si="25"/>
        <v>0.48547863302840316</v>
      </c>
      <c r="Q54" s="1372">
        <f t="shared" si="25"/>
        <v>0.48547863302840316</v>
      </c>
      <c r="R54" s="1372">
        <f t="shared" si="25"/>
        <v>0.48547863302840316</v>
      </c>
    </row>
    <row r="55" spans="2:18" ht="15" x14ac:dyDescent="0.25">
      <c r="H55" s="1357"/>
      <c r="I55" s="1357"/>
      <c r="J55" s="1357"/>
      <c r="K55" s="1357"/>
      <c r="L55" s="1357"/>
      <c r="M55" s="1357"/>
    </row>
    <row r="56" spans="2:18" s="6" customFormat="1" ht="19.5" customHeight="1" x14ac:dyDescent="0.25">
      <c r="B56" s="1369" t="s">
        <v>1419</v>
      </c>
      <c r="C56" s="1370">
        <f>C31</f>
        <v>34.770528304512169</v>
      </c>
      <c r="D56" s="1371"/>
      <c r="E56" s="1372">
        <f>E31</f>
        <v>34.770528304512169</v>
      </c>
      <c r="F56" s="1372">
        <f>F31</f>
        <v>34.770528304512169</v>
      </c>
      <c r="G56" s="1372">
        <f>G31</f>
        <v>34.770528304512169</v>
      </c>
      <c r="H56" s="1372">
        <f t="shared" ref="H56:R56" si="26">H31</f>
        <v>34.770528304512169</v>
      </c>
      <c r="I56" s="1372">
        <f t="shared" si="26"/>
        <v>34.770528304512169</v>
      </c>
      <c r="J56" s="1372">
        <f t="shared" si="26"/>
        <v>34.770528304512169</v>
      </c>
      <c r="K56" s="1372">
        <f t="shared" si="26"/>
        <v>34.770528304512169</v>
      </c>
      <c r="L56" s="1372">
        <f t="shared" si="26"/>
        <v>34.770528304512169</v>
      </c>
      <c r="M56" s="1372">
        <f t="shared" si="26"/>
        <v>34.770528304512169</v>
      </c>
      <c r="N56" s="1372">
        <f t="shared" si="26"/>
        <v>34.770528304512169</v>
      </c>
      <c r="O56" s="1372">
        <f t="shared" si="26"/>
        <v>34.770528304512169</v>
      </c>
      <c r="P56" s="1372">
        <f t="shared" si="26"/>
        <v>34.770528304512169</v>
      </c>
      <c r="Q56" s="1372">
        <f t="shared" si="26"/>
        <v>34.770528304512169</v>
      </c>
      <c r="R56" s="1372">
        <f t="shared" si="26"/>
        <v>34.770528304512169</v>
      </c>
    </row>
    <row r="57" spans="2:18" s="6" customFormat="1" ht="19.5" customHeight="1" x14ac:dyDescent="0.25">
      <c r="B57" s="1373" t="s">
        <v>1453</v>
      </c>
      <c r="C57" s="1356">
        <v>1.1000000000000001</v>
      </c>
      <c r="D57" s="1371"/>
      <c r="E57" s="1374">
        <f>E56*$C57</f>
        <v>38.24758113496339</v>
      </c>
      <c r="F57" s="1374">
        <f>F56*$C57</f>
        <v>38.24758113496339</v>
      </c>
      <c r="G57" s="1374">
        <f>G56*$C57</f>
        <v>38.24758113496339</v>
      </c>
      <c r="H57" s="1374">
        <f t="shared" ref="H57:M57" si="27">H56*$C57</f>
        <v>38.24758113496339</v>
      </c>
      <c r="I57" s="1374">
        <f t="shared" si="27"/>
        <v>38.24758113496339</v>
      </c>
      <c r="J57" s="1374">
        <f t="shared" si="27"/>
        <v>38.24758113496339</v>
      </c>
      <c r="K57" s="1374">
        <f t="shared" si="27"/>
        <v>38.24758113496339</v>
      </c>
      <c r="L57" s="1374">
        <f t="shared" si="27"/>
        <v>38.24758113496339</v>
      </c>
      <c r="M57" s="1374">
        <f t="shared" si="27"/>
        <v>38.24758113496339</v>
      </c>
      <c r="N57" s="1374">
        <f>N56*$C57</f>
        <v>38.24758113496339</v>
      </c>
      <c r="O57" s="1374">
        <f>O56*$C57</f>
        <v>38.24758113496339</v>
      </c>
      <c r="P57" s="1374">
        <f>P56*$C57</f>
        <v>38.24758113496339</v>
      </c>
      <c r="Q57" s="1374">
        <f>Q56*$C57</f>
        <v>38.24758113496339</v>
      </c>
      <c r="R57" s="1374">
        <f>R56*$C57</f>
        <v>38.24758113496339</v>
      </c>
    </row>
    <row r="58" spans="2:18" s="6" customFormat="1" ht="19.5" customHeight="1" x14ac:dyDescent="0.25">
      <c r="B58" s="1373" t="s">
        <v>1454</v>
      </c>
      <c r="C58" s="1356">
        <v>0.95</v>
      </c>
      <c r="D58" s="1371"/>
      <c r="E58" s="1374">
        <f>E56*$C58</f>
        <v>33.032001889286562</v>
      </c>
      <c r="F58" s="1374">
        <f>F56*$C58</f>
        <v>33.032001889286562</v>
      </c>
      <c r="G58" s="1374">
        <f>G56*$C58</f>
        <v>33.032001889286562</v>
      </c>
      <c r="H58" s="1374">
        <f t="shared" ref="H58:M58" si="28">H56*$C58</f>
        <v>33.032001889286562</v>
      </c>
      <c r="I58" s="1374">
        <f t="shared" si="28"/>
        <v>33.032001889286562</v>
      </c>
      <c r="J58" s="1374">
        <f t="shared" si="28"/>
        <v>33.032001889286562</v>
      </c>
      <c r="K58" s="1374">
        <f t="shared" si="28"/>
        <v>33.032001889286562</v>
      </c>
      <c r="L58" s="1374">
        <f t="shared" si="28"/>
        <v>33.032001889286562</v>
      </c>
      <c r="M58" s="1374">
        <f t="shared" si="28"/>
        <v>33.032001889286562</v>
      </c>
      <c r="N58" s="1374">
        <f>N56*$C58</f>
        <v>33.032001889286562</v>
      </c>
      <c r="O58" s="1374">
        <f>O56*$C58</f>
        <v>33.032001889286562</v>
      </c>
      <c r="P58" s="1374">
        <f>P56*$C58</f>
        <v>33.032001889286562</v>
      </c>
      <c r="Q58" s="1374">
        <f>Q56*$C58</f>
        <v>33.032001889286562</v>
      </c>
      <c r="R58" s="1374">
        <f>R56*$C58</f>
        <v>33.032001889286562</v>
      </c>
    </row>
    <row r="59" spans="2:18" ht="15" x14ac:dyDescent="0.25">
      <c r="H59" s="1357"/>
      <c r="I59" s="1357"/>
      <c r="J59" s="1357"/>
      <c r="K59" s="1357"/>
      <c r="L59" s="1357"/>
      <c r="M59" s="1357"/>
    </row>
    <row r="60" spans="2:18" s="6" customFormat="1" ht="19.5" customHeight="1" x14ac:dyDescent="0.25">
      <c r="B60" s="1369" t="s">
        <v>1422</v>
      </c>
      <c r="C60" s="1370">
        <f>C34</f>
        <v>5.887823555160943</v>
      </c>
      <c r="D60" s="1371"/>
      <c r="E60" s="1372">
        <f>E34</f>
        <v>8.831735332741415</v>
      </c>
      <c r="F60" s="1372">
        <f>F34</f>
        <v>7.3597794439511786</v>
      </c>
      <c r="G60" s="1372">
        <f>G34</f>
        <v>7.0653882661931311</v>
      </c>
      <c r="H60" s="1372">
        <f t="shared" ref="H60:R60" si="29">H34</f>
        <v>6.4766059106770379</v>
      </c>
      <c r="I60" s="1372">
        <f t="shared" si="29"/>
        <v>6.1822147329189905</v>
      </c>
      <c r="J60" s="1372">
        <f t="shared" si="29"/>
        <v>6.0350191440399659</v>
      </c>
      <c r="K60" s="1372">
        <f t="shared" si="29"/>
        <v>5.887823555160943</v>
      </c>
      <c r="L60" s="1372">
        <f t="shared" si="29"/>
        <v>5.887823555160943</v>
      </c>
      <c r="M60" s="1372">
        <f t="shared" si="29"/>
        <v>5.887823555160943</v>
      </c>
      <c r="N60" s="1372">
        <f t="shared" si="29"/>
        <v>5.887823555160943</v>
      </c>
      <c r="O60" s="1372">
        <f t="shared" si="29"/>
        <v>5.887823555160943</v>
      </c>
      <c r="P60" s="1372">
        <f t="shared" si="29"/>
        <v>5.7406279662819193</v>
      </c>
      <c r="Q60" s="1372">
        <f t="shared" si="29"/>
        <v>5.7406279662819193</v>
      </c>
      <c r="R60" s="1372">
        <f t="shared" si="29"/>
        <v>5.7406279662819193</v>
      </c>
    </row>
    <row r="61" spans="2:18" s="6" customFormat="1" ht="19.5" customHeight="1" x14ac:dyDescent="0.25">
      <c r="B61" s="1373" t="s">
        <v>1453</v>
      </c>
      <c r="C61" s="1356">
        <v>1.05</v>
      </c>
      <c r="D61" s="1371"/>
      <c r="E61" s="1374">
        <f>E60*$C61</f>
        <v>9.2733220993784862</v>
      </c>
      <c r="F61" s="1374">
        <f>F60*$C61</f>
        <v>7.7277684161487379</v>
      </c>
      <c r="G61" s="1374">
        <f>G60*$C61</f>
        <v>7.4186576795027879</v>
      </c>
      <c r="H61" s="1374">
        <f t="shared" ref="H61:M61" si="30">H60*$C61</f>
        <v>6.8004362062108905</v>
      </c>
      <c r="I61" s="1374">
        <f t="shared" si="30"/>
        <v>6.4913254695649405</v>
      </c>
      <c r="J61" s="1374">
        <f t="shared" si="30"/>
        <v>6.3367701012419646</v>
      </c>
      <c r="K61" s="1374">
        <f t="shared" si="30"/>
        <v>6.1822147329189905</v>
      </c>
      <c r="L61" s="1374">
        <f t="shared" si="30"/>
        <v>6.1822147329189905</v>
      </c>
      <c r="M61" s="1374">
        <f t="shared" si="30"/>
        <v>6.1822147329189905</v>
      </c>
      <c r="N61" s="1374">
        <f>N60*$C61</f>
        <v>6.1822147329189905</v>
      </c>
      <c r="O61" s="1374">
        <f>O60*$C61</f>
        <v>6.1822147329189905</v>
      </c>
      <c r="P61" s="1374">
        <f>P60*$C61</f>
        <v>6.0276593645960155</v>
      </c>
      <c r="Q61" s="1374">
        <f>Q60*$C61</f>
        <v>6.0276593645960155</v>
      </c>
      <c r="R61" s="1374">
        <f>R60*$C61</f>
        <v>6.0276593645960155</v>
      </c>
    </row>
    <row r="62" spans="2:18" s="6" customFormat="1" ht="19.5" customHeight="1" x14ac:dyDescent="0.25">
      <c r="B62" s="1373" t="s">
        <v>1454</v>
      </c>
      <c r="C62" s="1356">
        <v>0.95</v>
      </c>
      <c r="D62" s="1371"/>
      <c r="E62" s="1374">
        <f>E60*$C62</f>
        <v>8.3901485661043438</v>
      </c>
      <c r="F62" s="1374">
        <f>F60*$C62</f>
        <v>6.9917904717536192</v>
      </c>
      <c r="G62" s="1374">
        <f>G60*$C62</f>
        <v>6.7121188528834743</v>
      </c>
      <c r="H62" s="1374">
        <f t="shared" ref="H62:M62" si="31">H60*$C62</f>
        <v>6.1527756151431854</v>
      </c>
      <c r="I62" s="1374">
        <f t="shared" si="31"/>
        <v>5.8731039962730405</v>
      </c>
      <c r="J62" s="1374">
        <f t="shared" si="31"/>
        <v>5.7332681868379671</v>
      </c>
      <c r="K62" s="1374">
        <f t="shared" si="31"/>
        <v>5.5934323774028956</v>
      </c>
      <c r="L62" s="1374">
        <f t="shared" si="31"/>
        <v>5.5934323774028956</v>
      </c>
      <c r="M62" s="1374">
        <f t="shared" si="31"/>
        <v>5.5934323774028956</v>
      </c>
      <c r="N62" s="1374">
        <f>N60*$C62</f>
        <v>5.5934323774028956</v>
      </c>
      <c r="O62" s="1374">
        <f>O60*$C62</f>
        <v>5.5934323774028956</v>
      </c>
      <c r="P62" s="1374">
        <f>P60*$C62</f>
        <v>5.4535965679678231</v>
      </c>
      <c r="Q62" s="1374">
        <f>Q60*$C62</f>
        <v>5.4535965679678231</v>
      </c>
      <c r="R62" s="1374">
        <f>R60*$C62</f>
        <v>5.4535965679678231</v>
      </c>
    </row>
    <row r="63" spans="2:18" ht="15" x14ac:dyDescent="0.25">
      <c r="H63" s="1357"/>
      <c r="I63" s="1357"/>
      <c r="J63" s="1357"/>
      <c r="K63" s="1357"/>
      <c r="L63" s="1357"/>
      <c r="M63" s="1357"/>
    </row>
    <row r="64" spans="2:18" s="6" customFormat="1" ht="19.5" customHeight="1" x14ac:dyDescent="0.25">
      <c r="B64" s="1369" t="s">
        <v>179</v>
      </c>
      <c r="C64" s="1370">
        <f>C36</f>
        <v>5.5436989374535264</v>
      </c>
      <c r="D64" s="1371"/>
      <c r="E64" s="1372">
        <f>E36</f>
        <v>5.5436989374535264</v>
      </c>
      <c r="F64" s="1372">
        <f>F36</f>
        <v>5.5436989374535264</v>
      </c>
      <c r="G64" s="1372">
        <f>G36</f>
        <v>5.5436989374535264</v>
      </c>
      <c r="H64" s="1372">
        <f t="shared" ref="H64:R64" si="32">H36</f>
        <v>5.5436989374535264</v>
      </c>
      <c r="I64" s="1372">
        <f t="shared" si="32"/>
        <v>5.5436989374535264</v>
      </c>
      <c r="J64" s="1372">
        <f t="shared" si="32"/>
        <v>5.5436989374535264</v>
      </c>
      <c r="K64" s="1372">
        <f t="shared" si="32"/>
        <v>5.6822914108898637</v>
      </c>
      <c r="L64" s="1372">
        <f t="shared" si="32"/>
        <v>5.5436989374535264</v>
      </c>
      <c r="M64" s="1372">
        <f t="shared" si="32"/>
        <v>5.5436989374535264</v>
      </c>
      <c r="N64" s="1372">
        <f t="shared" si="32"/>
        <v>5.5436989374535264</v>
      </c>
      <c r="O64" s="1372">
        <f t="shared" si="32"/>
        <v>5.5436989374535264</v>
      </c>
      <c r="P64" s="1372">
        <f t="shared" si="32"/>
        <v>5.5436989374535264</v>
      </c>
      <c r="Q64" s="1372">
        <f t="shared" si="32"/>
        <v>5.5436989374535264</v>
      </c>
      <c r="R64" s="1372">
        <f t="shared" si="32"/>
        <v>5.5436989374535264</v>
      </c>
    </row>
    <row r="65" spans="2:18" s="6" customFormat="1" ht="19.5" customHeight="1" x14ac:dyDescent="0.25">
      <c r="B65" s="1373" t="s">
        <v>1453</v>
      </c>
      <c r="C65" s="1356">
        <v>1.05</v>
      </c>
      <c r="D65" s="1371"/>
      <c r="E65" s="1374">
        <f>E64*$C65</f>
        <v>5.8208838843262027</v>
      </c>
      <c r="F65" s="1374">
        <f>F64*$C65</f>
        <v>5.8208838843262027</v>
      </c>
      <c r="G65" s="1374">
        <f>G64*$C65</f>
        <v>5.8208838843262027</v>
      </c>
      <c r="H65" s="1374">
        <f t="shared" ref="H65:M65" si="33">H64*$C65</f>
        <v>5.8208838843262027</v>
      </c>
      <c r="I65" s="1374">
        <f t="shared" si="33"/>
        <v>5.8208838843262027</v>
      </c>
      <c r="J65" s="1374">
        <f t="shared" si="33"/>
        <v>5.8208838843262027</v>
      </c>
      <c r="K65" s="1374">
        <f t="shared" si="33"/>
        <v>5.9664059814343569</v>
      </c>
      <c r="L65" s="1374">
        <f t="shared" si="33"/>
        <v>5.8208838843262027</v>
      </c>
      <c r="M65" s="1374">
        <f t="shared" si="33"/>
        <v>5.8208838843262027</v>
      </c>
      <c r="N65" s="1374">
        <f>N64*$C65</f>
        <v>5.8208838843262027</v>
      </c>
      <c r="O65" s="1374">
        <f>O64*$C65</f>
        <v>5.8208838843262027</v>
      </c>
      <c r="P65" s="1374">
        <f>P64*$C65</f>
        <v>5.8208838843262027</v>
      </c>
      <c r="Q65" s="1374">
        <f>Q64*$C65</f>
        <v>5.8208838843262027</v>
      </c>
      <c r="R65" s="1374">
        <f>R64*$C65</f>
        <v>5.8208838843262027</v>
      </c>
    </row>
    <row r="66" spans="2:18" s="6" customFormat="1" ht="19.5" customHeight="1" x14ac:dyDescent="0.25">
      <c r="B66" s="1373" t="s">
        <v>1454</v>
      </c>
      <c r="C66" s="1356">
        <v>0.95</v>
      </c>
      <c r="D66" s="1371"/>
      <c r="E66" s="1374">
        <f>E64*$C66</f>
        <v>5.26651399058085</v>
      </c>
      <c r="F66" s="1374">
        <f>F64*$C66</f>
        <v>5.26651399058085</v>
      </c>
      <c r="G66" s="1374">
        <f>G64*$C66</f>
        <v>5.26651399058085</v>
      </c>
      <c r="H66" s="1374">
        <f t="shared" ref="H66:M66" si="34">H64*$C66</f>
        <v>5.26651399058085</v>
      </c>
      <c r="I66" s="1374">
        <f t="shared" si="34"/>
        <v>5.26651399058085</v>
      </c>
      <c r="J66" s="1374">
        <f t="shared" si="34"/>
        <v>5.26651399058085</v>
      </c>
      <c r="K66" s="1374">
        <f t="shared" si="34"/>
        <v>5.3981768403453705</v>
      </c>
      <c r="L66" s="1374">
        <f t="shared" si="34"/>
        <v>5.26651399058085</v>
      </c>
      <c r="M66" s="1374">
        <f t="shared" si="34"/>
        <v>5.26651399058085</v>
      </c>
      <c r="N66" s="1374">
        <f>N64*$C66</f>
        <v>5.26651399058085</v>
      </c>
      <c r="O66" s="1374">
        <f>O64*$C66</f>
        <v>5.26651399058085</v>
      </c>
      <c r="P66" s="1374">
        <f>P64*$C66</f>
        <v>5.26651399058085</v>
      </c>
      <c r="Q66" s="1374">
        <f>Q64*$C66</f>
        <v>5.26651399058085</v>
      </c>
      <c r="R66" s="1374">
        <f>R64*$C66</f>
        <v>5.26651399058085</v>
      </c>
    </row>
    <row r="67" spans="2:18" ht="15" x14ac:dyDescent="0.25">
      <c r="H67" s="1357"/>
      <c r="I67" s="1357"/>
      <c r="J67" s="1357"/>
      <c r="K67" s="1357"/>
      <c r="L67" s="1357"/>
      <c r="M67" s="1357"/>
    </row>
    <row r="68" spans="2:18" s="6" customFormat="1" ht="19.5" customHeight="1" x14ac:dyDescent="0.25">
      <c r="B68" s="1369" t="s">
        <v>1421</v>
      </c>
      <c r="C68" s="1370">
        <f>C32</f>
        <v>0.82381457779705358</v>
      </c>
      <c r="D68" s="1371"/>
      <c r="E68" s="1372">
        <f>E32</f>
        <v>2.0595364444926338</v>
      </c>
      <c r="F68" s="1372">
        <f>F32</f>
        <v>1.812392071153518</v>
      </c>
      <c r="G68" s="1372">
        <f>G32</f>
        <v>1.6476291555941072</v>
      </c>
      <c r="H68" s="1372">
        <f t="shared" ref="H68:R68" si="35">H32</f>
        <v>1.4416755111448438</v>
      </c>
      <c r="I68" s="1372">
        <f t="shared" si="35"/>
        <v>0.94738676446661152</v>
      </c>
      <c r="J68" s="1372">
        <f t="shared" si="35"/>
        <v>0.90619603557675898</v>
      </c>
      <c r="K68" s="1372">
        <f t="shared" si="35"/>
        <v>0.86500530668690634</v>
      </c>
      <c r="L68" s="1372">
        <f t="shared" si="35"/>
        <v>0.82381457779705358</v>
      </c>
      <c r="M68" s="1372">
        <f t="shared" si="35"/>
        <v>0.82381457779705358</v>
      </c>
      <c r="N68" s="1372">
        <f t="shared" si="35"/>
        <v>0.78262384890720083</v>
      </c>
      <c r="O68" s="1372">
        <f t="shared" si="35"/>
        <v>0.78262384890720083</v>
      </c>
      <c r="P68" s="1372">
        <f t="shared" si="35"/>
        <v>0.78262384890720083</v>
      </c>
      <c r="Q68" s="1372">
        <f t="shared" si="35"/>
        <v>0.78262384890720083</v>
      </c>
      <c r="R68" s="1372">
        <f t="shared" si="35"/>
        <v>0.78262384890720083</v>
      </c>
    </row>
    <row r="69" spans="2:18" s="6" customFormat="1" ht="19.5" customHeight="1" x14ac:dyDescent="0.25">
      <c r="B69" s="1373" t="s">
        <v>1453</v>
      </c>
      <c r="C69" s="1356">
        <v>1.05</v>
      </c>
      <c r="D69" s="1371"/>
      <c r="E69" s="1374">
        <f>E68*$C69</f>
        <v>2.1625132667172657</v>
      </c>
      <c r="F69" s="1374">
        <f>F68*$C69</f>
        <v>1.903011674711194</v>
      </c>
      <c r="G69" s="1374">
        <f>G68*$C69</f>
        <v>1.7300106133738127</v>
      </c>
      <c r="H69" s="1374">
        <f t="shared" ref="H69:M69" si="36">H68*$C69</f>
        <v>1.5137592867020861</v>
      </c>
      <c r="I69" s="1374">
        <f t="shared" si="36"/>
        <v>0.99475610268994219</v>
      </c>
      <c r="J69" s="1374">
        <f t="shared" si="36"/>
        <v>0.95150583735559702</v>
      </c>
      <c r="K69" s="1374">
        <f t="shared" si="36"/>
        <v>0.90825557202125173</v>
      </c>
      <c r="L69" s="1374">
        <f t="shared" si="36"/>
        <v>0.86500530668690634</v>
      </c>
      <c r="M69" s="1374">
        <f t="shared" si="36"/>
        <v>0.86500530668690634</v>
      </c>
      <c r="N69" s="1374">
        <f>N68*$C69</f>
        <v>0.82175504135256094</v>
      </c>
      <c r="O69" s="1374">
        <f>O68*$C69</f>
        <v>0.82175504135256094</v>
      </c>
      <c r="P69" s="1374">
        <f>P68*$C69</f>
        <v>0.82175504135256094</v>
      </c>
      <c r="Q69" s="1374">
        <f>Q68*$C69</f>
        <v>0.82175504135256094</v>
      </c>
      <c r="R69" s="1374">
        <f>R68*$C69</f>
        <v>0.82175504135256094</v>
      </c>
    </row>
    <row r="70" spans="2:18" s="6" customFormat="1" ht="19.5" customHeight="1" x14ac:dyDescent="0.25">
      <c r="B70" s="1373" t="s">
        <v>1454</v>
      </c>
      <c r="C70" s="1356">
        <v>0.95</v>
      </c>
      <c r="D70" s="1371"/>
      <c r="E70" s="1374">
        <f>E68*$C70</f>
        <v>1.956559622268002</v>
      </c>
      <c r="F70" s="1374">
        <f>F68*$C70</f>
        <v>1.7217724675958419</v>
      </c>
      <c r="G70" s="1374">
        <f>G68*$C70</f>
        <v>1.5652476978144017</v>
      </c>
      <c r="H70" s="1374">
        <f t="shared" ref="H70:M70" si="37">H68*$C70</f>
        <v>1.3695917355876015</v>
      </c>
      <c r="I70" s="1374">
        <f t="shared" si="37"/>
        <v>0.90001742624328085</v>
      </c>
      <c r="J70" s="1374">
        <f t="shared" si="37"/>
        <v>0.86088623379792095</v>
      </c>
      <c r="K70" s="1374">
        <f t="shared" si="37"/>
        <v>0.82175504135256094</v>
      </c>
      <c r="L70" s="1374">
        <f t="shared" si="37"/>
        <v>0.78262384890720083</v>
      </c>
      <c r="M70" s="1374">
        <f t="shared" si="37"/>
        <v>0.78262384890720083</v>
      </c>
      <c r="N70" s="1374">
        <f>N68*$C70</f>
        <v>0.74349265646184071</v>
      </c>
      <c r="O70" s="1374">
        <f>O68*$C70</f>
        <v>0.74349265646184071</v>
      </c>
      <c r="P70" s="1374">
        <f>P68*$C70</f>
        <v>0.74349265646184071</v>
      </c>
      <c r="Q70" s="1374">
        <f>Q68*$C70</f>
        <v>0.74349265646184071</v>
      </c>
      <c r="R70" s="1374">
        <f>R68*$C70</f>
        <v>0.74349265646184071</v>
      </c>
    </row>
    <row r="71" spans="2:18" ht="15" x14ac:dyDescent="0.25">
      <c r="H71" s="1357"/>
      <c r="I71" s="1357"/>
      <c r="J71" s="1357"/>
      <c r="K71" s="1357"/>
      <c r="L71" s="1357"/>
      <c r="M71" s="1357"/>
    </row>
    <row r="72" spans="2:18" s="6" customFormat="1" ht="19.5" customHeight="1" x14ac:dyDescent="0.25">
      <c r="B72" s="1369" t="s">
        <v>1447</v>
      </c>
      <c r="C72" s="1370">
        <f>C33</f>
        <v>3.2952583111882143</v>
      </c>
      <c r="D72" s="1371"/>
      <c r="E72" s="1372">
        <f>E33</f>
        <v>7.7438570312923041</v>
      </c>
      <c r="F72" s="1372">
        <f>F33</f>
        <v>7.2495682846140719</v>
      </c>
      <c r="G72" s="1372">
        <f>G33</f>
        <v>6.5905166223764287</v>
      </c>
      <c r="H72" s="1372">
        <f t="shared" ref="H72:R72" si="38">H33</f>
        <v>5.7667020445793753</v>
      </c>
      <c r="I72" s="1372">
        <f t="shared" si="38"/>
        <v>4.9428874667823219</v>
      </c>
      <c r="J72" s="1372">
        <f t="shared" si="38"/>
        <v>4.1190728889852677</v>
      </c>
      <c r="K72" s="1372">
        <f t="shared" si="38"/>
        <v>3.7895470578664461</v>
      </c>
      <c r="L72" s="1372">
        <f t="shared" si="38"/>
        <v>3.2952583111882143</v>
      </c>
      <c r="M72" s="1372">
        <f t="shared" si="38"/>
        <v>3.2952583111882143</v>
      </c>
      <c r="N72" s="1372">
        <f t="shared" si="38"/>
        <v>3.1304953956288033</v>
      </c>
      <c r="O72" s="1372">
        <f t="shared" si="38"/>
        <v>3.1304953956288033</v>
      </c>
      <c r="P72" s="1372">
        <f t="shared" si="38"/>
        <v>3.1304953956288033</v>
      </c>
      <c r="Q72" s="1372">
        <f t="shared" si="38"/>
        <v>3.1304953956288033</v>
      </c>
      <c r="R72" s="1372">
        <f t="shared" si="38"/>
        <v>3.1304953956288033</v>
      </c>
    </row>
    <row r="73" spans="2:18" s="6" customFormat="1" ht="19.5" customHeight="1" x14ac:dyDescent="0.25">
      <c r="B73" s="1373" t="s">
        <v>1453</v>
      </c>
      <c r="C73" s="1356">
        <v>1.05</v>
      </c>
      <c r="D73" s="1371"/>
      <c r="E73" s="1374">
        <f>E72*$C73</f>
        <v>8.1310498828569191</v>
      </c>
      <c r="F73" s="1374">
        <f>F72*$C73</f>
        <v>7.6120466988447761</v>
      </c>
      <c r="G73" s="1374">
        <f>G72*$C73</f>
        <v>6.9200424534952507</v>
      </c>
      <c r="H73" s="1374">
        <f t="shared" ref="H73:M73" si="39">H72*$C73</f>
        <v>6.0550371468083446</v>
      </c>
      <c r="I73" s="1374">
        <f t="shared" si="39"/>
        <v>5.1900318401214385</v>
      </c>
      <c r="J73" s="1374">
        <f t="shared" si="39"/>
        <v>4.3250265334345315</v>
      </c>
      <c r="K73" s="1374">
        <f t="shared" si="39"/>
        <v>3.9790244107597688</v>
      </c>
      <c r="L73" s="1374">
        <f t="shared" si="39"/>
        <v>3.4600212267476254</v>
      </c>
      <c r="M73" s="1374">
        <f t="shared" si="39"/>
        <v>3.4600212267476254</v>
      </c>
      <c r="N73" s="1374">
        <f>N72*$C73</f>
        <v>3.2870201654102438</v>
      </c>
      <c r="O73" s="1374">
        <f>O72*$C73</f>
        <v>3.2870201654102438</v>
      </c>
      <c r="P73" s="1374">
        <f>P72*$C73</f>
        <v>3.2870201654102438</v>
      </c>
      <c r="Q73" s="1374">
        <f>Q72*$C73</f>
        <v>3.2870201654102438</v>
      </c>
      <c r="R73" s="1374">
        <f>R72*$C73</f>
        <v>3.2870201654102438</v>
      </c>
    </row>
    <row r="74" spans="2:18" s="6" customFormat="1" ht="19.5" customHeight="1" x14ac:dyDescent="0.25">
      <c r="B74" s="1373" t="s">
        <v>1454</v>
      </c>
      <c r="C74" s="1356">
        <v>0.9</v>
      </c>
      <c r="D74" s="1371"/>
      <c r="E74" s="1374">
        <f>E72*$C74</f>
        <v>6.969471328163074</v>
      </c>
      <c r="F74" s="1374">
        <f>F72*$C74</f>
        <v>6.5246114561526651</v>
      </c>
      <c r="G74" s="1374">
        <f>G72*$C74</f>
        <v>5.9314649601387863</v>
      </c>
      <c r="H74" s="1374">
        <f t="shared" ref="H74:M74" si="40">H72*$C74</f>
        <v>5.1900318401214376</v>
      </c>
      <c r="I74" s="1374">
        <f t="shared" si="40"/>
        <v>4.4485987201040897</v>
      </c>
      <c r="J74" s="1374">
        <f t="shared" si="40"/>
        <v>3.707165600086741</v>
      </c>
      <c r="K74" s="1374">
        <f t="shared" si="40"/>
        <v>3.4105923520798016</v>
      </c>
      <c r="L74" s="1374">
        <f t="shared" si="40"/>
        <v>2.9657324800693932</v>
      </c>
      <c r="M74" s="1374">
        <f t="shared" si="40"/>
        <v>2.9657324800693932</v>
      </c>
      <c r="N74" s="1374">
        <f>N72*$C74</f>
        <v>2.8174458560659232</v>
      </c>
      <c r="O74" s="1374">
        <f>O72*$C74</f>
        <v>2.8174458560659232</v>
      </c>
      <c r="P74" s="1374">
        <f>P72*$C74</f>
        <v>2.8174458560659232</v>
      </c>
      <c r="Q74" s="1374">
        <f>Q72*$C74</f>
        <v>2.8174458560659232</v>
      </c>
      <c r="R74" s="1374">
        <f>R72*$C74</f>
        <v>2.8174458560659232</v>
      </c>
    </row>
    <row r="75" spans="2:18" ht="15" x14ac:dyDescent="0.25">
      <c r="H75" s="1357"/>
      <c r="I75" s="1357"/>
      <c r="J75" s="1357"/>
      <c r="K75" s="1357"/>
      <c r="L75" s="1357"/>
      <c r="M75" s="1357"/>
    </row>
    <row r="76" spans="2:18" ht="15" x14ac:dyDescent="0.25">
      <c r="B76" s="1369" t="s">
        <v>1470</v>
      </c>
      <c r="C76" s="1370">
        <f>C35</f>
        <v>10.348399986527042</v>
      </c>
      <c r="D76" s="1371"/>
      <c r="E76" s="1372">
        <f>E35</f>
        <v>10.348399986527042</v>
      </c>
      <c r="F76" s="1372">
        <f>F35</f>
        <v>10.348399986527042</v>
      </c>
      <c r="G76" s="1372">
        <f t="shared" ref="G76:R76" si="41">G35</f>
        <v>10.348399986527042</v>
      </c>
      <c r="H76" s="1372">
        <f t="shared" si="41"/>
        <v>10.348399986527042</v>
      </c>
      <c r="I76" s="1372">
        <f t="shared" si="41"/>
        <v>10.348399986527042</v>
      </c>
      <c r="J76" s="1372">
        <f t="shared" si="41"/>
        <v>10.348399986527042</v>
      </c>
      <c r="K76" s="1372">
        <f t="shared" si="41"/>
        <v>10.348399986527042</v>
      </c>
      <c r="L76" s="1372">
        <f t="shared" si="41"/>
        <v>10.348399986527042</v>
      </c>
      <c r="M76" s="1372">
        <f t="shared" si="41"/>
        <v>10.348399986527042</v>
      </c>
      <c r="N76" s="1372">
        <f t="shared" si="41"/>
        <v>10.348399986527042</v>
      </c>
      <c r="O76" s="1372">
        <f t="shared" si="41"/>
        <v>10.348399986527042</v>
      </c>
      <c r="P76" s="1372">
        <f t="shared" si="41"/>
        <v>10.348399986527042</v>
      </c>
      <c r="Q76" s="1372">
        <f t="shared" si="41"/>
        <v>10.348399986527042</v>
      </c>
      <c r="R76" s="1372">
        <f t="shared" si="41"/>
        <v>10.348399986527042</v>
      </c>
    </row>
    <row r="77" spans="2:18" ht="15" x14ac:dyDescent="0.25">
      <c r="B77" s="1373" t="s">
        <v>1453</v>
      </c>
      <c r="C77" s="1356">
        <v>1.05</v>
      </c>
      <c r="D77" s="1371"/>
      <c r="E77" s="1374">
        <f>E76*$C77</f>
        <v>10.865819985853394</v>
      </c>
      <c r="F77" s="1374">
        <f>F76*$C77</f>
        <v>10.865819985853394</v>
      </c>
      <c r="G77" s="1374">
        <f>G76*$C77</f>
        <v>10.865819985853394</v>
      </c>
      <c r="H77" s="1374">
        <f t="shared" ref="H77:M77" si="42">H76*$C77</f>
        <v>10.865819985853394</v>
      </c>
      <c r="I77" s="1374">
        <f t="shared" si="42"/>
        <v>10.865819985853394</v>
      </c>
      <c r="J77" s="1374">
        <f t="shared" si="42"/>
        <v>10.865819985853394</v>
      </c>
      <c r="K77" s="1374">
        <f t="shared" si="42"/>
        <v>10.865819985853394</v>
      </c>
      <c r="L77" s="1374">
        <f t="shared" si="42"/>
        <v>10.865819985853394</v>
      </c>
      <c r="M77" s="1374">
        <f t="shared" si="42"/>
        <v>10.865819985853394</v>
      </c>
      <c r="N77" s="1374">
        <f>N76*$C77</f>
        <v>10.865819985853394</v>
      </c>
      <c r="O77" s="1374">
        <f>O76*$C77</f>
        <v>10.865819985853394</v>
      </c>
      <c r="P77" s="1374">
        <f>P76*$C77</f>
        <v>10.865819985853394</v>
      </c>
      <c r="Q77" s="1374">
        <f>Q76*$C77</f>
        <v>10.865819985853394</v>
      </c>
      <c r="R77" s="1374">
        <f>R76*$C77</f>
        <v>10.865819985853394</v>
      </c>
    </row>
    <row r="78" spans="2:18" ht="15" x14ac:dyDescent="0.25">
      <c r="B78" s="1373" t="s">
        <v>1454</v>
      </c>
      <c r="C78" s="1356">
        <v>0.9</v>
      </c>
      <c r="D78" s="1371"/>
      <c r="E78" s="1374">
        <f>E76*$C78</f>
        <v>9.3135599878743385</v>
      </c>
      <c r="F78" s="1374">
        <f>F76*$C78</f>
        <v>9.3135599878743385</v>
      </c>
      <c r="G78" s="1374">
        <f>G76*$C78</f>
        <v>9.3135599878743385</v>
      </c>
      <c r="H78" s="1374">
        <f t="shared" ref="H78:M78" si="43">H76*$C78</f>
        <v>9.3135599878743385</v>
      </c>
      <c r="I78" s="1374">
        <f t="shared" si="43"/>
        <v>9.3135599878743385</v>
      </c>
      <c r="J78" s="1374">
        <f t="shared" si="43"/>
        <v>9.3135599878743385</v>
      </c>
      <c r="K78" s="1374">
        <f t="shared" si="43"/>
        <v>9.3135599878743385</v>
      </c>
      <c r="L78" s="1374">
        <f t="shared" si="43"/>
        <v>9.3135599878743385</v>
      </c>
      <c r="M78" s="1374">
        <f t="shared" si="43"/>
        <v>9.3135599878743385</v>
      </c>
      <c r="N78" s="1374">
        <f>N76*$C78</f>
        <v>9.3135599878743385</v>
      </c>
      <c r="O78" s="1374">
        <f>O76*$C78</f>
        <v>9.3135599878743385</v>
      </c>
      <c r="P78" s="1374">
        <f>P76*$C78</f>
        <v>9.3135599878743385</v>
      </c>
      <c r="Q78" s="1374">
        <f>Q76*$C78</f>
        <v>9.3135599878743385</v>
      </c>
      <c r="R78" s="1374">
        <f>R76*$C78</f>
        <v>9.3135599878743385</v>
      </c>
    </row>
    <row r="79" spans="2:18" ht="15" x14ac:dyDescent="0.25">
      <c r="H79" s="1357"/>
      <c r="I79" s="1357"/>
      <c r="J79" s="1357"/>
      <c r="K79" s="1357"/>
      <c r="L79" s="1357"/>
      <c r="M79" s="1357"/>
    </row>
    <row r="80" spans="2:18" s="6" customFormat="1" ht="19.5" customHeight="1" x14ac:dyDescent="0.25">
      <c r="B80" s="1369" t="s">
        <v>1448</v>
      </c>
      <c r="C80" s="1375">
        <f>C37</f>
        <v>0.05</v>
      </c>
      <c r="D80" s="1371"/>
      <c r="E80" s="1372">
        <f t="shared" ref="E80" si="44">E37</f>
        <v>8.0647245869552862</v>
      </c>
      <c r="F80" s="1372">
        <f t="shared" ref="F80:R80" si="45">F37</f>
        <v>5.0647245869552862</v>
      </c>
      <c r="G80" s="1372">
        <f t="shared" si="45"/>
        <v>4.0647245869552862</v>
      </c>
      <c r="H80" s="1372">
        <f t="shared" si="45"/>
        <v>3.5647245869552866</v>
      </c>
      <c r="I80" s="1372">
        <f t="shared" si="45"/>
        <v>3.2647245869552868</v>
      </c>
      <c r="J80" s="1372">
        <f t="shared" si="45"/>
        <v>3.0647245869552866</v>
      </c>
      <c r="K80" s="1372">
        <f t="shared" si="45"/>
        <v>2.9218674440981438</v>
      </c>
      <c r="L80" s="1372">
        <f t="shared" si="45"/>
        <v>2.8147245869552866</v>
      </c>
      <c r="M80" s="1372">
        <f t="shared" si="45"/>
        <v>2.7313912536219531</v>
      </c>
      <c r="N80" s="1372">
        <f t="shared" si="45"/>
        <v>2.6647245869552867</v>
      </c>
      <c r="O80" s="1372">
        <f t="shared" si="45"/>
        <v>2.6101791324098316</v>
      </c>
      <c r="P80" s="1372">
        <f t="shared" si="45"/>
        <v>2.5647245869552866</v>
      </c>
      <c r="Q80" s="1372">
        <f t="shared" si="45"/>
        <v>2.5262630484937483</v>
      </c>
      <c r="R80" s="1372">
        <f t="shared" si="45"/>
        <v>2.493296015526715</v>
      </c>
    </row>
    <row r="81" spans="2:18" s="6" customFormat="1" ht="19.5" customHeight="1" x14ac:dyDescent="0.25">
      <c r="B81" s="1373" t="s">
        <v>1453</v>
      </c>
      <c r="C81" s="1356">
        <v>1.05</v>
      </c>
      <c r="D81" s="1371"/>
      <c r="E81" s="1374">
        <f>E80*$C81</f>
        <v>8.4679608163030515</v>
      </c>
      <c r="F81" s="1374">
        <f>F80*$C81</f>
        <v>5.3179608163030503</v>
      </c>
      <c r="G81" s="1374">
        <f>G80*$C81</f>
        <v>4.2679608163030505</v>
      </c>
      <c r="H81" s="1374">
        <f t="shared" ref="H81:M81" si="46">H80*$C81</f>
        <v>3.742960816303051</v>
      </c>
      <c r="I81" s="1374">
        <f t="shared" si="46"/>
        <v>3.4279608163030511</v>
      </c>
      <c r="J81" s="1374">
        <f t="shared" si="46"/>
        <v>3.2179608163030511</v>
      </c>
      <c r="K81" s="1374">
        <f t="shared" si="46"/>
        <v>3.0679608163030512</v>
      </c>
      <c r="L81" s="1374">
        <f t="shared" si="46"/>
        <v>2.9554608163030509</v>
      </c>
      <c r="M81" s="1374">
        <f t="shared" si="46"/>
        <v>2.867960816303051</v>
      </c>
      <c r="N81" s="1374">
        <f>N80*$C81</f>
        <v>2.7979608163030512</v>
      </c>
      <c r="O81" s="1374">
        <f>O80*$C81</f>
        <v>2.7406880890303231</v>
      </c>
      <c r="P81" s="1374">
        <f>P80*$C81</f>
        <v>2.6929608163030512</v>
      </c>
      <c r="Q81" s="1374">
        <f>Q80*$C81</f>
        <v>2.6525762009184359</v>
      </c>
      <c r="R81" s="1374">
        <f>R80*$C81</f>
        <v>2.617960816303051</v>
      </c>
    </row>
    <row r="82" spans="2:18" s="6" customFormat="1" ht="19.5" customHeight="1" x14ac:dyDescent="0.25">
      <c r="B82" s="1373" t="s">
        <v>1454</v>
      </c>
      <c r="C82" s="1356">
        <v>0.95</v>
      </c>
      <c r="D82" s="1371"/>
      <c r="E82" s="1374">
        <f>E80*$C82</f>
        <v>7.6614883576075217</v>
      </c>
      <c r="F82" s="1374">
        <f>F80*$C82</f>
        <v>4.811488357607522</v>
      </c>
      <c r="G82" s="1374">
        <f>G80*$C82</f>
        <v>3.8614883576075218</v>
      </c>
      <c r="H82" s="1374">
        <f t="shared" ref="H82:M82" si="47">H80*$C82</f>
        <v>3.3864883576075222</v>
      </c>
      <c r="I82" s="1374">
        <f t="shared" si="47"/>
        <v>3.1014883576075225</v>
      </c>
      <c r="J82" s="1374">
        <f t="shared" si="47"/>
        <v>2.9114883576075221</v>
      </c>
      <c r="K82" s="1374">
        <f t="shared" si="47"/>
        <v>2.7757740718932364</v>
      </c>
      <c r="L82" s="1374">
        <f t="shared" si="47"/>
        <v>2.6739883576075223</v>
      </c>
      <c r="M82" s="1374">
        <f t="shared" si="47"/>
        <v>2.5948216909408552</v>
      </c>
      <c r="N82" s="1374">
        <f>N80*$C82</f>
        <v>2.5314883576075222</v>
      </c>
      <c r="O82" s="1374">
        <f>O80*$C82</f>
        <v>2.47967017578934</v>
      </c>
      <c r="P82" s="1374">
        <f>P80*$C82</f>
        <v>2.436488357607522</v>
      </c>
      <c r="Q82" s="1374">
        <f>Q80*$C82</f>
        <v>2.3999498960690606</v>
      </c>
      <c r="R82" s="1374">
        <f>R80*$C82</f>
        <v>2.368631214750379</v>
      </c>
    </row>
    <row r="83" spans="2:18" ht="15" x14ac:dyDescent="0.25">
      <c r="H83" s="1357"/>
      <c r="I83" s="1357"/>
      <c r="J83" s="1357"/>
      <c r="K83" s="1357"/>
      <c r="L83" s="1357"/>
      <c r="M83" s="1357"/>
    </row>
    <row r="84" spans="2:18" s="6" customFormat="1" ht="19.5" customHeight="1" x14ac:dyDescent="0.25">
      <c r="B84" s="1366" t="s">
        <v>1414</v>
      </c>
      <c r="C84" s="1376"/>
      <c r="D84" s="115"/>
      <c r="E84" s="116"/>
      <c r="F84" s="116"/>
      <c r="G84" s="116"/>
      <c r="H84" s="1272"/>
      <c r="I84" s="1272"/>
      <c r="J84" s="1272"/>
      <c r="K84" s="1272"/>
      <c r="L84" s="1272"/>
      <c r="M84" s="1272"/>
      <c r="N84" s="1272"/>
      <c r="O84" s="1272"/>
      <c r="P84" s="1272"/>
      <c r="Q84" s="1272"/>
      <c r="R84" s="1272"/>
    </row>
    <row r="85" spans="2:18" s="6" customFormat="1" ht="19.5" customHeight="1" x14ac:dyDescent="0.25">
      <c r="B85" s="1329" t="s">
        <v>1455</v>
      </c>
      <c r="C85" s="1367"/>
      <c r="D85" s="115"/>
      <c r="E85" s="1357">
        <f>E45+E49+E53+E57+E61+E65+E69+E73+E77+E81</f>
        <v>96.90954473315837</v>
      </c>
      <c r="F85" s="1357">
        <f>F45+F49+F53+F57+F61+F65+F69+F73+F77+F81</f>
        <v>89.859221330844917</v>
      </c>
      <c r="G85" s="1357">
        <f t="shared" ref="G85:R85" si="48">G45+G49+G53+G57+G61+G65+G69+G73+G77+G81</f>
        <v>86.584261992135026</v>
      </c>
      <c r="H85" s="1357">
        <f t="shared" si="48"/>
        <v>82.912084354505396</v>
      </c>
      <c r="I85" s="1357">
        <f t="shared" si="48"/>
        <v>79.590411007939153</v>
      </c>
      <c r="J85" s="1357">
        <f t="shared" si="48"/>
        <v>77.213098607514766</v>
      </c>
      <c r="K85" s="1357">
        <f t="shared" si="48"/>
        <v>75.613969652913852</v>
      </c>
      <c r="L85" s="1357">
        <f t="shared" si="48"/>
        <v>74.187785211715976</v>
      </c>
      <c r="M85" s="1357">
        <f t="shared" si="48"/>
        <v>74.100285211715985</v>
      </c>
      <c r="N85" s="1357">
        <f t="shared" si="48"/>
        <v>73.814033885044253</v>
      </c>
      <c r="O85" s="1357">
        <f t="shared" si="48"/>
        <v>73.625405745849406</v>
      </c>
      <c r="P85" s="1357">
        <f t="shared" si="48"/>
        <v>73.42312310479916</v>
      </c>
      <c r="Q85" s="1357">
        <f t="shared" si="48"/>
        <v>73.382738489414535</v>
      </c>
      <c r="R85" s="1357">
        <f t="shared" si="48"/>
        <v>73.348123104799157</v>
      </c>
    </row>
    <row r="86" spans="2:18" s="6" customFormat="1" ht="19.5" customHeight="1" x14ac:dyDescent="0.25">
      <c r="B86" s="1329" t="s">
        <v>1456</v>
      </c>
      <c r="C86" s="1367"/>
      <c r="D86" s="115"/>
      <c r="E86" s="1357">
        <f>E46+E50+E54+E58+E62+E66+E70+E74+E78+E82</f>
        <v>85.02043012339999</v>
      </c>
      <c r="F86" s="1357">
        <f>F46+F50+F54+F58+F62+F66+F70+F74+F78+F82</f>
        <v>78.688128790529959</v>
      </c>
      <c r="G86" s="1357">
        <f t="shared" ref="G86:R86" si="49">G46+G50+G54+G58+G62+G66+G70+G74+G78+G82</f>
        <v>75.772588431306687</v>
      </c>
      <c r="H86" s="1357">
        <f t="shared" si="49"/>
        <v>72.509539609867872</v>
      </c>
      <c r="I86" s="1357">
        <f t="shared" si="49"/>
        <v>69.563613718438788</v>
      </c>
      <c r="J86" s="1357">
        <f t="shared" si="49"/>
        <v>67.46846825868036</v>
      </c>
      <c r="K86" s="1357">
        <f t="shared" si="49"/>
        <v>66.05267909828541</v>
      </c>
      <c r="L86" s="1357">
        <f t="shared" si="49"/>
        <v>64.794318937546237</v>
      </c>
      <c r="M86" s="1357">
        <f t="shared" si="49"/>
        <v>64.715152270879571</v>
      </c>
      <c r="N86" s="1357">
        <f t="shared" si="49"/>
        <v>64.46440112109741</v>
      </c>
      <c r="O86" s="1357">
        <f t="shared" si="49"/>
        <v>64.295558254959502</v>
      </c>
      <c r="P86" s="1357">
        <f t="shared" si="49"/>
        <v>64.112540627342597</v>
      </c>
      <c r="Q86" s="1357">
        <f t="shared" si="49"/>
        <v>64.076002165804141</v>
      </c>
      <c r="R86" s="1357">
        <f t="shared" si="49"/>
        <v>64.044683484485461</v>
      </c>
    </row>
    <row r="87" spans="2:18" ht="15" x14ac:dyDescent="0.25">
      <c r="H87" s="1357"/>
      <c r="I87" s="1357"/>
      <c r="J87" s="1357"/>
      <c r="K87" s="1357"/>
      <c r="L87" s="1357"/>
      <c r="M87" s="1357"/>
    </row>
    <row r="90" spans="2:18" ht="25.5" customHeight="1" x14ac:dyDescent="0.2">
      <c r="B90" s="1260"/>
      <c r="C90" s="1261"/>
      <c r="D90" s="1262"/>
      <c r="E90" s="1262"/>
      <c r="F90" s="1262"/>
      <c r="G90" s="1262"/>
      <c r="H90" s="1264"/>
      <c r="I90" s="1264"/>
      <c r="J90" s="1263"/>
      <c r="K90" s="1265"/>
      <c r="L90" s="1265"/>
    </row>
    <row r="91" spans="2:18" s="6" customFormat="1" ht="15" customHeight="1" x14ac:dyDescent="0.25">
      <c r="B91" s="1407" t="s">
        <v>100</v>
      </c>
      <c r="C91" s="1407"/>
      <c r="D91" s="1326"/>
      <c r="E91" s="1403"/>
      <c r="F91" s="1382"/>
      <c r="G91" s="1382"/>
      <c r="H91" s="57"/>
      <c r="I91" s="57"/>
      <c r="J91" s="57"/>
      <c r="K91" s="57"/>
      <c r="L91" s="57"/>
      <c r="M91" s="57"/>
    </row>
    <row r="92" spans="2:18" s="6" customFormat="1" ht="15" customHeight="1" x14ac:dyDescent="0.25">
      <c r="B92" s="1407"/>
      <c r="C92" s="1407"/>
      <c r="D92" s="1326"/>
      <c r="E92" s="1403"/>
      <c r="F92" s="1382"/>
      <c r="G92" s="1382"/>
      <c r="H92" s="57"/>
      <c r="I92" s="57"/>
      <c r="J92" s="57"/>
      <c r="K92" s="57"/>
      <c r="L92" s="57"/>
      <c r="M92" s="57"/>
    </row>
    <row r="93" spans="2:18" s="92" customFormat="1" ht="15" customHeight="1" thickBot="1" x14ac:dyDescent="0.3">
      <c r="B93" s="1407"/>
      <c r="C93" s="1407"/>
      <c r="D93" s="1409" t="s">
        <v>102</v>
      </c>
      <c r="E93" s="1409"/>
      <c r="F93" s="1409"/>
      <c r="G93" s="1409"/>
      <c r="H93" s="1409"/>
      <c r="I93" s="1409"/>
      <c r="J93" s="1409"/>
      <c r="K93" s="1409"/>
      <c r="L93" s="1409"/>
      <c r="M93" s="1410"/>
    </row>
    <row r="94" spans="2:18" s="6" customFormat="1" ht="15" customHeight="1" thickBot="1" x14ac:dyDescent="0.35">
      <c r="B94" s="101"/>
      <c r="C94" s="150" t="s">
        <v>103</v>
      </c>
      <c r="D94" s="102" t="s">
        <v>507</v>
      </c>
      <c r="E94" s="102"/>
      <c r="F94" s="102"/>
      <c r="G94" s="102"/>
      <c r="H94" s="102" t="s">
        <v>511</v>
      </c>
      <c r="I94" s="102" t="s">
        <v>512</v>
      </c>
      <c r="J94" s="102" t="s">
        <v>513</v>
      </c>
      <c r="K94" s="102" t="s">
        <v>514</v>
      </c>
      <c r="L94" s="102" t="s">
        <v>515</v>
      </c>
      <c r="M94" s="102" t="s">
        <v>516</v>
      </c>
    </row>
    <row r="95" spans="2:18" s="73" customFormat="1" ht="26.25" customHeight="1" x14ac:dyDescent="0.3">
      <c r="B95" s="1325" t="s">
        <v>101</v>
      </c>
      <c r="C95" s="145">
        <v>1</v>
      </c>
      <c r="D95" s="114"/>
      <c r="E95" s="114"/>
      <c r="F95" s="114"/>
      <c r="G95" s="114"/>
      <c r="H95" s="114"/>
      <c r="I95" s="114"/>
      <c r="J95" s="114"/>
      <c r="K95" s="114"/>
      <c r="L95" s="114"/>
      <c r="M95" s="114"/>
    </row>
    <row r="96" spans="2:18" s="6" customFormat="1" ht="18.75" customHeight="1" x14ac:dyDescent="0.25">
      <c r="B96" s="1329" t="s">
        <v>305</v>
      </c>
      <c r="C96" s="352"/>
      <c r="D96" s="115"/>
      <c r="E96" s="115"/>
      <c r="F96" s="115"/>
      <c r="G96" s="115"/>
      <c r="H96" s="115"/>
      <c r="I96" s="115"/>
      <c r="J96" s="115"/>
      <c r="K96" s="115"/>
      <c r="L96" s="115"/>
      <c r="M96" s="115"/>
    </row>
    <row r="97" spans="2:13" s="6" customFormat="1" ht="18.75" customHeight="1" x14ac:dyDescent="0.25">
      <c r="B97" s="1329" t="s">
        <v>179</v>
      </c>
      <c r="C97" s="147">
        <v>2</v>
      </c>
      <c r="D97" s="115"/>
      <c r="E97" s="115"/>
      <c r="F97" s="115"/>
      <c r="G97" s="115"/>
      <c r="H97" s="115"/>
      <c r="I97" s="115"/>
      <c r="J97" s="115"/>
      <c r="K97" s="115"/>
      <c r="L97" s="115"/>
      <c r="M97" s="115"/>
    </row>
    <row r="98" spans="2:13" s="6" customFormat="1" ht="18.75" customHeight="1" x14ac:dyDescent="0.25">
      <c r="B98" s="1329" t="s">
        <v>162</v>
      </c>
      <c r="C98" s="147">
        <v>3</v>
      </c>
      <c r="D98" s="115"/>
      <c r="E98" s="115"/>
      <c r="F98" s="115"/>
      <c r="G98" s="115"/>
      <c r="H98" s="115"/>
      <c r="I98" s="115"/>
      <c r="J98" s="115"/>
      <c r="K98" s="115"/>
      <c r="L98" s="115"/>
      <c r="M98" s="115"/>
    </row>
    <row r="99" spans="2:13" s="6" customFormat="1" ht="18.75" customHeight="1" thickBot="1" x14ac:dyDescent="0.3">
      <c r="B99" s="1329" t="s">
        <v>163</v>
      </c>
      <c r="C99" s="147">
        <v>4</v>
      </c>
      <c r="D99" s="117"/>
      <c r="E99" s="117"/>
      <c r="F99" s="117"/>
      <c r="G99" s="117"/>
      <c r="H99" s="117"/>
      <c r="I99" s="117"/>
      <c r="J99" s="117"/>
      <c r="K99" s="117"/>
      <c r="L99" s="117"/>
      <c r="M99" s="117"/>
    </row>
    <row r="100" spans="2:13" s="73" customFormat="1" ht="26.25" customHeight="1" x14ac:dyDescent="0.3">
      <c r="B100" s="1327" t="s">
        <v>50</v>
      </c>
      <c r="C100" s="148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</row>
    <row r="101" spans="2:13" s="6" customFormat="1" ht="18.75" customHeight="1" thickBot="1" x14ac:dyDescent="0.3">
      <c r="B101" s="1329" t="s">
        <v>104</v>
      </c>
      <c r="C101" s="147">
        <v>5</v>
      </c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</row>
    <row r="102" spans="2:13" s="6" customFormat="1" ht="19.5" customHeight="1" x14ac:dyDescent="0.25">
      <c r="B102" s="1329" t="s">
        <v>106</v>
      </c>
      <c r="C102" s="149">
        <v>6</v>
      </c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</row>
    <row r="103" spans="2:13" s="6" customFormat="1" ht="18.75" customHeight="1" thickBot="1" x14ac:dyDescent="0.3">
      <c r="B103" s="1329" t="s">
        <v>92</v>
      </c>
      <c r="C103" s="149">
        <v>7</v>
      </c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</row>
    <row r="104" spans="2:13" s="73" customFormat="1" ht="26.25" customHeight="1" x14ac:dyDescent="0.3">
      <c r="B104" s="1328" t="s">
        <v>107</v>
      </c>
      <c r="C104" s="147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</row>
    <row r="105" spans="2:13" s="6" customFormat="1" ht="18.75" customHeight="1" thickBot="1" x14ac:dyDescent="0.3">
      <c r="B105" s="1329" t="s">
        <v>108</v>
      </c>
      <c r="C105" s="149">
        <v>8</v>
      </c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</row>
    <row r="106" spans="2:13" s="73" customFormat="1" ht="26.25" customHeight="1" thickBot="1" x14ac:dyDescent="0.35">
      <c r="B106" s="1328" t="s">
        <v>109</v>
      </c>
      <c r="C106" s="147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</row>
  </sheetData>
  <mergeCells count="4">
    <mergeCell ref="B3:C5"/>
    <mergeCell ref="D5:M5"/>
    <mergeCell ref="B91:C93"/>
    <mergeCell ref="D93:M93"/>
  </mergeCells>
  <pageMargins left="0.7" right="0.7" top="0.75" bottom="0.75" header="0.3" footer="0.3"/>
  <pageSetup paperSize="9" orientation="portrait" r:id="rId1"/>
  <ignoredErrors>
    <ignoredError sqref="L30:L31 L33" formula="1"/>
  </ignoredError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6"/>
  <sheetViews>
    <sheetView workbookViewId="0">
      <selection activeCell="E5" sqref="E5"/>
    </sheetView>
  </sheetViews>
  <sheetFormatPr defaultColWidth="9.140625" defaultRowHeight="15" x14ac:dyDescent="0.25"/>
  <cols>
    <col min="1" max="1" width="9.140625" style="988"/>
    <col min="2" max="2" width="45.7109375" customWidth="1"/>
    <col min="3" max="3" width="6.7109375" customWidth="1"/>
    <col min="4" max="4" width="13.5703125" customWidth="1"/>
    <col min="5" max="5" width="15.42578125" style="1001" bestFit="1" customWidth="1"/>
    <col min="6" max="6" width="19" style="1001" customWidth="1"/>
    <col min="7" max="7" width="16" customWidth="1"/>
  </cols>
  <sheetData>
    <row r="1" spans="1:7" x14ac:dyDescent="0.25">
      <c r="A1" s="990" t="s">
        <v>791</v>
      </c>
      <c r="B1" s="991" t="s">
        <v>792</v>
      </c>
      <c r="C1" s="992" t="s">
        <v>793</v>
      </c>
      <c r="D1" s="993" t="s">
        <v>794</v>
      </c>
      <c r="E1" s="994" t="s">
        <v>205</v>
      </c>
      <c r="F1" s="995" t="s">
        <v>795</v>
      </c>
    </row>
    <row r="2" spans="1:7" x14ac:dyDescent="0.25">
      <c r="A2" s="973"/>
      <c r="B2" s="660"/>
      <c r="C2" s="974"/>
      <c r="D2" s="974"/>
      <c r="E2" s="996"/>
      <c r="F2" s="997"/>
    </row>
    <row r="3" spans="1:7" x14ac:dyDescent="0.25">
      <c r="A3" s="973" t="s">
        <v>803</v>
      </c>
      <c r="B3" s="998" t="s">
        <v>804</v>
      </c>
      <c r="C3" s="974"/>
      <c r="D3" s="974"/>
      <c r="E3" s="996"/>
      <c r="F3" s="997"/>
    </row>
    <row r="4" spans="1:7" x14ac:dyDescent="0.25">
      <c r="A4" s="971" t="s">
        <v>805</v>
      </c>
      <c r="B4" s="999" t="s">
        <v>806</v>
      </c>
      <c r="C4" s="974" t="s">
        <v>541</v>
      </c>
      <c r="D4" s="1000">
        <v>5.0000000000000001E-3</v>
      </c>
      <c r="E4" s="996">
        <f>SUM('Capex Summary Sheet'!F8:F11)</f>
        <v>57048760.99337709</v>
      </c>
      <c r="F4" s="997">
        <f>E4*D4</f>
        <v>285243.80496688548</v>
      </c>
    </row>
    <row r="5" spans="1:7" x14ac:dyDescent="0.25">
      <c r="A5" s="973"/>
      <c r="B5" s="660"/>
      <c r="C5" s="974"/>
      <c r="D5" s="1000"/>
      <c r="E5" s="996"/>
      <c r="F5" s="997"/>
    </row>
    <row r="6" spans="1:7" x14ac:dyDescent="0.25">
      <c r="A6" s="971" t="s">
        <v>807</v>
      </c>
      <c r="B6" s="956" t="s">
        <v>808</v>
      </c>
      <c r="C6" s="974" t="s">
        <v>541</v>
      </c>
      <c r="D6" s="1000">
        <v>0.01</v>
      </c>
      <c r="E6" s="996">
        <f>E4</f>
        <v>57048760.99337709</v>
      </c>
      <c r="F6" s="997">
        <f>E6*D6</f>
        <v>570487.60993377096</v>
      </c>
    </row>
    <row r="7" spans="1:7" x14ac:dyDescent="0.25">
      <c r="A7" s="973"/>
      <c r="B7" s="660"/>
      <c r="C7" s="974"/>
      <c r="D7" s="974"/>
      <c r="E7" s="996"/>
      <c r="F7" s="997"/>
    </row>
    <row r="8" spans="1:7" x14ac:dyDescent="0.25">
      <c r="A8" s="971" t="s">
        <v>809</v>
      </c>
      <c r="B8" s="956" t="s">
        <v>810</v>
      </c>
      <c r="C8" s="974"/>
      <c r="D8" s="974"/>
      <c r="E8" s="996"/>
      <c r="F8" s="997"/>
    </row>
    <row r="9" spans="1:7" x14ac:dyDescent="0.25">
      <c r="A9" s="973" t="s">
        <v>811</v>
      </c>
      <c r="B9" s="660" t="s">
        <v>812</v>
      </c>
      <c r="C9" s="974" t="s">
        <v>813</v>
      </c>
      <c r="D9" s="974">
        <v>0</v>
      </c>
      <c r="E9" s="996">
        <v>0</v>
      </c>
      <c r="F9" s="997">
        <f>D9*E9</f>
        <v>0</v>
      </c>
    </row>
    <row r="10" spans="1:7" x14ac:dyDescent="0.25">
      <c r="A10" s="973" t="s">
        <v>814</v>
      </c>
      <c r="B10" s="660" t="s">
        <v>815</v>
      </c>
      <c r="C10" s="974" t="s">
        <v>813</v>
      </c>
      <c r="D10" s="974">
        <v>0</v>
      </c>
      <c r="E10" s="996">
        <v>0</v>
      </c>
      <c r="F10" s="997">
        <v>0</v>
      </c>
      <c r="G10" s="1001"/>
    </row>
    <row r="11" spans="1:7" x14ac:dyDescent="0.25">
      <c r="A11" s="973"/>
      <c r="B11" s="660"/>
      <c r="C11" s="974"/>
      <c r="D11" s="974"/>
      <c r="E11" s="996"/>
      <c r="F11" s="997"/>
    </row>
    <row r="12" spans="1:7" x14ac:dyDescent="0.25">
      <c r="A12" s="971" t="s">
        <v>816</v>
      </c>
      <c r="B12" s="660" t="s">
        <v>817</v>
      </c>
      <c r="C12" s="974" t="s">
        <v>813</v>
      </c>
      <c r="D12" s="974">
        <v>0</v>
      </c>
      <c r="E12" s="996">
        <v>0</v>
      </c>
      <c r="F12" s="997">
        <v>0</v>
      </c>
    </row>
    <row r="13" spans="1:7" x14ac:dyDescent="0.25">
      <c r="A13" s="973"/>
      <c r="B13" s="660"/>
      <c r="C13" s="974"/>
      <c r="D13" s="974"/>
      <c r="E13" s="996"/>
      <c r="F13" s="997"/>
    </row>
    <row r="14" spans="1:7" x14ac:dyDescent="0.25">
      <c r="A14" s="1002"/>
      <c r="B14" s="662"/>
      <c r="C14" s="1003"/>
      <c r="D14" s="1003"/>
      <c r="E14" s="1004"/>
      <c r="F14" s="1005"/>
    </row>
    <row r="15" spans="1:7" ht="16.5" thickBot="1" x14ac:dyDescent="0.3">
      <c r="A15" s="1006"/>
      <c r="B15" s="1007" t="s">
        <v>818</v>
      </c>
      <c r="C15" s="1008"/>
      <c r="D15" s="1008"/>
      <c r="E15" s="1009"/>
      <c r="F15" s="1010">
        <f>SUM(F4:F12)</f>
        <v>855731.41490065644</v>
      </c>
    </row>
    <row r="16" spans="1:7" ht="15.75" thickTop="1" x14ac:dyDescent="0.25"/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9"/>
  <sheetViews>
    <sheetView topLeftCell="A7" workbookViewId="0">
      <selection activeCell="I10" sqref="I10"/>
    </sheetView>
  </sheetViews>
  <sheetFormatPr defaultColWidth="9.140625" defaultRowHeight="15" x14ac:dyDescent="0.25"/>
  <cols>
    <col min="1" max="1" width="9.140625" style="988"/>
    <col min="2" max="2" width="45.7109375" customWidth="1"/>
    <col min="3" max="3" width="6.7109375" customWidth="1"/>
    <col min="4" max="4" width="13.5703125" customWidth="1"/>
    <col min="5" max="5" width="13.5703125" style="1001" customWidth="1"/>
    <col min="6" max="6" width="17.7109375" style="1001" bestFit="1" customWidth="1"/>
  </cols>
  <sheetData>
    <row r="1" spans="1:6" x14ac:dyDescent="0.25">
      <c r="A1" s="990" t="s">
        <v>791</v>
      </c>
      <c r="B1" s="991" t="s">
        <v>792</v>
      </c>
      <c r="C1" s="992" t="s">
        <v>793</v>
      </c>
      <c r="D1" s="993" t="s">
        <v>794</v>
      </c>
      <c r="E1" s="1011" t="s">
        <v>205</v>
      </c>
      <c r="F1" s="1012" t="s">
        <v>795</v>
      </c>
    </row>
    <row r="2" spans="1:6" x14ac:dyDescent="0.25">
      <c r="A2" s="973"/>
      <c r="C2" s="974"/>
      <c r="D2" s="974"/>
      <c r="F2" s="996"/>
    </row>
    <row r="3" spans="1:6" x14ac:dyDescent="0.25">
      <c r="A3" s="973" t="s">
        <v>819</v>
      </c>
      <c r="B3" s="1013" t="s">
        <v>820</v>
      </c>
      <c r="C3" s="974"/>
      <c r="D3" s="974"/>
      <c r="F3" s="996"/>
    </row>
    <row r="4" spans="1:6" x14ac:dyDescent="0.25">
      <c r="A4" s="971" t="s">
        <v>821</v>
      </c>
      <c r="B4" s="657" t="s">
        <v>822</v>
      </c>
      <c r="C4" s="974"/>
      <c r="D4" s="974"/>
      <c r="F4" s="996"/>
    </row>
    <row r="5" spans="1:6" x14ac:dyDescent="0.25">
      <c r="A5" s="973" t="s">
        <v>823</v>
      </c>
      <c r="B5" t="s">
        <v>822</v>
      </c>
      <c r="C5" s="974" t="s">
        <v>813</v>
      </c>
      <c r="D5" s="974">
        <v>0</v>
      </c>
      <c r="E5" s="1001">
        <v>0</v>
      </c>
      <c r="F5" s="996">
        <f>D5*E5</f>
        <v>0</v>
      </c>
    </row>
    <row r="6" spans="1:6" x14ac:dyDescent="0.25">
      <c r="A6" s="973"/>
      <c r="C6" s="974"/>
      <c r="D6" s="974"/>
      <c r="F6" s="996"/>
    </row>
    <row r="7" spans="1:6" x14ac:dyDescent="0.25">
      <c r="A7" s="971" t="s">
        <v>824</v>
      </c>
      <c r="B7" s="657" t="s">
        <v>825</v>
      </c>
      <c r="C7" s="974"/>
      <c r="D7" s="974"/>
      <c r="F7" s="996"/>
    </row>
    <row r="8" spans="1:6" x14ac:dyDescent="0.25">
      <c r="A8" s="973" t="s">
        <v>826</v>
      </c>
      <c r="B8" t="s">
        <v>827</v>
      </c>
      <c r="C8" s="974" t="s">
        <v>813</v>
      </c>
      <c r="D8" s="974">
        <v>0</v>
      </c>
      <c r="E8" s="1001">
        <v>0</v>
      </c>
      <c r="F8" s="996">
        <f t="shared" ref="F8:F14" si="0">D8*E8</f>
        <v>0</v>
      </c>
    </row>
    <row r="9" spans="1:6" x14ac:dyDescent="0.25">
      <c r="A9" s="973"/>
      <c r="C9" s="974"/>
      <c r="D9" s="974"/>
      <c r="F9" s="996"/>
    </row>
    <row r="10" spans="1:6" x14ac:dyDescent="0.25">
      <c r="A10" s="971" t="s">
        <v>828</v>
      </c>
      <c r="B10" s="657" t="s">
        <v>829</v>
      </c>
      <c r="C10" s="974"/>
      <c r="D10" s="974"/>
      <c r="F10" s="996"/>
    </row>
    <row r="11" spans="1:6" x14ac:dyDescent="0.25">
      <c r="A11" s="973" t="s">
        <v>830</v>
      </c>
      <c r="B11" t="s">
        <v>831</v>
      </c>
      <c r="C11" s="974" t="s">
        <v>813</v>
      </c>
      <c r="D11" s="974">
        <v>0</v>
      </c>
      <c r="E11" s="1001">
        <v>0</v>
      </c>
      <c r="F11" s="996">
        <f t="shared" si="0"/>
        <v>0</v>
      </c>
    </row>
    <row r="12" spans="1:6" x14ac:dyDescent="0.25">
      <c r="A12" s="973"/>
      <c r="C12" s="974"/>
      <c r="D12" s="974"/>
      <c r="F12" s="996"/>
    </row>
    <row r="13" spans="1:6" x14ac:dyDescent="0.25">
      <c r="A13" s="971" t="s">
        <v>832</v>
      </c>
      <c r="B13" s="657" t="s">
        <v>833</v>
      </c>
      <c r="C13" s="974"/>
      <c r="D13" s="974"/>
      <c r="F13" s="996"/>
    </row>
    <row r="14" spans="1:6" x14ac:dyDescent="0.25">
      <c r="A14" s="973" t="s">
        <v>834</v>
      </c>
      <c r="B14" t="s">
        <v>835</v>
      </c>
      <c r="C14" s="974" t="s">
        <v>813</v>
      </c>
      <c r="D14" s="974">
        <v>0</v>
      </c>
      <c r="E14" s="1001">
        <v>0</v>
      </c>
      <c r="F14" s="996">
        <f t="shared" si="0"/>
        <v>0</v>
      </c>
    </row>
    <row r="15" spans="1:6" x14ac:dyDescent="0.25">
      <c r="A15" s="973"/>
      <c r="C15" s="974"/>
      <c r="D15" s="974"/>
      <c r="F15" s="996"/>
    </row>
    <row r="16" spans="1:6" x14ac:dyDescent="0.25">
      <c r="A16" s="973"/>
      <c r="C16" s="974"/>
      <c r="D16" s="974"/>
      <c r="F16" s="996"/>
    </row>
    <row r="17" spans="1:6" x14ac:dyDescent="0.25">
      <c r="A17" s="973"/>
      <c r="C17" s="974"/>
      <c r="D17" s="974"/>
      <c r="F17" s="996"/>
    </row>
    <row r="18" spans="1:6" ht="16.5" thickBot="1" x14ac:dyDescent="0.3">
      <c r="A18" s="1014"/>
      <c r="B18" s="984" t="s">
        <v>818</v>
      </c>
      <c r="C18" s="1015"/>
      <c r="D18" s="1015"/>
      <c r="E18" s="1016"/>
      <c r="F18" s="987">
        <v>10000000</v>
      </c>
    </row>
    <row r="19" spans="1:6" ht="15.75" thickTop="1" x14ac:dyDescent="0.25"/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52"/>
  <sheetViews>
    <sheetView topLeftCell="A7" workbookViewId="0">
      <selection activeCell="D7" sqref="D7"/>
    </sheetView>
  </sheetViews>
  <sheetFormatPr defaultColWidth="9.140625" defaultRowHeight="15" x14ac:dyDescent="0.25"/>
  <cols>
    <col min="1" max="1" width="9.140625" style="988"/>
    <col min="2" max="2" width="45.7109375" customWidth="1"/>
    <col min="3" max="3" width="6.7109375" customWidth="1"/>
    <col min="4" max="4" width="13.5703125" customWidth="1"/>
    <col min="5" max="5" width="13.5703125" style="1001" customWidth="1"/>
    <col min="6" max="6" width="20" style="1001" customWidth="1"/>
  </cols>
  <sheetData>
    <row r="1" spans="1:6" x14ac:dyDescent="0.25">
      <c r="A1" s="990" t="s">
        <v>791</v>
      </c>
      <c r="B1" s="991" t="s">
        <v>792</v>
      </c>
      <c r="C1" s="992" t="s">
        <v>793</v>
      </c>
      <c r="D1" s="993" t="s">
        <v>794</v>
      </c>
      <c r="E1" s="1011" t="s">
        <v>205</v>
      </c>
      <c r="F1" s="1012" t="s">
        <v>795</v>
      </c>
    </row>
    <row r="2" spans="1:6" x14ac:dyDescent="0.25">
      <c r="A2" s="973"/>
      <c r="C2" s="974"/>
      <c r="D2" s="974"/>
      <c r="F2" s="996"/>
    </row>
    <row r="3" spans="1:6" x14ac:dyDescent="0.25">
      <c r="A3" s="973" t="s">
        <v>836</v>
      </c>
      <c r="B3" s="1013" t="s">
        <v>837</v>
      </c>
      <c r="C3" s="974"/>
      <c r="D3" s="974"/>
      <c r="F3" s="996"/>
    </row>
    <row r="4" spans="1:6" x14ac:dyDescent="0.25">
      <c r="A4" s="971" t="s">
        <v>838</v>
      </c>
      <c r="B4" s="1017" t="s">
        <v>839</v>
      </c>
      <c r="C4" s="1018"/>
      <c r="D4" s="1018"/>
      <c r="F4" s="996"/>
    </row>
    <row r="5" spans="1:6" x14ac:dyDescent="0.25">
      <c r="A5" s="973" t="s">
        <v>840</v>
      </c>
      <c r="B5" s="968" t="s">
        <v>841</v>
      </c>
      <c r="C5" s="1018" t="s">
        <v>730</v>
      </c>
      <c r="D5" s="1018">
        <v>30</v>
      </c>
      <c r="E5" s="1001">
        <v>2500</v>
      </c>
      <c r="F5" s="996">
        <f>D5*E5</f>
        <v>75000</v>
      </c>
    </row>
    <row r="6" spans="1:6" x14ac:dyDescent="0.25">
      <c r="A6" s="973" t="s">
        <v>842</v>
      </c>
      <c r="B6" s="968" t="s">
        <v>843</v>
      </c>
      <c r="C6" s="1018" t="s">
        <v>542</v>
      </c>
      <c r="D6" s="1018">
        <v>5</v>
      </c>
      <c r="E6" s="1001">
        <v>30000</v>
      </c>
      <c r="F6" s="996">
        <f t="shared" ref="F6:F47" si="0">D6*E6</f>
        <v>150000</v>
      </c>
    </row>
    <row r="7" spans="1:6" x14ac:dyDescent="0.25">
      <c r="A7" s="973" t="s">
        <v>844</v>
      </c>
      <c r="B7" s="968" t="s">
        <v>845</v>
      </c>
      <c r="C7" s="1018" t="s">
        <v>730</v>
      </c>
      <c r="D7" s="1018">
        <v>20</v>
      </c>
      <c r="E7" s="1001">
        <v>1500</v>
      </c>
      <c r="F7" s="996">
        <f t="shared" si="0"/>
        <v>30000</v>
      </c>
    </row>
    <row r="8" spans="1:6" x14ac:dyDescent="0.25">
      <c r="A8" s="973"/>
      <c r="C8" s="974"/>
      <c r="D8" s="974"/>
      <c r="F8" s="996"/>
    </row>
    <row r="9" spans="1:6" x14ac:dyDescent="0.25">
      <c r="A9" s="971" t="s">
        <v>846</v>
      </c>
      <c r="B9" s="657" t="s">
        <v>847</v>
      </c>
      <c r="C9" s="974"/>
      <c r="D9" s="974"/>
      <c r="F9" s="996"/>
    </row>
    <row r="10" spans="1:6" x14ac:dyDescent="0.25">
      <c r="A10" s="973" t="s">
        <v>848</v>
      </c>
      <c r="B10" t="s">
        <v>849</v>
      </c>
      <c r="C10" s="974" t="s">
        <v>850</v>
      </c>
      <c r="D10" s="974">
        <v>2500</v>
      </c>
      <c r="E10" s="1001">
        <v>75</v>
      </c>
      <c r="F10" s="996">
        <f t="shared" si="0"/>
        <v>187500</v>
      </c>
    </row>
    <row r="11" spans="1:6" x14ac:dyDescent="0.25">
      <c r="A11" s="973"/>
      <c r="C11" s="974"/>
      <c r="D11" s="974"/>
      <c r="F11" s="996"/>
    </row>
    <row r="12" spans="1:6" x14ac:dyDescent="0.25">
      <c r="A12" s="971" t="s">
        <v>851</v>
      </c>
      <c r="B12" s="657" t="s">
        <v>852</v>
      </c>
      <c r="C12" s="974"/>
      <c r="D12" s="974"/>
      <c r="F12" s="996"/>
    </row>
    <row r="13" spans="1:6" x14ac:dyDescent="0.25">
      <c r="A13" s="973" t="s">
        <v>853</v>
      </c>
      <c r="B13" t="s">
        <v>854</v>
      </c>
      <c r="C13" s="974" t="s">
        <v>730</v>
      </c>
      <c r="D13" s="1018">
        <v>50</v>
      </c>
      <c r="E13" s="1001">
        <v>3000</v>
      </c>
      <c r="F13" s="996">
        <f t="shared" si="0"/>
        <v>150000</v>
      </c>
    </row>
    <row r="14" spans="1:6" x14ac:dyDescent="0.25">
      <c r="A14" s="973" t="s">
        <v>855</v>
      </c>
      <c r="B14" t="s">
        <v>856</v>
      </c>
      <c r="C14" s="974" t="s">
        <v>850</v>
      </c>
      <c r="D14" s="974">
        <v>120</v>
      </c>
      <c r="E14" s="1019">
        <v>2250</v>
      </c>
      <c r="F14" s="996">
        <f t="shared" si="0"/>
        <v>270000</v>
      </c>
    </row>
    <row r="15" spans="1:6" x14ac:dyDescent="0.25">
      <c r="A15" s="973"/>
      <c r="C15" s="974"/>
      <c r="D15" s="974"/>
      <c r="F15" s="996"/>
    </row>
    <row r="16" spans="1:6" x14ac:dyDescent="0.25">
      <c r="A16" s="971" t="s">
        <v>857</v>
      </c>
      <c r="B16" s="657" t="s">
        <v>858</v>
      </c>
      <c r="C16" s="974"/>
      <c r="D16" s="974"/>
      <c r="F16" s="996"/>
    </row>
    <row r="17" spans="1:6" x14ac:dyDescent="0.25">
      <c r="A17" s="973" t="s">
        <v>859</v>
      </c>
      <c r="B17" t="s">
        <v>860</v>
      </c>
      <c r="C17" s="974" t="s">
        <v>730</v>
      </c>
      <c r="D17" s="974">
        <v>200</v>
      </c>
      <c r="E17" s="1001">
        <v>1000</v>
      </c>
      <c r="F17" s="996">
        <f t="shared" si="0"/>
        <v>200000</v>
      </c>
    </row>
    <row r="18" spans="1:6" x14ac:dyDescent="0.25">
      <c r="A18" s="973" t="s">
        <v>861</v>
      </c>
      <c r="B18" t="s">
        <v>862</v>
      </c>
      <c r="C18" s="974" t="s">
        <v>813</v>
      </c>
      <c r="D18" s="974">
        <v>1</v>
      </c>
      <c r="E18" s="1001">
        <v>30000</v>
      </c>
      <c r="F18" s="996">
        <f t="shared" si="0"/>
        <v>30000</v>
      </c>
    </row>
    <row r="19" spans="1:6" x14ac:dyDescent="0.25">
      <c r="A19" s="973" t="s">
        <v>863</v>
      </c>
      <c r="B19" t="s">
        <v>864</v>
      </c>
      <c r="C19" s="974" t="s">
        <v>813</v>
      </c>
      <c r="D19" s="974">
        <v>1</v>
      </c>
      <c r="E19" s="1001">
        <v>30000</v>
      </c>
      <c r="F19" s="996">
        <f t="shared" si="0"/>
        <v>30000</v>
      </c>
    </row>
    <row r="20" spans="1:6" x14ac:dyDescent="0.25">
      <c r="A20" s="973" t="s">
        <v>865</v>
      </c>
      <c r="B20" t="s">
        <v>866</v>
      </c>
      <c r="C20" s="974" t="s">
        <v>813</v>
      </c>
      <c r="D20" s="974">
        <v>1</v>
      </c>
      <c r="E20" s="1001">
        <v>6000</v>
      </c>
      <c r="F20" s="996">
        <f t="shared" si="0"/>
        <v>6000</v>
      </c>
    </row>
    <row r="21" spans="1:6" x14ac:dyDescent="0.25">
      <c r="A21" s="973" t="s">
        <v>867</v>
      </c>
      <c r="B21" t="s">
        <v>868</v>
      </c>
      <c r="C21" s="974" t="s">
        <v>813</v>
      </c>
      <c r="D21" s="974">
        <v>1</v>
      </c>
      <c r="E21" s="1001">
        <v>45000</v>
      </c>
      <c r="F21" s="996">
        <f t="shared" si="0"/>
        <v>45000</v>
      </c>
    </row>
    <row r="22" spans="1:6" x14ac:dyDescent="0.25">
      <c r="A22" s="973" t="s">
        <v>869</v>
      </c>
      <c r="B22" t="s">
        <v>870</v>
      </c>
      <c r="C22" s="974" t="s">
        <v>813</v>
      </c>
      <c r="D22" s="974">
        <v>0</v>
      </c>
      <c r="E22" s="1001">
        <v>0</v>
      </c>
      <c r="F22" s="996">
        <f t="shared" si="0"/>
        <v>0</v>
      </c>
    </row>
    <row r="23" spans="1:6" x14ac:dyDescent="0.25">
      <c r="A23" s="973" t="s">
        <v>871</v>
      </c>
      <c r="B23" t="s">
        <v>872</v>
      </c>
      <c r="C23" s="974" t="s">
        <v>813</v>
      </c>
      <c r="D23" s="974">
        <v>0</v>
      </c>
      <c r="E23" s="1001">
        <v>0</v>
      </c>
      <c r="F23" s="996">
        <f t="shared" si="0"/>
        <v>0</v>
      </c>
    </row>
    <row r="24" spans="1:6" x14ac:dyDescent="0.25">
      <c r="A24" s="973"/>
      <c r="C24" s="974"/>
      <c r="D24" s="974"/>
      <c r="F24" s="996"/>
    </row>
    <row r="25" spans="1:6" x14ac:dyDescent="0.25">
      <c r="A25" s="971" t="s">
        <v>873</v>
      </c>
      <c r="B25" s="657" t="s">
        <v>874</v>
      </c>
      <c r="C25" s="974"/>
      <c r="D25" s="974"/>
      <c r="F25" s="996"/>
    </row>
    <row r="26" spans="1:6" x14ac:dyDescent="0.25">
      <c r="A26" s="973" t="s">
        <v>875</v>
      </c>
      <c r="B26" t="s">
        <v>876</v>
      </c>
      <c r="C26" s="974" t="s">
        <v>850</v>
      </c>
      <c r="D26" s="974">
        <v>300</v>
      </c>
      <c r="E26" s="1001">
        <v>500</v>
      </c>
      <c r="F26" s="1020">
        <f t="shared" si="0"/>
        <v>150000</v>
      </c>
    </row>
    <row r="27" spans="1:6" x14ac:dyDescent="0.25">
      <c r="A27" s="973" t="s">
        <v>877</v>
      </c>
      <c r="B27" t="s">
        <v>878</v>
      </c>
      <c r="C27" s="974" t="s">
        <v>813</v>
      </c>
      <c r="D27" s="974">
        <v>1</v>
      </c>
      <c r="E27" s="1001">
        <v>15000</v>
      </c>
      <c r="F27" s="996">
        <f t="shared" si="0"/>
        <v>15000</v>
      </c>
    </row>
    <row r="28" spans="1:6" x14ac:dyDescent="0.25">
      <c r="A28" s="973"/>
      <c r="C28" s="974"/>
      <c r="D28" s="974"/>
      <c r="F28" s="996"/>
    </row>
    <row r="29" spans="1:6" x14ac:dyDescent="0.25">
      <c r="A29" s="971" t="s">
        <v>879</v>
      </c>
      <c r="B29" s="657" t="s">
        <v>880</v>
      </c>
      <c r="C29" s="974"/>
      <c r="D29" s="974"/>
      <c r="F29" s="996"/>
    </row>
    <row r="30" spans="1:6" x14ac:dyDescent="0.25">
      <c r="A30" s="973" t="s">
        <v>881</v>
      </c>
      <c r="B30" t="s">
        <v>882</v>
      </c>
      <c r="C30" s="974" t="s">
        <v>813</v>
      </c>
      <c r="D30" s="974">
        <v>1</v>
      </c>
      <c r="E30" s="1001">
        <v>7500</v>
      </c>
      <c r="F30" s="996">
        <f t="shared" si="0"/>
        <v>7500</v>
      </c>
    </row>
    <row r="31" spans="1:6" x14ac:dyDescent="0.25">
      <c r="A31" s="973" t="s">
        <v>883</v>
      </c>
      <c r="B31" t="s">
        <v>884</v>
      </c>
      <c r="C31" s="974" t="s">
        <v>813</v>
      </c>
      <c r="D31" s="974">
        <v>1</v>
      </c>
      <c r="E31" s="1001">
        <v>7500</v>
      </c>
      <c r="F31" s="996">
        <f t="shared" si="0"/>
        <v>7500</v>
      </c>
    </row>
    <row r="32" spans="1:6" x14ac:dyDescent="0.25">
      <c r="A32" s="973" t="s">
        <v>885</v>
      </c>
      <c r="B32" t="s">
        <v>886</v>
      </c>
      <c r="C32" s="974" t="s">
        <v>813</v>
      </c>
      <c r="D32" s="974">
        <v>1</v>
      </c>
      <c r="E32" s="1001">
        <v>50000</v>
      </c>
      <c r="F32" s="996">
        <f t="shared" si="0"/>
        <v>50000</v>
      </c>
    </row>
    <row r="33" spans="1:6" x14ac:dyDescent="0.25">
      <c r="A33" s="973"/>
      <c r="C33" s="974"/>
      <c r="D33" s="974"/>
      <c r="F33" s="996"/>
    </row>
    <row r="34" spans="1:6" x14ac:dyDescent="0.25">
      <c r="A34" s="971" t="s">
        <v>887</v>
      </c>
      <c r="B34" s="1017" t="s">
        <v>888</v>
      </c>
      <c r="C34" s="974"/>
      <c r="D34" s="974"/>
      <c r="F34" s="996"/>
    </row>
    <row r="35" spans="1:6" x14ac:dyDescent="0.25">
      <c r="A35" s="973" t="s">
        <v>889</v>
      </c>
      <c r="B35" t="s">
        <v>890</v>
      </c>
      <c r="C35" s="974" t="s">
        <v>813</v>
      </c>
      <c r="D35" s="974">
        <v>1</v>
      </c>
      <c r="E35" s="1019">
        <v>150000</v>
      </c>
      <c r="F35" s="1020">
        <f t="shared" si="0"/>
        <v>150000</v>
      </c>
    </row>
    <row r="36" spans="1:6" x14ac:dyDescent="0.25">
      <c r="A36" s="973" t="s">
        <v>891</v>
      </c>
      <c r="B36" t="s">
        <v>892</v>
      </c>
      <c r="C36" s="974" t="s">
        <v>813</v>
      </c>
      <c r="D36" s="974">
        <v>1</v>
      </c>
      <c r="E36" s="1001">
        <v>7500</v>
      </c>
      <c r="F36" s="1020">
        <f t="shared" si="0"/>
        <v>7500</v>
      </c>
    </row>
    <row r="37" spans="1:6" x14ac:dyDescent="0.25">
      <c r="A37" s="973" t="s">
        <v>893</v>
      </c>
      <c r="B37" s="968" t="s">
        <v>894</v>
      </c>
      <c r="C37" s="974" t="s">
        <v>813</v>
      </c>
      <c r="D37" s="974">
        <v>2</v>
      </c>
      <c r="E37" s="1001">
        <v>380000</v>
      </c>
      <c r="F37" s="1020">
        <f t="shared" si="0"/>
        <v>760000</v>
      </c>
    </row>
    <row r="38" spans="1:6" x14ac:dyDescent="0.25">
      <c r="A38" s="973" t="s">
        <v>895</v>
      </c>
      <c r="B38" t="s">
        <v>896</v>
      </c>
      <c r="C38" s="974" t="s">
        <v>813</v>
      </c>
      <c r="D38" s="974">
        <v>1</v>
      </c>
      <c r="E38" s="1001">
        <v>6000</v>
      </c>
      <c r="F38" s="1020">
        <f t="shared" si="0"/>
        <v>6000</v>
      </c>
    </row>
    <row r="39" spans="1:6" x14ac:dyDescent="0.25">
      <c r="A39" s="973" t="s">
        <v>897</v>
      </c>
      <c r="B39" t="s">
        <v>898</v>
      </c>
      <c r="C39" s="974" t="s">
        <v>813</v>
      </c>
      <c r="D39" s="974">
        <v>1</v>
      </c>
      <c r="E39" s="1001">
        <v>7500</v>
      </c>
      <c r="F39" s="1020">
        <f t="shared" si="0"/>
        <v>7500</v>
      </c>
    </row>
    <row r="40" spans="1:6" x14ac:dyDescent="0.25">
      <c r="A40" s="973" t="s">
        <v>899</v>
      </c>
      <c r="B40" t="s">
        <v>900</v>
      </c>
      <c r="C40" s="974" t="s">
        <v>813</v>
      </c>
      <c r="D40" s="974">
        <v>1</v>
      </c>
      <c r="E40" s="1001">
        <v>25000</v>
      </c>
      <c r="F40" s="1020">
        <f t="shared" si="0"/>
        <v>25000</v>
      </c>
    </row>
    <row r="41" spans="1:6" x14ac:dyDescent="0.25">
      <c r="A41" s="973" t="s">
        <v>901</v>
      </c>
      <c r="B41" t="s">
        <v>902</v>
      </c>
      <c r="C41" s="974" t="s">
        <v>813</v>
      </c>
      <c r="D41" s="974">
        <v>1</v>
      </c>
      <c r="E41" s="1001">
        <v>37500</v>
      </c>
      <c r="F41" s="1020">
        <f t="shared" si="0"/>
        <v>37500</v>
      </c>
    </row>
    <row r="42" spans="1:6" x14ac:dyDescent="0.25">
      <c r="A42" s="973" t="s">
        <v>903</v>
      </c>
      <c r="B42" t="s">
        <v>904</v>
      </c>
      <c r="C42" s="974" t="s">
        <v>813</v>
      </c>
      <c r="D42" s="974">
        <v>1</v>
      </c>
      <c r="E42" s="1001">
        <v>15000</v>
      </c>
      <c r="F42" s="1020">
        <f t="shared" si="0"/>
        <v>15000</v>
      </c>
    </row>
    <row r="43" spans="1:6" x14ac:dyDescent="0.25">
      <c r="A43" s="973"/>
      <c r="C43" s="974"/>
      <c r="D43" s="974"/>
      <c r="F43" s="996"/>
    </row>
    <row r="44" spans="1:6" x14ac:dyDescent="0.25">
      <c r="A44" s="971" t="s">
        <v>905</v>
      </c>
      <c r="B44" s="657" t="s">
        <v>906</v>
      </c>
      <c r="C44" s="974"/>
      <c r="D44" s="974"/>
      <c r="F44" s="996"/>
    </row>
    <row r="45" spans="1:6" x14ac:dyDescent="0.25">
      <c r="A45" s="973" t="s">
        <v>907</v>
      </c>
      <c r="B45" t="s">
        <v>908</v>
      </c>
      <c r="C45" s="974" t="s">
        <v>730</v>
      </c>
      <c r="D45" s="974">
        <v>100</v>
      </c>
      <c r="E45" s="1001">
        <v>525</v>
      </c>
      <c r="F45" s="996">
        <f t="shared" si="0"/>
        <v>52500</v>
      </c>
    </row>
    <row r="46" spans="1:6" x14ac:dyDescent="0.25">
      <c r="A46" s="973" t="s">
        <v>909</v>
      </c>
      <c r="B46" t="s">
        <v>910</v>
      </c>
      <c r="C46" s="974" t="s">
        <v>911</v>
      </c>
      <c r="D46" s="974">
        <v>10</v>
      </c>
      <c r="E46" s="1001">
        <v>6000</v>
      </c>
      <c r="F46" s="996">
        <f t="shared" si="0"/>
        <v>60000</v>
      </c>
    </row>
    <row r="47" spans="1:6" x14ac:dyDescent="0.25">
      <c r="A47" s="973" t="s">
        <v>912</v>
      </c>
      <c r="B47" t="s">
        <v>913</v>
      </c>
      <c r="C47" s="974" t="s">
        <v>911</v>
      </c>
      <c r="D47" s="974">
        <v>1</v>
      </c>
      <c r="E47" s="1001">
        <v>7500</v>
      </c>
      <c r="F47" s="996">
        <f t="shared" si="0"/>
        <v>7500</v>
      </c>
    </row>
    <row r="48" spans="1:6" x14ac:dyDescent="0.25">
      <c r="A48" s="973"/>
      <c r="C48" s="974"/>
      <c r="D48" s="974"/>
      <c r="F48" s="996"/>
    </row>
    <row r="49" spans="1:7" x14ac:dyDescent="0.25">
      <c r="A49" s="973"/>
      <c r="C49" s="974"/>
      <c r="D49" s="974"/>
      <c r="F49" s="996"/>
    </row>
    <row r="50" spans="1:7" ht="15.75" thickBot="1" x14ac:dyDescent="0.3">
      <c r="A50" s="1014"/>
      <c r="B50" s="984" t="s">
        <v>818</v>
      </c>
      <c r="C50" s="985"/>
      <c r="D50" s="985"/>
      <c r="E50" s="986"/>
      <c r="F50" s="1021">
        <f>SUM(F5:F49)</f>
        <v>2532000</v>
      </c>
    </row>
    <row r="51" spans="1:7" ht="15.75" thickTop="1" x14ac:dyDescent="0.25">
      <c r="A51" s="1022"/>
      <c r="B51" s="660"/>
      <c r="C51" s="660"/>
      <c r="D51" s="660"/>
      <c r="E51" s="1023"/>
      <c r="F51" s="1023"/>
      <c r="G51" s="660"/>
    </row>
    <row r="52" spans="1:7" x14ac:dyDescent="0.25">
      <c r="A52" s="1022"/>
      <c r="B52" s="660"/>
      <c r="C52" s="660"/>
      <c r="D52" s="660"/>
      <c r="E52" s="1023"/>
      <c r="F52" s="1023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23"/>
  <sheetViews>
    <sheetView topLeftCell="A80" zoomScale="66" zoomScaleNormal="66" workbookViewId="0">
      <selection activeCell="D99" sqref="D99"/>
    </sheetView>
  </sheetViews>
  <sheetFormatPr defaultColWidth="9.140625" defaultRowHeight="21" x14ac:dyDescent="0.35"/>
  <cols>
    <col min="1" max="1" width="12.28515625" style="1054" customWidth="1"/>
    <col min="2" max="2" width="111.5703125" style="1028" customWidth="1"/>
    <col min="3" max="3" width="6.85546875" style="1028" customWidth="1"/>
    <col min="4" max="4" width="16.5703125" style="1028" customWidth="1"/>
    <col min="5" max="6" width="25" style="1031" customWidth="1"/>
    <col min="7" max="7" width="24.7109375" style="1028" customWidth="1"/>
    <col min="8" max="16384" width="9.140625" style="1028"/>
  </cols>
  <sheetData>
    <row r="1" spans="1:6" x14ac:dyDescent="0.35">
      <c r="A1" s="1024" t="s">
        <v>791</v>
      </c>
      <c r="B1" s="1024" t="s">
        <v>792</v>
      </c>
      <c r="C1" s="1024" t="s">
        <v>793</v>
      </c>
      <c r="D1" s="1025" t="s">
        <v>794</v>
      </c>
      <c r="E1" s="1026" t="s">
        <v>205</v>
      </c>
      <c r="F1" s="1027" t="s">
        <v>795</v>
      </c>
    </row>
    <row r="2" spans="1:6" x14ac:dyDescent="0.35">
      <c r="A2" s="1029"/>
      <c r="C2" s="1030"/>
      <c r="D2" s="1030"/>
      <c r="F2" s="1032"/>
    </row>
    <row r="3" spans="1:6" x14ac:dyDescent="0.35">
      <c r="A3" s="1033" t="s">
        <v>914</v>
      </c>
      <c r="B3" s="1034" t="s">
        <v>915</v>
      </c>
      <c r="C3" s="1030"/>
      <c r="D3" s="1030"/>
      <c r="F3" s="1032"/>
    </row>
    <row r="4" spans="1:6" x14ac:dyDescent="0.35">
      <c r="A4" s="1035" t="s">
        <v>916</v>
      </c>
      <c r="B4" s="1036" t="s">
        <v>1371</v>
      </c>
      <c r="C4" s="1030"/>
      <c r="D4" s="1030"/>
      <c r="F4" s="1032"/>
    </row>
    <row r="5" spans="1:6" ht="42" x14ac:dyDescent="0.35">
      <c r="A5" s="1029" t="s">
        <v>917</v>
      </c>
      <c r="B5" s="1037" t="s">
        <v>918</v>
      </c>
      <c r="C5" s="1030" t="s">
        <v>850</v>
      </c>
      <c r="D5" s="1030">
        <v>2000</v>
      </c>
      <c r="E5" s="1031">
        <v>2000</v>
      </c>
      <c r="F5" s="1032">
        <f t="shared" ref="F5:F21" si="0">D5*E5</f>
        <v>4000000</v>
      </c>
    </row>
    <row r="6" spans="1:6" x14ac:dyDescent="0.35">
      <c r="A6" s="1029" t="s">
        <v>919</v>
      </c>
      <c r="B6" s="1037" t="s">
        <v>920</v>
      </c>
      <c r="C6" s="1038" t="s">
        <v>850</v>
      </c>
      <c r="D6" s="1030">
        <f>D5</f>
        <v>2000</v>
      </c>
      <c r="E6" s="1031">
        <v>1000</v>
      </c>
      <c r="F6" s="1032">
        <f t="shared" si="0"/>
        <v>2000000</v>
      </c>
    </row>
    <row r="7" spans="1:6" x14ac:dyDescent="0.35">
      <c r="A7" s="1029" t="s">
        <v>921</v>
      </c>
      <c r="B7" s="1037" t="s">
        <v>922</v>
      </c>
      <c r="C7" s="1038" t="s">
        <v>850</v>
      </c>
      <c r="D7" s="1030">
        <f>D5/2</f>
        <v>1000</v>
      </c>
      <c r="E7" s="1031">
        <v>2000</v>
      </c>
      <c r="F7" s="1032">
        <f t="shared" si="0"/>
        <v>2000000</v>
      </c>
    </row>
    <row r="8" spans="1:6" x14ac:dyDescent="0.35">
      <c r="A8" s="1029" t="s">
        <v>923</v>
      </c>
      <c r="B8" s="1037" t="s">
        <v>924</v>
      </c>
      <c r="C8" s="1030" t="s">
        <v>850</v>
      </c>
      <c r="D8" s="1030">
        <f>D5</f>
        <v>2000</v>
      </c>
      <c r="E8" s="1031">
        <v>600</v>
      </c>
      <c r="F8" s="1032">
        <f t="shared" si="0"/>
        <v>1200000</v>
      </c>
    </row>
    <row r="9" spans="1:6" ht="22.5" customHeight="1" x14ac:dyDescent="0.35">
      <c r="A9" s="1029" t="s">
        <v>925</v>
      </c>
      <c r="B9" s="1037" t="s">
        <v>926</v>
      </c>
      <c r="C9" s="1030" t="s">
        <v>850</v>
      </c>
      <c r="D9" s="1030">
        <f>D5</f>
        <v>2000</v>
      </c>
      <c r="E9" s="1031">
        <v>1500</v>
      </c>
      <c r="F9" s="1032">
        <f t="shared" si="0"/>
        <v>3000000</v>
      </c>
    </row>
    <row r="10" spans="1:6" x14ac:dyDescent="0.35">
      <c r="A10" s="1029" t="s">
        <v>927</v>
      </c>
      <c r="B10" s="1037" t="s">
        <v>928</v>
      </c>
      <c r="C10" s="1038" t="s">
        <v>850</v>
      </c>
      <c r="D10" s="1030">
        <f>D5*0.25</f>
        <v>500</v>
      </c>
      <c r="E10" s="1031">
        <v>1500</v>
      </c>
      <c r="F10" s="1032">
        <f t="shared" si="0"/>
        <v>750000</v>
      </c>
    </row>
    <row r="11" spans="1:6" x14ac:dyDescent="0.35">
      <c r="A11" s="1029" t="s">
        <v>929</v>
      </c>
      <c r="B11" s="1037" t="s">
        <v>930</v>
      </c>
      <c r="C11" s="1030" t="s">
        <v>911</v>
      </c>
      <c r="D11" s="1030">
        <v>10</v>
      </c>
      <c r="E11" s="1031">
        <v>1500</v>
      </c>
      <c r="F11" s="1032">
        <f t="shared" si="0"/>
        <v>15000</v>
      </c>
    </row>
    <row r="12" spans="1:6" x14ac:dyDescent="0.35">
      <c r="A12" s="1029" t="s">
        <v>931</v>
      </c>
      <c r="B12" s="1037" t="s">
        <v>932</v>
      </c>
      <c r="C12" s="1030" t="s">
        <v>813</v>
      </c>
      <c r="D12" s="1030">
        <v>1</v>
      </c>
      <c r="E12" s="1031">
        <v>75000</v>
      </c>
      <c r="F12" s="1032">
        <f t="shared" si="0"/>
        <v>75000</v>
      </c>
    </row>
    <row r="13" spans="1:6" x14ac:dyDescent="0.35">
      <c r="A13" s="1029" t="s">
        <v>933</v>
      </c>
      <c r="B13" s="1037" t="s">
        <v>934</v>
      </c>
      <c r="C13" s="1030" t="s">
        <v>850</v>
      </c>
      <c r="D13" s="1030">
        <f>D5</f>
        <v>2000</v>
      </c>
      <c r="E13" s="1031">
        <v>650</v>
      </c>
      <c r="F13" s="1032">
        <f t="shared" si="0"/>
        <v>1300000</v>
      </c>
    </row>
    <row r="14" spans="1:6" x14ac:dyDescent="0.35">
      <c r="A14" s="1029" t="s">
        <v>935</v>
      </c>
      <c r="B14" s="1037" t="s">
        <v>1372</v>
      </c>
      <c r="C14" s="1030" t="s">
        <v>850</v>
      </c>
      <c r="D14" s="1030">
        <v>100</v>
      </c>
      <c r="E14" s="1031">
        <v>5000</v>
      </c>
      <c r="F14" s="1032">
        <f t="shared" si="0"/>
        <v>500000</v>
      </c>
    </row>
    <row r="15" spans="1:6" x14ac:dyDescent="0.35">
      <c r="A15" s="1029" t="s">
        <v>936</v>
      </c>
      <c r="B15" s="1037" t="s">
        <v>1373</v>
      </c>
      <c r="C15" s="1030" t="s">
        <v>850</v>
      </c>
      <c r="D15" s="1030">
        <v>90</v>
      </c>
      <c r="E15" s="1031">
        <v>5000</v>
      </c>
      <c r="F15" s="1032">
        <f t="shared" si="0"/>
        <v>450000</v>
      </c>
    </row>
    <row r="16" spans="1:6" x14ac:dyDescent="0.35">
      <c r="A16" s="1029" t="s">
        <v>937</v>
      </c>
      <c r="B16" s="1037" t="s">
        <v>969</v>
      </c>
      <c r="C16" s="1030" t="s">
        <v>850</v>
      </c>
      <c r="D16" s="1030">
        <v>20</v>
      </c>
      <c r="E16" s="1031">
        <v>5000</v>
      </c>
      <c r="F16" s="1032">
        <f t="shared" si="0"/>
        <v>100000</v>
      </c>
    </row>
    <row r="17" spans="1:7" x14ac:dyDescent="0.35">
      <c r="A17" s="1029" t="s">
        <v>938</v>
      </c>
      <c r="B17" s="1037" t="s">
        <v>1374</v>
      </c>
      <c r="C17" s="1030" t="s">
        <v>850</v>
      </c>
      <c r="D17" s="1030">
        <v>100</v>
      </c>
      <c r="E17" s="1031">
        <v>7500</v>
      </c>
      <c r="F17" s="1032">
        <f t="shared" si="0"/>
        <v>750000</v>
      </c>
    </row>
    <row r="18" spans="1:7" x14ac:dyDescent="0.35">
      <c r="A18" s="1029" t="s">
        <v>939</v>
      </c>
      <c r="B18" s="1037" t="s">
        <v>1045</v>
      </c>
      <c r="C18" s="1030" t="s">
        <v>850</v>
      </c>
      <c r="D18" s="1030">
        <v>50</v>
      </c>
      <c r="E18" s="1031">
        <v>5000</v>
      </c>
      <c r="F18" s="1032">
        <f t="shared" si="0"/>
        <v>250000</v>
      </c>
    </row>
    <row r="19" spans="1:7" x14ac:dyDescent="0.35">
      <c r="A19" s="1029" t="s">
        <v>940</v>
      </c>
      <c r="B19" s="1037" t="s">
        <v>941</v>
      </c>
      <c r="C19" s="1030" t="s">
        <v>850</v>
      </c>
      <c r="D19" s="1030">
        <v>100</v>
      </c>
      <c r="E19" s="1031">
        <v>4000</v>
      </c>
      <c r="F19" s="1032">
        <f t="shared" si="0"/>
        <v>400000</v>
      </c>
    </row>
    <row r="20" spans="1:7" x14ac:dyDescent="0.35">
      <c r="A20" s="1029" t="s">
        <v>942</v>
      </c>
      <c r="B20" s="1037" t="s">
        <v>943</v>
      </c>
      <c r="C20" s="1030" t="s">
        <v>850</v>
      </c>
      <c r="D20" s="1030">
        <v>100</v>
      </c>
      <c r="E20" s="1031">
        <v>4000</v>
      </c>
      <c r="F20" s="1032">
        <f t="shared" si="0"/>
        <v>400000</v>
      </c>
    </row>
    <row r="21" spans="1:7" x14ac:dyDescent="0.35">
      <c r="A21" s="1029" t="s">
        <v>944</v>
      </c>
      <c r="B21" s="1037" t="s">
        <v>945</v>
      </c>
      <c r="C21" s="1030" t="s">
        <v>850</v>
      </c>
      <c r="D21" s="1038">
        <v>200</v>
      </c>
      <c r="E21" s="1039">
        <v>5000</v>
      </c>
      <c r="F21" s="1040">
        <f t="shared" si="0"/>
        <v>1000000</v>
      </c>
      <c r="G21" s="1041"/>
    </row>
    <row r="22" spans="1:7" x14ac:dyDescent="0.35">
      <c r="A22" s="1029"/>
      <c r="B22" s="1037"/>
      <c r="C22" s="1030"/>
      <c r="D22" s="1038"/>
      <c r="E22" s="1039"/>
      <c r="F22" s="1040"/>
      <c r="G22" s="1041"/>
    </row>
    <row r="23" spans="1:7" x14ac:dyDescent="0.35">
      <c r="A23" s="1035" t="s">
        <v>946</v>
      </c>
      <c r="B23" s="1042" t="s">
        <v>947</v>
      </c>
      <c r="C23" s="1030"/>
      <c r="D23" s="1038"/>
      <c r="E23" s="1039"/>
      <c r="F23" s="1040"/>
      <c r="G23" s="1041"/>
    </row>
    <row r="24" spans="1:7" x14ac:dyDescent="0.35">
      <c r="A24" s="1029" t="s">
        <v>948</v>
      </c>
      <c r="B24" s="1037" t="s">
        <v>949</v>
      </c>
      <c r="C24" s="1030" t="s">
        <v>850</v>
      </c>
      <c r="D24" s="1030">
        <v>30</v>
      </c>
      <c r="E24" s="1031">
        <v>12500</v>
      </c>
      <c r="F24" s="1040">
        <f>E24*D24</f>
        <v>375000</v>
      </c>
      <c r="G24" s="1041"/>
    </row>
    <row r="25" spans="1:7" x14ac:dyDescent="0.35">
      <c r="A25" s="1029" t="s">
        <v>950</v>
      </c>
      <c r="B25" s="1037" t="s">
        <v>951</v>
      </c>
      <c r="C25" s="1038" t="s">
        <v>850</v>
      </c>
      <c r="D25" s="1030">
        <v>100</v>
      </c>
      <c r="E25" s="1031">
        <v>12500</v>
      </c>
      <c r="F25" s="1040">
        <f>E25*D25</f>
        <v>1250000</v>
      </c>
    </row>
    <row r="26" spans="1:7" x14ac:dyDescent="0.35">
      <c r="A26" s="1029" t="s">
        <v>952</v>
      </c>
      <c r="B26" s="1037" t="s">
        <v>953</v>
      </c>
      <c r="C26" s="1038" t="s">
        <v>850</v>
      </c>
      <c r="D26" s="1030">
        <v>50</v>
      </c>
      <c r="E26" s="1031">
        <v>12500</v>
      </c>
      <c r="F26" s="1040">
        <f t="shared" ref="F26:F34" si="1">E26*D26</f>
        <v>625000</v>
      </c>
    </row>
    <row r="27" spans="1:7" x14ac:dyDescent="0.35">
      <c r="A27" s="1029" t="s">
        <v>954</v>
      </c>
      <c r="B27" s="1037" t="s">
        <v>955</v>
      </c>
      <c r="C27" s="1030" t="s">
        <v>850</v>
      </c>
      <c r="D27" s="1030">
        <v>50</v>
      </c>
      <c r="E27" s="1031">
        <v>25000</v>
      </c>
      <c r="F27" s="1040">
        <f t="shared" si="1"/>
        <v>1250000</v>
      </c>
    </row>
    <row r="28" spans="1:7" x14ac:dyDescent="0.35">
      <c r="A28" s="1029" t="s">
        <v>956</v>
      </c>
      <c r="B28" s="1037" t="s">
        <v>957</v>
      </c>
      <c r="C28" s="1030" t="s">
        <v>850</v>
      </c>
      <c r="D28" s="1030">
        <v>250</v>
      </c>
      <c r="E28" s="1031">
        <v>15000</v>
      </c>
      <c r="F28" s="1040">
        <f t="shared" si="1"/>
        <v>3750000</v>
      </c>
    </row>
    <row r="29" spans="1:7" customFormat="1" x14ac:dyDescent="0.35">
      <c r="A29" s="1029" t="s">
        <v>958</v>
      </c>
      <c r="B29" s="1037" t="s">
        <v>959</v>
      </c>
      <c r="C29" s="1038" t="s">
        <v>850</v>
      </c>
      <c r="D29" s="1030">
        <v>30</v>
      </c>
      <c r="E29" s="1031">
        <v>10000</v>
      </c>
      <c r="F29" s="1040">
        <f t="shared" si="1"/>
        <v>300000</v>
      </c>
    </row>
    <row r="30" spans="1:7" customFormat="1" x14ac:dyDescent="0.35">
      <c r="A30" s="1029" t="s">
        <v>960</v>
      </c>
      <c r="B30" s="1037" t="s">
        <v>961</v>
      </c>
      <c r="C30" s="1038" t="s">
        <v>850</v>
      </c>
      <c r="D30" s="1030">
        <v>120</v>
      </c>
      <c r="E30" s="1031">
        <v>10000</v>
      </c>
      <c r="F30" s="1040">
        <f t="shared" si="1"/>
        <v>1200000</v>
      </c>
    </row>
    <row r="31" spans="1:7" customFormat="1" x14ac:dyDescent="0.35">
      <c r="A31" s="1029" t="s">
        <v>962</v>
      </c>
      <c r="B31" s="1037" t="s">
        <v>963</v>
      </c>
      <c r="C31" s="1038" t="s">
        <v>850</v>
      </c>
      <c r="D31" s="1030">
        <v>80</v>
      </c>
      <c r="E31" s="1031">
        <v>20000</v>
      </c>
      <c r="F31" s="1040">
        <f t="shared" si="1"/>
        <v>1600000</v>
      </c>
    </row>
    <row r="32" spans="1:7" customFormat="1" x14ac:dyDescent="0.35">
      <c r="A32" s="1029" t="s">
        <v>964</v>
      </c>
      <c r="B32" s="1037" t="s">
        <v>965</v>
      </c>
      <c r="C32" s="1030" t="s">
        <v>850</v>
      </c>
      <c r="D32" s="1030">
        <v>60</v>
      </c>
      <c r="E32" s="1031">
        <v>10000</v>
      </c>
      <c r="F32" s="1040">
        <f t="shared" si="1"/>
        <v>600000</v>
      </c>
    </row>
    <row r="33" spans="1:6" customFormat="1" x14ac:dyDescent="0.35">
      <c r="A33" s="1029" t="s">
        <v>966</v>
      </c>
      <c r="B33" s="1037" t="s">
        <v>967</v>
      </c>
      <c r="C33" s="1030" t="s">
        <v>850</v>
      </c>
      <c r="D33" s="1030">
        <v>75</v>
      </c>
      <c r="E33" s="1031">
        <v>10000</v>
      </c>
      <c r="F33" s="1040">
        <f t="shared" si="1"/>
        <v>750000</v>
      </c>
    </row>
    <row r="34" spans="1:6" customFormat="1" x14ac:dyDescent="0.35">
      <c r="A34" s="1029" t="s">
        <v>968</v>
      </c>
      <c r="B34" s="1037" t="s">
        <v>969</v>
      </c>
      <c r="C34" s="1030" t="s">
        <v>850</v>
      </c>
      <c r="D34" s="1030">
        <v>40</v>
      </c>
      <c r="E34" s="1031">
        <v>10000</v>
      </c>
      <c r="F34" s="1040">
        <f t="shared" si="1"/>
        <v>400000</v>
      </c>
    </row>
    <row r="35" spans="1:6" x14ac:dyDescent="0.35">
      <c r="A35" s="1029" t="s">
        <v>970</v>
      </c>
      <c r="B35" s="1037" t="s">
        <v>932</v>
      </c>
      <c r="C35" s="1030" t="s">
        <v>813</v>
      </c>
      <c r="D35" s="1030">
        <v>1</v>
      </c>
      <c r="E35" s="1031">
        <v>50000</v>
      </c>
      <c r="F35" s="1032">
        <f>D35*E35</f>
        <v>50000</v>
      </c>
    </row>
    <row r="36" spans="1:6" x14ac:dyDescent="0.35">
      <c r="A36" s="1029" t="s">
        <v>971</v>
      </c>
      <c r="B36" s="1037" t="s">
        <v>972</v>
      </c>
      <c r="C36" s="1030" t="s">
        <v>850</v>
      </c>
      <c r="D36" s="1030">
        <f>D24+D25+D26+D29+D30+D33+D34</f>
        <v>445</v>
      </c>
      <c r="E36" s="1031">
        <v>700</v>
      </c>
      <c r="F36" s="1032">
        <f>D36*E36</f>
        <v>311500</v>
      </c>
    </row>
    <row r="37" spans="1:6" x14ac:dyDescent="0.35">
      <c r="A37" s="1029" t="s">
        <v>973</v>
      </c>
      <c r="B37" s="1028" t="s">
        <v>974</v>
      </c>
      <c r="C37" s="1030" t="s">
        <v>911</v>
      </c>
      <c r="D37" s="1030">
        <v>1</v>
      </c>
      <c r="E37" s="1031">
        <v>10000</v>
      </c>
      <c r="F37" s="1032">
        <f>D37*E37</f>
        <v>10000</v>
      </c>
    </row>
    <row r="38" spans="1:6" x14ac:dyDescent="0.35">
      <c r="A38" s="1029" t="s">
        <v>975</v>
      </c>
      <c r="B38" s="1028" t="s">
        <v>976</v>
      </c>
      <c r="C38" s="1030" t="s">
        <v>911</v>
      </c>
      <c r="D38" s="1030">
        <v>1</v>
      </c>
      <c r="E38" s="1031">
        <v>10000</v>
      </c>
      <c r="F38" s="1032">
        <f>D38*E38</f>
        <v>10000</v>
      </c>
    </row>
    <row r="39" spans="1:6" customFormat="1" x14ac:dyDescent="0.35">
      <c r="A39" s="1029" t="s">
        <v>977</v>
      </c>
      <c r="B39" s="1028" t="s">
        <v>978</v>
      </c>
      <c r="C39" s="1030" t="s">
        <v>813</v>
      </c>
      <c r="D39" s="1030">
        <v>1</v>
      </c>
      <c r="E39" s="1031">
        <v>4500</v>
      </c>
      <c r="F39" s="1032">
        <f>D39*E39</f>
        <v>4500</v>
      </c>
    </row>
    <row r="40" spans="1:6" customFormat="1" x14ac:dyDescent="0.35">
      <c r="A40" s="1029" t="s">
        <v>979</v>
      </c>
      <c r="B40" s="1028" t="s">
        <v>980</v>
      </c>
      <c r="C40" s="1030" t="s">
        <v>813</v>
      </c>
      <c r="D40" s="1030">
        <v>5</v>
      </c>
      <c r="E40" s="1031">
        <v>500</v>
      </c>
      <c r="F40" s="1032">
        <f t="shared" ref="F40:F60" si="2">D40*E40</f>
        <v>2500</v>
      </c>
    </row>
    <row r="41" spans="1:6" customFormat="1" x14ac:dyDescent="0.35">
      <c r="A41" s="1029" t="s">
        <v>981</v>
      </c>
      <c r="B41" s="1028" t="s">
        <v>982</v>
      </c>
      <c r="C41" s="1030" t="s">
        <v>813</v>
      </c>
      <c r="D41" s="1030">
        <v>1</v>
      </c>
      <c r="E41" s="1031">
        <v>105000</v>
      </c>
      <c r="F41" s="1032">
        <f t="shared" si="2"/>
        <v>105000</v>
      </c>
    </row>
    <row r="42" spans="1:6" customFormat="1" x14ac:dyDescent="0.35">
      <c r="A42" s="1029" t="s">
        <v>983</v>
      </c>
      <c r="B42" s="1028" t="s">
        <v>984</v>
      </c>
      <c r="C42" s="1030" t="s">
        <v>813</v>
      </c>
      <c r="D42" s="1030">
        <v>1</v>
      </c>
      <c r="E42" s="1031">
        <v>60000</v>
      </c>
      <c r="F42" s="1032">
        <f t="shared" si="2"/>
        <v>60000</v>
      </c>
    </row>
    <row r="43" spans="1:6" customFormat="1" x14ac:dyDescent="0.35">
      <c r="A43" s="1029" t="s">
        <v>985</v>
      </c>
      <c r="B43" s="1028" t="s">
        <v>986</v>
      </c>
      <c r="C43" s="1030" t="s">
        <v>813</v>
      </c>
      <c r="D43" s="1030">
        <v>2</v>
      </c>
      <c r="E43" s="1031">
        <v>15000</v>
      </c>
      <c r="F43" s="1032">
        <f t="shared" si="2"/>
        <v>30000</v>
      </c>
    </row>
    <row r="44" spans="1:6" x14ac:dyDescent="0.35">
      <c r="A44" s="1029" t="s">
        <v>987</v>
      </c>
      <c r="B44" s="1028" t="s">
        <v>988</v>
      </c>
      <c r="C44" s="1030" t="s">
        <v>813</v>
      </c>
      <c r="D44" s="1030">
        <v>1</v>
      </c>
      <c r="E44" s="1031">
        <v>7500</v>
      </c>
      <c r="F44" s="1032">
        <f t="shared" si="2"/>
        <v>7500</v>
      </c>
    </row>
    <row r="45" spans="1:6" x14ac:dyDescent="0.35">
      <c r="A45" s="1029" t="s">
        <v>989</v>
      </c>
      <c r="B45" s="1028" t="s">
        <v>990</v>
      </c>
      <c r="C45" s="1030" t="s">
        <v>813</v>
      </c>
      <c r="D45" s="1030">
        <v>20</v>
      </c>
      <c r="E45" s="1031">
        <v>600</v>
      </c>
      <c r="F45" s="1032">
        <f t="shared" si="2"/>
        <v>12000</v>
      </c>
    </row>
    <row r="46" spans="1:6" x14ac:dyDescent="0.35">
      <c r="A46" s="1029" t="s">
        <v>991</v>
      </c>
      <c r="B46" s="1028" t="s">
        <v>992</v>
      </c>
      <c r="C46" s="1030" t="s">
        <v>813</v>
      </c>
      <c r="D46" s="1030">
        <v>20</v>
      </c>
      <c r="E46" s="1031">
        <v>750</v>
      </c>
      <c r="F46" s="1032">
        <f t="shared" si="2"/>
        <v>15000</v>
      </c>
    </row>
    <row r="47" spans="1:6" x14ac:dyDescent="0.35">
      <c r="A47" s="1029" t="s">
        <v>993</v>
      </c>
      <c r="B47" s="1028" t="s">
        <v>994</v>
      </c>
      <c r="C47" s="1030" t="s">
        <v>813</v>
      </c>
      <c r="D47" s="1030">
        <v>4</v>
      </c>
      <c r="E47" s="1031">
        <v>1500</v>
      </c>
      <c r="F47" s="1032">
        <f t="shared" si="2"/>
        <v>6000</v>
      </c>
    </row>
    <row r="48" spans="1:6" x14ac:dyDescent="0.35">
      <c r="A48" s="1029" t="s">
        <v>995</v>
      </c>
      <c r="B48" s="1028" t="s">
        <v>996</v>
      </c>
      <c r="C48" s="1030" t="s">
        <v>813</v>
      </c>
      <c r="D48" s="1030">
        <v>1</v>
      </c>
      <c r="E48" s="1031">
        <v>2400</v>
      </c>
      <c r="F48" s="1032">
        <f t="shared" si="2"/>
        <v>2400</v>
      </c>
    </row>
    <row r="49" spans="1:6" x14ac:dyDescent="0.35">
      <c r="A49" s="1029" t="s">
        <v>997</v>
      </c>
      <c r="B49" s="1028" t="s">
        <v>998</v>
      </c>
      <c r="C49" s="1030" t="s">
        <v>813</v>
      </c>
      <c r="D49" s="1030">
        <v>1</v>
      </c>
      <c r="E49" s="1031">
        <v>2400</v>
      </c>
      <c r="F49" s="1032">
        <f t="shared" si="2"/>
        <v>2400</v>
      </c>
    </row>
    <row r="50" spans="1:6" x14ac:dyDescent="0.35">
      <c r="A50" s="1029" t="s">
        <v>999</v>
      </c>
      <c r="B50" s="1028" t="s">
        <v>1000</v>
      </c>
      <c r="C50" s="1030" t="s">
        <v>813</v>
      </c>
      <c r="D50" s="1030">
        <v>1</v>
      </c>
      <c r="E50" s="1031">
        <v>15000</v>
      </c>
      <c r="F50" s="1032">
        <f t="shared" si="2"/>
        <v>15000</v>
      </c>
    </row>
    <row r="51" spans="1:6" x14ac:dyDescent="0.35">
      <c r="A51" s="1029" t="s">
        <v>1001</v>
      </c>
      <c r="B51" s="1028" t="s">
        <v>1002</v>
      </c>
      <c r="C51" s="1030" t="s">
        <v>813</v>
      </c>
      <c r="D51" s="1030">
        <v>5</v>
      </c>
      <c r="E51" s="1031">
        <v>2500</v>
      </c>
      <c r="F51" s="1032">
        <f t="shared" si="2"/>
        <v>12500</v>
      </c>
    </row>
    <row r="52" spans="1:6" x14ac:dyDescent="0.35">
      <c r="A52" s="1029" t="s">
        <v>1003</v>
      </c>
      <c r="B52" s="1028" t="s">
        <v>1004</v>
      </c>
      <c r="C52" s="1030" t="s">
        <v>813</v>
      </c>
      <c r="D52" s="1030">
        <v>1</v>
      </c>
      <c r="E52" s="1031">
        <v>15000</v>
      </c>
      <c r="F52" s="1032">
        <f t="shared" si="2"/>
        <v>15000</v>
      </c>
    </row>
    <row r="53" spans="1:6" x14ac:dyDescent="0.35">
      <c r="A53" s="1029" t="s">
        <v>1005</v>
      </c>
      <c r="B53" s="1028" t="s">
        <v>1008</v>
      </c>
      <c r="C53" s="1030" t="s">
        <v>813</v>
      </c>
      <c r="D53" s="1030">
        <v>15</v>
      </c>
      <c r="E53" s="1031">
        <v>3000</v>
      </c>
      <c r="F53" s="1032">
        <f t="shared" si="2"/>
        <v>45000</v>
      </c>
    </row>
    <row r="54" spans="1:6" x14ac:dyDescent="0.35">
      <c r="A54" s="1029" t="s">
        <v>1006</v>
      </c>
      <c r="B54" s="1028" t="s">
        <v>1010</v>
      </c>
      <c r="C54" s="1030" t="s">
        <v>813</v>
      </c>
      <c r="D54" s="1030">
        <v>1</v>
      </c>
      <c r="E54" s="1031">
        <v>7500</v>
      </c>
      <c r="F54" s="1032">
        <f t="shared" si="2"/>
        <v>7500</v>
      </c>
    </row>
    <row r="55" spans="1:6" x14ac:dyDescent="0.35">
      <c r="A55" s="1029" t="s">
        <v>1007</v>
      </c>
      <c r="B55" s="1028" t="s">
        <v>1012</v>
      </c>
      <c r="C55" s="1030" t="s">
        <v>813</v>
      </c>
      <c r="D55" s="1030">
        <v>4</v>
      </c>
      <c r="E55" s="1031">
        <v>750</v>
      </c>
      <c r="F55" s="1032">
        <f t="shared" si="2"/>
        <v>3000</v>
      </c>
    </row>
    <row r="56" spans="1:6" x14ac:dyDescent="0.35">
      <c r="A56" s="1029" t="s">
        <v>1009</v>
      </c>
      <c r="B56" s="1037" t="s">
        <v>1014</v>
      </c>
      <c r="C56" s="1030" t="s">
        <v>813</v>
      </c>
      <c r="D56" s="1030">
        <v>1</v>
      </c>
      <c r="E56" s="1031">
        <v>250000</v>
      </c>
      <c r="F56" s="1032">
        <f>D56*E56</f>
        <v>250000</v>
      </c>
    </row>
    <row r="57" spans="1:6" x14ac:dyDescent="0.35">
      <c r="A57" s="1029" t="s">
        <v>1011</v>
      </c>
      <c r="B57" s="1028" t="s">
        <v>1016</v>
      </c>
      <c r="C57" s="1030" t="s">
        <v>813</v>
      </c>
      <c r="D57" s="1030">
        <v>1</v>
      </c>
      <c r="E57" s="1031">
        <v>50000</v>
      </c>
      <c r="F57" s="1032">
        <f t="shared" si="2"/>
        <v>50000</v>
      </c>
    </row>
    <row r="58" spans="1:6" x14ac:dyDescent="0.35">
      <c r="A58" s="1029" t="s">
        <v>1013</v>
      </c>
      <c r="B58" s="1028" t="s">
        <v>1018</v>
      </c>
      <c r="C58" s="1030" t="s">
        <v>813</v>
      </c>
      <c r="D58" s="1030">
        <v>1</v>
      </c>
      <c r="E58" s="1031">
        <v>150000</v>
      </c>
      <c r="F58" s="1032">
        <f t="shared" si="2"/>
        <v>150000</v>
      </c>
    </row>
    <row r="59" spans="1:6" x14ac:dyDescent="0.35">
      <c r="A59" s="1029" t="s">
        <v>1015</v>
      </c>
      <c r="B59" s="1028" t="s">
        <v>1019</v>
      </c>
      <c r="C59" s="1030" t="s">
        <v>813</v>
      </c>
      <c r="D59" s="1030">
        <v>1</v>
      </c>
      <c r="E59" s="1031">
        <v>50000</v>
      </c>
      <c r="F59" s="1032">
        <f t="shared" si="2"/>
        <v>50000</v>
      </c>
    </row>
    <row r="60" spans="1:6" x14ac:dyDescent="0.35">
      <c r="A60" s="1029" t="s">
        <v>1017</v>
      </c>
      <c r="B60" s="1028" t="s">
        <v>1020</v>
      </c>
      <c r="C60" s="1030" t="s">
        <v>813</v>
      </c>
      <c r="D60" s="1030">
        <v>1</v>
      </c>
      <c r="E60" s="1031">
        <v>50000</v>
      </c>
      <c r="F60" s="1032">
        <f t="shared" si="2"/>
        <v>50000</v>
      </c>
    </row>
    <row r="61" spans="1:6" x14ac:dyDescent="0.35">
      <c r="A61" s="1029"/>
      <c r="C61" s="1030"/>
      <c r="D61" s="1030"/>
      <c r="F61" s="1032"/>
    </row>
    <row r="62" spans="1:6" x14ac:dyDescent="0.35">
      <c r="A62" s="1035" t="s">
        <v>1021</v>
      </c>
      <c r="B62" s="1036" t="s">
        <v>1022</v>
      </c>
      <c r="C62" s="1030"/>
      <c r="D62" s="1030"/>
      <c r="E62" s="1039"/>
      <c r="F62" s="1032"/>
    </row>
    <row r="63" spans="1:6" x14ac:dyDescent="0.35">
      <c r="A63" s="1029" t="s">
        <v>1023</v>
      </c>
      <c r="B63" s="1028" t="s">
        <v>1024</v>
      </c>
      <c r="C63" s="1030" t="s">
        <v>911</v>
      </c>
      <c r="D63" s="1030">
        <v>1</v>
      </c>
      <c r="E63" s="1039">
        <v>5000</v>
      </c>
      <c r="F63" s="1032">
        <f>E63*D63</f>
        <v>5000</v>
      </c>
    </row>
    <row r="64" spans="1:6" x14ac:dyDescent="0.35">
      <c r="A64" s="1029" t="s">
        <v>1025</v>
      </c>
      <c r="B64" s="1028" t="s">
        <v>1026</v>
      </c>
      <c r="C64" s="1030" t="s">
        <v>911</v>
      </c>
      <c r="D64" s="1030">
        <v>6</v>
      </c>
      <c r="E64" s="1039">
        <v>15000</v>
      </c>
      <c r="F64" s="1032">
        <f>E64*D64</f>
        <v>90000</v>
      </c>
    </row>
    <row r="65" spans="1:6" x14ac:dyDescent="0.35">
      <c r="A65" s="1029"/>
      <c r="B65" s="1036"/>
      <c r="C65" s="1030"/>
      <c r="D65" s="1030"/>
      <c r="E65" s="1039"/>
      <c r="F65" s="1032"/>
    </row>
    <row r="66" spans="1:6" x14ac:dyDescent="0.35">
      <c r="A66" s="1035" t="s">
        <v>1027</v>
      </c>
      <c r="B66" s="1036" t="s">
        <v>1028</v>
      </c>
      <c r="C66" s="1030"/>
      <c r="D66" s="1030"/>
      <c r="E66" s="1039"/>
      <c r="F66" s="1032"/>
    </row>
    <row r="67" spans="1:6" x14ac:dyDescent="0.35">
      <c r="A67" s="1029" t="s">
        <v>1029</v>
      </c>
      <c r="B67" s="1028" t="s">
        <v>1030</v>
      </c>
      <c r="C67" s="1030" t="s">
        <v>911</v>
      </c>
      <c r="D67" s="1030">
        <v>15</v>
      </c>
      <c r="E67" s="1039">
        <v>10000</v>
      </c>
      <c r="F67" s="1032">
        <f t="shared" ref="F67:F72" si="3">D67*E67</f>
        <v>150000</v>
      </c>
    </row>
    <row r="68" spans="1:6" x14ac:dyDescent="0.35">
      <c r="A68" s="1029" t="s">
        <v>1031</v>
      </c>
      <c r="B68" s="1028" t="s">
        <v>1032</v>
      </c>
      <c r="C68" s="1030" t="s">
        <v>911</v>
      </c>
      <c r="D68" s="1030">
        <v>75</v>
      </c>
      <c r="E68" s="1039">
        <v>1000</v>
      </c>
      <c r="F68" s="1032">
        <f t="shared" si="3"/>
        <v>75000</v>
      </c>
    </row>
    <row r="69" spans="1:6" x14ac:dyDescent="0.35">
      <c r="A69" s="1029" t="s">
        <v>1033</v>
      </c>
      <c r="B69" s="1028" t="s">
        <v>1034</v>
      </c>
      <c r="C69" s="1030" t="s">
        <v>813</v>
      </c>
      <c r="D69" s="1030">
        <v>1</v>
      </c>
      <c r="E69" s="1039">
        <v>30000</v>
      </c>
      <c r="F69" s="1032">
        <f t="shared" si="3"/>
        <v>30000</v>
      </c>
    </row>
    <row r="70" spans="1:6" x14ac:dyDescent="0.35">
      <c r="A70" s="1029" t="s">
        <v>1035</v>
      </c>
      <c r="B70" s="1028" t="s">
        <v>1036</v>
      </c>
      <c r="C70" s="1030" t="s">
        <v>911</v>
      </c>
      <c r="D70" s="1030">
        <v>75</v>
      </c>
      <c r="E70" s="1039">
        <v>250</v>
      </c>
      <c r="F70" s="1032">
        <f t="shared" si="3"/>
        <v>18750</v>
      </c>
    </row>
    <row r="71" spans="1:6" x14ac:dyDescent="0.35">
      <c r="A71" s="1029" t="s">
        <v>1037</v>
      </c>
      <c r="B71" s="1028" t="s">
        <v>1038</v>
      </c>
      <c r="C71" s="1030" t="s">
        <v>911</v>
      </c>
      <c r="D71" s="1030">
        <v>75</v>
      </c>
      <c r="E71" s="1039">
        <v>300</v>
      </c>
      <c r="F71" s="1032">
        <f t="shared" si="3"/>
        <v>22500</v>
      </c>
    </row>
    <row r="72" spans="1:6" x14ac:dyDescent="0.35">
      <c r="A72" s="1029" t="s">
        <v>1039</v>
      </c>
      <c r="B72" s="1028" t="s">
        <v>1040</v>
      </c>
      <c r="C72" s="1030" t="s">
        <v>813</v>
      </c>
      <c r="D72" s="1030">
        <v>1</v>
      </c>
      <c r="E72" s="1039">
        <v>100000</v>
      </c>
      <c r="F72" s="1032">
        <f t="shared" si="3"/>
        <v>100000</v>
      </c>
    </row>
    <row r="73" spans="1:6" x14ac:dyDescent="0.35">
      <c r="A73" s="1029"/>
      <c r="C73" s="1030"/>
      <c r="D73" s="1030"/>
      <c r="E73" s="1039"/>
      <c r="F73" s="1032"/>
    </row>
    <row r="74" spans="1:6" x14ac:dyDescent="0.35">
      <c r="A74" s="1035" t="s">
        <v>1041</v>
      </c>
      <c r="B74" s="1036" t="s">
        <v>943</v>
      </c>
      <c r="C74" s="1030"/>
      <c r="D74" s="1030"/>
      <c r="E74" s="1039"/>
      <c r="F74" s="1032"/>
    </row>
    <row r="75" spans="1:6" x14ac:dyDescent="0.35">
      <c r="A75" s="1029" t="s">
        <v>1042</v>
      </c>
      <c r="B75" s="1028" t="s">
        <v>1043</v>
      </c>
      <c r="C75" s="1030" t="s">
        <v>813</v>
      </c>
      <c r="D75" s="1030">
        <v>1</v>
      </c>
      <c r="E75" s="1039">
        <v>150000</v>
      </c>
      <c r="F75" s="1032">
        <f>E75*D75</f>
        <v>150000</v>
      </c>
    </row>
    <row r="76" spans="1:6" x14ac:dyDescent="0.35">
      <c r="A76" s="1029"/>
      <c r="B76" s="1036"/>
      <c r="C76" s="1030"/>
      <c r="D76" s="1030"/>
      <c r="E76" s="1039"/>
      <c r="F76" s="1032"/>
    </row>
    <row r="77" spans="1:6" x14ac:dyDescent="0.35">
      <c r="A77" s="1035" t="s">
        <v>1044</v>
      </c>
      <c r="B77" s="1036" t="s">
        <v>1045</v>
      </c>
      <c r="C77" s="1030"/>
      <c r="D77" s="1030"/>
      <c r="E77" s="1039"/>
      <c r="F77" s="1032"/>
    </row>
    <row r="78" spans="1:6" x14ac:dyDescent="0.35">
      <c r="A78" s="1029" t="s">
        <v>1046</v>
      </c>
      <c r="B78" s="1028" t="s">
        <v>1047</v>
      </c>
      <c r="C78" s="1030" t="s">
        <v>813</v>
      </c>
      <c r="D78" s="1030">
        <v>1</v>
      </c>
      <c r="E78" s="1039">
        <v>75000</v>
      </c>
      <c r="F78" s="1032">
        <f t="shared" ref="F78:F84" si="4">D78*E78</f>
        <v>75000</v>
      </c>
    </row>
    <row r="79" spans="1:6" x14ac:dyDescent="0.35">
      <c r="A79" s="1029" t="s">
        <v>1048</v>
      </c>
      <c r="B79" s="1028" t="s">
        <v>1049</v>
      </c>
      <c r="C79" s="1030" t="s">
        <v>911</v>
      </c>
      <c r="D79" s="1030">
        <v>4</v>
      </c>
      <c r="E79" s="1039">
        <v>40000</v>
      </c>
      <c r="F79" s="1032">
        <f t="shared" si="4"/>
        <v>160000</v>
      </c>
    </row>
    <row r="80" spans="1:6" x14ac:dyDescent="0.35">
      <c r="A80" s="1029" t="s">
        <v>1050</v>
      </c>
      <c r="B80" s="1028" t="s">
        <v>1051</v>
      </c>
      <c r="C80" s="1030" t="s">
        <v>911</v>
      </c>
      <c r="D80" s="1030">
        <v>2</v>
      </c>
      <c r="E80" s="1039">
        <v>35000</v>
      </c>
      <c r="F80" s="1032">
        <f t="shared" si="4"/>
        <v>70000</v>
      </c>
    </row>
    <row r="81" spans="1:6" x14ac:dyDescent="0.35">
      <c r="A81" s="1029" t="s">
        <v>1052</v>
      </c>
      <c r="B81" s="1028" t="s">
        <v>1053</v>
      </c>
      <c r="C81" s="1030" t="s">
        <v>911</v>
      </c>
      <c r="D81" s="1030">
        <v>1</v>
      </c>
      <c r="E81" s="1039">
        <v>10000</v>
      </c>
      <c r="F81" s="1032">
        <f t="shared" si="4"/>
        <v>10000</v>
      </c>
    </row>
    <row r="82" spans="1:6" x14ac:dyDescent="0.35">
      <c r="A82" s="1029" t="s">
        <v>1054</v>
      </c>
      <c r="B82" s="1028" t="s">
        <v>1055</v>
      </c>
      <c r="C82" s="1030" t="s">
        <v>813</v>
      </c>
      <c r="D82" s="1030">
        <v>1</v>
      </c>
      <c r="E82" s="1039">
        <v>80000</v>
      </c>
      <c r="F82" s="1032">
        <f t="shared" si="4"/>
        <v>80000</v>
      </c>
    </row>
    <row r="83" spans="1:6" x14ac:dyDescent="0.35">
      <c r="A83" s="1029" t="s">
        <v>1056</v>
      </c>
      <c r="B83" s="1028" t="s">
        <v>1057</v>
      </c>
      <c r="C83" s="1030" t="s">
        <v>813</v>
      </c>
      <c r="D83" s="1030">
        <v>2</v>
      </c>
      <c r="E83" s="1039">
        <v>5000</v>
      </c>
      <c r="F83" s="1032">
        <f t="shared" si="4"/>
        <v>10000</v>
      </c>
    </row>
    <row r="84" spans="1:6" x14ac:dyDescent="0.35">
      <c r="A84" s="1029" t="s">
        <v>1058</v>
      </c>
      <c r="B84" s="1028" t="s">
        <v>1059</v>
      </c>
      <c r="C84" s="1030" t="s">
        <v>813</v>
      </c>
      <c r="D84" s="1030">
        <v>2</v>
      </c>
      <c r="E84" s="1039">
        <v>20000</v>
      </c>
      <c r="F84" s="1032">
        <f t="shared" si="4"/>
        <v>40000</v>
      </c>
    </row>
    <row r="85" spans="1:6" x14ac:dyDescent="0.35">
      <c r="A85" s="1029" t="s">
        <v>1060</v>
      </c>
      <c r="B85" s="1028" t="s">
        <v>1061</v>
      </c>
      <c r="C85" s="1030" t="s">
        <v>813</v>
      </c>
      <c r="D85" s="1030"/>
      <c r="E85" s="1039"/>
      <c r="F85" s="1032"/>
    </row>
    <row r="86" spans="1:6" x14ac:dyDescent="0.35">
      <c r="A86" s="1029" t="s">
        <v>1062</v>
      </c>
      <c r="B86" s="1028" t="s">
        <v>904</v>
      </c>
      <c r="C86" s="1030" t="s">
        <v>813</v>
      </c>
      <c r="D86" s="1030"/>
      <c r="E86" s="1039"/>
      <c r="F86" s="1032"/>
    </row>
    <row r="87" spans="1:6" x14ac:dyDescent="0.35">
      <c r="A87" s="1029"/>
      <c r="C87" s="1030"/>
      <c r="D87" s="1030"/>
      <c r="E87" s="1039"/>
      <c r="F87" s="1032"/>
    </row>
    <row r="88" spans="1:6" ht="21.75" thickBot="1" x14ac:dyDescent="0.4">
      <c r="A88" s="1043"/>
      <c r="B88" s="1044" t="s">
        <v>1063</v>
      </c>
      <c r="C88" s="1045"/>
      <c r="D88" s="1045"/>
      <c r="E88" s="1046"/>
      <c r="F88" s="1047">
        <f>SUM(F5:F87)</f>
        <v>32653050</v>
      </c>
    </row>
    <row r="89" spans="1:6" ht="21.75" thickTop="1" x14ac:dyDescent="0.35">
      <c r="A89" s="1048"/>
      <c r="B89" s="1049"/>
      <c r="C89" s="1050"/>
      <c r="D89" s="1050"/>
      <c r="E89" s="1051"/>
      <c r="F89" s="1023"/>
    </row>
    <row r="90" spans="1:6" x14ac:dyDescent="0.35">
      <c r="A90" s="1048"/>
      <c r="B90" s="1050"/>
      <c r="C90" s="1050"/>
      <c r="D90" s="1050"/>
      <c r="E90" s="1051"/>
      <c r="F90" s="1023"/>
    </row>
    <row r="91" spans="1:6" x14ac:dyDescent="0.35">
      <c r="A91" s="1048"/>
      <c r="B91" s="1050"/>
      <c r="C91" s="1050"/>
      <c r="D91" s="1050"/>
      <c r="E91" s="1051"/>
      <c r="F91" s="1023"/>
    </row>
    <row r="92" spans="1:6" x14ac:dyDescent="0.35">
      <c r="A92" s="1048"/>
      <c r="B92" s="1049"/>
      <c r="C92" s="1050"/>
      <c r="D92" s="1050"/>
      <c r="E92" s="1051"/>
      <c r="F92" s="1023"/>
    </row>
    <row r="93" spans="1:6" x14ac:dyDescent="0.35">
      <c r="A93" s="1048"/>
      <c r="B93" s="660"/>
      <c r="C93" s="660"/>
      <c r="D93" s="660"/>
      <c r="E93" s="1023"/>
      <c r="F93" s="1023"/>
    </row>
    <row r="94" spans="1:6" x14ac:dyDescent="0.35">
      <c r="A94" s="1048"/>
      <c r="B94" s="660"/>
      <c r="C94" s="660"/>
      <c r="D94" s="660"/>
      <c r="E94" s="1023"/>
      <c r="F94" s="1023"/>
    </row>
    <row r="95" spans="1:6" x14ac:dyDescent="0.35">
      <c r="A95" s="1048"/>
      <c r="B95" s="956"/>
      <c r="C95" s="660"/>
      <c r="D95" s="660"/>
      <c r="E95" s="1023"/>
      <c r="F95" s="1023"/>
    </row>
    <row r="96" spans="1:6" x14ac:dyDescent="0.35">
      <c r="A96" s="1048"/>
      <c r="B96" s="660"/>
      <c r="C96" s="660"/>
      <c r="D96" s="660"/>
      <c r="E96" s="1023"/>
      <c r="F96" s="1023"/>
    </row>
    <row r="97" spans="1:6" x14ac:dyDescent="0.35">
      <c r="A97" s="1048"/>
      <c r="B97" s="660"/>
      <c r="C97" s="660"/>
      <c r="D97" s="660"/>
      <c r="E97" s="1023"/>
      <c r="F97" s="1023"/>
    </row>
    <row r="98" spans="1:6" x14ac:dyDescent="0.35">
      <c r="A98" s="1048"/>
      <c r="B98" s="660"/>
      <c r="C98" s="660"/>
      <c r="D98" s="660"/>
      <c r="E98" s="1023"/>
      <c r="F98" s="1023"/>
    </row>
    <row r="99" spans="1:6" x14ac:dyDescent="0.35">
      <c r="A99" s="1048"/>
      <c r="B99" s="660"/>
      <c r="C99" s="660"/>
      <c r="D99" s="660"/>
      <c r="E99" s="1023"/>
      <c r="F99" s="1023"/>
    </row>
    <row r="100" spans="1:6" x14ac:dyDescent="0.35">
      <c r="A100" s="1048"/>
      <c r="B100" s="660"/>
      <c r="C100" s="660"/>
      <c r="D100" s="660"/>
      <c r="E100" s="1023"/>
      <c r="F100" s="1023"/>
    </row>
    <row r="101" spans="1:6" x14ac:dyDescent="0.35">
      <c r="A101" s="1048"/>
      <c r="B101" s="660"/>
      <c r="C101" s="660"/>
      <c r="D101" s="660"/>
      <c r="E101" s="1023"/>
      <c r="F101" s="1023"/>
    </row>
    <row r="102" spans="1:6" x14ac:dyDescent="0.35">
      <c r="A102" s="1048"/>
      <c r="B102" s="660"/>
      <c r="C102" s="660"/>
      <c r="D102" s="660"/>
      <c r="E102" s="1023"/>
      <c r="F102" s="1023"/>
    </row>
    <row r="103" spans="1:6" x14ac:dyDescent="0.35">
      <c r="A103" s="1048"/>
      <c r="B103" s="660"/>
      <c r="C103" s="660"/>
      <c r="D103" s="660"/>
      <c r="E103" s="1023"/>
      <c r="F103" s="1023"/>
    </row>
    <row r="104" spans="1:6" x14ac:dyDescent="0.35">
      <c r="A104" s="1048"/>
      <c r="B104" s="660"/>
      <c r="C104" s="660"/>
      <c r="D104" s="660"/>
      <c r="E104" s="1023"/>
      <c r="F104" s="1023"/>
    </row>
    <row r="105" spans="1:6" x14ac:dyDescent="0.35">
      <c r="A105" s="1048"/>
      <c r="B105" s="660"/>
      <c r="C105" s="660"/>
      <c r="D105" s="660"/>
      <c r="E105" s="1023"/>
      <c r="F105" s="1023"/>
    </row>
    <row r="106" spans="1:6" x14ac:dyDescent="0.35">
      <c r="A106" s="1048"/>
      <c r="B106" s="660"/>
      <c r="C106" s="660"/>
      <c r="D106" s="660"/>
      <c r="E106" s="1023"/>
      <c r="F106" s="1023"/>
    </row>
    <row r="107" spans="1:6" x14ac:dyDescent="0.35">
      <c r="A107" s="1048"/>
      <c r="B107" s="660"/>
      <c r="C107" s="660"/>
      <c r="D107" s="660"/>
      <c r="E107" s="1023"/>
      <c r="F107" s="1023"/>
    </row>
    <row r="108" spans="1:6" x14ac:dyDescent="0.35">
      <c r="A108" s="1052"/>
      <c r="B108" s="660"/>
      <c r="C108" s="660"/>
      <c r="D108" s="660"/>
      <c r="E108" s="1023"/>
      <c r="F108" s="1053"/>
    </row>
    <row r="109" spans="1:6" x14ac:dyDescent="0.35">
      <c r="A109" s="1052"/>
      <c r="B109" s="660"/>
      <c r="C109" s="660"/>
      <c r="D109" s="660"/>
      <c r="E109" s="1023"/>
      <c r="F109" s="1053"/>
    </row>
    <row r="110" spans="1:6" x14ac:dyDescent="0.35">
      <c r="B110"/>
      <c r="C110" s="974"/>
      <c r="D110" s="974"/>
      <c r="E110" s="1001"/>
    </row>
    <row r="111" spans="1:6" x14ac:dyDescent="0.35">
      <c r="B111"/>
      <c r="C111" s="974"/>
      <c r="D111" s="974"/>
      <c r="E111" s="1001"/>
    </row>
    <row r="112" spans="1:6" x14ac:dyDescent="0.35">
      <c r="B112"/>
      <c r="C112" s="974"/>
      <c r="D112" s="974"/>
      <c r="E112" s="1001"/>
    </row>
    <row r="113" spans="2:5" x14ac:dyDescent="0.35">
      <c r="B113"/>
      <c r="C113" s="974"/>
      <c r="D113" s="974"/>
      <c r="E113" s="1001"/>
    </row>
    <row r="114" spans="2:5" x14ac:dyDescent="0.35">
      <c r="B114"/>
      <c r="C114" s="974"/>
      <c r="D114" s="974"/>
      <c r="E114" s="1001"/>
    </row>
    <row r="115" spans="2:5" x14ac:dyDescent="0.35">
      <c r="B115"/>
      <c r="C115" s="974"/>
      <c r="D115" s="974"/>
      <c r="E115" s="1001"/>
    </row>
    <row r="116" spans="2:5" x14ac:dyDescent="0.35">
      <c r="B116"/>
      <c r="C116" s="974"/>
      <c r="D116" s="974"/>
      <c r="E116" s="1001"/>
    </row>
    <row r="117" spans="2:5" x14ac:dyDescent="0.35">
      <c r="B117"/>
      <c r="C117" s="974"/>
      <c r="D117" s="974"/>
      <c r="E117" s="1001"/>
    </row>
    <row r="118" spans="2:5" x14ac:dyDescent="0.35">
      <c r="B118"/>
      <c r="C118" s="974"/>
      <c r="D118" s="974"/>
      <c r="E118" s="1001"/>
    </row>
    <row r="119" spans="2:5" x14ac:dyDescent="0.35">
      <c r="B119"/>
      <c r="C119" s="974"/>
      <c r="D119" s="974"/>
      <c r="E119" s="1001"/>
    </row>
    <row r="120" spans="2:5" x14ac:dyDescent="0.35">
      <c r="B120"/>
      <c r="C120" s="974"/>
      <c r="D120" s="974"/>
      <c r="E120" s="1001"/>
    </row>
    <row r="121" spans="2:5" x14ac:dyDescent="0.35">
      <c r="B121"/>
      <c r="C121" s="974"/>
      <c r="D121" s="974"/>
      <c r="E121" s="1001"/>
    </row>
    <row r="122" spans="2:5" x14ac:dyDescent="0.35">
      <c r="B122"/>
      <c r="C122" s="974"/>
      <c r="D122" s="974"/>
      <c r="E122" s="1001"/>
    </row>
    <row r="123" spans="2:5" x14ac:dyDescent="0.35">
      <c r="B123"/>
      <c r="C123" s="974"/>
      <c r="D123" s="974"/>
      <c r="E123" s="1001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53"/>
  <sheetViews>
    <sheetView topLeftCell="A47" workbookViewId="0">
      <selection activeCell="D63" sqref="D63"/>
    </sheetView>
  </sheetViews>
  <sheetFormatPr defaultColWidth="9.140625" defaultRowHeight="15" x14ac:dyDescent="0.25"/>
  <cols>
    <col min="1" max="1" width="9.140625" style="1059"/>
    <col min="2" max="2" width="84.85546875" customWidth="1"/>
    <col min="3" max="3" width="6.7109375" customWidth="1"/>
    <col min="4" max="4" width="13.5703125" customWidth="1"/>
    <col min="5" max="5" width="16.85546875" style="1001" customWidth="1"/>
    <col min="6" max="6" width="23.28515625" style="1001" customWidth="1"/>
  </cols>
  <sheetData>
    <row r="1" spans="1:6" x14ac:dyDescent="0.25">
      <c r="A1" s="992" t="s">
        <v>791</v>
      </c>
      <c r="B1" s="991" t="s">
        <v>792</v>
      </c>
      <c r="C1" s="992" t="s">
        <v>793</v>
      </c>
      <c r="D1" s="993" t="s">
        <v>794</v>
      </c>
      <c r="E1" s="1011" t="s">
        <v>205</v>
      </c>
      <c r="F1" s="1012" t="s">
        <v>795</v>
      </c>
    </row>
    <row r="2" spans="1:6" x14ac:dyDescent="0.25">
      <c r="A2" s="1055"/>
      <c r="C2" s="974"/>
      <c r="D2" s="974"/>
      <c r="F2" s="996"/>
    </row>
    <row r="3" spans="1:6" x14ac:dyDescent="0.25">
      <c r="A3" s="971" t="s">
        <v>1064</v>
      </c>
      <c r="B3" s="1013" t="s">
        <v>1065</v>
      </c>
      <c r="C3" s="974"/>
      <c r="D3" s="974"/>
      <c r="F3" s="996"/>
    </row>
    <row r="4" spans="1:6" x14ac:dyDescent="0.25">
      <c r="A4" s="972" t="s">
        <v>1066</v>
      </c>
      <c r="B4" s="657" t="s">
        <v>1067</v>
      </c>
      <c r="C4" s="974"/>
      <c r="D4" s="974"/>
      <c r="F4" s="996"/>
    </row>
    <row r="5" spans="1:6" x14ac:dyDescent="0.25">
      <c r="A5" s="1055" t="s">
        <v>1068</v>
      </c>
      <c r="B5" s="1056" t="s">
        <v>1069</v>
      </c>
      <c r="C5" s="974" t="s">
        <v>813</v>
      </c>
      <c r="D5" s="974">
        <v>1</v>
      </c>
      <c r="E5" s="1001">
        <v>135000</v>
      </c>
      <c r="F5" s="996">
        <f>D5*E5</f>
        <v>135000</v>
      </c>
    </row>
    <row r="6" spans="1:6" x14ac:dyDescent="0.25">
      <c r="A6" s="1055" t="s">
        <v>1070</v>
      </c>
      <c r="B6" t="s">
        <v>1071</v>
      </c>
      <c r="C6" s="974" t="s">
        <v>911</v>
      </c>
      <c r="D6" s="974">
        <v>1</v>
      </c>
      <c r="E6" s="1001">
        <v>165000</v>
      </c>
      <c r="F6" s="996">
        <f t="shared" ref="F6:F49" si="0">D6*E6</f>
        <v>165000</v>
      </c>
    </row>
    <row r="7" spans="1:6" x14ac:dyDescent="0.25">
      <c r="A7" s="1055" t="s">
        <v>1072</v>
      </c>
      <c r="B7" t="s">
        <v>1073</v>
      </c>
      <c r="C7" s="974" t="s">
        <v>911</v>
      </c>
      <c r="D7" s="974">
        <v>1</v>
      </c>
      <c r="E7" s="1001">
        <v>165000</v>
      </c>
      <c r="F7" s="996">
        <f t="shared" si="0"/>
        <v>165000</v>
      </c>
    </row>
    <row r="8" spans="1:6" x14ac:dyDescent="0.25">
      <c r="A8" s="1055" t="s">
        <v>1074</v>
      </c>
      <c r="B8" t="s">
        <v>1075</v>
      </c>
      <c r="C8" s="974" t="s">
        <v>813</v>
      </c>
      <c r="D8" s="974">
        <v>1</v>
      </c>
      <c r="E8" s="1001">
        <v>50000</v>
      </c>
      <c r="F8" s="1020">
        <f t="shared" si="0"/>
        <v>50000</v>
      </c>
    </row>
    <row r="9" spans="1:6" x14ac:dyDescent="0.25">
      <c r="A9" s="1055" t="s">
        <v>1076</v>
      </c>
      <c r="B9" t="s">
        <v>1077</v>
      </c>
      <c r="C9" s="974" t="s">
        <v>813</v>
      </c>
      <c r="D9" s="1018">
        <v>50</v>
      </c>
      <c r="E9" s="1001">
        <v>1245</v>
      </c>
      <c r="F9" s="1020">
        <f t="shared" si="0"/>
        <v>62250</v>
      </c>
    </row>
    <row r="10" spans="1:6" x14ac:dyDescent="0.25">
      <c r="A10" s="1055" t="s">
        <v>1078</v>
      </c>
      <c r="B10" t="s">
        <v>1079</v>
      </c>
      <c r="C10" s="974" t="s">
        <v>911</v>
      </c>
      <c r="D10" s="1018">
        <v>10</v>
      </c>
      <c r="E10" s="1001">
        <v>30000</v>
      </c>
      <c r="F10" s="1020">
        <f t="shared" si="0"/>
        <v>300000</v>
      </c>
    </row>
    <row r="11" spans="1:6" x14ac:dyDescent="0.25">
      <c r="A11" s="1055" t="s">
        <v>1080</v>
      </c>
      <c r="B11" t="s">
        <v>904</v>
      </c>
      <c r="C11" s="974" t="s">
        <v>813</v>
      </c>
      <c r="D11" s="1018">
        <v>1</v>
      </c>
      <c r="E11" s="1001">
        <v>300000</v>
      </c>
      <c r="F11" s="1020">
        <f t="shared" si="0"/>
        <v>300000</v>
      </c>
    </row>
    <row r="12" spans="1:6" x14ac:dyDescent="0.25">
      <c r="A12" s="1055"/>
      <c r="C12" s="974"/>
      <c r="D12" s="974"/>
      <c r="F12" s="996"/>
    </row>
    <row r="13" spans="1:6" x14ac:dyDescent="0.25">
      <c r="A13" s="972" t="s">
        <v>1081</v>
      </c>
      <c r="B13" s="657" t="s">
        <v>1082</v>
      </c>
      <c r="C13" s="974"/>
      <c r="D13" s="974"/>
      <c r="F13" s="996"/>
    </row>
    <row r="14" spans="1:6" x14ac:dyDescent="0.25">
      <c r="A14" s="1057" t="s">
        <v>1083</v>
      </c>
      <c r="B14" s="1056" t="s">
        <v>1084</v>
      </c>
      <c r="C14" s="974" t="s">
        <v>730</v>
      </c>
      <c r="D14" s="974">
        <v>100</v>
      </c>
      <c r="E14" s="1001">
        <v>1000</v>
      </c>
      <c r="F14" s="996">
        <f t="shared" si="0"/>
        <v>100000</v>
      </c>
    </row>
    <row r="15" spans="1:6" x14ac:dyDescent="0.25">
      <c r="A15" s="1057" t="s">
        <v>1085</v>
      </c>
      <c r="B15" t="s">
        <v>1086</v>
      </c>
      <c r="C15" s="974" t="s">
        <v>730</v>
      </c>
      <c r="D15" s="974">
        <v>100</v>
      </c>
      <c r="E15" s="1001">
        <v>1000</v>
      </c>
      <c r="F15" s="996">
        <f t="shared" si="0"/>
        <v>100000</v>
      </c>
    </row>
    <row r="16" spans="1:6" x14ac:dyDescent="0.25">
      <c r="A16" s="1057" t="s">
        <v>1087</v>
      </c>
      <c r="B16" t="s">
        <v>1088</v>
      </c>
      <c r="C16" s="974" t="s">
        <v>850</v>
      </c>
      <c r="D16" s="974">
        <f>'4. Buildings'!D5</f>
        <v>2000</v>
      </c>
      <c r="E16" s="1001">
        <v>300</v>
      </c>
      <c r="F16" s="996">
        <f t="shared" si="0"/>
        <v>600000</v>
      </c>
    </row>
    <row r="17" spans="1:6" x14ac:dyDescent="0.25">
      <c r="A17" s="1057" t="s">
        <v>1089</v>
      </c>
      <c r="B17" t="s">
        <v>1090</v>
      </c>
      <c r="C17" s="974" t="s">
        <v>542</v>
      </c>
      <c r="D17" s="974">
        <v>150</v>
      </c>
      <c r="E17" s="1001">
        <v>2000</v>
      </c>
      <c r="F17" s="996">
        <f>D17*E17</f>
        <v>300000</v>
      </c>
    </row>
    <row r="18" spans="1:6" x14ac:dyDescent="0.25">
      <c r="A18" s="1057" t="s">
        <v>1091</v>
      </c>
      <c r="B18" t="s">
        <v>1092</v>
      </c>
      <c r="C18" s="974" t="s">
        <v>813</v>
      </c>
      <c r="D18" s="974">
        <v>1</v>
      </c>
      <c r="E18" s="1001">
        <v>150000</v>
      </c>
      <c r="F18" s="996">
        <f t="shared" si="0"/>
        <v>150000</v>
      </c>
    </row>
    <row r="19" spans="1:6" x14ac:dyDescent="0.25">
      <c r="A19" s="1057" t="s">
        <v>1087</v>
      </c>
      <c r="B19" t="s">
        <v>1093</v>
      </c>
      <c r="C19" s="974" t="s">
        <v>813</v>
      </c>
      <c r="D19" s="974">
        <v>0</v>
      </c>
      <c r="E19" s="1001">
        <v>0</v>
      </c>
      <c r="F19" s="996">
        <f t="shared" si="0"/>
        <v>0</v>
      </c>
    </row>
    <row r="20" spans="1:6" x14ac:dyDescent="0.25">
      <c r="A20" s="1057" t="s">
        <v>1087</v>
      </c>
      <c r="B20" t="s">
        <v>1094</v>
      </c>
      <c r="C20" s="974" t="s">
        <v>813</v>
      </c>
      <c r="D20" s="974">
        <v>1</v>
      </c>
      <c r="E20" s="1001">
        <v>300000</v>
      </c>
      <c r="F20" s="996">
        <f t="shared" si="0"/>
        <v>300000</v>
      </c>
    </row>
    <row r="21" spans="1:6" ht="14.25" customHeight="1" x14ac:dyDescent="0.25">
      <c r="A21" s="1057"/>
      <c r="C21" s="974"/>
      <c r="D21" s="974"/>
      <c r="F21" s="996"/>
    </row>
    <row r="22" spans="1:6" x14ac:dyDescent="0.25">
      <c r="A22" s="972" t="s">
        <v>1095</v>
      </c>
      <c r="B22" s="657" t="s">
        <v>1096</v>
      </c>
      <c r="C22" s="974"/>
      <c r="D22" s="974"/>
      <c r="E22" s="1019"/>
      <c r="F22" s="996"/>
    </row>
    <row r="23" spans="1:6" x14ac:dyDescent="0.25">
      <c r="A23" s="1055" t="s">
        <v>1097</v>
      </c>
      <c r="B23" t="s">
        <v>1098</v>
      </c>
      <c r="C23" s="974" t="s">
        <v>911</v>
      </c>
      <c r="D23" s="974">
        <v>1</v>
      </c>
      <c r="E23" s="1019">
        <v>225000</v>
      </c>
      <c r="F23" s="996">
        <f t="shared" si="0"/>
        <v>225000</v>
      </c>
    </row>
    <row r="24" spans="1:6" x14ac:dyDescent="0.25">
      <c r="A24" s="1055" t="s">
        <v>1099</v>
      </c>
      <c r="B24" t="s">
        <v>1100</v>
      </c>
      <c r="C24" s="974" t="s">
        <v>911</v>
      </c>
      <c r="D24" s="974">
        <v>0</v>
      </c>
      <c r="E24" s="1019">
        <v>225000</v>
      </c>
      <c r="F24" s="996">
        <f t="shared" si="0"/>
        <v>0</v>
      </c>
    </row>
    <row r="25" spans="1:6" x14ac:dyDescent="0.25">
      <c r="A25" s="1055" t="s">
        <v>1101</v>
      </c>
      <c r="B25" s="1056" t="s">
        <v>1102</v>
      </c>
      <c r="C25" s="974" t="s">
        <v>813</v>
      </c>
      <c r="D25" s="974">
        <v>1</v>
      </c>
      <c r="E25" s="1019">
        <v>50000</v>
      </c>
      <c r="F25" s="996">
        <f t="shared" si="0"/>
        <v>50000</v>
      </c>
    </row>
    <row r="26" spans="1:6" x14ac:dyDescent="0.25">
      <c r="A26" s="1055" t="s">
        <v>1103</v>
      </c>
      <c r="B26" t="s">
        <v>1104</v>
      </c>
      <c r="C26" s="974" t="s">
        <v>813</v>
      </c>
      <c r="D26" s="974">
        <v>1</v>
      </c>
      <c r="E26" s="1019">
        <v>30000</v>
      </c>
      <c r="F26" s="996">
        <f t="shared" si="0"/>
        <v>30000</v>
      </c>
    </row>
    <row r="27" spans="1:6" x14ac:dyDescent="0.25">
      <c r="A27" s="1055" t="s">
        <v>1105</v>
      </c>
      <c r="B27" t="s">
        <v>1106</v>
      </c>
      <c r="C27" s="974" t="s">
        <v>813</v>
      </c>
      <c r="D27" s="974">
        <v>1</v>
      </c>
      <c r="E27" s="1019">
        <v>30000</v>
      </c>
      <c r="F27" s="996">
        <f t="shared" si="0"/>
        <v>30000</v>
      </c>
    </row>
    <row r="28" spans="1:6" x14ac:dyDescent="0.25">
      <c r="A28" s="1055" t="s">
        <v>1107</v>
      </c>
      <c r="B28" t="s">
        <v>1108</v>
      </c>
      <c r="C28" s="974" t="s">
        <v>813</v>
      </c>
      <c r="D28" s="974">
        <v>1</v>
      </c>
      <c r="E28" s="1001">
        <v>15000</v>
      </c>
      <c r="F28" s="996">
        <f t="shared" si="0"/>
        <v>15000</v>
      </c>
    </row>
    <row r="29" spans="1:6" x14ac:dyDescent="0.25">
      <c r="A29" s="1055" t="s">
        <v>1109</v>
      </c>
      <c r="B29" t="s">
        <v>1061</v>
      </c>
      <c r="C29" s="974" t="s">
        <v>813</v>
      </c>
      <c r="D29" s="974">
        <v>0</v>
      </c>
      <c r="E29" s="1001">
        <v>0</v>
      </c>
      <c r="F29" s="996">
        <f t="shared" si="0"/>
        <v>0</v>
      </c>
    </row>
    <row r="30" spans="1:6" x14ac:dyDescent="0.25">
      <c r="A30" s="1055" t="s">
        <v>1110</v>
      </c>
      <c r="B30" t="s">
        <v>904</v>
      </c>
      <c r="C30" s="974" t="s">
        <v>813</v>
      </c>
      <c r="D30" s="974">
        <f>D23</f>
        <v>1</v>
      </c>
      <c r="E30" s="1001">
        <v>25000</v>
      </c>
      <c r="F30" s="996">
        <f t="shared" si="0"/>
        <v>25000</v>
      </c>
    </row>
    <row r="31" spans="1:6" x14ac:dyDescent="0.25">
      <c r="A31" s="1055"/>
      <c r="C31" s="974"/>
      <c r="D31" s="974"/>
      <c r="F31" s="996"/>
    </row>
    <row r="32" spans="1:6" x14ac:dyDescent="0.25">
      <c r="A32" s="972" t="s">
        <v>1111</v>
      </c>
      <c r="B32" s="657" t="s">
        <v>1112</v>
      </c>
      <c r="C32" s="974"/>
      <c r="D32" s="974"/>
      <c r="F32" s="996"/>
    </row>
    <row r="33" spans="1:6" x14ac:dyDescent="0.25">
      <c r="A33" s="1057" t="s">
        <v>1113</v>
      </c>
      <c r="B33" s="1056" t="s">
        <v>1114</v>
      </c>
      <c r="C33" s="974" t="s">
        <v>813</v>
      </c>
      <c r="D33" s="974">
        <v>2</v>
      </c>
      <c r="E33" s="1001">
        <v>20000</v>
      </c>
      <c r="F33" s="996">
        <f t="shared" si="0"/>
        <v>40000</v>
      </c>
    </row>
    <row r="34" spans="1:6" x14ac:dyDescent="0.25">
      <c r="A34" s="1057" t="s">
        <v>1115</v>
      </c>
      <c r="B34" s="1056" t="s">
        <v>1116</v>
      </c>
      <c r="C34" s="974" t="s">
        <v>813</v>
      </c>
      <c r="D34" s="974">
        <v>1</v>
      </c>
      <c r="E34" s="1001">
        <v>12000</v>
      </c>
      <c r="F34" s="996">
        <f t="shared" si="0"/>
        <v>12000</v>
      </c>
    </row>
    <row r="35" spans="1:6" x14ac:dyDescent="0.25">
      <c r="A35" s="1057" t="s">
        <v>1117</v>
      </c>
      <c r="B35" s="1056" t="s">
        <v>1118</v>
      </c>
      <c r="C35" s="974" t="s">
        <v>813</v>
      </c>
      <c r="D35" s="974">
        <v>0</v>
      </c>
      <c r="F35" s="996">
        <f t="shared" si="0"/>
        <v>0</v>
      </c>
    </row>
    <row r="36" spans="1:6" x14ac:dyDescent="0.25">
      <c r="A36" s="1057" t="s">
        <v>1119</v>
      </c>
      <c r="B36" s="1056" t="s">
        <v>904</v>
      </c>
      <c r="C36" s="974" t="s">
        <v>813</v>
      </c>
      <c r="D36" s="974">
        <v>1</v>
      </c>
      <c r="E36" s="1001">
        <v>10000</v>
      </c>
      <c r="F36" s="996">
        <f t="shared" si="0"/>
        <v>10000</v>
      </c>
    </row>
    <row r="37" spans="1:6" x14ac:dyDescent="0.25">
      <c r="A37" s="1055"/>
      <c r="C37" s="974"/>
      <c r="D37" s="974"/>
      <c r="F37" s="996"/>
    </row>
    <row r="38" spans="1:6" x14ac:dyDescent="0.25">
      <c r="A38" s="972" t="s">
        <v>1120</v>
      </c>
      <c r="B38" s="657" t="s">
        <v>1121</v>
      </c>
      <c r="C38" s="974"/>
      <c r="D38" s="974"/>
      <c r="F38" s="996"/>
    </row>
    <row r="39" spans="1:6" x14ac:dyDescent="0.25">
      <c r="A39" s="1055" t="s">
        <v>1122</v>
      </c>
      <c r="B39" t="s">
        <v>1123</v>
      </c>
      <c r="C39" s="974" t="s">
        <v>1124</v>
      </c>
      <c r="D39" s="974">
        <v>1</v>
      </c>
      <c r="E39" s="1001">
        <v>200000</v>
      </c>
      <c r="F39" s="996">
        <f>D39*E39</f>
        <v>200000</v>
      </c>
    </row>
    <row r="40" spans="1:6" x14ac:dyDescent="0.25">
      <c r="A40" s="1055"/>
      <c r="C40" s="974"/>
      <c r="D40" s="974"/>
      <c r="F40" s="996"/>
    </row>
    <row r="41" spans="1:6" x14ac:dyDescent="0.25">
      <c r="A41" s="972" t="s">
        <v>1125</v>
      </c>
      <c r="B41" s="657" t="s">
        <v>1126</v>
      </c>
      <c r="C41" s="974"/>
      <c r="D41" s="974"/>
      <c r="F41" s="996"/>
    </row>
    <row r="42" spans="1:6" x14ac:dyDescent="0.25">
      <c r="A42" s="1057" t="s">
        <v>1127</v>
      </c>
      <c r="B42" t="s">
        <v>1128</v>
      </c>
      <c r="C42" s="974" t="s">
        <v>813</v>
      </c>
      <c r="D42" s="974">
        <v>1</v>
      </c>
      <c r="E42" s="1001">
        <v>225000</v>
      </c>
      <c r="F42" s="996">
        <f t="shared" si="0"/>
        <v>225000</v>
      </c>
    </row>
    <row r="43" spans="1:6" x14ac:dyDescent="0.25">
      <c r="A43" s="1057" t="s">
        <v>1129</v>
      </c>
      <c r="B43" t="s">
        <v>1130</v>
      </c>
      <c r="C43" s="974" t="s">
        <v>1124</v>
      </c>
      <c r="D43" s="974">
        <v>1</v>
      </c>
      <c r="E43" s="1001">
        <v>225000</v>
      </c>
      <c r="F43" s="996">
        <f t="shared" si="0"/>
        <v>225000</v>
      </c>
    </row>
    <row r="44" spans="1:6" x14ac:dyDescent="0.25">
      <c r="A44" s="1057" t="s">
        <v>1131</v>
      </c>
      <c r="B44" t="s">
        <v>1132</v>
      </c>
      <c r="C44" s="974" t="s">
        <v>1124</v>
      </c>
      <c r="D44" s="974">
        <v>1</v>
      </c>
      <c r="E44" s="1001">
        <v>18000</v>
      </c>
      <c r="F44" s="996">
        <f t="shared" si="0"/>
        <v>18000</v>
      </c>
    </row>
    <row r="45" spans="1:6" x14ac:dyDescent="0.25">
      <c r="A45" s="1057" t="s">
        <v>1133</v>
      </c>
      <c r="B45" t="s">
        <v>1134</v>
      </c>
      <c r="C45" s="974" t="s">
        <v>1124</v>
      </c>
      <c r="D45" s="974">
        <v>1</v>
      </c>
      <c r="E45" s="1001">
        <v>70000</v>
      </c>
      <c r="F45" s="996">
        <f t="shared" si="0"/>
        <v>70000</v>
      </c>
    </row>
    <row r="46" spans="1:6" x14ac:dyDescent="0.25">
      <c r="A46" s="1057" t="s">
        <v>1135</v>
      </c>
      <c r="B46" t="s">
        <v>1108</v>
      </c>
      <c r="C46" s="974" t="s">
        <v>813</v>
      </c>
      <c r="D46" s="974">
        <v>1</v>
      </c>
      <c r="E46" s="1001">
        <v>7500</v>
      </c>
      <c r="F46" s="996">
        <f t="shared" si="0"/>
        <v>7500</v>
      </c>
    </row>
    <row r="47" spans="1:6" x14ac:dyDescent="0.25">
      <c r="A47" s="1057" t="s">
        <v>1136</v>
      </c>
      <c r="B47" t="s">
        <v>1137</v>
      </c>
      <c r="C47" s="974" t="s">
        <v>730</v>
      </c>
      <c r="D47" s="974">
        <v>100</v>
      </c>
      <c r="E47" s="1001">
        <v>1000</v>
      </c>
      <c r="F47" s="996">
        <f t="shared" si="0"/>
        <v>100000</v>
      </c>
    </row>
    <row r="48" spans="1:6" x14ac:dyDescent="0.25">
      <c r="A48" s="1057" t="s">
        <v>1138</v>
      </c>
      <c r="B48" t="s">
        <v>1061</v>
      </c>
      <c r="C48" s="974" t="s">
        <v>813</v>
      </c>
      <c r="D48" s="974">
        <v>0</v>
      </c>
      <c r="E48" s="1001">
        <v>0</v>
      </c>
      <c r="F48" s="996">
        <f t="shared" si="0"/>
        <v>0</v>
      </c>
    </row>
    <row r="49" spans="1:6" x14ac:dyDescent="0.25">
      <c r="A49" s="1057" t="s">
        <v>1139</v>
      </c>
      <c r="B49" t="s">
        <v>904</v>
      </c>
      <c r="C49" s="974" t="s">
        <v>813</v>
      </c>
      <c r="D49" s="974">
        <v>1</v>
      </c>
      <c r="E49" s="1001">
        <v>150000</v>
      </c>
      <c r="F49" s="996">
        <f t="shared" si="0"/>
        <v>150000</v>
      </c>
    </row>
    <row r="50" spans="1:6" x14ac:dyDescent="0.25">
      <c r="A50" s="1055"/>
      <c r="C50" s="974"/>
      <c r="D50" s="974"/>
      <c r="F50" s="996"/>
    </row>
    <row r="51" spans="1:6" x14ac:dyDescent="0.25">
      <c r="A51" s="1055"/>
      <c r="C51" s="974"/>
      <c r="D51" s="974"/>
      <c r="F51" s="996"/>
    </row>
    <row r="52" spans="1:6" ht="15.75" thickBot="1" x14ac:dyDescent="0.3">
      <c r="A52" s="1058"/>
      <c r="B52" s="984" t="s">
        <v>818</v>
      </c>
      <c r="C52" s="985"/>
      <c r="D52" s="985"/>
      <c r="E52" s="986"/>
      <c r="F52" s="1021">
        <f>SUM(F5:F51)</f>
        <v>4159750</v>
      </c>
    </row>
    <row r="53" spans="1:6" ht="15.75" thickTop="1" x14ac:dyDescent="0.25"/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62"/>
  <sheetViews>
    <sheetView topLeftCell="A57" zoomScale="75" zoomScaleNormal="75" workbookViewId="0">
      <selection activeCell="D73" sqref="D73"/>
    </sheetView>
  </sheetViews>
  <sheetFormatPr defaultColWidth="9.140625" defaultRowHeight="21" x14ac:dyDescent="0.35"/>
  <cols>
    <col min="1" max="1" width="11.7109375" style="1069" customWidth="1"/>
    <col min="2" max="2" width="83.7109375" style="1028" customWidth="1"/>
    <col min="3" max="3" width="6.7109375" style="1050" customWidth="1"/>
    <col min="4" max="4" width="13.5703125" style="1028" customWidth="1"/>
    <col min="5" max="5" width="23.5703125" style="1053" customWidth="1"/>
    <col min="6" max="6" width="26.28515625" style="1053" customWidth="1"/>
    <col min="7" max="7" width="28.140625" style="1028" customWidth="1"/>
    <col min="8" max="16384" width="9.140625" style="1028"/>
  </cols>
  <sheetData>
    <row r="1" spans="1:7" x14ac:dyDescent="0.35">
      <c r="A1" s="1075" t="s">
        <v>791</v>
      </c>
      <c r="B1" s="1076" t="s">
        <v>792</v>
      </c>
      <c r="C1" s="1024" t="s">
        <v>793</v>
      </c>
      <c r="D1" s="1077" t="s">
        <v>794</v>
      </c>
      <c r="E1" s="1026" t="s">
        <v>205</v>
      </c>
      <c r="F1" s="1078" t="s">
        <v>795</v>
      </c>
    </row>
    <row r="2" spans="1:7" x14ac:dyDescent="0.35">
      <c r="A2" s="1033"/>
      <c r="C2" s="1030"/>
      <c r="D2" s="1050"/>
      <c r="E2" s="1032"/>
      <c r="F2" s="1079"/>
    </row>
    <row r="3" spans="1:7" x14ac:dyDescent="0.35">
      <c r="A3" s="1064" t="s">
        <v>1195</v>
      </c>
      <c r="B3" s="1034" t="s">
        <v>1196</v>
      </c>
      <c r="C3" s="1030"/>
      <c r="D3" s="1030"/>
      <c r="E3" s="1031"/>
      <c r="F3" s="1032"/>
    </row>
    <row r="4" spans="1:7" x14ac:dyDescent="0.35">
      <c r="A4" s="1064" t="s">
        <v>1197</v>
      </c>
      <c r="B4" s="1036" t="s">
        <v>1198</v>
      </c>
      <c r="C4" s="1030"/>
      <c r="D4" s="1030"/>
      <c r="E4" s="1031"/>
      <c r="F4" s="1032"/>
    </row>
    <row r="5" spans="1:7" x14ac:dyDescent="0.35">
      <c r="A5" s="1033" t="s">
        <v>1199</v>
      </c>
      <c r="B5" s="1028" t="s">
        <v>1200</v>
      </c>
      <c r="C5" s="1030" t="s">
        <v>911</v>
      </c>
      <c r="D5" s="1065">
        <f>'Production calcs'!B15</f>
        <v>100</v>
      </c>
      <c r="E5" s="1031">
        <v>5000</v>
      </c>
      <c r="F5" s="1040">
        <f>D5*E5</f>
        <v>500000</v>
      </c>
    </row>
    <row r="6" spans="1:7" x14ac:dyDescent="0.35">
      <c r="A6" s="1033" t="s">
        <v>1201</v>
      </c>
      <c r="B6" s="1028" t="s">
        <v>1202</v>
      </c>
      <c r="C6" s="1030" t="s">
        <v>813</v>
      </c>
      <c r="D6" s="1030">
        <f>D5</f>
        <v>100</v>
      </c>
      <c r="E6" s="1039">
        <v>5000</v>
      </c>
      <c r="F6" s="1040">
        <f t="shared" ref="F6:F59" si="0">D6*E6</f>
        <v>500000</v>
      </c>
    </row>
    <row r="7" spans="1:7" x14ac:dyDescent="0.35">
      <c r="A7" s="1033" t="s">
        <v>1203</v>
      </c>
      <c r="B7" s="1028" t="s">
        <v>1204</v>
      </c>
      <c r="C7" s="1030" t="s">
        <v>813</v>
      </c>
      <c r="D7" s="1030">
        <f>D5/10</f>
        <v>10</v>
      </c>
      <c r="E7" s="1039">
        <v>1000</v>
      </c>
      <c r="F7" s="1040">
        <f t="shared" si="0"/>
        <v>10000</v>
      </c>
    </row>
    <row r="8" spans="1:7" x14ac:dyDescent="0.35">
      <c r="A8" s="1033" t="s">
        <v>1205</v>
      </c>
      <c r="B8" s="1028" t="s">
        <v>839</v>
      </c>
      <c r="C8" s="1030" t="s">
        <v>911</v>
      </c>
      <c r="D8" s="1030">
        <f>D5</f>
        <v>100</v>
      </c>
      <c r="E8" s="1039">
        <v>2000</v>
      </c>
      <c r="F8" s="1040">
        <f t="shared" si="0"/>
        <v>200000</v>
      </c>
    </row>
    <row r="9" spans="1:7" x14ac:dyDescent="0.35">
      <c r="A9" s="1033" t="s">
        <v>1364</v>
      </c>
      <c r="B9" s="1028" t="s">
        <v>1207</v>
      </c>
      <c r="C9" s="1030" t="s">
        <v>813</v>
      </c>
      <c r="D9" s="1030">
        <v>1</v>
      </c>
      <c r="E9" s="1039">
        <v>5000</v>
      </c>
      <c r="F9" s="1040">
        <f t="shared" si="0"/>
        <v>5000</v>
      </c>
    </row>
    <row r="10" spans="1:7" x14ac:dyDescent="0.35">
      <c r="A10" s="1033" t="s">
        <v>1206</v>
      </c>
      <c r="B10" s="1028" t="s">
        <v>1254</v>
      </c>
      <c r="C10" s="1030" t="s">
        <v>911</v>
      </c>
      <c r="D10" s="1030">
        <v>1</v>
      </c>
      <c r="E10" s="1039">
        <v>10000</v>
      </c>
      <c r="F10" s="1040">
        <f t="shared" si="0"/>
        <v>10000</v>
      </c>
    </row>
    <row r="11" spans="1:7" x14ac:dyDescent="0.35">
      <c r="A11" s="1033" t="s">
        <v>1208</v>
      </c>
      <c r="B11" s="1028" t="s">
        <v>1255</v>
      </c>
      <c r="C11" s="1030" t="s">
        <v>911</v>
      </c>
      <c r="D11" s="1030">
        <v>1</v>
      </c>
      <c r="E11" s="1039">
        <v>15000</v>
      </c>
      <c r="F11" s="1040">
        <f t="shared" si="0"/>
        <v>15000</v>
      </c>
    </row>
    <row r="12" spans="1:7" x14ac:dyDescent="0.35">
      <c r="A12" s="1033" t="s">
        <v>1365</v>
      </c>
      <c r="B12" s="1028" t="s">
        <v>1211</v>
      </c>
      <c r="C12" s="1030" t="s">
        <v>813</v>
      </c>
      <c r="D12" s="1030">
        <f>D7</f>
        <v>10</v>
      </c>
      <c r="E12" s="1039">
        <v>2000</v>
      </c>
      <c r="F12" s="1040">
        <f t="shared" si="0"/>
        <v>20000</v>
      </c>
    </row>
    <row r="13" spans="1:7" x14ac:dyDescent="0.35">
      <c r="A13" s="1033" t="s">
        <v>1209</v>
      </c>
      <c r="B13" s="1028" t="s">
        <v>1362</v>
      </c>
      <c r="C13" s="1030" t="s">
        <v>911</v>
      </c>
      <c r="D13" s="1030">
        <v>1</v>
      </c>
      <c r="E13" s="1039">
        <v>150000</v>
      </c>
      <c r="F13" s="1040">
        <f t="shared" si="0"/>
        <v>150000</v>
      </c>
    </row>
    <row r="14" spans="1:7" x14ac:dyDescent="0.35">
      <c r="A14" s="1033" t="s">
        <v>1210</v>
      </c>
      <c r="B14" s="1028" t="s">
        <v>1213</v>
      </c>
      <c r="C14" s="1030" t="s">
        <v>813</v>
      </c>
      <c r="D14" s="1030">
        <f>D7</f>
        <v>10</v>
      </c>
      <c r="E14" s="1031">
        <v>2000</v>
      </c>
      <c r="F14" s="1040">
        <f t="shared" si="0"/>
        <v>20000</v>
      </c>
    </row>
    <row r="15" spans="1:7" x14ac:dyDescent="0.35">
      <c r="A15" s="1033" t="s">
        <v>1212</v>
      </c>
      <c r="B15" s="1028" t="s">
        <v>870</v>
      </c>
      <c r="C15" s="1030" t="s">
        <v>813</v>
      </c>
      <c r="D15" s="1030">
        <v>0</v>
      </c>
      <c r="E15" s="1031">
        <v>0</v>
      </c>
      <c r="F15" s="1040">
        <f t="shared" si="0"/>
        <v>0</v>
      </c>
    </row>
    <row r="16" spans="1:7" x14ac:dyDescent="0.35">
      <c r="A16" s="1033" t="s">
        <v>1214</v>
      </c>
      <c r="B16" s="1028" t="s">
        <v>904</v>
      </c>
      <c r="C16" s="1030" t="s">
        <v>813</v>
      </c>
      <c r="D16" s="1030">
        <f>D5</f>
        <v>100</v>
      </c>
      <c r="E16" s="1031">
        <v>100</v>
      </c>
      <c r="F16" s="1040">
        <f t="shared" si="0"/>
        <v>10000</v>
      </c>
      <c r="G16" s="1070"/>
    </row>
    <row r="17" spans="1:7" x14ac:dyDescent="0.35">
      <c r="A17" s="1033"/>
      <c r="C17" s="1030"/>
      <c r="D17" s="1030"/>
      <c r="E17" s="1031"/>
      <c r="F17" s="1040"/>
      <c r="G17" s="1070"/>
    </row>
    <row r="18" spans="1:7" ht="19.5" customHeight="1" x14ac:dyDescent="0.35">
      <c r="A18" s="1033"/>
      <c r="C18" s="1030"/>
      <c r="D18" s="1030"/>
      <c r="E18" s="1031"/>
      <c r="F18" s="1032"/>
      <c r="G18" s="1041"/>
    </row>
    <row r="19" spans="1:7" x14ac:dyDescent="0.35">
      <c r="A19" s="1064" t="s">
        <v>1215</v>
      </c>
      <c r="B19" s="1036" t="s">
        <v>787</v>
      </c>
      <c r="C19" s="1030"/>
      <c r="D19" s="1030"/>
      <c r="E19" s="1031"/>
      <c r="F19" s="1032"/>
      <c r="G19" s="1070"/>
    </row>
    <row r="20" spans="1:7" x14ac:dyDescent="0.35">
      <c r="A20" s="1033" t="s">
        <v>1216</v>
      </c>
      <c r="B20" s="1028" t="s">
        <v>1256</v>
      </c>
      <c r="C20" s="1030" t="s">
        <v>911</v>
      </c>
      <c r="D20" s="1065">
        <f>'Production calcs'!B16</f>
        <v>15</v>
      </c>
      <c r="E20" s="1031">
        <v>41500</v>
      </c>
      <c r="F20" s="1040">
        <f t="shared" si="0"/>
        <v>622500</v>
      </c>
      <c r="G20" s="1070"/>
    </row>
    <row r="21" spans="1:7" x14ac:dyDescent="0.35">
      <c r="A21" s="1033" t="s">
        <v>1217</v>
      </c>
      <c r="B21" s="1028" t="s">
        <v>1202</v>
      </c>
      <c r="C21" s="1030" t="s">
        <v>813</v>
      </c>
      <c r="D21" s="1030">
        <f>D20</f>
        <v>15</v>
      </c>
      <c r="E21" s="1039">
        <v>7500</v>
      </c>
      <c r="F21" s="1040">
        <f t="shared" si="0"/>
        <v>112500</v>
      </c>
      <c r="G21" s="1070"/>
    </row>
    <row r="22" spans="1:7" x14ac:dyDescent="0.35">
      <c r="A22" s="1033" t="s">
        <v>1218</v>
      </c>
      <c r="B22" s="1028" t="s">
        <v>1219</v>
      </c>
      <c r="C22" s="1030" t="s">
        <v>911</v>
      </c>
      <c r="D22" s="1030">
        <f>D20</f>
        <v>15</v>
      </c>
      <c r="E22" s="1039">
        <v>7500</v>
      </c>
      <c r="F22" s="1040">
        <f t="shared" si="0"/>
        <v>112500</v>
      </c>
      <c r="G22" s="1070"/>
    </row>
    <row r="23" spans="1:7" x14ac:dyDescent="0.35">
      <c r="A23" s="1033" t="s">
        <v>1220</v>
      </c>
      <c r="B23" s="1028" t="s">
        <v>1204</v>
      </c>
      <c r="C23" s="1030" t="s">
        <v>813</v>
      </c>
      <c r="D23" s="1030">
        <v>1</v>
      </c>
      <c r="E23" s="1039">
        <v>1000</v>
      </c>
      <c r="F23" s="1040">
        <f t="shared" si="0"/>
        <v>1000</v>
      </c>
      <c r="G23" s="1070"/>
    </row>
    <row r="24" spans="1:7" x14ac:dyDescent="0.35">
      <c r="A24" s="1033" t="s">
        <v>1221</v>
      </c>
      <c r="B24" s="1028" t="s">
        <v>839</v>
      </c>
      <c r="C24" s="1030" t="s">
        <v>911</v>
      </c>
      <c r="D24" s="1030">
        <f>D20</f>
        <v>15</v>
      </c>
      <c r="E24" s="1039">
        <v>7500</v>
      </c>
      <c r="F24" s="1040">
        <f t="shared" si="0"/>
        <v>112500</v>
      </c>
      <c r="G24" s="1070"/>
    </row>
    <row r="25" spans="1:7" x14ac:dyDescent="0.35">
      <c r="A25" s="1033" t="s">
        <v>1222</v>
      </c>
      <c r="B25" s="1028" t="s">
        <v>1213</v>
      </c>
      <c r="C25" s="1030" t="s">
        <v>813</v>
      </c>
      <c r="D25" s="1030">
        <v>7</v>
      </c>
      <c r="E25" s="1031">
        <v>2000</v>
      </c>
      <c r="F25" s="1040">
        <f t="shared" si="0"/>
        <v>14000</v>
      </c>
      <c r="G25" s="1070"/>
    </row>
    <row r="26" spans="1:7" x14ac:dyDescent="0.35">
      <c r="A26" s="1033" t="s">
        <v>1223</v>
      </c>
      <c r="B26" s="1028" t="s">
        <v>870</v>
      </c>
      <c r="C26" s="1030" t="s">
        <v>813</v>
      </c>
      <c r="D26" s="1030">
        <v>0</v>
      </c>
      <c r="E26" s="1031">
        <v>0</v>
      </c>
      <c r="F26" s="1040">
        <f t="shared" si="0"/>
        <v>0</v>
      </c>
      <c r="G26" s="1070"/>
    </row>
    <row r="27" spans="1:7" x14ac:dyDescent="0.35">
      <c r="A27" s="1033" t="s">
        <v>1224</v>
      </c>
      <c r="B27" s="1028" t="s">
        <v>904</v>
      </c>
      <c r="C27" s="1030" t="s">
        <v>813</v>
      </c>
      <c r="D27" s="1030">
        <v>7</v>
      </c>
      <c r="E27" s="1031">
        <v>10000</v>
      </c>
      <c r="F27" s="1040">
        <f t="shared" si="0"/>
        <v>70000</v>
      </c>
      <c r="G27" s="1070"/>
    </row>
    <row r="28" spans="1:7" x14ac:dyDescent="0.35">
      <c r="A28" s="1033"/>
      <c r="C28" s="1030"/>
      <c r="D28" s="1030"/>
      <c r="E28" s="1031"/>
      <c r="F28" s="1032"/>
      <c r="G28" s="1070"/>
    </row>
    <row r="29" spans="1:7" x14ac:dyDescent="0.35">
      <c r="A29" s="1064" t="s">
        <v>1225</v>
      </c>
      <c r="B29" s="1036" t="s">
        <v>1226</v>
      </c>
      <c r="C29" s="1030"/>
      <c r="D29" s="1030"/>
      <c r="E29" s="1031"/>
      <c r="F29" s="1032"/>
      <c r="G29" s="1070"/>
    </row>
    <row r="30" spans="1:7" x14ac:dyDescent="0.35">
      <c r="A30" s="1033" t="s">
        <v>1227</v>
      </c>
      <c r="B30" s="1028" t="s">
        <v>1266</v>
      </c>
      <c r="C30" s="1030" t="s">
        <v>911</v>
      </c>
      <c r="D30" s="1065">
        <f>'Production calcs'!B17</f>
        <v>6</v>
      </c>
      <c r="E30" s="1031">
        <v>220000</v>
      </c>
      <c r="F30" s="1040">
        <f t="shared" si="0"/>
        <v>1320000</v>
      </c>
      <c r="G30" s="1041"/>
    </row>
    <row r="31" spans="1:7" x14ac:dyDescent="0.35">
      <c r="A31" s="1033" t="s">
        <v>1228</v>
      </c>
      <c r="B31" s="1028" t="s">
        <v>1202</v>
      </c>
      <c r="C31" s="1030" t="s">
        <v>813</v>
      </c>
      <c r="D31" s="1065">
        <f>D30</f>
        <v>6</v>
      </c>
      <c r="E31" s="1031">
        <v>10000</v>
      </c>
      <c r="F31" s="1040">
        <f t="shared" si="0"/>
        <v>60000</v>
      </c>
      <c r="G31" s="1070"/>
    </row>
    <row r="32" spans="1:7" x14ac:dyDescent="0.35">
      <c r="A32" s="1033" t="s">
        <v>1229</v>
      </c>
      <c r="B32" s="1028" t="s">
        <v>1219</v>
      </c>
      <c r="C32" s="1030" t="s">
        <v>813</v>
      </c>
      <c r="D32" s="1065">
        <f>D30</f>
        <v>6</v>
      </c>
      <c r="E32" s="1031">
        <v>20000</v>
      </c>
      <c r="F32" s="1040">
        <f t="shared" si="0"/>
        <v>120000</v>
      </c>
      <c r="G32" s="1041"/>
    </row>
    <row r="33" spans="1:7" x14ac:dyDescent="0.35">
      <c r="A33" s="1033" t="s">
        <v>1230</v>
      </c>
      <c r="B33" s="1028" t="s">
        <v>839</v>
      </c>
      <c r="C33" s="1030" t="s">
        <v>911</v>
      </c>
      <c r="D33" s="1065">
        <f>D30</f>
        <v>6</v>
      </c>
      <c r="E33" s="1031">
        <v>15000</v>
      </c>
      <c r="F33" s="1040">
        <f t="shared" si="0"/>
        <v>90000</v>
      </c>
      <c r="G33" s="1041"/>
    </row>
    <row r="34" spans="1:7" x14ac:dyDescent="0.35">
      <c r="A34" s="1033" t="s">
        <v>1231</v>
      </c>
      <c r="B34" s="1028" t="s">
        <v>1204</v>
      </c>
      <c r="C34" s="1030" t="s">
        <v>813</v>
      </c>
      <c r="D34" s="1065">
        <f>D30</f>
        <v>6</v>
      </c>
      <c r="E34" s="1039">
        <v>3000</v>
      </c>
      <c r="F34" s="1040">
        <f t="shared" si="0"/>
        <v>18000</v>
      </c>
      <c r="G34" s="1041"/>
    </row>
    <row r="35" spans="1:7" x14ac:dyDescent="0.35">
      <c r="A35" s="1033" t="s">
        <v>1232</v>
      </c>
      <c r="B35" s="1028" t="s">
        <v>1213</v>
      </c>
      <c r="C35" s="1030" t="s">
        <v>813</v>
      </c>
      <c r="D35" s="1065">
        <f>D30</f>
        <v>6</v>
      </c>
      <c r="E35" s="1031">
        <v>2000</v>
      </c>
      <c r="F35" s="1040">
        <f t="shared" si="0"/>
        <v>12000</v>
      </c>
      <c r="G35" s="1041"/>
    </row>
    <row r="36" spans="1:7" x14ac:dyDescent="0.35">
      <c r="A36" s="1033" t="s">
        <v>1233</v>
      </c>
      <c r="B36" s="1028" t="s">
        <v>870</v>
      </c>
      <c r="C36" s="1030" t="s">
        <v>813</v>
      </c>
      <c r="D36" s="1030">
        <v>0</v>
      </c>
      <c r="E36" s="1031">
        <v>0</v>
      </c>
      <c r="F36" s="1040">
        <f t="shared" si="0"/>
        <v>0</v>
      </c>
      <c r="G36" s="1041"/>
    </row>
    <row r="37" spans="1:7" x14ac:dyDescent="0.35">
      <c r="A37" s="1033" t="s">
        <v>1234</v>
      </c>
      <c r="B37" s="1028" t="s">
        <v>904</v>
      </c>
      <c r="C37" s="1030" t="s">
        <v>813</v>
      </c>
      <c r="D37" s="1065">
        <f>D30</f>
        <v>6</v>
      </c>
      <c r="E37" s="1031">
        <v>15000</v>
      </c>
      <c r="F37" s="1040">
        <f t="shared" si="0"/>
        <v>90000</v>
      </c>
      <c r="G37" s="1041"/>
    </row>
    <row r="38" spans="1:7" x14ac:dyDescent="0.35">
      <c r="A38" s="1033"/>
      <c r="C38" s="1030"/>
      <c r="D38" s="1030"/>
      <c r="E38" s="1031"/>
      <c r="F38" s="1040"/>
      <c r="G38" s="1041"/>
    </row>
    <row r="39" spans="1:7" x14ac:dyDescent="0.35">
      <c r="A39" s="1064" t="s">
        <v>1235</v>
      </c>
      <c r="B39" s="1036" t="s">
        <v>1257</v>
      </c>
      <c r="C39" s="1030"/>
      <c r="D39" s="1030"/>
      <c r="E39" s="1031"/>
      <c r="F39" s="1040"/>
      <c r="G39" s="1041"/>
    </row>
    <row r="40" spans="1:7" x14ac:dyDescent="0.35">
      <c r="A40" s="1033" t="s">
        <v>1236</v>
      </c>
      <c r="B40" s="1071" t="s">
        <v>1258</v>
      </c>
      <c r="C40" s="1030" t="s">
        <v>911</v>
      </c>
      <c r="D40" s="1030">
        <v>2</v>
      </c>
      <c r="E40" s="1031">
        <v>225000</v>
      </c>
      <c r="F40" s="1040">
        <f t="shared" si="0"/>
        <v>450000</v>
      </c>
      <c r="G40" s="1041"/>
    </row>
    <row r="41" spans="1:7" x14ac:dyDescent="0.35">
      <c r="A41" s="1033" t="s">
        <v>1237</v>
      </c>
      <c r="B41" s="1071" t="s">
        <v>1132</v>
      </c>
      <c r="C41" s="1030" t="s">
        <v>911</v>
      </c>
      <c r="D41" s="1030">
        <v>2</v>
      </c>
      <c r="E41" s="1031">
        <v>18750</v>
      </c>
      <c r="F41" s="1040">
        <f t="shared" si="0"/>
        <v>37500</v>
      </c>
      <c r="G41" s="1041"/>
    </row>
    <row r="42" spans="1:7" x14ac:dyDescent="0.35">
      <c r="A42" s="1033" t="s">
        <v>1238</v>
      </c>
      <c r="B42" s="1071" t="s">
        <v>1259</v>
      </c>
      <c r="C42" s="1030" t="s">
        <v>911</v>
      </c>
      <c r="D42" s="1030">
        <v>2</v>
      </c>
      <c r="E42" s="1031">
        <v>70000</v>
      </c>
      <c r="F42" s="1040">
        <f t="shared" si="0"/>
        <v>140000</v>
      </c>
      <c r="G42" s="1041"/>
    </row>
    <row r="43" spans="1:7" x14ac:dyDescent="0.35">
      <c r="A43" s="1033" t="s">
        <v>1239</v>
      </c>
      <c r="B43" s="1050" t="s">
        <v>1260</v>
      </c>
      <c r="C43" s="1030" t="s">
        <v>542</v>
      </c>
      <c r="D43" s="1065">
        <f>'Production calcs'!B50</f>
        <v>32.740983222951478</v>
      </c>
      <c r="E43" s="1031">
        <v>60000</v>
      </c>
      <c r="F43" s="1040">
        <f t="shared" si="0"/>
        <v>1964458.9933770886</v>
      </c>
      <c r="G43" s="1041"/>
    </row>
    <row r="44" spans="1:7" x14ac:dyDescent="0.35">
      <c r="A44" s="1033" t="s">
        <v>1240</v>
      </c>
      <c r="B44" s="1050" t="s">
        <v>1261</v>
      </c>
      <c r="C44" s="1030" t="s">
        <v>911</v>
      </c>
      <c r="D44" s="1030">
        <v>2</v>
      </c>
      <c r="E44" s="1031">
        <v>15000</v>
      </c>
      <c r="F44" s="1040">
        <f t="shared" si="0"/>
        <v>30000</v>
      </c>
      <c r="G44" s="1041"/>
    </row>
    <row r="45" spans="1:7" x14ac:dyDescent="0.35">
      <c r="A45" s="1033" t="s">
        <v>1241</v>
      </c>
      <c r="B45" s="1050" t="s">
        <v>1243</v>
      </c>
      <c r="C45" s="1030" t="s">
        <v>911</v>
      </c>
      <c r="D45" s="1030">
        <f>D44</f>
        <v>2</v>
      </c>
      <c r="E45" s="1031">
        <v>7866</v>
      </c>
      <c r="F45" s="1040">
        <f t="shared" si="0"/>
        <v>15732</v>
      </c>
      <c r="G45" s="1041"/>
    </row>
    <row r="46" spans="1:7" x14ac:dyDescent="0.35">
      <c r="A46" s="1033" t="s">
        <v>1242</v>
      </c>
      <c r="B46" s="1050" t="s">
        <v>1255</v>
      </c>
      <c r="C46" s="1030" t="s">
        <v>911</v>
      </c>
      <c r="D46" s="1030">
        <v>1</v>
      </c>
      <c r="E46" s="1031">
        <v>20000</v>
      </c>
      <c r="F46" s="1040">
        <f t="shared" si="0"/>
        <v>20000</v>
      </c>
    </row>
    <row r="47" spans="1:7" x14ac:dyDescent="0.35">
      <c r="A47" s="1033" t="s">
        <v>1244</v>
      </c>
      <c r="B47" s="1050" t="s">
        <v>1262</v>
      </c>
      <c r="C47" s="1030" t="s">
        <v>911</v>
      </c>
      <c r="D47" s="1030">
        <v>1</v>
      </c>
      <c r="E47" s="1031">
        <v>22000</v>
      </c>
      <c r="F47" s="1032">
        <f t="shared" si="0"/>
        <v>22000</v>
      </c>
    </row>
    <row r="48" spans="1:7" x14ac:dyDescent="0.35">
      <c r="A48" s="1033" t="s">
        <v>1245</v>
      </c>
      <c r="B48" s="1050" t="s">
        <v>1263</v>
      </c>
      <c r="C48" s="1030" t="s">
        <v>911</v>
      </c>
      <c r="D48" s="1030">
        <v>1</v>
      </c>
      <c r="E48" s="1031">
        <v>35000</v>
      </c>
      <c r="F48" s="1032">
        <f t="shared" si="0"/>
        <v>35000</v>
      </c>
    </row>
    <row r="49" spans="1:7" x14ac:dyDescent="0.35">
      <c r="A49" s="1033" t="s">
        <v>1246</v>
      </c>
      <c r="B49" s="1050" t="s">
        <v>1248</v>
      </c>
      <c r="C49" s="1030" t="s">
        <v>911</v>
      </c>
      <c r="D49" s="1030">
        <v>1</v>
      </c>
      <c r="E49" s="1031">
        <v>30000</v>
      </c>
      <c r="F49" s="1032">
        <f t="shared" si="0"/>
        <v>30000</v>
      </c>
    </row>
    <row r="50" spans="1:7" x14ac:dyDescent="0.35">
      <c r="A50" s="1033" t="s">
        <v>1247</v>
      </c>
      <c r="B50" s="1050" t="s">
        <v>1251</v>
      </c>
      <c r="C50" s="1030" t="s">
        <v>911</v>
      </c>
      <c r="D50" s="1030">
        <v>1</v>
      </c>
      <c r="E50" s="1031">
        <v>50000</v>
      </c>
      <c r="F50" s="1032">
        <f t="shared" si="0"/>
        <v>50000</v>
      </c>
    </row>
    <row r="51" spans="1:7" ht="24" x14ac:dyDescent="0.45">
      <c r="A51" s="1033" t="s">
        <v>1249</v>
      </c>
      <c r="B51" s="1050" t="s">
        <v>1264</v>
      </c>
      <c r="C51" s="1030" t="s">
        <v>911</v>
      </c>
      <c r="D51" s="1030">
        <v>1</v>
      </c>
      <c r="E51" s="1031">
        <v>55000</v>
      </c>
      <c r="F51" s="1032">
        <f t="shared" si="0"/>
        <v>55000</v>
      </c>
    </row>
    <row r="52" spans="1:7" ht="24" x14ac:dyDescent="0.45">
      <c r="A52" s="1033" t="s">
        <v>1250</v>
      </c>
      <c r="B52" s="1071" t="s">
        <v>1265</v>
      </c>
      <c r="C52" s="1030" t="s">
        <v>911</v>
      </c>
      <c r="D52" s="1030">
        <v>2</v>
      </c>
      <c r="E52" s="1031">
        <v>18000</v>
      </c>
      <c r="F52" s="1032">
        <f t="shared" si="0"/>
        <v>36000</v>
      </c>
    </row>
    <row r="53" spans="1:7" x14ac:dyDescent="0.35">
      <c r="A53" s="1033" t="s">
        <v>1252</v>
      </c>
      <c r="B53" s="1071" t="s">
        <v>1356</v>
      </c>
      <c r="C53" s="1071" t="s">
        <v>1124</v>
      </c>
      <c r="D53" s="1121">
        <f>'Production calcs'!H18/1500</f>
        <v>10.14</v>
      </c>
      <c r="E53" s="1068">
        <v>25000</v>
      </c>
      <c r="F53" s="1068">
        <f t="shared" si="0"/>
        <v>253500</v>
      </c>
    </row>
    <row r="54" spans="1:7" x14ac:dyDescent="0.35">
      <c r="A54" s="1033" t="s">
        <v>1267</v>
      </c>
      <c r="B54" s="1071" t="s">
        <v>1357</v>
      </c>
      <c r="C54" s="1071" t="s">
        <v>1124</v>
      </c>
      <c r="D54" s="1121">
        <v>1</v>
      </c>
      <c r="E54" s="1068">
        <v>80000</v>
      </c>
      <c r="F54" s="1068">
        <f t="shared" si="0"/>
        <v>80000</v>
      </c>
    </row>
    <row r="55" spans="1:7" ht="24" x14ac:dyDescent="0.45">
      <c r="A55" s="1033" t="s">
        <v>1268</v>
      </c>
      <c r="B55" s="1071" t="s">
        <v>1358</v>
      </c>
      <c r="C55" s="1071" t="s">
        <v>1124</v>
      </c>
      <c r="D55" s="1121">
        <v>1</v>
      </c>
      <c r="E55" s="1068">
        <v>50000</v>
      </c>
      <c r="F55" s="1068">
        <f t="shared" si="0"/>
        <v>50000</v>
      </c>
    </row>
    <row r="56" spans="1:7" x14ac:dyDescent="0.35">
      <c r="A56" s="1033" t="s">
        <v>1360</v>
      </c>
      <c r="B56" s="1071" t="s">
        <v>1359</v>
      </c>
      <c r="C56" s="1071" t="s">
        <v>813</v>
      </c>
      <c r="D56" s="1121">
        <v>1</v>
      </c>
      <c r="E56" s="1068"/>
      <c r="F56" s="1068"/>
    </row>
    <row r="57" spans="1:7" x14ac:dyDescent="0.35">
      <c r="A57" s="1033" t="s">
        <v>1361</v>
      </c>
      <c r="B57" s="1071" t="s">
        <v>1362</v>
      </c>
      <c r="C57" s="1071" t="s">
        <v>813</v>
      </c>
      <c r="D57" s="1121">
        <v>1</v>
      </c>
      <c r="E57" s="1068">
        <v>600000</v>
      </c>
      <c r="F57" s="1068">
        <f t="shared" si="0"/>
        <v>600000</v>
      </c>
      <c r="G57" s="1039"/>
    </row>
    <row r="58" spans="1:7" x14ac:dyDescent="0.35">
      <c r="A58" s="1033" t="s">
        <v>1267</v>
      </c>
      <c r="B58" s="1050" t="s">
        <v>870</v>
      </c>
      <c r="C58" s="1030" t="s">
        <v>813</v>
      </c>
      <c r="D58" s="1030"/>
      <c r="E58" s="1031"/>
      <c r="F58" s="1068">
        <f t="shared" si="0"/>
        <v>0</v>
      </c>
    </row>
    <row r="59" spans="1:7" x14ac:dyDescent="0.35">
      <c r="A59" s="1033" t="s">
        <v>1268</v>
      </c>
      <c r="B59" s="1050" t="s">
        <v>904</v>
      </c>
      <c r="C59" s="1030" t="s">
        <v>813</v>
      </c>
      <c r="D59" s="1030">
        <v>1</v>
      </c>
      <c r="E59" s="1039">
        <v>100000</v>
      </c>
      <c r="F59" s="1068">
        <f t="shared" si="0"/>
        <v>100000</v>
      </c>
    </row>
    <row r="60" spans="1:7" x14ac:dyDescent="0.35">
      <c r="A60" s="1035"/>
      <c r="B60" s="1080"/>
      <c r="C60" s="1080"/>
      <c r="D60" s="1080"/>
      <c r="E60" s="1081"/>
      <c r="F60" s="1082"/>
    </row>
    <row r="61" spans="1:7" ht="21.75" thickBot="1" x14ac:dyDescent="0.4">
      <c r="A61" s="1072"/>
      <c r="B61" s="1073" t="s">
        <v>818</v>
      </c>
      <c r="C61" s="1045"/>
      <c r="D61" s="1045"/>
      <c r="E61" s="1074"/>
      <c r="F61" s="1066">
        <f>SUM(F5:F59)</f>
        <v>8164190.9933770886</v>
      </c>
    </row>
    <row r="62" spans="1:7" ht="21.75" thickTop="1" x14ac:dyDescent="0.35">
      <c r="A62" s="1067"/>
      <c r="B62" s="1050"/>
      <c r="D62" s="1050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9"/>
  <sheetViews>
    <sheetView topLeftCell="A10" workbookViewId="0">
      <selection activeCell="D5" sqref="D5"/>
    </sheetView>
  </sheetViews>
  <sheetFormatPr defaultRowHeight="15" x14ac:dyDescent="0.25"/>
  <cols>
    <col min="1" max="1" width="12.28515625" bestFit="1" customWidth="1"/>
    <col min="2" max="2" width="58.7109375" bestFit="1" customWidth="1"/>
    <col min="4" max="4" width="12" bestFit="1" customWidth="1"/>
    <col min="5" max="5" width="19.28515625" bestFit="1" customWidth="1"/>
    <col min="6" max="6" width="21.7109375" bestFit="1" customWidth="1"/>
  </cols>
  <sheetData>
    <row r="1" spans="1:6" ht="21" x14ac:dyDescent="0.35">
      <c r="A1" s="1075" t="s">
        <v>791</v>
      </c>
      <c r="B1" s="1076" t="s">
        <v>792</v>
      </c>
      <c r="C1" s="1024" t="s">
        <v>793</v>
      </c>
      <c r="D1" s="1077" t="s">
        <v>794</v>
      </c>
      <c r="E1" s="1026" t="s">
        <v>205</v>
      </c>
      <c r="F1" s="1078" t="s">
        <v>795</v>
      </c>
    </row>
    <row r="2" spans="1:6" ht="21" x14ac:dyDescent="0.35">
      <c r="A2" s="1033"/>
      <c r="B2" s="1050"/>
      <c r="C2" s="1030"/>
      <c r="D2" s="1050"/>
      <c r="E2" s="1032"/>
      <c r="F2" s="1068"/>
    </row>
    <row r="3" spans="1:6" ht="21" x14ac:dyDescent="0.35">
      <c r="A3" s="1064" t="s">
        <v>1195</v>
      </c>
      <c r="B3" s="1083" t="s">
        <v>1269</v>
      </c>
      <c r="C3" s="1030"/>
      <c r="D3" s="1050"/>
      <c r="E3" s="1032"/>
      <c r="F3" s="1068"/>
    </row>
    <row r="4" spans="1:6" ht="21" x14ac:dyDescent="0.35">
      <c r="A4" s="1035" t="s">
        <v>1270</v>
      </c>
      <c r="B4" s="1036" t="s">
        <v>680</v>
      </c>
      <c r="C4" s="1030"/>
      <c r="D4" s="1030"/>
      <c r="E4" s="1040"/>
      <c r="F4" s="1068"/>
    </row>
    <row r="5" spans="1:6" ht="21" x14ac:dyDescent="0.35">
      <c r="A5" s="1029" t="s">
        <v>1271</v>
      </c>
      <c r="B5" s="1028" t="s">
        <v>1272</v>
      </c>
      <c r="C5" s="1030" t="s">
        <v>1124</v>
      </c>
      <c r="D5" s="1065">
        <f>'Production calcs'!B21</f>
        <v>34</v>
      </c>
      <c r="E5" s="1040">
        <v>150000</v>
      </c>
      <c r="F5" s="1068">
        <f t="shared" ref="F5:F16" si="0">D5*E5</f>
        <v>5100000</v>
      </c>
    </row>
    <row r="6" spans="1:6" ht="21" x14ac:dyDescent="0.35">
      <c r="A6" s="1029" t="s">
        <v>1273</v>
      </c>
      <c r="B6" s="1028" t="s">
        <v>1253</v>
      </c>
      <c r="C6" s="1030" t="s">
        <v>1124</v>
      </c>
      <c r="D6" s="1030">
        <f>_xlfn.CEILING.MATH(D5*5,1)</f>
        <v>170</v>
      </c>
      <c r="E6" s="1040">
        <v>1245</v>
      </c>
      <c r="F6" s="1068">
        <f t="shared" si="0"/>
        <v>211650</v>
      </c>
    </row>
    <row r="7" spans="1:6" ht="21" x14ac:dyDescent="0.35">
      <c r="A7" s="1029" t="s">
        <v>1274</v>
      </c>
      <c r="B7" s="1028" t="s">
        <v>1471</v>
      </c>
      <c r="C7" s="1030" t="s">
        <v>1124</v>
      </c>
      <c r="D7" s="1084">
        <f>D5*1.5</f>
        <v>51</v>
      </c>
      <c r="E7" s="1040">
        <v>80000</v>
      </c>
      <c r="F7" s="1068">
        <f t="shared" si="0"/>
        <v>4080000</v>
      </c>
    </row>
    <row r="8" spans="1:6" ht="21" x14ac:dyDescent="0.35">
      <c r="A8" s="1029" t="s">
        <v>1275</v>
      </c>
      <c r="B8" s="1028" t="s">
        <v>1276</v>
      </c>
      <c r="C8" s="1030" t="s">
        <v>813</v>
      </c>
      <c r="D8" s="1084">
        <v>1</v>
      </c>
      <c r="E8" s="1040">
        <v>350000</v>
      </c>
      <c r="F8" s="1068">
        <f t="shared" si="0"/>
        <v>350000</v>
      </c>
    </row>
    <row r="9" spans="1:6" ht="21" x14ac:dyDescent="0.35">
      <c r="A9" s="1029" t="s">
        <v>1277</v>
      </c>
      <c r="B9" s="1028" t="s">
        <v>1278</v>
      </c>
      <c r="C9" s="1030" t="s">
        <v>1124</v>
      </c>
      <c r="D9" s="1084">
        <f>D7</f>
        <v>51</v>
      </c>
      <c r="E9" s="1040">
        <v>3600</v>
      </c>
      <c r="F9" s="1068">
        <f t="shared" si="0"/>
        <v>183600</v>
      </c>
    </row>
    <row r="10" spans="1:6" ht="21" x14ac:dyDescent="0.35">
      <c r="A10" s="1029" t="s">
        <v>1279</v>
      </c>
      <c r="B10" s="1028" t="s">
        <v>1280</v>
      </c>
      <c r="C10" s="1030" t="s">
        <v>1124</v>
      </c>
      <c r="D10" s="1030">
        <v>4</v>
      </c>
      <c r="E10" s="1040">
        <v>14000</v>
      </c>
      <c r="F10" s="1068">
        <f t="shared" si="0"/>
        <v>56000</v>
      </c>
    </row>
    <row r="11" spans="1:6" ht="21" x14ac:dyDescent="0.35">
      <c r="A11" s="1029" t="s">
        <v>1281</v>
      </c>
      <c r="B11" s="1028" t="s">
        <v>1282</v>
      </c>
      <c r="C11" s="1030" t="s">
        <v>1124</v>
      </c>
      <c r="D11" s="1030">
        <f>D5*2</f>
        <v>68</v>
      </c>
      <c r="E11" s="1040">
        <v>10590</v>
      </c>
      <c r="F11" s="1068">
        <f t="shared" si="0"/>
        <v>720120</v>
      </c>
    </row>
    <row r="12" spans="1:6" ht="21" x14ac:dyDescent="0.35">
      <c r="A12" s="1029" t="s">
        <v>1283</v>
      </c>
      <c r="B12" s="1028" t="s">
        <v>1284</v>
      </c>
      <c r="C12" s="1030" t="s">
        <v>1124</v>
      </c>
      <c r="D12" s="1030">
        <f>D5*2</f>
        <v>68</v>
      </c>
      <c r="E12" s="1040">
        <v>300</v>
      </c>
      <c r="F12" s="1068">
        <f t="shared" si="0"/>
        <v>20400</v>
      </c>
    </row>
    <row r="13" spans="1:6" ht="21" x14ac:dyDescent="0.35">
      <c r="A13" s="1029" t="s">
        <v>1285</v>
      </c>
      <c r="B13" s="1028" t="s">
        <v>1286</v>
      </c>
      <c r="C13" s="1030" t="s">
        <v>813</v>
      </c>
      <c r="D13" s="1030">
        <v>1</v>
      </c>
      <c r="E13" s="1040">
        <v>600000</v>
      </c>
      <c r="F13" s="1068">
        <f t="shared" si="0"/>
        <v>600000</v>
      </c>
    </row>
    <row r="14" spans="1:6" ht="21" x14ac:dyDescent="0.35">
      <c r="A14" s="1029" t="s">
        <v>1287</v>
      </c>
      <c r="B14" s="1028" t="s">
        <v>1288</v>
      </c>
      <c r="C14" s="1030" t="s">
        <v>813</v>
      </c>
      <c r="D14" s="1030">
        <v>1</v>
      </c>
      <c r="E14" s="1040">
        <v>350000</v>
      </c>
      <c r="F14" s="1068">
        <f t="shared" si="0"/>
        <v>350000</v>
      </c>
    </row>
    <row r="15" spans="1:6" ht="21" x14ac:dyDescent="0.35">
      <c r="A15" s="1029" t="s">
        <v>1289</v>
      </c>
      <c r="B15" s="1028" t="s">
        <v>1290</v>
      </c>
      <c r="C15" s="1030" t="s">
        <v>813</v>
      </c>
      <c r="D15" s="1030">
        <v>1</v>
      </c>
      <c r="E15" s="1040">
        <v>150000</v>
      </c>
      <c r="F15" s="1068">
        <f t="shared" si="0"/>
        <v>150000</v>
      </c>
    </row>
    <row r="16" spans="1:6" ht="21" x14ac:dyDescent="0.35">
      <c r="A16" s="1029" t="s">
        <v>1291</v>
      </c>
      <c r="B16" s="1028" t="s">
        <v>904</v>
      </c>
      <c r="C16" s="1030" t="s">
        <v>813</v>
      </c>
      <c r="D16" s="1065">
        <v>1</v>
      </c>
      <c r="E16" s="1040">
        <v>250000</v>
      </c>
      <c r="F16" s="1068">
        <f t="shared" si="0"/>
        <v>250000</v>
      </c>
    </row>
    <row r="17" spans="1:6" ht="21" x14ac:dyDescent="0.35">
      <c r="A17" s="1029"/>
      <c r="B17" s="1036"/>
      <c r="C17" s="1030"/>
      <c r="D17" s="1050"/>
      <c r="E17" s="1082"/>
      <c r="F17" s="1085"/>
    </row>
    <row r="18" spans="1:6" ht="15.75" thickBot="1" x14ac:dyDescent="0.3">
      <c r="A18" s="1060"/>
      <c r="B18" s="984" t="s">
        <v>818</v>
      </c>
      <c r="C18" s="985"/>
      <c r="D18" s="985"/>
      <c r="E18" s="986"/>
      <c r="F18" s="1021">
        <f>SUM(F5:F16)</f>
        <v>12071770</v>
      </c>
    </row>
    <row r="19" spans="1:6" ht="15.75" thickTop="1" x14ac:dyDescent="0.25"/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5"/>
  <sheetViews>
    <sheetView workbookViewId="0">
      <selection sqref="A1:XFD1048576"/>
    </sheetView>
  </sheetViews>
  <sheetFormatPr defaultColWidth="9.140625" defaultRowHeight="15" x14ac:dyDescent="0.25"/>
  <cols>
    <col min="1" max="1" width="9.140625" style="1059"/>
    <col min="2" max="2" width="84.85546875" customWidth="1"/>
    <col min="3" max="3" width="6.7109375" customWidth="1"/>
    <col min="4" max="4" width="13.5703125" customWidth="1"/>
    <col min="5" max="5" width="14.85546875" style="1001" bestFit="1" customWidth="1"/>
    <col min="6" max="6" width="19.5703125" style="1001" bestFit="1" customWidth="1"/>
  </cols>
  <sheetData>
    <row r="1" spans="1:6" x14ac:dyDescent="0.25">
      <c r="A1" s="992" t="s">
        <v>791</v>
      </c>
      <c r="B1" s="991" t="s">
        <v>792</v>
      </c>
      <c r="C1" s="992" t="s">
        <v>793</v>
      </c>
      <c r="D1" s="993" t="s">
        <v>794</v>
      </c>
      <c r="E1" s="1011" t="s">
        <v>205</v>
      </c>
      <c r="F1" s="1012" t="s">
        <v>795</v>
      </c>
    </row>
    <row r="2" spans="1:6" x14ac:dyDescent="0.25">
      <c r="A2" s="1055"/>
      <c r="C2" s="974"/>
      <c r="D2" s="974"/>
      <c r="F2" s="996"/>
    </row>
    <row r="3" spans="1:6" x14ac:dyDescent="0.25">
      <c r="A3" s="971" t="s">
        <v>1140</v>
      </c>
      <c r="B3" s="1013" t="s">
        <v>1141</v>
      </c>
      <c r="C3" s="974"/>
      <c r="D3" s="974"/>
      <c r="F3" s="996"/>
    </row>
    <row r="4" spans="1:6" x14ac:dyDescent="0.25">
      <c r="A4" s="1055" t="s">
        <v>1142</v>
      </c>
      <c r="B4" t="s">
        <v>1010</v>
      </c>
      <c r="C4" s="974" t="s">
        <v>1124</v>
      </c>
      <c r="D4" s="974">
        <v>1</v>
      </c>
      <c r="E4" s="1001">
        <v>7500</v>
      </c>
      <c r="F4" s="996">
        <f t="shared" ref="F4:F9" si="0">D4*E4</f>
        <v>7500</v>
      </c>
    </row>
    <row r="5" spans="1:6" x14ac:dyDescent="0.25">
      <c r="A5" s="1055" t="s">
        <v>1143</v>
      </c>
      <c r="B5" s="1056" t="s">
        <v>1144</v>
      </c>
      <c r="C5" s="974" t="s">
        <v>1124</v>
      </c>
      <c r="D5" s="974">
        <v>1</v>
      </c>
      <c r="E5" s="1001">
        <v>200000</v>
      </c>
      <c r="F5" s="996">
        <f t="shared" si="0"/>
        <v>200000</v>
      </c>
    </row>
    <row r="6" spans="1:6" x14ac:dyDescent="0.25">
      <c r="A6" s="1055" t="s">
        <v>1145</v>
      </c>
      <c r="B6" s="1056" t="s">
        <v>588</v>
      </c>
      <c r="C6" s="974" t="s">
        <v>1124</v>
      </c>
      <c r="D6" s="974">
        <v>2</v>
      </c>
      <c r="E6" s="1001">
        <v>1000000</v>
      </c>
      <c r="F6" s="996">
        <f t="shared" si="0"/>
        <v>2000000</v>
      </c>
    </row>
    <row r="7" spans="1:6" x14ac:dyDescent="0.25">
      <c r="A7" s="1055" t="s">
        <v>1146</v>
      </c>
      <c r="B7" s="1056" t="s">
        <v>344</v>
      </c>
      <c r="C7" s="974" t="s">
        <v>1124</v>
      </c>
      <c r="D7" s="974">
        <v>1</v>
      </c>
      <c r="E7" s="1001">
        <v>400000</v>
      </c>
      <c r="F7" s="996">
        <f t="shared" si="0"/>
        <v>400000</v>
      </c>
    </row>
    <row r="8" spans="1:6" x14ac:dyDescent="0.25">
      <c r="A8" s="1055" t="s">
        <v>1148</v>
      </c>
      <c r="B8" s="1056" t="s">
        <v>348</v>
      </c>
      <c r="C8" s="974" t="s">
        <v>1124</v>
      </c>
      <c r="D8" s="974">
        <v>1</v>
      </c>
      <c r="E8" s="1001">
        <v>700000</v>
      </c>
      <c r="F8" s="996">
        <f t="shared" si="0"/>
        <v>700000</v>
      </c>
    </row>
    <row r="9" spans="1:6" x14ac:dyDescent="0.25">
      <c r="A9" s="1055" t="s">
        <v>1303</v>
      </c>
      <c r="B9" s="1056" t="s">
        <v>345</v>
      </c>
      <c r="C9" s="974" t="s">
        <v>1124</v>
      </c>
      <c r="D9" s="974">
        <v>1</v>
      </c>
      <c r="E9" s="1001">
        <v>175000</v>
      </c>
      <c r="F9" s="996">
        <f t="shared" si="0"/>
        <v>175000</v>
      </c>
    </row>
    <row r="10" spans="1:6" x14ac:dyDescent="0.25">
      <c r="A10" s="1055" t="s">
        <v>1386</v>
      </c>
      <c r="B10" s="1056" t="s">
        <v>1147</v>
      </c>
      <c r="C10" s="974" t="s">
        <v>1124</v>
      </c>
      <c r="D10" s="974">
        <v>2</v>
      </c>
      <c r="E10" s="1019">
        <v>1500000</v>
      </c>
      <c r="F10" s="996">
        <f>D10*E10</f>
        <v>3000000</v>
      </c>
    </row>
    <row r="11" spans="1:6" x14ac:dyDescent="0.25">
      <c r="A11" s="1055" t="s">
        <v>1387</v>
      </c>
      <c r="B11" s="1056" t="s">
        <v>343</v>
      </c>
      <c r="C11" s="1018" t="s">
        <v>1124</v>
      </c>
      <c r="D11" s="1018">
        <v>2</v>
      </c>
      <c r="E11" s="1001">
        <v>250000</v>
      </c>
      <c r="F11" s="996">
        <f>D11*E11</f>
        <v>500000</v>
      </c>
    </row>
    <row r="12" spans="1:6" x14ac:dyDescent="0.25">
      <c r="A12" s="1055" t="s">
        <v>1388</v>
      </c>
      <c r="B12" s="1056" t="s">
        <v>587</v>
      </c>
      <c r="C12" s="1018" t="s">
        <v>1124</v>
      </c>
      <c r="D12" s="1018">
        <v>1</v>
      </c>
      <c r="E12" s="1001">
        <v>20000000</v>
      </c>
      <c r="F12" s="996">
        <f>D12*E12</f>
        <v>20000000</v>
      </c>
    </row>
    <row r="13" spans="1:6" x14ac:dyDescent="0.25">
      <c r="A13" s="1055"/>
      <c r="B13" s="1003"/>
      <c r="C13" s="1003"/>
      <c r="D13" s="1003"/>
      <c r="E13" s="1004"/>
      <c r="F13" s="1004"/>
    </row>
    <row r="14" spans="1:6" ht="15.75" thickBot="1" x14ac:dyDescent="0.3">
      <c r="A14" s="1060"/>
      <c r="B14" s="984" t="s">
        <v>818</v>
      </c>
      <c r="C14" s="985"/>
      <c r="D14" s="985"/>
      <c r="E14" s="986"/>
      <c r="F14" s="1021">
        <f>SUM(F4:F12)</f>
        <v>26982500</v>
      </c>
    </row>
    <row r="15" spans="1:6" ht="15.75" thickTop="1" x14ac:dyDescent="0.25"/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0"/>
  <sheetViews>
    <sheetView workbookViewId="0">
      <selection sqref="A1:XFD1048576"/>
    </sheetView>
  </sheetViews>
  <sheetFormatPr defaultColWidth="9.140625" defaultRowHeight="15" x14ac:dyDescent="0.25"/>
  <cols>
    <col min="1" max="1" width="9.140625" style="1059"/>
    <col min="2" max="2" width="84.85546875" customWidth="1"/>
    <col min="3" max="3" width="6.7109375" customWidth="1"/>
    <col min="4" max="4" width="13.5703125" customWidth="1"/>
    <col min="5" max="5" width="13.5703125" style="1001" customWidth="1"/>
    <col min="6" max="6" width="18.5703125" style="1001" customWidth="1"/>
  </cols>
  <sheetData>
    <row r="1" spans="1:6" x14ac:dyDescent="0.25">
      <c r="A1" s="992" t="s">
        <v>791</v>
      </c>
      <c r="B1" s="991" t="s">
        <v>792</v>
      </c>
      <c r="C1" s="992" t="s">
        <v>793</v>
      </c>
      <c r="D1" s="993" t="s">
        <v>794</v>
      </c>
      <c r="E1" s="1011" t="s">
        <v>205</v>
      </c>
      <c r="F1" s="1012" t="s">
        <v>795</v>
      </c>
    </row>
    <row r="2" spans="1:6" x14ac:dyDescent="0.25">
      <c r="A2" s="1055"/>
      <c r="C2" s="974"/>
      <c r="D2" s="974"/>
      <c r="F2" s="996"/>
    </row>
    <row r="3" spans="1:6" x14ac:dyDescent="0.25">
      <c r="A3" s="971" t="s">
        <v>1149</v>
      </c>
      <c r="B3" s="1013" t="s">
        <v>1150</v>
      </c>
      <c r="C3" s="974"/>
      <c r="D3" s="974"/>
      <c r="F3" s="996"/>
    </row>
    <row r="4" spans="1:6" x14ac:dyDescent="0.25">
      <c r="A4" s="972" t="s">
        <v>1151</v>
      </c>
      <c r="B4" s="657" t="s">
        <v>1152</v>
      </c>
      <c r="C4" s="974"/>
      <c r="D4" s="974"/>
      <c r="F4" s="996"/>
    </row>
    <row r="5" spans="1:6" x14ac:dyDescent="0.25">
      <c r="A5" s="1055" t="s">
        <v>1153</v>
      </c>
      <c r="B5" t="s">
        <v>1154</v>
      </c>
      <c r="C5" s="974" t="s">
        <v>813</v>
      </c>
      <c r="D5" s="974">
        <v>20</v>
      </c>
      <c r="E5" s="1001">
        <v>50000</v>
      </c>
      <c r="F5" s="996">
        <f>D5*E5</f>
        <v>1000000</v>
      </c>
    </row>
    <row r="6" spans="1:6" x14ac:dyDescent="0.25">
      <c r="A6" s="1055" t="s">
        <v>1155</v>
      </c>
      <c r="B6" t="s">
        <v>1156</v>
      </c>
      <c r="C6" s="974" t="s">
        <v>813</v>
      </c>
      <c r="D6" s="974">
        <v>0</v>
      </c>
      <c r="E6" s="1001">
        <v>0</v>
      </c>
      <c r="F6" s="996">
        <f>D6*E6</f>
        <v>0</v>
      </c>
    </row>
    <row r="7" spans="1:6" x14ac:dyDescent="0.25">
      <c r="A7" s="1055" t="s">
        <v>1157</v>
      </c>
      <c r="B7" t="s">
        <v>1158</v>
      </c>
      <c r="C7" s="974" t="s">
        <v>813</v>
      </c>
      <c r="D7" s="974">
        <v>0</v>
      </c>
      <c r="E7" s="1001">
        <v>0</v>
      </c>
      <c r="F7" s="996">
        <f>D7*E7</f>
        <v>0</v>
      </c>
    </row>
    <row r="8" spans="1:6" x14ac:dyDescent="0.25">
      <c r="A8" s="1055"/>
      <c r="C8" s="974"/>
      <c r="D8" s="974"/>
      <c r="F8" s="996"/>
    </row>
    <row r="9" spans="1:6" ht="15.75" thickBot="1" x14ac:dyDescent="0.3">
      <c r="A9" s="1060"/>
      <c r="B9" s="984" t="s">
        <v>818</v>
      </c>
      <c r="C9" s="985"/>
      <c r="D9" s="985"/>
      <c r="E9" s="986"/>
      <c r="F9" s="1021">
        <f>SUM(F5:F8)</f>
        <v>1000000</v>
      </c>
    </row>
    <row r="10" spans="1:6" ht="15.75" thickTop="1" x14ac:dyDescent="0.25"/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0"/>
  <sheetViews>
    <sheetView workbookViewId="0">
      <selection activeCell="E11" sqref="E11"/>
    </sheetView>
  </sheetViews>
  <sheetFormatPr defaultColWidth="9.140625" defaultRowHeight="15" x14ac:dyDescent="0.25"/>
  <cols>
    <col min="1" max="1" width="9.140625" style="1059"/>
    <col min="2" max="2" width="78.28515625" customWidth="1"/>
    <col min="3" max="3" width="6.7109375" customWidth="1"/>
    <col min="4" max="4" width="13.5703125" customWidth="1"/>
    <col min="5" max="5" width="16.7109375" style="1001" bestFit="1" customWidth="1"/>
    <col min="6" max="6" width="21.5703125" style="1001" bestFit="1" customWidth="1"/>
  </cols>
  <sheetData>
    <row r="1" spans="1:6" x14ac:dyDescent="0.25">
      <c r="A1" s="992" t="s">
        <v>791</v>
      </c>
      <c r="B1" s="991" t="s">
        <v>792</v>
      </c>
      <c r="C1" s="992" t="s">
        <v>793</v>
      </c>
      <c r="D1" s="993" t="s">
        <v>794</v>
      </c>
      <c r="E1" s="1011" t="s">
        <v>1159</v>
      </c>
      <c r="F1" s="1012" t="s">
        <v>795</v>
      </c>
    </row>
    <row r="2" spans="1:6" x14ac:dyDescent="0.25">
      <c r="A2" s="1055"/>
      <c r="C2" s="974"/>
      <c r="D2" s="974"/>
      <c r="F2" s="996"/>
    </row>
    <row r="3" spans="1:6" x14ac:dyDescent="0.25">
      <c r="A3" s="971" t="s">
        <v>1160</v>
      </c>
      <c r="B3" s="1013" t="s">
        <v>1161</v>
      </c>
      <c r="C3" s="974"/>
      <c r="D3" s="974"/>
      <c r="F3" s="996"/>
    </row>
    <row r="4" spans="1:6" x14ac:dyDescent="0.25">
      <c r="A4" s="972" t="s">
        <v>1162</v>
      </c>
      <c r="B4" s="657" t="s">
        <v>1163</v>
      </c>
      <c r="C4" s="974"/>
      <c r="D4" s="974"/>
      <c r="F4" s="996"/>
    </row>
    <row r="5" spans="1:6" x14ac:dyDescent="0.25">
      <c r="A5" s="1055" t="s">
        <v>1164</v>
      </c>
      <c r="B5" s="1056" t="s">
        <v>1165</v>
      </c>
      <c r="C5" s="974" t="s">
        <v>541</v>
      </c>
      <c r="D5" s="1061">
        <v>0.05</v>
      </c>
      <c r="E5" s="1019">
        <f>SUM('Capex Summary Sheet'!F7:F9)</f>
        <v>39344800</v>
      </c>
      <c r="F5" s="996">
        <f>E5*D5</f>
        <v>1967240</v>
      </c>
    </row>
    <row r="6" spans="1:6" x14ac:dyDescent="0.25">
      <c r="A6" s="1055" t="s">
        <v>1166</v>
      </c>
      <c r="B6" s="1056" t="s">
        <v>1167</v>
      </c>
      <c r="C6" s="974" t="s">
        <v>541</v>
      </c>
      <c r="D6" s="1061">
        <v>0.05</v>
      </c>
      <c r="E6" s="1019">
        <f>SUM('6. Aquaculture systems - Hatch'!F61+'7. Aquaculture systems - Cages'!F18)</f>
        <v>20235960.99337709</v>
      </c>
      <c r="F6" s="996">
        <f>E6*D6</f>
        <v>1011798.0496688546</v>
      </c>
    </row>
    <row r="7" spans="1:6" x14ac:dyDescent="0.25">
      <c r="A7" s="1055" t="s">
        <v>1168</v>
      </c>
      <c r="B7" t="s">
        <v>1169</v>
      </c>
      <c r="C7" s="974" t="s">
        <v>541</v>
      </c>
      <c r="D7" s="1061">
        <v>0.06</v>
      </c>
      <c r="E7" s="1001">
        <f>SUM('4. Buildings'!F88)</f>
        <v>32653050</v>
      </c>
      <c r="F7" s="996">
        <f t="shared" ref="F7:F17" si="0">D7*E7</f>
        <v>1959183</v>
      </c>
    </row>
    <row r="8" spans="1:6" x14ac:dyDescent="0.25">
      <c r="A8" s="1055" t="s">
        <v>1170</v>
      </c>
      <c r="B8" t="s">
        <v>1171</v>
      </c>
      <c r="C8" s="974" t="s">
        <v>541</v>
      </c>
      <c r="D8" s="1061">
        <v>0.01</v>
      </c>
      <c r="E8" s="1001">
        <f>E5</f>
        <v>39344800</v>
      </c>
      <c r="F8" s="996">
        <f t="shared" si="0"/>
        <v>393448</v>
      </c>
    </row>
    <row r="9" spans="1:6" x14ac:dyDescent="0.25">
      <c r="A9" s="1055" t="s">
        <v>1172</v>
      </c>
      <c r="B9" t="s">
        <v>1173</v>
      </c>
      <c r="C9" s="974" t="s">
        <v>541</v>
      </c>
      <c r="D9" s="1062">
        <v>5.0000000000000001E-3</v>
      </c>
      <c r="E9" s="1001">
        <f>E5+E6</f>
        <v>59580760.99337709</v>
      </c>
      <c r="F9" s="996">
        <f t="shared" si="0"/>
        <v>297903.80496688548</v>
      </c>
    </row>
    <row r="10" spans="1:6" x14ac:dyDescent="0.25">
      <c r="A10" s="1055" t="s">
        <v>1174</v>
      </c>
      <c r="B10" t="s">
        <v>1175</v>
      </c>
      <c r="C10" s="974" t="s">
        <v>813</v>
      </c>
      <c r="D10" s="1063">
        <v>1</v>
      </c>
      <c r="E10" s="1001">
        <v>100000</v>
      </c>
      <c r="F10" s="996">
        <f t="shared" si="0"/>
        <v>100000</v>
      </c>
    </row>
    <row r="11" spans="1:6" x14ac:dyDescent="0.25">
      <c r="A11" s="1055" t="s">
        <v>1176</v>
      </c>
      <c r="B11" t="s">
        <v>1177</v>
      </c>
      <c r="C11" s="974" t="s">
        <v>541</v>
      </c>
      <c r="D11" s="1062">
        <v>5.0000000000000001E-3</v>
      </c>
      <c r="E11" s="1001">
        <f>E9</f>
        <v>59580760.99337709</v>
      </c>
      <c r="F11" s="996">
        <f t="shared" si="0"/>
        <v>297903.80496688548</v>
      </c>
    </row>
    <row r="12" spans="1:6" x14ac:dyDescent="0.25">
      <c r="A12" s="1055"/>
      <c r="C12" s="974"/>
      <c r="D12" s="974"/>
      <c r="F12" s="996"/>
    </row>
    <row r="13" spans="1:6" x14ac:dyDescent="0.25">
      <c r="A13" s="972" t="s">
        <v>1178</v>
      </c>
      <c r="B13" s="657" t="s">
        <v>1179</v>
      </c>
      <c r="C13" s="974"/>
      <c r="D13" s="974"/>
      <c r="F13" s="996"/>
    </row>
    <row r="14" spans="1:6" x14ac:dyDescent="0.25">
      <c r="A14" s="1055" t="s">
        <v>1180</v>
      </c>
      <c r="B14" t="s">
        <v>1181</v>
      </c>
      <c r="C14" s="974" t="s">
        <v>541</v>
      </c>
      <c r="D14" s="1061">
        <v>0.02</v>
      </c>
      <c r="E14" s="1001">
        <f>E11</f>
        <v>59580760.99337709</v>
      </c>
      <c r="F14" s="996">
        <f t="shared" si="0"/>
        <v>1191615.2198675419</v>
      </c>
    </row>
    <row r="15" spans="1:6" x14ac:dyDescent="0.25">
      <c r="A15" s="1055" t="s">
        <v>1182</v>
      </c>
      <c r="B15" t="s">
        <v>1183</v>
      </c>
      <c r="C15" s="974" t="s">
        <v>541</v>
      </c>
      <c r="D15" s="1061">
        <v>0.02</v>
      </c>
      <c r="E15" s="1001">
        <f>E14</f>
        <v>59580760.99337709</v>
      </c>
      <c r="F15" s="996">
        <f t="shared" si="0"/>
        <v>1191615.2198675419</v>
      </c>
    </row>
    <row r="16" spans="1:6" x14ac:dyDescent="0.25">
      <c r="A16" s="1055" t="s">
        <v>1184</v>
      </c>
      <c r="B16" s="1056" t="s">
        <v>1185</v>
      </c>
      <c r="C16" s="974" t="s">
        <v>813</v>
      </c>
      <c r="D16" s="1063">
        <v>1</v>
      </c>
      <c r="E16" s="1001">
        <v>100000</v>
      </c>
      <c r="F16" s="996">
        <f t="shared" si="0"/>
        <v>100000</v>
      </c>
    </row>
    <row r="17" spans="1:6" x14ac:dyDescent="0.25">
      <c r="A17" s="1055" t="s">
        <v>1186</v>
      </c>
      <c r="B17" s="1056" t="s">
        <v>1187</v>
      </c>
      <c r="C17" s="974" t="s">
        <v>541</v>
      </c>
      <c r="D17" s="1062">
        <v>5.0000000000000001E-3</v>
      </c>
      <c r="E17" s="1001">
        <f>E14</f>
        <v>59580760.99337709</v>
      </c>
      <c r="F17" s="996">
        <f t="shared" si="0"/>
        <v>297903.80496688548</v>
      </c>
    </row>
    <row r="18" spans="1:6" x14ac:dyDescent="0.25">
      <c r="A18" s="1057"/>
      <c r="C18" s="974"/>
      <c r="D18" s="974"/>
      <c r="F18" s="996"/>
    </row>
    <row r="19" spans="1:6" ht="15.75" thickBot="1" x14ac:dyDescent="0.3">
      <c r="A19" s="1060"/>
      <c r="B19" s="984" t="s">
        <v>818</v>
      </c>
      <c r="C19" s="985"/>
      <c r="D19" s="985"/>
      <c r="E19" s="986"/>
      <c r="F19" s="1021">
        <f>SUM(F5:F18)</f>
        <v>8808610.9043045957</v>
      </c>
    </row>
    <row r="20" spans="1:6" ht="15.75" thickTop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B1:U56"/>
  <sheetViews>
    <sheetView topLeftCell="A49" zoomScale="91" zoomScaleNormal="91" zoomScalePageLayoutView="80" workbookViewId="0">
      <selection activeCell="C56" sqref="C56"/>
    </sheetView>
  </sheetViews>
  <sheetFormatPr defaultColWidth="8.85546875" defaultRowHeight="16.5" x14ac:dyDescent="0.3"/>
  <cols>
    <col min="1" max="1" width="1.42578125" style="6" customWidth="1"/>
    <col min="2" max="2" width="41.85546875" style="87" customWidth="1"/>
    <col min="3" max="3" width="10.140625" style="87" customWidth="1"/>
    <col min="4" max="5" width="13" style="87" customWidth="1"/>
    <col min="6" max="6" width="12.85546875" style="87" bestFit="1" customWidth="1"/>
    <col min="7" max="8" width="12.5703125" style="87" bestFit="1" customWidth="1"/>
    <col min="9" max="13" width="11.7109375" style="87" customWidth="1"/>
    <col min="14" max="16384" width="8.85546875" style="6"/>
  </cols>
  <sheetData>
    <row r="1" spans="2:13" ht="42.75" customHeight="1" x14ac:dyDescent="0.25">
      <c r="B1" s="90"/>
      <c r="C1" s="586" t="s">
        <v>1469</v>
      </c>
      <c r="D1" s="90"/>
      <c r="E1" s="88"/>
      <c r="F1" s="88"/>
      <c r="G1" s="88"/>
      <c r="H1" s="88"/>
      <c r="I1" s="88"/>
      <c r="J1" s="89"/>
      <c r="K1" s="100"/>
      <c r="L1" s="90"/>
      <c r="M1" s="88"/>
    </row>
    <row r="2" spans="2:13" ht="15" customHeight="1" x14ac:dyDescent="0.25">
      <c r="B2" s="1407" t="s">
        <v>100</v>
      </c>
      <c r="C2" s="1407"/>
      <c r="D2" s="510"/>
      <c r="E2" s="57"/>
      <c r="F2" s="57"/>
      <c r="G2" s="57"/>
      <c r="H2" s="57"/>
      <c r="I2" s="57"/>
      <c r="J2" s="57"/>
      <c r="K2" s="57"/>
      <c r="L2" s="57"/>
      <c r="M2" s="57"/>
    </row>
    <row r="3" spans="2:13" ht="15" customHeight="1" x14ac:dyDescent="0.25">
      <c r="B3" s="1407"/>
      <c r="C3" s="1407"/>
      <c r="D3" s="510"/>
      <c r="E3" s="57"/>
      <c r="F3" s="57"/>
      <c r="G3" s="57"/>
      <c r="H3" s="57"/>
      <c r="I3" s="57"/>
      <c r="J3" s="57"/>
      <c r="K3" s="57"/>
      <c r="L3" s="57"/>
      <c r="M3" s="57"/>
    </row>
    <row r="4" spans="2:13" s="92" customFormat="1" ht="15" customHeight="1" thickBot="1" x14ac:dyDescent="0.3">
      <c r="B4" s="1407"/>
      <c r="C4" s="1407"/>
      <c r="D4" s="1409" t="s">
        <v>102</v>
      </c>
      <c r="E4" s="1409"/>
      <c r="F4" s="1409"/>
      <c r="G4" s="1409"/>
      <c r="H4" s="1409"/>
      <c r="I4" s="1409"/>
      <c r="J4" s="1409"/>
      <c r="K4" s="1409"/>
      <c r="L4" s="1409"/>
      <c r="M4" s="1410"/>
    </row>
    <row r="5" spans="2:13" ht="15" customHeight="1" thickBot="1" x14ac:dyDescent="0.35">
      <c r="B5" s="101"/>
      <c r="C5" s="150" t="s">
        <v>103</v>
      </c>
      <c r="D5" s="102" t="s">
        <v>507</v>
      </c>
      <c r="E5" s="102" t="s">
        <v>508</v>
      </c>
      <c r="F5" s="102" t="s">
        <v>509</v>
      </c>
      <c r="G5" s="102" t="s">
        <v>510</v>
      </c>
      <c r="H5" s="102" t="s">
        <v>511</v>
      </c>
      <c r="I5" s="102" t="s">
        <v>512</v>
      </c>
      <c r="J5" s="102" t="s">
        <v>513</v>
      </c>
      <c r="K5" s="102" t="s">
        <v>514</v>
      </c>
      <c r="L5" s="102" t="s">
        <v>515</v>
      </c>
      <c r="M5" s="102" t="s">
        <v>516</v>
      </c>
    </row>
    <row r="6" spans="2:13" s="73" customFormat="1" ht="26.25" customHeight="1" x14ac:dyDescent="0.3">
      <c r="B6" s="96" t="s">
        <v>101</v>
      </c>
      <c r="C6" s="145">
        <v>1</v>
      </c>
      <c r="D6" s="114">
        <f>SUM('Monthly FS'!D8:O8)/1000</f>
        <v>0</v>
      </c>
      <c r="E6" s="114">
        <f>SUM('Monthly FS'!P8:AA8)/1000</f>
        <v>0</v>
      </c>
      <c r="F6" s="114">
        <f>SUM('Monthly FS'!AB8:AM8)/1000</f>
        <v>0</v>
      </c>
      <c r="G6" s="114">
        <f>SUM('Monthly FS'!AN8:AY8)/1000</f>
        <v>137724.66700901993</v>
      </c>
      <c r="H6" s="114">
        <f>SUM('Monthly FS'!AZ8:BK8)/1000</f>
        <v>183089.05348076025</v>
      </c>
      <c r="I6" s="114">
        <f>SUM('Monthly FS'!BL8:BW8)/1000</f>
        <v>192371.33583419293</v>
      </c>
      <c r="J6" s="114">
        <f>SUM('Monthly FS'!BX8:CI8)/1000</f>
        <v>206734.11851770728</v>
      </c>
      <c r="K6" s="114">
        <f>SUM('Monthly FS'!CJ8:CU8)/1000</f>
        <v>214767.50368542128</v>
      </c>
      <c r="L6" s="114">
        <f>SUM('Monthly FS'!CV8:DG8)/1000</f>
        <v>232250.36643624931</v>
      </c>
      <c r="M6" s="114">
        <f>SUM('Monthly FS'!DH8:DS8)/1000</f>
        <v>245625.48137576121</v>
      </c>
    </row>
    <row r="7" spans="2:13" ht="18.75" customHeight="1" x14ac:dyDescent="0.25">
      <c r="B7" s="97" t="s">
        <v>305</v>
      </c>
      <c r="C7" s="352"/>
      <c r="D7" s="115">
        <f>SUM('Monthly FS'!D9:O9)/1000</f>
        <v>0</v>
      </c>
      <c r="E7" s="115">
        <f>SUM('Monthly FS'!P9:AA9)/1000</f>
        <v>0</v>
      </c>
      <c r="F7" s="115">
        <f>SUM('Monthly FS'!AB9:AM9)/1000</f>
        <v>0</v>
      </c>
      <c r="G7" s="115">
        <f>SUM('Monthly FS'!AN9:AY9)/1000</f>
        <v>0</v>
      </c>
      <c r="H7" s="115">
        <f>SUM('Monthly FS'!AZ9:BK9)/1000</f>
        <v>0</v>
      </c>
      <c r="I7" s="115">
        <f>SUM('Monthly FS'!BL9:BW9)/1000</f>
        <v>0</v>
      </c>
      <c r="J7" s="115">
        <f>SUM('Monthly FS'!BX9:CI9)/1000</f>
        <v>0</v>
      </c>
      <c r="K7" s="115">
        <f>SUM('Monthly FS'!CJ9:CU9)/1000</f>
        <v>0</v>
      </c>
      <c r="L7" s="115">
        <f>SUM('Monthly FS'!CV9:DG9)/1000</f>
        <v>0</v>
      </c>
      <c r="M7" s="115">
        <f>SUM('Monthly FS'!DH9:DS9)/1000</f>
        <v>0</v>
      </c>
    </row>
    <row r="8" spans="2:13" ht="18.75" customHeight="1" x14ac:dyDescent="0.25">
      <c r="B8" s="97" t="s">
        <v>179</v>
      </c>
      <c r="C8" s="147">
        <v>2</v>
      </c>
      <c r="D8" s="115">
        <f>SUM('Monthly FS'!D10:O10)/1000</f>
        <v>0</v>
      </c>
      <c r="E8" s="115">
        <f>SUM('Monthly FS'!P10:AA10)/1000</f>
        <v>0</v>
      </c>
      <c r="F8" s="115">
        <f>SUM('Monthly FS'!AB10:AM10)/1000</f>
        <v>0</v>
      </c>
      <c r="G8" s="115">
        <f>SUM('Monthly FS'!AN10:AY10)/1000</f>
        <v>-9763.7541361781696</v>
      </c>
      <c r="H8" s="115">
        <f>SUM('Monthly FS'!AZ10:BK10)/1000</f>
        <v>-12040.291698711393</v>
      </c>
      <c r="I8" s="115">
        <f>SUM('Monthly FS'!BL10:BW10)/1000</f>
        <v>-13417.126939570306</v>
      </c>
      <c r="J8" s="115">
        <f>SUM('Monthly FS'!BX10:CI10)/1000</f>
        <v>-14745.407552264702</v>
      </c>
      <c r="K8" s="115">
        <f>SUM('Monthly FS'!CJ10:CU10)/1000</f>
        <v>-16209.430954384927</v>
      </c>
      <c r="L8" s="115">
        <f>SUM('Monthly FS'!CV10:DG10)/1000</f>
        <v>-17816.113527846894</v>
      </c>
      <c r="M8" s="115">
        <f>SUM('Monthly FS'!DH10:DS10)/1000</f>
        <v>-19885.170971491883</v>
      </c>
    </row>
    <row r="9" spans="2:13" ht="18.75" customHeight="1" x14ac:dyDescent="0.25">
      <c r="B9" s="282" t="s">
        <v>162</v>
      </c>
      <c r="C9" s="147">
        <v>3</v>
      </c>
      <c r="D9" s="115">
        <f>SUM('Monthly FS'!D11:O11)/1000</f>
        <v>0</v>
      </c>
      <c r="E9" s="115">
        <f>SUM('Monthly FS'!P11:AA11)/1000</f>
        <v>-4577.2224364672866</v>
      </c>
      <c r="F9" s="115">
        <f>SUM('Monthly FS'!AB11:AM11)/1000</f>
        <v>-43706.806365460056</v>
      </c>
      <c r="G9" s="115">
        <f>SUM('Monthly FS'!AN11:AY11)/1000</f>
        <v>-109269.7578710433</v>
      </c>
      <c r="H9" s="115">
        <f>SUM('Monthly FS'!AZ11:BK11)/1000</f>
        <v>-117741.5861964075</v>
      </c>
      <c r="I9" s="115">
        <f>SUM('Monthly FS'!BL11:BW11)/1000</f>
        <v>-124979.83477772941</v>
      </c>
      <c r="J9" s="115">
        <f>SUM('Monthly FS'!BX11:CI11)/1000</f>
        <v>-136604.25155632925</v>
      </c>
      <c r="K9" s="115">
        <f>SUM('Monthly FS'!CJ11:CU11)/1000</f>
        <v>-140871.44028397897</v>
      </c>
      <c r="L9" s="115">
        <f>SUM('Monthly FS'!CV11:DG11)/1000</f>
        <v>-149586.0732747197</v>
      </c>
      <c r="M9" s="115">
        <f>SUM('Monthly FS'!DH11:DS11)/1000</f>
        <v>-158857.45019648483</v>
      </c>
    </row>
    <row r="10" spans="2:13" ht="18.75" customHeight="1" thickBot="1" x14ac:dyDescent="0.3">
      <c r="B10" s="97" t="s">
        <v>163</v>
      </c>
      <c r="C10" s="147">
        <v>4</v>
      </c>
      <c r="D10" s="117">
        <f>SUM('Monthly FS'!D12:O12)/1000</f>
        <v>0</v>
      </c>
      <c r="E10" s="117">
        <f>SUM('Monthly FS'!P12:AA12)/1000</f>
        <v>-6612.4239302996648</v>
      </c>
      <c r="F10" s="117">
        <f>SUM('Monthly FS'!AB12:AM12)/1000</f>
        <v>-8461.3359034902551</v>
      </c>
      <c r="G10" s="117">
        <f>SUM('Monthly FS'!AN12:AY12)/1000</f>
        <v>-9522.3365800771353</v>
      </c>
      <c r="H10" s="117">
        <f>SUM('Monthly FS'!AZ12:BK12)/1000</f>
        <v>-10122.243784621995</v>
      </c>
      <c r="I10" s="117">
        <f>SUM('Monthly FS'!BL12:BW12)/1000</f>
        <v>-10759.945143053183</v>
      </c>
      <c r="J10" s="117">
        <f>SUM('Monthly FS'!BX12:CI12)/1000</f>
        <v>-11437.821687065531</v>
      </c>
      <c r="K10" s="117">
        <f>SUM('Monthly FS'!CJ12:CU12)/1000</f>
        <v>-12158.404453350662</v>
      </c>
      <c r="L10" s="117">
        <f>SUM('Monthly FS'!CV12:DG12)/1000</f>
        <v>-12924.383933911749</v>
      </c>
      <c r="M10" s="117">
        <f>SUM('Monthly FS'!DH12:DS12)/1000</f>
        <v>-13738.620121748188</v>
      </c>
    </row>
    <row r="11" spans="2:13" s="73" customFormat="1" ht="26.25" customHeight="1" x14ac:dyDescent="0.3">
      <c r="B11" s="99" t="s">
        <v>50</v>
      </c>
      <c r="C11" s="148"/>
      <c r="D11" s="114">
        <f>SUM(D6:D10)</f>
        <v>0</v>
      </c>
      <c r="E11" s="114">
        <f>SUM(E6:E10)</f>
        <v>-11189.646366766952</v>
      </c>
      <c r="F11" s="114">
        <f t="shared" ref="F11:M11" si="0">SUM(F6:F10)</f>
        <v>-52168.142268950309</v>
      </c>
      <c r="G11" s="114">
        <f t="shared" si="0"/>
        <v>9168.8184217213202</v>
      </c>
      <c r="H11" s="114">
        <f t="shared" si="0"/>
        <v>43184.931801019353</v>
      </c>
      <c r="I11" s="114">
        <f t="shared" si="0"/>
        <v>43214.428973840033</v>
      </c>
      <c r="J11" s="114">
        <f t="shared" si="0"/>
        <v>43946.637722047803</v>
      </c>
      <c r="K11" s="114">
        <f t="shared" si="0"/>
        <v>45528.227993706714</v>
      </c>
      <c r="L11" s="114">
        <f t="shared" si="0"/>
        <v>51923.795699770963</v>
      </c>
      <c r="M11" s="114">
        <f t="shared" si="0"/>
        <v>53144.240086036298</v>
      </c>
    </row>
    <row r="12" spans="2:13" ht="18.75" customHeight="1" thickBot="1" x14ac:dyDescent="0.3">
      <c r="B12" s="97" t="s">
        <v>104</v>
      </c>
      <c r="C12" s="147">
        <v>5</v>
      </c>
      <c r="D12" s="117">
        <f>SUM('Monthly FS'!D14:O14)/1000</f>
        <v>-4603.840698675418</v>
      </c>
      <c r="E12" s="117">
        <f>SUM('Monthly FS'!P14:AA14)/1000</f>
        <v>-8509.2676986754195</v>
      </c>
      <c r="F12" s="117">
        <f>SUM('Monthly FS'!AB14:AM14)/1000</f>
        <v>-8509.2676986754195</v>
      </c>
      <c r="G12" s="117">
        <f>SUM('Monthly FS'!AN14:AY14)/1000</f>
        <v>-8509.2676986754195</v>
      </c>
      <c r="H12" s="117">
        <f>SUM('Monthly FS'!AZ14:BK14)/1000</f>
        <v>-8509.2676986754195</v>
      </c>
      <c r="I12" s="117">
        <f>SUM('Monthly FS'!BL14:BW14)/1000</f>
        <v>-5538.0794999999998</v>
      </c>
      <c r="J12" s="117">
        <f>SUM('Monthly FS'!BX14:CI14)/1000</f>
        <v>-5538.0794999999998</v>
      </c>
      <c r="K12" s="117">
        <f>SUM('Monthly FS'!CJ14:CU14)/1000</f>
        <v>-5538.0794999999998</v>
      </c>
      <c r="L12" s="117">
        <f>SUM('Monthly FS'!CV14:DG14)/1000</f>
        <v>-5538.0794999999998</v>
      </c>
      <c r="M12" s="117">
        <f>SUM('Monthly FS'!DH14:DS14)/1000</f>
        <v>-5538.0794999999998</v>
      </c>
    </row>
    <row r="13" spans="2:13" s="73" customFormat="1" ht="26.25" customHeight="1" x14ac:dyDescent="0.3">
      <c r="B13" s="98" t="s">
        <v>105</v>
      </c>
      <c r="C13" s="147"/>
      <c r="D13" s="118">
        <f>SUM(D11:D12)</f>
        <v>-4603.840698675418</v>
      </c>
      <c r="E13" s="118">
        <f>SUM(E11:E12)</f>
        <v>-19698.914065442372</v>
      </c>
      <c r="F13" s="118">
        <f t="shared" ref="F13:M13" si="1">SUM(F11:F12)</f>
        <v>-60677.409967625732</v>
      </c>
      <c r="G13" s="118">
        <f t="shared" si="1"/>
        <v>659.55072304590067</v>
      </c>
      <c r="H13" s="118">
        <f t="shared" si="1"/>
        <v>34675.66410234393</v>
      </c>
      <c r="I13" s="118">
        <f t="shared" si="1"/>
        <v>37676.349473840033</v>
      </c>
      <c r="J13" s="118">
        <f t="shared" si="1"/>
        <v>38408.558222047803</v>
      </c>
      <c r="K13" s="118">
        <f t="shared" si="1"/>
        <v>39990.148493706714</v>
      </c>
      <c r="L13" s="118">
        <f t="shared" si="1"/>
        <v>46385.716199770963</v>
      </c>
      <c r="M13" s="118">
        <f t="shared" si="1"/>
        <v>47606.160586036298</v>
      </c>
    </row>
    <row r="14" spans="2:13" ht="19.5" customHeight="1" x14ac:dyDescent="0.25">
      <c r="B14" s="97" t="s">
        <v>106</v>
      </c>
      <c r="C14" s="149">
        <v>6</v>
      </c>
      <c r="D14" s="115">
        <f>SUM('Monthly FS'!D16:O16)/1000</f>
        <v>0</v>
      </c>
      <c r="E14" s="115">
        <f>SUM('Monthly FS'!P16:AA16)/1000</f>
        <v>0</v>
      </c>
      <c r="F14" s="115">
        <f>SUM('Monthly FS'!AB16:AM16)/1000</f>
        <v>0</v>
      </c>
      <c r="G14" s="115">
        <f>SUM('Monthly FS'!AN16:AY16)/1000</f>
        <v>0</v>
      </c>
      <c r="H14" s="115">
        <f>SUM('Monthly FS'!AZ16:BK16)/1000</f>
        <v>0</v>
      </c>
      <c r="I14" s="115">
        <f>SUM('Monthly FS'!BL16:BW16)/1000</f>
        <v>0</v>
      </c>
      <c r="J14" s="115">
        <f>SUM('Monthly FS'!BX16:CI16)/1000</f>
        <v>0</v>
      </c>
      <c r="K14" s="115">
        <f>SUM('Monthly FS'!CJ16:CU16)/1000</f>
        <v>0</v>
      </c>
      <c r="L14" s="115">
        <f>SUM('Monthly FS'!CV16:DG16)/1000</f>
        <v>0</v>
      </c>
      <c r="M14" s="115">
        <f>SUM('Monthly FS'!DH16:DS16)/1000</f>
        <v>0</v>
      </c>
    </row>
    <row r="15" spans="2:13" ht="18.75" customHeight="1" thickBot="1" x14ac:dyDescent="0.3">
      <c r="B15" s="97" t="s">
        <v>92</v>
      </c>
      <c r="C15" s="149">
        <v>7</v>
      </c>
      <c r="D15" s="117">
        <f>SUM('Monthly FS'!D17:O17)/1000</f>
        <v>0</v>
      </c>
      <c r="E15" s="117">
        <f>SUM('Monthly FS'!P17:AA17)/1000</f>
        <v>0</v>
      </c>
      <c r="F15" s="117">
        <f>SUM('Monthly FS'!AB17:AM17)/1000</f>
        <v>0</v>
      </c>
      <c r="G15" s="117">
        <f>SUM('Monthly FS'!AN17:AY17)/1000</f>
        <v>0</v>
      </c>
      <c r="H15" s="117">
        <f>SUM('Monthly FS'!AZ17:BK17)/1000</f>
        <v>0</v>
      </c>
      <c r="I15" s="117">
        <f>SUM('Monthly FS'!BL17:BW17)/1000</f>
        <v>0</v>
      </c>
      <c r="J15" s="117">
        <f>SUM('Monthly FS'!BX17:CI17)/1000</f>
        <v>0</v>
      </c>
      <c r="K15" s="117">
        <f>SUM('Monthly FS'!CJ17:CU17)/1000</f>
        <v>0</v>
      </c>
      <c r="L15" s="117">
        <f>SUM('Monthly FS'!CV17:DG17)/1000</f>
        <v>0</v>
      </c>
      <c r="M15" s="117">
        <f>SUM('Monthly FS'!DH17:DS17)/1000</f>
        <v>0</v>
      </c>
    </row>
    <row r="16" spans="2:13" s="73" customFormat="1" ht="26.25" customHeight="1" x14ac:dyDescent="0.3">
      <c r="B16" s="98" t="s">
        <v>107</v>
      </c>
      <c r="C16" s="147"/>
      <c r="D16" s="118">
        <f>SUM(D13:D15)</f>
        <v>-4603.840698675418</v>
      </c>
      <c r="E16" s="118">
        <f>SUM(E13:E15)</f>
        <v>-19698.914065442372</v>
      </c>
      <c r="F16" s="118">
        <f t="shared" ref="F16:M16" si="2">SUM(F13:F15)</f>
        <v>-60677.409967625732</v>
      </c>
      <c r="G16" s="118">
        <f t="shared" si="2"/>
        <v>659.55072304590067</v>
      </c>
      <c r="H16" s="118">
        <f t="shared" si="2"/>
        <v>34675.66410234393</v>
      </c>
      <c r="I16" s="118">
        <f t="shared" si="2"/>
        <v>37676.349473840033</v>
      </c>
      <c r="J16" s="118">
        <f t="shared" si="2"/>
        <v>38408.558222047803</v>
      </c>
      <c r="K16" s="118">
        <f t="shared" si="2"/>
        <v>39990.148493706714</v>
      </c>
      <c r="L16" s="118">
        <f t="shared" si="2"/>
        <v>46385.716199770963</v>
      </c>
      <c r="M16" s="118">
        <f t="shared" si="2"/>
        <v>47606.160586036298</v>
      </c>
    </row>
    <row r="17" spans="2:13" ht="18.75" customHeight="1" thickBot="1" x14ac:dyDescent="0.3">
      <c r="B17" s="97" t="s">
        <v>108</v>
      </c>
      <c r="C17" s="149">
        <v>8</v>
      </c>
      <c r="D17" s="119">
        <f>'8.Income Tax'!C17</f>
        <v>0</v>
      </c>
      <c r="E17" s="119">
        <f>'8.Income Tax'!D17</f>
        <v>0</v>
      </c>
      <c r="F17" s="119">
        <f>'8.Income Tax'!E17</f>
        <v>0</v>
      </c>
      <c r="G17" s="119">
        <f>'8.Income Tax'!F17</f>
        <v>0</v>
      </c>
      <c r="H17" s="119">
        <f>'8.Income Tax'!G17</f>
        <v>0</v>
      </c>
      <c r="I17" s="119">
        <f>'8.Income Tax'!H17</f>
        <v>0</v>
      </c>
      <c r="J17" s="119">
        <f>'8.Income Tax'!I17</f>
        <v>-8692.2635766986805</v>
      </c>
      <c r="K17" s="119">
        <f>'8.Income Tax'!J17</f>
        <v>-11197.241578237881</v>
      </c>
      <c r="L17" s="119">
        <f>'8.Income Tax'!K17</f>
        <v>-12988.000535935871</v>
      </c>
      <c r="M17" s="119">
        <f>'8.Income Tax'!L17</f>
        <v>-13329.724964090165</v>
      </c>
    </row>
    <row r="18" spans="2:13" s="73" customFormat="1" ht="26.25" customHeight="1" thickBot="1" x14ac:dyDescent="0.35">
      <c r="B18" s="98" t="s">
        <v>109</v>
      </c>
      <c r="C18" s="147"/>
      <c r="D18" s="120">
        <f>SUM(D16:D17)</f>
        <v>-4603.840698675418</v>
      </c>
      <c r="E18" s="120">
        <f>SUM(E16:E17)</f>
        <v>-19698.914065442372</v>
      </c>
      <c r="F18" s="120">
        <f t="shared" ref="F18:M18" si="3">SUM(F16:F17)</f>
        <v>-60677.409967625732</v>
      </c>
      <c r="G18" s="120">
        <f t="shared" si="3"/>
        <v>659.55072304590067</v>
      </c>
      <c r="H18" s="120">
        <f t="shared" si="3"/>
        <v>34675.66410234393</v>
      </c>
      <c r="I18" s="120">
        <f t="shared" si="3"/>
        <v>37676.349473840033</v>
      </c>
      <c r="J18" s="120">
        <f t="shared" si="3"/>
        <v>29716.294645349124</v>
      </c>
      <c r="K18" s="120">
        <f t="shared" si="3"/>
        <v>28792.906915468833</v>
      </c>
      <c r="L18" s="120">
        <f t="shared" si="3"/>
        <v>33397.715663835093</v>
      </c>
      <c r="M18" s="120">
        <f t="shared" si="3"/>
        <v>34276.435621946133</v>
      </c>
    </row>
    <row r="19" spans="2:13" ht="18.75" customHeight="1" x14ac:dyDescent="0.25">
      <c r="B19" s="54"/>
      <c r="C19" s="353"/>
      <c r="D19" s="353"/>
      <c r="E19" s="53"/>
      <c r="F19" s="53"/>
      <c r="G19" s="53"/>
      <c r="H19" s="53"/>
      <c r="I19" s="53"/>
      <c r="J19" s="53"/>
      <c r="K19" s="53"/>
      <c r="L19" s="53"/>
      <c r="M19" s="53"/>
    </row>
    <row r="20" spans="2:13" ht="5.25" customHeight="1" x14ac:dyDescent="0.25">
      <c r="B20" s="54"/>
      <c r="C20" s="54"/>
      <c r="D20" s="54"/>
      <c r="E20" s="106"/>
      <c r="F20" s="53"/>
      <c r="G20" s="53"/>
      <c r="H20" s="53"/>
      <c r="I20" s="53"/>
      <c r="J20" s="53"/>
      <c r="K20" s="53"/>
      <c r="L20" s="53"/>
      <c r="M20" s="53"/>
    </row>
    <row r="21" spans="2:13" ht="15" customHeight="1" x14ac:dyDescent="0.25">
      <c r="B21" s="1407" t="s">
        <v>110</v>
      </c>
      <c r="C21" s="1407"/>
      <c r="D21" s="510"/>
      <c r="E21" s="57"/>
      <c r="F21" s="57"/>
      <c r="G21" s="57"/>
      <c r="H21" s="57"/>
      <c r="I21" s="57"/>
      <c r="J21" s="57"/>
      <c r="K21" s="57"/>
      <c r="L21" s="57"/>
      <c r="M21" s="57"/>
    </row>
    <row r="22" spans="2:13" ht="15" customHeight="1" x14ac:dyDescent="0.25">
      <c r="B22" s="1407"/>
      <c r="C22" s="1407"/>
      <c r="D22" s="510"/>
      <c r="E22" s="57"/>
      <c r="F22" s="57"/>
      <c r="G22" s="57"/>
      <c r="H22" s="57"/>
      <c r="I22" s="57"/>
      <c r="J22" s="57"/>
      <c r="K22" s="57"/>
      <c r="L22" s="57"/>
      <c r="M22" s="57"/>
    </row>
    <row r="23" spans="2:13" s="92" customFormat="1" ht="15" customHeight="1" thickBot="1" x14ac:dyDescent="0.3">
      <c r="B23" s="1407"/>
      <c r="C23" s="1407"/>
      <c r="D23" s="510"/>
      <c r="E23" s="151" t="s">
        <v>102</v>
      </c>
      <c r="F23" s="94"/>
      <c r="G23" s="95"/>
      <c r="H23" s="95"/>
      <c r="I23" s="95"/>
      <c r="J23" s="95"/>
      <c r="K23" s="95"/>
      <c r="L23" s="95"/>
      <c r="M23" s="95"/>
    </row>
    <row r="24" spans="2:13" ht="15" customHeight="1" thickBot="1" x14ac:dyDescent="0.35">
      <c r="B24" s="101"/>
      <c r="C24" s="150" t="s">
        <v>103</v>
      </c>
      <c r="D24" s="102" t="s">
        <v>507</v>
      </c>
      <c r="E24" s="102" t="s">
        <v>508</v>
      </c>
      <c r="F24" s="102" t="s">
        <v>509</v>
      </c>
      <c r="G24" s="102" t="s">
        <v>510</v>
      </c>
      <c r="H24" s="102" t="s">
        <v>511</v>
      </c>
      <c r="I24" s="102" t="s">
        <v>512</v>
      </c>
      <c r="J24" s="102" t="s">
        <v>513</v>
      </c>
      <c r="K24" s="102" t="s">
        <v>514</v>
      </c>
      <c r="L24" s="102" t="s">
        <v>515</v>
      </c>
      <c r="M24" s="102" t="s">
        <v>516</v>
      </c>
    </row>
    <row r="25" spans="2:13" s="56" customFormat="1" ht="26.25" customHeight="1" x14ac:dyDescent="0.3">
      <c r="B25" s="96" t="s">
        <v>111</v>
      </c>
      <c r="C25" s="152"/>
      <c r="D25" s="397"/>
      <c r="E25" s="238"/>
      <c r="F25" s="121"/>
      <c r="G25" s="122"/>
      <c r="H25" s="122"/>
      <c r="I25" s="122"/>
      <c r="J25" s="122"/>
      <c r="K25" s="122"/>
      <c r="L25" s="122"/>
      <c r="M25" s="122"/>
    </row>
    <row r="26" spans="2:13" ht="18.75" customHeight="1" x14ac:dyDescent="0.25">
      <c r="B26" s="97" t="s">
        <v>157</v>
      </c>
      <c r="C26" s="146"/>
      <c r="D26" s="115">
        <f>SUM('Monthly FS'!D25:O25)/1000</f>
        <v>0</v>
      </c>
      <c r="E26" s="115">
        <f>SUM('Monthly FS'!P25:AA25)/1000</f>
        <v>0</v>
      </c>
      <c r="F26" s="115">
        <f>SUM('Monthly FS'!AB25:AM25)/1000</f>
        <v>0</v>
      </c>
      <c r="G26" s="115">
        <f>SUM('Monthly FS'!AN25:AY25)/1000</f>
        <v>137724.66700901993</v>
      </c>
      <c r="H26" s="115">
        <f>SUM('Monthly FS'!AZ25:BK25)/1000</f>
        <v>183089.05348076025</v>
      </c>
      <c r="I26" s="115">
        <f>SUM('Monthly FS'!BL25:BW25)/1000</f>
        <v>192371.33583419293</v>
      </c>
      <c r="J26" s="115">
        <f>SUM('Monthly FS'!BX25:CI25)/1000</f>
        <v>206734.11851770728</v>
      </c>
      <c r="K26" s="115">
        <f>SUM('Monthly FS'!CJ25:CU25)/1000</f>
        <v>214767.50368542128</v>
      </c>
      <c r="L26" s="115">
        <f>SUM('Monthly FS'!CV25:DG25)/1000</f>
        <v>232250.36643624931</v>
      </c>
      <c r="M26" s="115">
        <f>SUM('Monthly FS'!DH25:DS25)/1000</f>
        <v>245625.48137576121</v>
      </c>
    </row>
    <row r="27" spans="2:13" ht="18.75" customHeight="1" x14ac:dyDescent="0.25">
      <c r="B27" s="97" t="s">
        <v>112</v>
      </c>
      <c r="C27" s="146"/>
      <c r="D27" s="115">
        <f>SUM('Monthly FS'!D26:O26)/1000</f>
        <v>0</v>
      </c>
      <c r="E27" s="115">
        <f>SUM('Monthly FS'!P26:AA26)/1000</f>
        <v>-11189.646366766952</v>
      </c>
      <c r="F27" s="115">
        <f>SUM('Monthly FS'!AB26:AM26)/1000</f>
        <v>-52168.142268950316</v>
      </c>
      <c r="G27" s="115">
        <f>SUM('Monthly FS'!AN26:AY26)/1000</f>
        <v>-128555.84858729861</v>
      </c>
      <c r="H27" s="115">
        <f>SUM('Monthly FS'!AZ26:BK26)/1000</f>
        <v>-139904.12167974084</v>
      </c>
      <c r="I27" s="115">
        <f>SUM('Monthly FS'!BL26:BW26)/1000</f>
        <v>-149156.9068603529</v>
      </c>
      <c r="J27" s="115">
        <f>SUM('Monthly FS'!BX26:CI26)/1000</f>
        <v>-162787.48079565947</v>
      </c>
      <c r="K27" s="115">
        <f>SUM('Monthly FS'!CJ26:CU26)/1000</f>
        <v>-169239.27569171452</v>
      </c>
      <c r="L27" s="115">
        <f>SUM('Monthly FS'!CV26:DG26)/1000</f>
        <v>-180326.57073647843</v>
      </c>
      <c r="M27" s="115">
        <f>SUM('Monthly FS'!DH26:DS26)/1000</f>
        <v>-192481.24128972495</v>
      </c>
    </row>
    <row r="28" spans="2:13" ht="18.75" customHeight="1" thickBot="1" x14ac:dyDescent="0.3">
      <c r="B28" s="97" t="s">
        <v>113</v>
      </c>
      <c r="C28" s="146"/>
      <c r="D28" s="117">
        <f>D17</f>
        <v>0</v>
      </c>
      <c r="E28" s="117">
        <f>E17</f>
        <v>0</v>
      </c>
      <c r="F28" s="117">
        <f t="shared" ref="F28:M28" si="4">F17</f>
        <v>0</v>
      </c>
      <c r="G28" s="117">
        <f t="shared" si="4"/>
        <v>0</v>
      </c>
      <c r="H28" s="117">
        <f t="shared" si="4"/>
        <v>0</v>
      </c>
      <c r="I28" s="117">
        <f t="shared" si="4"/>
        <v>0</v>
      </c>
      <c r="J28" s="117">
        <f t="shared" si="4"/>
        <v>-8692.2635766986805</v>
      </c>
      <c r="K28" s="117">
        <f t="shared" si="4"/>
        <v>-11197.241578237881</v>
      </c>
      <c r="L28" s="117">
        <f t="shared" si="4"/>
        <v>-12988.000535935871</v>
      </c>
      <c r="M28" s="117">
        <f t="shared" si="4"/>
        <v>-13329.724964090165</v>
      </c>
    </row>
    <row r="29" spans="2:13" ht="26.25" customHeight="1" thickBot="1" x14ac:dyDescent="0.35">
      <c r="B29" s="1413" t="s">
        <v>114</v>
      </c>
      <c r="C29" s="1414"/>
      <c r="D29" s="120">
        <f>SUM(D26:D28)</f>
        <v>0</v>
      </c>
      <c r="E29" s="120">
        <f>SUM(E26:E28)</f>
        <v>-11189.646366766952</v>
      </c>
      <c r="F29" s="120">
        <f t="shared" ref="F29:M29" si="5">SUM(F26:F28)</f>
        <v>-52168.142268950316</v>
      </c>
      <c r="G29" s="120">
        <f t="shared" si="5"/>
        <v>9168.8184217213275</v>
      </c>
      <c r="H29" s="120">
        <f t="shared" si="5"/>
        <v>43184.931801019411</v>
      </c>
      <c r="I29" s="120">
        <f t="shared" si="5"/>
        <v>43214.428973840026</v>
      </c>
      <c r="J29" s="120">
        <f t="shared" si="5"/>
        <v>35254.374145349124</v>
      </c>
      <c r="K29" s="120">
        <f t="shared" si="5"/>
        <v>34330.986415468884</v>
      </c>
      <c r="L29" s="120">
        <f t="shared" si="5"/>
        <v>38935.795163835013</v>
      </c>
      <c r="M29" s="120">
        <f t="shared" si="5"/>
        <v>39814.515121946104</v>
      </c>
    </row>
    <row r="30" spans="2:13" ht="26.25" customHeight="1" x14ac:dyDescent="0.25">
      <c r="B30" s="241"/>
      <c r="C30" s="242"/>
      <c r="D30" s="239"/>
      <c r="E30" s="239"/>
      <c r="F30" s="239"/>
      <c r="G30" s="239"/>
      <c r="H30" s="239"/>
      <c r="I30" s="239"/>
      <c r="J30" s="239"/>
      <c r="K30" s="239"/>
      <c r="L30" s="239"/>
      <c r="M30" s="239"/>
    </row>
    <row r="31" spans="2:13" ht="26.25" customHeight="1" x14ac:dyDescent="0.3">
      <c r="B31" s="144" t="s">
        <v>115</v>
      </c>
      <c r="C31" s="240"/>
      <c r="D31" s="277"/>
      <c r="E31" s="277"/>
      <c r="F31" s="123"/>
      <c r="G31" s="124"/>
      <c r="H31" s="124"/>
      <c r="I31" s="124"/>
      <c r="J31" s="124"/>
      <c r="K31" s="124"/>
      <c r="L31" s="124"/>
      <c r="M31" s="124"/>
    </row>
    <row r="32" spans="2:13" ht="15" x14ac:dyDescent="0.25">
      <c r="B32" s="97" t="s">
        <v>116</v>
      </c>
      <c r="C32" s="154">
        <v>9</v>
      </c>
      <c r="D32" s="115">
        <f>SUM('Monthly FS'!D31:O31)/1000</f>
        <v>-61858.505497516257</v>
      </c>
      <c r="E32" s="115">
        <f>SUM('Monthly FS'!P31:AA31)/1000</f>
        <v>-31983.103830855256</v>
      </c>
      <c r="F32" s="115">
        <f>SUM('Monthly FS'!AB31:AM31)/1000</f>
        <v>-15930.627816506603</v>
      </c>
      <c r="G32" s="115">
        <f>SUM('Monthly FS'!AN31:AY31)/1000</f>
        <v>-2816.7463333333335</v>
      </c>
      <c r="H32" s="115">
        <f>SUM('Monthly FS'!AZ31:BK31)/1000</f>
        <v>0</v>
      </c>
      <c r="I32" s="115">
        <f>SUM('Monthly FS'!BL31:BW31)/1000</f>
        <v>0</v>
      </c>
      <c r="J32" s="115">
        <f>SUM('Monthly FS'!BX31:CI31)/1000</f>
        <v>0</v>
      </c>
      <c r="K32" s="115">
        <f>SUM('Monthly FS'!CJ31:CU31)/1000</f>
        <v>0</v>
      </c>
      <c r="L32" s="115">
        <f>SUM('Monthly FS'!CV31:DG31)/1000</f>
        <v>0</v>
      </c>
      <c r="M32" s="115">
        <f>SUM('Monthly FS'!DH31:DS31)/1000</f>
        <v>0</v>
      </c>
    </row>
    <row r="33" spans="2:21" ht="15.75" thickBot="1" x14ac:dyDescent="0.3">
      <c r="B33" s="97" t="s">
        <v>117</v>
      </c>
      <c r="C33" s="154"/>
      <c r="D33" s="117">
        <f>SUM('Monthly FS'!D32:O32)/1000</f>
        <v>0</v>
      </c>
      <c r="E33" s="117">
        <f>SUM('Monthly FS'!P32:AA32)/1000</f>
        <v>0</v>
      </c>
      <c r="F33" s="117">
        <f>SUM('Monthly FS'!AB32:AM32)/1000</f>
        <v>0</v>
      </c>
      <c r="G33" s="117">
        <f>SUM('Monthly FS'!AN32:AY32)/1000</f>
        <v>0</v>
      </c>
      <c r="H33" s="117">
        <f>SUM('Monthly FS'!AZ32:BK32)/1000</f>
        <v>0</v>
      </c>
      <c r="I33" s="117">
        <f>SUM('Monthly FS'!BL32:BW32)/1000</f>
        <v>0</v>
      </c>
      <c r="J33" s="117">
        <f>SUM('Monthly FS'!BX32:CI32)/1000</f>
        <v>0</v>
      </c>
      <c r="K33" s="117">
        <f>SUM('Monthly FS'!CJ32:CU32)/1000</f>
        <v>0</v>
      </c>
      <c r="L33" s="117">
        <f>SUM('Monthly FS'!CV32:DG32)/1000</f>
        <v>0</v>
      </c>
      <c r="M33" s="117">
        <f>SUM('Monthly FS'!DH32:DS32)/1000</f>
        <v>0</v>
      </c>
    </row>
    <row r="34" spans="2:21" ht="26.25" customHeight="1" thickBot="1" x14ac:dyDescent="0.35">
      <c r="B34" s="99" t="s">
        <v>118</v>
      </c>
      <c r="C34" s="153"/>
      <c r="D34" s="120">
        <f>D32+D33</f>
        <v>-61858.505497516257</v>
      </c>
      <c r="E34" s="120">
        <f>E32+E33</f>
        <v>-31983.103830855256</v>
      </c>
      <c r="F34" s="120">
        <f t="shared" ref="F34:M34" si="6">F32+F33</f>
        <v>-15930.627816506603</v>
      </c>
      <c r="G34" s="120">
        <f t="shared" si="6"/>
        <v>-2816.7463333333335</v>
      </c>
      <c r="H34" s="120">
        <f t="shared" si="6"/>
        <v>0</v>
      </c>
      <c r="I34" s="120">
        <f t="shared" si="6"/>
        <v>0</v>
      </c>
      <c r="J34" s="120">
        <f t="shared" si="6"/>
        <v>0</v>
      </c>
      <c r="K34" s="120">
        <f t="shared" si="6"/>
        <v>0</v>
      </c>
      <c r="L34" s="120">
        <f t="shared" si="6"/>
        <v>0</v>
      </c>
      <c r="M34" s="120">
        <f t="shared" si="6"/>
        <v>0</v>
      </c>
    </row>
    <row r="35" spans="2:21" ht="26.25" customHeight="1" x14ac:dyDescent="0.3">
      <c r="B35" s="256"/>
      <c r="C35" s="242"/>
      <c r="D35" s="278"/>
      <c r="E35" s="278"/>
      <c r="F35" s="257"/>
      <c r="G35" s="258"/>
      <c r="H35" s="258"/>
      <c r="I35" s="258"/>
      <c r="J35" s="258"/>
      <c r="K35" s="258"/>
      <c r="L35" s="258"/>
      <c r="M35" s="258"/>
    </row>
    <row r="36" spans="2:21" ht="26.25" customHeight="1" x14ac:dyDescent="0.3">
      <c r="B36" s="144" t="s">
        <v>119</v>
      </c>
      <c r="C36" s="240"/>
      <c r="D36" s="277"/>
      <c r="E36" s="277"/>
      <c r="F36" s="123"/>
      <c r="G36" s="124"/>
      <c r="H36" s="124"/>
      <c r="I36" s="124"/>
      <c r="J36" s="124"/>
      <c r="K36" s="124"/>
      <c r="L36" s="124"/>
      <c r="M36" s="124"/>
    </row>
    <row r="37" spans="2:21" ht="15" x14ac:dyDescent="0.25">
      <c r="B37" s="97" t="s">
        <v>121</v>
      </c>
      <c r="C37" s="154"/>
      <c r="D37" s="270">
        <f>SUM('Monthly FS'!D36:O36)/1000</f>
        <v>0</v>
      </c>
      <c r="E37" s="270">
        <f>SUM('Monthly FS'!P36:AA36)/1000</f>
        <v>0</v>
      </c>
      <c r="F37" s="115">
        <f>SUM('Monthly FS'!AB36:AM36)/1000</f>
        <v>0</v>
      </c>
      <c r="G37" s="115">
        <f>SUM('Monthly FS'!AN36:AY36)/1000</f>
        <v>0</v>
      </c>
      <c r="H37" s="115">
        <f>SUM('Monthly FS'!AZ36:BK36)/1000</f>
        <v>0</v>
      </c>
      <c r="I37" s="115">
        <f>SUM('Monthly FS'!BL36:BW36)/1000</f>
        <v>0</v>
      </c>
      <c r="J37" s="115">
        <f>SUM('Monthly FS'!BX36:CI36)/1000</f>
        <v>0</v>
      </c>
      <c r="K37" s="115">
        <f>SUM('Monthly FS'!CJ36:CU36)/1000</f>
        <v>0</v>
      </c>
      <c r="L37" s="115">
        <f>SUM('Monthly FS'!CV36:DG36)/1000</f>
        <v>0</v>
      </c>
      <c r="M37" s="115">
        <f>SUM('Monthly FS'!DH36:DS36)/1000</f>
        <v>0</v>
      </c>
    </row>
    <row r="38" spans="2:21" ht="15" x14ac:dyDescent="0.25">
      <c r="B38" s="97" t="s">
        <v>122</v>
      </c>
      <c r="C38" s="154"/>
      <c r="D38" s="115">
        <f>SUM('Monthly FS'!D37:O37)/1000</f>
        <v>0</v>
      </c>
      <c r="E38" s="115">
        <f>SUM('Monthly FS'!P37:AA37)/1000</f>
        <v>0</v>
      </c>
      <c r="F38" s="115">
        <f>SUM('Monthly FS'!AB37:AM37)/1000</f>
        <v>0</v>
      </c>
      <c r="G38" s="115">
        <f>SUM('Monthly FS'!AN37:AY37)/1000</f>
        <v>0</v>
      </c>
      <c r="H38" s="115">
        <f>SUM('Monthly FS'!AZ37:BK37)/1000</f>
        <v>0</v>
      </c>
      <c r="I38" s="115">
        <f>SUM('Monthly FS'!BL37:BW37)/1000</f>
        <v>0</v>
      </c>
      <c r="J38" s="115">
        <f>SUM('Monthly FS'!BX37:CI37)/1000</f>
        <v>0</v>
      </c>
      <c r="K38" s="115">
        <f>SUM('Monthly FS'!CJ37:CU37)/1000</f>
        <v>0</v>
      </c>
      <c r="L38" s="115">
        <f>SUM('Monthly FS'!CV37:DG37)/1000</f>
        <v>0</v>
      </c>
      <c r="M38" s="115">
        <f>SUM('Monthly FS'!DH37:DS37)/1000</f>
        <v>0</v>
      </c>
    </row>
    <row r="39" spans="2:21" ht="15" x14ac:dyDescent="0.25">
      <c r="B39" s="97" t="s">
        <v>125</v>
      </c>
      <c r="C39" s="154"/>
      <c r="D39" s="115">
        <f>SUM('Monthly FS'!D38:O38)/1000</f>
        <v>0</v>
      </c>
      <c r="E39" s="115">
        <f>SUM('Monthly FS'!P38:AA38)/1000</f>
        <v>0</v>
      </c>
      <c r="F39" s="115">
        <f>SUM('Monthly FS'!AB38:AM38)/1000</f>
        <v>0</v>
      </c>
      <c r="G39" s="115">
        <f>SUM('Monthly FS'!AN38:AY38)/1000</f>
        <v>0</v>
      </c>
      <c r="H39" s="115">
        <f>SUM('Monthly FS'!AZ38:BK38)/1000</f>
        <v>0</v>
      </c>
      <c r="I39" s="115">
        <f>SUM('Monthly FS'!BL38:BW38)/1000</f>
        <v>0</v>
      </c>
      <c r="J39" s="115">
        <f>SUM('Monthly FS'!BX38:CI38)/1000</f>
        <v>0</v>
      </c>
      <c r="K39" s="115">
        <f>SUM('Monthly FS'!CJ38:CU38)/1000</f>
        <v>0</v>
      </c>
      <c r="L39" s="115">
        <f>SUM('Monthly FS'!CV38:DG38)/1000</f>
        <v>0</v>
      </c>
      <c r="M39" s="115">
        <f>SUM('Monthly FS'!DH38:DS38)/1000</f>
        <v>0</v>
      </c>
    </row>
    <row r="40" spans="2:21" ht="15" x14ac:dyDescent="0.25">
      <c r="B40" s="97" t="s">
        <v>123</v>
      </c>
      <c r="C40" s="154"/>
      <c r="D40" s="115">
        <f>SUM('Monthly FS'!D39:O39)/1000</f>
        <v>0</v>
      </c>
      <c r="E40" s="115">
        <f>SUM('Monthly FS'!P39:AA39)/1000</f>
        <v>0</v>
      </c>
      <c r="F40" s="115">
        <f>SUM('Monthly FS'!AB39:AM39)/1000</f>
        <v>0</v>
      </c>
      <c r="G40" s="115">
        <f>SUM('Monthly FS'!AN39:AY39)/1000</f>
        <v>0</v>
      </c>
      <c r="H40" s="115">
        <f>SUM('Monthly FS'!AZ39:BK39)/1000</f>
        <v>0</v>
      </c>
      <c r="I40" s="115">
        <f>SUM('Monthly FS'!BL39:BW39)/1000</f>
        <v>0</v>
      </c>
      <c r="J40" s="115">
        <f>SUM('Monthly FS'!BX39:CI39)/1000</f>
        <v>0</v>
      </c>
      <c r="K40" s="115">
        <f>SUM('Monthly FS'!CJ39:CU39)/1000</f>
        <v>0</v>
      </c>
      <c r="L40" s="115">
        <f>SUM('Monthly FS'!CV39:DG39)/1000</f>
        <v>0</v>
      </c>
      <c r="M40" s="115">
        <f>SUM('Monthly FS'!DH39:DS39)/1000</f>
        <v>0</v>
      </c>
    </row>
    <row r="41" spans="2:21" ht="15.75" thickBot="1" x14ac:dyDescent="0.3">
      <c r="B41" s="97" t="s">
        <v>124</v>
      </c>
      <c r="C41" s="154"/>
      <c r="D41" s="117">
        <f>SUM('Monthly FS'!D40:O40)/1000</f>
        <v>0</v>
      </c>
      <c r="E41" s="117">
        <f>SUM('Monthly FS'!P40:AA40)/1000</f>
        <v>0</v>
      </c>
      <c r="F41" s="117">
        <f>SUM('Monthly FS'!AB40:AM40)/1000</f>
        <v>0</v>
      </c>
      <c r="G41" s="117">
        <f>SUM('Monthly FS'!AN40:AY40)/1000</f>
        <v>0</v>
      </c>
      <c r="H41" s="117">
        <f>SUM('Monthly FS'!AZ40:BK40)/1000</f>
        <v>0</v>
      </c>
      <c r="I41" s="117">
        <f>SUM('Monthly FS'!BL40:BW40)/1000</f>
        <v>0</v>
      </c>
      <c r="J41" s="117">
        <f>SUM('Monthly FS'!BX40:CI40)/1000</f>
        <v>0</v>
      </c>
      <c r="K41" s="117">
        <f>SUM('Monthly FS'!CJ40:CU40)/1000</f>
        <v>0</v>
      </c>
      <c r="L41" s="117">
        <f>SUM('Monthly FS'!CV40:DG40)/1000</f>
        <v>0</v>
      </c>
      <c r="M41" s="117">
        <f>SUM('Monthly FS'!DH40:DS40)/1000</f>
        <v>0</v>
      </c>
    </row>
    <row r="42" spans="2:21" ht="26.25" customHeight="1" thickBot="1" x14ac:dyDescent="0.35">
      <c r="B42" s="99" t="s">
        <v>120</v>
      </c>
      <c r="C42" s="153"/>
      <c r="D42" s="120">
        <f>SUM(D37:D41)</f>
        <v>0</v>
      </c>
      <c r="E42" s="120">
        <f>SUM(E37:E41)</f>
        <v>0</v>
      </c>
      <c r="F42" s="120">
        <f t="shared" ref="F42:M42" si="7">SUM(F37:F41)</f>
        <v>0</v>
      </c>
      <c r="G42" s="120">
        <f t="shared" si="7"/>
        <v>0</v>
      </c>
      <c r="H42" s="120">
        <f t="shared" si="7"/>
        <v>0</v>
      </c>
      <c r="I42" s="120">
        <f t="shared" si="7"/>
        <v>0</v>
      </c>
      <c r="J42" s="120">
        <f t="shared" si="7"/>
        <v>0</v>
      </c>
      <c r="K42" s="120">
        <f t="shared" si="7"/>
        <v>0</v>
      </c>
      <c r="L42" s="120">
        <f t="shared" si="7"/>
        <v>0</v>
      </c>
      <c r="M42" s="120">
        <f t="shared" si="7"/>
        <v>0</v>
      </c>
    </row>
    <row r="43" spans="2:21" ht="26.25" customHeight="1" x14ac:dyDescent="0.3">
      <c r="B43" s="91"/>
      <c r="C43" s="91"/>
      <c r="D43" s="279"/>
      <c r="E43" s="279"/>
      <c r="F43" s="259"/>
      <c r="G43" s="260"/>
      <c r="H43" s="260"/>
      <c r="I43" s="260"/>
      <c r="J43" s="260"/>
      <c r="K43" s="260"/>
      <c r="L43" s="260"/>
      <c r="M43" s="260"/>
    </row>
    <row r="44" spans="2:21" ht="26.25" customHeight="1" x14ac:dyDescent="0.3">
      <c r="B44" s="1411" t="s">
        <v>126</v>
      </c>
      <c r="C44" s="1412"/>
      <c r="D44" s="114">
        <f>D29+D34+D42</f>
        <v>-61858.505497516257</v>
      </c>
      <c r="E44" s="114">
        <f>E29+E34+E42</f>
        <v>-43172.750197622212</v>
      </c>
      <c r="F44" s="114">
        <f t="shared" ref="F44:M44" si="8">F29+F34+F42</f>
        <v>-68098.770085456927</v>
      </c>
      <c r="G44" s="114">
        <f t="shared" si="8"/>
        <v>6352.072088387994</v>
      </c>
      <c r="H44" s="114">
        <f t="shared" si="8"/>
        <v>43184.931801019411</v>
      </c>
      <c r="I44" s="114">
        <f t="shared" si="8"/>
        <v>43214.428973840026</v>
      </c>
      <c r="J44" s="114">
        <f t="shared" si="8"/>
        <v>35254.374145349124</v>
      </c>
      <c r="K44" s="114">
        <f t="shared" si="8"/>
        <v>34330.986415468884</v>
      </c>
      <c r="L44" s="114">
        <f t="shared" si="8"/>
        <v>38935.795163835013</v>
      </c>
      <c r="M44" s="114">
        <f t="shared" si="8"/>
        <v>39814.515121946104</v>
      </c>
      <c r="N44" s="394"/>
      <c r="O44" s="394"/>
      <c r="P44" s="394"/>
      <c r="Q44" s="394"/>
      <c r="R44" s="394"/>
      <c r="S44" s="394"/>
      <c r="T44" s="394"/>
      <c r="U44" s="394"/>
    </row>
    <row r="45" spans="2:21" ht="15" x14ac:dyDescent="0.25">
      <c r="B45" s="97" t="s">
        <v>127</v>
      </c>
      <c r="C45" s="93"/>
      <c r="D45" s="115">
        <v>0</v>
      </c>
      <c r="E45" s="115">
        <v>0</v>
      </c>
      <c r="F45" s="270">
        <f>E47</f>
        <v>-43172.750197622212</v>
      </c>
      <c r="G45" s="115">
        <f t="shared" ref="G45:M45" si="9">F47</f>
        <v>-111271.52028307914</v>
      </c>
      <c r="H45" s="115">
        <f t="shared" si="9"/>
        <v>-104919.44819469114</v>
      </c>
      <c r="I45" s="115">
        <f t="shared" si="9"/>
        <v>-61734.516393671729</v>
      </c>
      <c r="J45" s="115">
        <f t="shared" si="9"/>
        <v>-18520.087419831703</v>
      </c>
      <c r="K45" s="115">
        <f t="shared" si="9"/>
        <v>16734.286725517421</v>
      </c>
      <c r="L45" s="115">
        <f t="shared" si="9"/>
        <v>51065.273140986304</v>
      </c>
      <c r="M45" s="115">
        <f t="shared" si="9"/>
        <v>90001.068304821325</v>
      </c>
    </row>
    <row r="46" spans="2:21" ht="15.75" thickBot="1" x14ac:dyDescent="0.3">
      <c r="B46" s="97" t="s">
        <v>129</v>
      </c>
      <c r="C46" s="93"/>
      <c r="D46" s="117">
        <v>0</v>
      </c>
      <c r="E46" s="117">
        <v>0</v>
      </c>
      <c r="F46" s="117">
        <v>0</v>
      </c>
      <c r="G46" s="117">
        <v>0</v>
      </c>
      <c r="H46" s="117">
        <v>0</v>
      </c>
      <c r="I46" s="117">
        <v>0</v>
      </c>
      <c r="J46" s="117">
        <v>0</v>
      </c>
      <c r="K46" s="117">
        <v>0</v>
      </c>
      <c r="L46" s="117">
        <v>0</v>
      </c>
      <c r="M46" s="117">
        <v>0</v>
      </c>
    </row>
    <row r="47" spans="2:21" ht="26.25" customHeight="1" thickBot="1" x14ac:dyDescent="0.35">
      <c r="B47" s="1413" t="s">
        <v>128</v>
      </c>
      <c r="C47" s="1414"/>
      <c r="D47" s="120">
        <f>SUM(D44:D46)</f>
        <v>-61858.505497516257</v>
      </c>
      <c r="E47" s="120">
        <f>SUM(E44:E46)</f>
        <v>-43172.750197622212</v>
      </c>
      <c r="F47" s="120">
        <f t="shared" ref="F47:M47" si="10">SUM(F44:F46)</f>
        <v>-111271.52028307914</v>
      </c>
      <c r="G47" s="120">
        <f t="shared" si="10"/>
        <v>-104919.44819469114</v>
      </c>
      <c r="H47" s="120">
        <f t="shared" si="10"/>
        <v>-61734.516393671729</v>
      </c>
      <c r="I47" s="120">
        <f t="shared" si="10"/>
        <v>-18520.087419831703</v>
      </c>
      <c r="J47" s="120">
        <f t="shared" si="10"/>
        <v>16734.286725517421</v>
      </c>
      <c r="K47" s="120">
        <f t="shared" si="10"/>
        <v>51065.273140986304</v>
      </c>
      <c r="L47" s="120">
        <f t="shared" si="10"/>
        <v>90001.068304821325</v>
      </c>
      <c r="M47" s="120">
        <f t="shared" si="10"/>
        <v>129815.58342676744</v>
      </c>
    </row>
    <row r="48" spans="2:21" ht="4.5" customHeight="1" x14ac:dyDescent="0.3">
      <c r="B48" s="261"/>
      <c r="C48" s="261"/>
      <c r="D48" s="261"/>
      <c r="E48" s="262"/>
      <c r="F48" s="262"/>
      <c r="G48" s="262"/>
      <c r="H48" s="262"/>
      <c r="I48" s="262"/>
      <c r="J48" s="262"/>
      <c r="K48" s="262"/>
      <c r="L48" s="262"/>
      <c r="M48" s="262"/>
    </row>
    <row r="49" spans="2:13" ht="21" customHeight="1" x14ac:dyDescent="0.3">
      <c r="B49" s="261"/>
      <c r="C49" s="261"/>
      <c r="D49" s="261"/>
      <c r="E49" s="262"/>
      <c r="F49" s="262"/>
      <c r="G49" s="262"/>
      <c r="H49" s="262"/>
      <c r="J49" s="262"/>
      <c r="K49" s="262"/>
      <c r="L49" s="262"/>
      <c r="M49" s="262"/>
    </row>
    <row r="50" spans="2:13" ht="33" x14ac:dyDescent="0.3">
      <c r="B50" s="1407" t="s">
        <v>276</v>
      </c>
      <c r="C50" s="1407"/>
      <c r="D50" s="510"/>
      <c r="G50" s="269"/>
    </row>
    <row r="51" spans="2:13" ht="16.5" customHeight="1" x14ac:dyDescent="0.3">
      <c r="B51" s="1407"/>
      <c r="C51" s="1407"/>
      <c r="D51" s="510"/>
    </row>
    <row r="52" spans="2:13" ht="16.5" customHeight="1" x14ac:dyDescent="0.3">
      <c r="B52" s="1411" t="s">
        <v>277</v>
      </c>
      <c r="C52" s="1412"/>
      <c r="D52" s="399"/>
      <c r="E52" s="262"/>
      <c r="F52" s="91"/>
    </row>
    <row r="53" spans="2:13" x14ac:dyDescent="0.3">
      <c r="B53" s="309" t="s">
        <v>278</v>
      </c>
      <c r="C53" s="398">
        <f>WACC!F30</f>
        <v>0.14909800000000001</v>
      </c>
      <c r="D53" s="54"/>
      <c r="E53" s="91"/>
      <c r="F53" s="91"/>
    </row>
    <row r="54" spans="2:13" x14ac:dyDescent="0.3">
      <c r="B54" s="400" t="s">
        <v>352</v>
      </c>
      <c r="C54" s="398">
        <f>IRR(E44:M44,0.1)</f>
        <v>0.18872889460626974</v>
      </c>
      <c r="D54" s="54"/>
      <c r="E54" s="91"/>
      <c r="F54" s="91"/>
    </row>
    <row r="55" spans="2:13" x14ac:dyDescent="0.3">
      <c r="B55" s="309" t="s">
        <v>279</v>
      </c>
      <c r="C55" s="116">
        <f>MIN('Monthly FS'!P46:DS46)/1000</f>
        <v>-207995.44517394929</v>
      </c>
      <c r="D55" s="54"/>
      <c r="E55" s="91"/>
      <c r="F55" s="91"/>
    </row>
    <row r="56" spans="2:13" x14ac:dyDescent="0.3">
      <c r="B56" s="493" t="s">
        <v>378</v>
      </c>
      <c r="C56" s="116">
        <f>NPV(C53/12,'Monthly FS'!P43:DS43)/1000</f>
        <v>7426.0580705823722</v>
      </c>
      <c r="D56" s="91"/>
      <c r="E56" s="91"/>
      <c r="F56" s="91"/>
    </row>
  </sheetData>
  <mergeCells count="8">
    <mergeCell ref="D4:M4"/>
    <mergeCell ref="B52:C52"/>
    <mergeCell ref="B2:C4"/>
    <mergeCell ref="B21:C23"/>
    <mergeCell ref="B47:C47"/>
    <mergeCell ref="B44:C44"/>
    <mergeCell ref="B29:C29"/>
    <mergeCell ref="B50:C51"/>
  </mergeCells>
  <pageMargins left="0.25" right="0.25" top="0.75" bottom="0.75" header="0.3" footer="0.3"/>
  <pageSetup paperSize="8" scale="67" orientation="landscape" r:id="rId1"/>
  <ignoredErrors>
    <ignoredError sqref="D39:M39" formulaRange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9"/>
  <sheetViews>
    <sheetView workbookViewId="0">
      <selection activeCell="D27" sqref="D27"/>
    </sheetView>
  </sheetViews>
  <sheetFormatPr defaultColWidth="9.140625" defaultRowHeight="15" x14ac:dyDescent="0.25"/>
  <cols>
    <col min="1" max="1" width="9.140625" style="1059"/>
    <col min="2" max="2" width="84.85546875" customWidth="1"/>
    <col min="3" max="3" width="6.7109375" customWidth="1"/>
    <col min="4" max="4" width="13.5703125" customWidth="1"/>
    <col min="5" max="5" width="16.42578125" style="1001" customWidth="1"/>
    <col min="6" max="6" width="20.28515625" style="1001" bestFit="1" customWidth="1"/>
  </cols>
  <sheetData>
    <row r="1" spans="1:6" x14ac:dyDescent="0.25">
      <c r="A1" s="992" t="s">
        <v>791</v>
      </c>
      <c r="B1" s="991" t="s">
        <v>792</v>
      </c>
      <c r="C1" s="992" t="s">
        <v>793</v>
      </c>
      <c r="D1" s="993" t="s">
        <v>1159</v>
      </c>
      <c r="E1" s="1011" t="s">
        <v>205</v>
      </c>
      <c r="F1" s="1012" t="s">
        <v>795</v>
      </c>
    </row>
    <row r="2" spans="1:6" x14ac:dyDescent="0.25">
      <c r="A2" s="1055"/>
      <c r="C2" s="974"/>
      <c r="D2" s="974"/>
      <c r="F2" s="996"/>
    </row>
    <row r="3" spans="1:6" x14ac:dyDescent="0.25">
      <c r="A3" s="971" t="s">
        <v>1188</v>
      </c>
      <c r="B3" s="1013" t="s">
        <v>1189</v>
      </c>
      <c r="C3" s="974"/>
      <c r="D3" s="974"/>
      <c r="F3" s="996"/>
    </row>
    <row r="4" spans="1:6" x14ac:dyDescent="0.25">
      <c r="A4" s="972">
        <v>10.1</v>
      </c>
      <c r="B4" s="657" t="s">
        <v>1190</v>
      </c>
      <c r="C4" s="974"/>
      <c r="D4" s="974"/>
      <c r="F4" s="996"/>
    </row>
    <row r="5" spans="1:6" x14ac:dyDescent="0.25">
      <c r="A5" s="1055" t="s">
        <v>1191</v>
      </c>
      <c r="B5" s="1056" t="s">
        <v>1192</v>
      </c>
      <c r="C5" s="974" t="s">
        <v>541</v>
      </c>
      <c r="D5" s="1061">
        <v>0.05</v>
      </c>
      <c r="E5" s="1001">
        <f>SUM('Capex Summary Sheet'!F5:F14)</f>
        <v>107227603.31258234</v>
      </c>
      <c r="F5" s="996">
        <f>D5*E5</f>
        <v>5361380.1656291177</v>
      </c>
    </row>
    <row r="6" spans="1:6" x14ac:dyDescent="0.25">
      <c r="A6" s="1055" t="s">
        <v>1193</v>
      </c>
      <c r="B6" t="s">
        <v>1194</v>
      </c>
      <c r="C6" s="974" t="s">
        <v>813</v>
      </c>
      <c r="D6" s="974">
        <v>0</v>
      </c>
      <c r="E6" s="1001">
        <v>0</v>
      </c>
      <c r="F6" s="996">
        <f>D6*E6</f>
        <v>0</v>
      </c>
    </row>
    <row r="7" spans="1:6" x14ac:dyDescent="0.25">
      <c r="A7" s="1055"/>
      <c r="C7" s="974"/>
      <c r="D7" s="974"/>
      <c r="F7" s="996"/>
    </row>
    <row r="8" spans="1:6" ht="15.75" thickBot="1" x14ac:dyDescent="0.3">
      <c r="A8" s="1060"/>
      <c r="B8" s="984" t="s">
        <v>818</v>
      </c>
      <c r="C8" s="985"/>
      <c r="D8" s="985"/>
      <c r="E8" s="986"/>
      <c r="F8" s="1021">
        <f>SUM(F5:F7)</f>
        <v>5361380.1656291177</v>
      </c>
    </row>
    <row r="9" spans="1:6" ht="15.75" thickTop="1" x14ac:dyDescent="0.2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ED46"/>
  <sheetViews>
    <sheetView zoomScale="110" zoomScaleNormal="110" zoomScalePageLayoutView="85" workbookViewId="0">
      <pane xSplit="2" ySplit="4" topLeftCell="DK24" activePane="bottomRight" state="frozen"/>
      <selection pane="topRight" activeCell="C1" sqref="C1"/>
      <selection pane="bottomLeft" activeCell="A5" sqref="A5"/>
      <selection pane="bottomRight" activeCell="AQ46" sqref="AQ46"/>
    </sheetView>
  </sheetViews>
  <sheetFormatPr defaultColWidth="8.85546875" defaultRowHeight="12.75" x14ac:dyDescent="0.2"/>
  <cols>
    <col min="1" max="1" width="19.42578125" style="2" customWidth="1"/>
    <col min="2" max="2" width="31.85546875" style="2" customWidth="1"/>
    <col min="3" max="3" width="1.28515625" style="2" customWidth="1"/>
    <col min="4" max="26" width="11.7109375" style="2" customWidth="1"/>
    <col min="27" max="30" width="12.5703125" style="2" bestFit="1" customWidth="1"/>
    <col min="31" max="31" width="11.7109375" style="2" customWidth="1"/>
    <col min="32" max="32" width="12.5703125" style="2" bestFit="1" customWidth="1"/>
    <col min="33" max="124" width="11.7109375" style="2" customWidth="1"/>
    <col min="125" max="16384" width="8.85546875" style="2"/>
  </cols>
  <sheetData>
    <row r="1" spans="1:124" ht="17.25" customHeight="1" x14ac:dyDescent="0.2">
      <c r="A1" s="1417" t="s">
        <v>153</v>
      </c>
      <c r="B1" s="1417"/>
      <c r="C1" s="103"/>
      <c r="D1" s="736"/>
      <c r="E1" s="736"/>
      <c r="F1" s="736"/>
      <c r="G1" s="736"/>
      <c r="H1" s="736"/>
      <c r="I1" s="736"/>
      <c r="J1" s="736"/>
      <c r="K1" s="736"/>
      <c r="L1" s="736"/>
      <c r="M1" s="736"/>
      <c r="N1" s="736"/>
      <c r="O1" s="737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500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500"/>
      <c r="AN1" s="788"/>
      <c r="AO1" s="3"/>
      <c r="AP1" s="3"/>
      <c r="AQ1" s="3"/>
      <c r="AR1" s="3"/>
      <c r="AS1" s="3"/>
      <c r="AT1" s="3"/>
      <c r="AU1" s="3"/>
      <c r="AV1" s="3"/>
      <c r="AW1" s="3"/>
      <c r="AX1" s="3"/>
      <c r="AY1" s="500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500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500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500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500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500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500"/>
    </row>
    <row r="2" spans="1:124" ht="39" customHeight="1" x14ac:dyDescent="0.2">
      <c r="A2" s="1417"/>
      <c r="B2" s="1417"/>
      <c r="C2" s="103"/>
      <c r="D2" s="1125"/>
      <c r="E2" s="1126"/>
      <c r="F2" s="1125"/>
      <c r="G2" s="1125"/>
      <c r="H2" s="1125"/>
      <c r="I2" s="1125"/>
      <c r="J2" s="1125"/>
      <c r="K2" s="1125"/>
      <c r="L2" s="1125"/>
      <c r="M2" s="1125"/>
      <c r="N2" s="1125"/>
      <c r="O2" s="1127"/>
      <c r="P2" s="1"/>
      <c r="Q2" s="18"/>
      <c r="R2" s="1"/>
      <c r="S2" s="1"/>
      <c r="T2" s="1"/>
      <c r="U2" s="1"/>
      <c r="V2" s="1"/>
      <c r="W2" s="1"/>
      <c r="X2" s="1"/>
      <c r="Y2" s="1"/>
      <c r="Z2" s="1"/>
      <c r="AA2" s="724"/>
      <c r="AB2" s="1"/>
      <c r="AC2" s="1"/>
      <c r="AD2" s="1"/>
      <c r="AE2" s="1"/>
      <c r="AF2" s="1"/>
      <c r="AG2" s="1"/>
      <c r="AH2" s="1"/>
      <c r="AI2" s="1"/>
      <c r="AJ2" s="1" t="s">
        <v>55</v>
      </c>
      <c r="AK2" s="1"/>
      <c r="AL2" s="1"/>
      <c r="AM2" s="724"/>
      <c r="AN2" s="1159"/>
      <c r="AO2" s="1"/>
      <c r="AP2" s="1"/>
      <c r="AQ2" s="1"/>
      <c r="AR2" s="1"/>
      <c r="AS2" s="1"/>
      <c r="AT2" s="1"/>
      <c r="AU2" s="1"/>
      <c r="AV2" s="1"/>
      <c r="AW2" s="1"/>
      <c r="AX2" s="1"/>
      <c r="AY2" s="724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724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724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724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724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724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724"/>
    </row>
    <row r="3" spans="1:124" ht="18.75" customHeight="1" x14ac:dyDescent="0.2">
      <c r="A3" s="1417"/>
      <c r="B3" s="1417"/>
      <c r="C3" s="103"/>
      <c r="D3" s="1420" t="s">
        <v>507</v>
      </c>
      <c r="E3" s="1420"/>
      <c r="F3" s="1420"/>
      <c r="G3" s="1420"/>
      <c r="H3" s="1420"/>
      <c r="I3" s="1420"/>
      <c r="J3" s="1420"/>
      <c r="K3" s="1420"/>
      <c r="L3" s="1420"/>
      <c r="M3" s="1420"/>
      <c r="N3" s="1420"/>
      <c r="O3" s="1421"/>
      <c r="P3" s="1415" t="s">
        <v>508</v>
      </c>
      <c r="Q3" s="1415"/>
      <c r="R3" s="1415"/>
      <c r="S3" s="1415"/>
      <c r="T3" s="1415"/>
      <c r="U3" s="1415"/>
      <c r="V3" s="1415"/>
      <c r="W3" s="1415"/>
      <c r="X3" s="1415"/>
      <c r="Y3" s="1415"/>
      <c r="Z3" s="1415"/>
      <c r="AA3" s="1416"/>
      <c r="AB3" s="1415" t="s">
        <v>509</v>
      </c>
      <c r="AC3" s="1415"/>
      <c r="AD3" s="1415"/>
      <c r="AE3" s="1415"/>
      <c r="AF3" s="1415"/>
      <c r="AG3" s="1415"/>
      <c r="AH3" s="1415"/>
      <c r="AI3" s="1415"/>
      <c r="AJ3" s="1415"/>
      <c r="AK3" s="1415"/>
      <c r="AL3" s="1415"/>
      <c r="AM3" s="1416"/>
      <c r="AN3" s="1418" t="s">
        <v>510</v>
      </c>
      <c r="AO3" s="1415"/>
      <c r="AP3" s="1415"/>
      <c r="AQ3" s="1415"/>
      <c r="AR3" s="1415"/>
      <c r="AS3" s="1415"/>
      <c r="AT3" s="1415"/>
      <c r="AU3" s="1415"/>
      <c r="AV3" s="1415"/>
      <c r="AW3" s="1415"/>
      <c r="AX3" s="1415"/>
      <c r="AY3" s="1416"/>
      <c r="AZ3" s="1415" t="s">
        <v>511</v>
      </c>
      <c r="BA3" s="1415"/>
      <c r="BB3" s="1415"/>
      <c r="BC3" s="1415"/>
      <c r="BD3" s="1415"/>
      <c r="BE3" s="1415"/>
      <c r="BF3" s="1415"/>
      <c r="BG3" s="1415"/>
      <c r="BH3" s="1415"/>
      <c r="BI3" s="1415"/>
      <c r="BJ3" s="1415"/>
      <c r="BK3" s="1416"/>
      <c r="BL3" s="1415" t="s">
        <v>512</v>
      </c>
      <c r="BM3" s="1415"/>
      <c r="BN3" s="1415"/>
      <c r="BO3" s="1415"/>
      <c r="BP3" s="1415"/>
      <c r="BQ3" s="1415"/>
      <c r="BR3" s="1415"/>
      <c r="BS3" s="1415"/>
      <c r="BT3" s="1415"/>
      <c r="BU3" s="1415"/>
      <c r="BV3" s="1415"/>
      <c r="BW3" s="1416"/>
      <c r="BX3" s="1415" t="s">
        <v>513</v>
      </c>
      <c r="BY3" s="1415"/>
      <c r="BZ3" s="1415"/>
      <c r="CA3" s="1415"/>
      <c r="CB3" s="1415"/>
      <c r="CC3" s="1415"/>
      <c r="CD3" s="1415"/>
      <c r="CE3" s="1415"/>
      <c r="CF3" s="1415"/>
      <c r="CG3" s="1415"/>
      <c r="CH3" s="1415"/>
      <c r="CI3" s="1416"/>
      <c r="CJ3" s="1415" t="s">
        <v>514</v>
      </c>
      <c r="CK3" s="1415"/>
      <c r="CL3" s="1415"/>
      <c r="CM3" s="1415"/>
      <c r="CN3" s="1415"/>
      <c r="CO3" s="1415"/>
      <c r="CP3" s="1415"/>
      <c r="CQ3" s="1415"/>
      <c r="CR3" s="1415"/>
      <c r="CS3" s="1415"/>
      <c r="CT3" s="1415"/>
      <c r="CU3" s="1416"/>
      <c r="CV3" s="1415" t="s">
        <v>515</v>
      </c>
      <c r="CW3" s="1415"/>
      <c r="CX3" s="1415"/>
      <c r="CY3" s="1415"/>
      <c r="CZ3" s="1415"/>
      <c r="DA3" s="1415"/>
      <c r="DB3" s="1415"/>
      <c r="DC3" s="1415"/>
      <c r="DD3" s="1415"/>
      <c r="DE3" s="1415"/>
      <c r="DF3" s="1415"/>
      <c r="DG3" s="1416"/>
      <c r="DH3" s="1415" t="s">
        <v>516</v>
      </c>
      <c r="DI3" s="1415"/>
      <c r="DJ3" s="1415"/>
      <c r="DK3" s="1415"/>
      <c r="DL3" s="1415"/>
      <c r="DM3" s="1415"/>
      <c r="DN3" s="1415"/>
      <c r="DO3" s="1415"/>
      <c r="DP3" s="1415"/>
      <c r="DQ3" s="1415"/>
      <c r="DR3" s="1415"/>
      <c r="DS3" s="1416"/>
    </row>
    <row r="4" spans="1:124" ht="12.75" customHeight="1" x14ac:dyDescent="0.25">
      <c r="A4" s="1417"/>
      <c r="B4" s="1417"/>
      <c r="C4" s="7"/>
      <c r="D4" s="484" t="s">
        <v>175</v>
      </c>
      <c r="E4" s="484" t="s">
        <v>176</v>
      </c>
      <c r="F4" s="484" t="s">
        <v>177</v>
      </c>
      <c r="G4" s="484" t="s">
        <v>178</v>
      </c>
      <c r="H4" s="484" t="s">
        <v>167</v>
      </c>
      <c r="I4" s="484" t="s">
        <v>168</v>
      </c>
      <c r="J4" s="484" t="s">
        <v>169</v>
      </c>
      <c r="K4" s="484" t="s">
        <v>170</v>
      </c>
      <c r="L4" s="484" t="s">
        <v>171</v>
      </c>
      <c r="M4" s="484" t="s">
        <v>172</v>
      </c>
      <c r="N4" s="484" t="s">
        <v>173</v>
      </c>
      <c r="O4" s="694" t="s">
        <v>174</v>
      </c>
      <c r="P4" s="272" t="s">
        <v>175</v>
      </c>
      <c r="Q4" s="272" t="s">
        <v>176</v>
      </c>
      <c r="R4" s="272" t="s">
        <v>177</v>
      </c>
      <c r="S4" s="272" t="s">
        <v>178</v>
      </c>
      <c r="T4" s="272" t="s">
        <v>167</v>
      </c>
      <c r="U4" s="272" t="s">
        <v>168</v>
      </c>
      <c r="V4" s="272" t="s">
        <v>169</v>
      </c>
      <c r="W4" s="272" t="s">
        <v>170</v>
      </c>
      <c r="X4" s="272" t="s">
        <v>171</v>
      </c>
      <c r="Y4" s="272" t="s">
        <v>172</v>
      </c>
      <c r="Z4" s="272" t="s">
        <v>173</v>
      </c>
      <c r="AA4" s="603" t="s">
        <v>174</v>
      </c>
      <c r="AB4" s="272" t="s">
        <v>175</v>
      </c>
      <c r="AC4" s="272" t="s">
        <v>176</v>
      </c>
      <c r="AD4" s="272" t="s">
        <v>177</v>
      </c>
      <c r="AE4" s="272" t="s">
        <v>178</v>
      </c>
      <c r="AF4" s="272" t="s">
        <v>167</v>
      </c>
      <c r="AG4" s="272" t="s">
        <v>168</v>
      </c>
      <c r="AH4" s="272" t="s">
        <v>169</v>
      </c>
      <c r="AI4" s="272" t="s">
        <v>170</v>
      </c>
      <c r="AJ4" s="272" t="s">
        <v>171</v>
      </c>
      <c r="AK4" s="272" t="s">
        <v>172</v>
      </c>
      <c r="AL4" s="272" t="s">
        <v>173</v>
      </c>
      <c r="AM4" s="603" t="s">
        <v>174</v>
      </c>
      <c r="AN4" s="541" t="s">
        <v>175</v>
      </c>
      <c r="AO4" s="272" t="s">
        <v>176</v>
      </c>
      <c r="AP4" s="272" t="s">
        <v>177</v>
      </c>
      <c r="AQ4" s="272" t="s">
        <v>178</v>
      </c>
      <c r="AR4" s="272" t="s">
        <v>167</v>
      </c>
      <c r="AS4" s="272" t="s">
        <v>168</v>
      </c>
      <c r="AT4" s="272" t="s">
        <v>169</v>
      </c>
      <c r="AU4" s="272" t="s">
        <v>170</v>
      </c>
      <c r="AV4" s="272" t="s">
        <v>171</v>
      </c>
      <c r="AW4" s="272" t="s">
        <v>172</v>
      </c>
      <c r="AX4" s="272" t="s">
        <v>173</v>
      </c>
      <c r="AY4" s="603" t="s">
        <v>174</v>
      </c>
      <c r="AZ4" s="272" t="s">
        <v>175</v>
      </c>
      <c r="BA4" s="272" t="s">
        <v>176</v>
      </c>
      <c r="BB4" s="272" t="s">
        <v>177</v>
      </c>
      <c r="BC4" s="272" t="s">
        <v>178</v>
      </c>
      <c r="BD4" s="272" t="s">
        <v>167</v>
      </c>
      <c r="BE4" s="272" t="s">
        <v>168</v>
      </c>
      <c r="BF4" s="272" t="s">
        <v>169</v>
      </c>
      <c r="BG4" s="272" t="s">
        <v>170</v>
      </c>
      <c r="BH4" s="272" t="s">
        <v>171</v>
      </c>
      <c r="BI4" s="272" t="s">
        <v>172</v>
      </c>
      <c r="BJ4" s="272" t="s">
        <v>173</v>
      </c>
      <c r="BK4" s="603" t="s">
        <v>174</v>
      </c>
      <c r="BL4" s="272" t="s">
        <v>175</v>
      </c>
      <c r="BM4" s="272" t="s">
        <v>176</v>
      </c>
      <c r="BN4" s="272" t="s">
        <v>177</v>
      </c>
      <c r="BO4" s="272" t="s">
        <v>178</v>
      </c>
      <c r="BP4" s="272" t="s">
        <v>167</v>
      </c>
      <c r="BQ4" s="272" t="s">
        <v>168</v>
      </c>
      <c r="BR4" s="272" t="s">
        <v>169</v>
      </c>
      <c r="BS4" s="272" t="s">
        <v>170</v>
      </c>
      <c r="BT4" s="272" t="s">
        <v>171</v>
      </c>
      <c r="BU4" s="272" t="s">
        <v>172</v>
      </c>
      <c r="BV4" s="272" t="s">
        <v>173</v>
      </c>
      <c r="BW4" s="603" t="s">
        <v>174</v>
      </c>
      <c r="BX4" s="272" t="s">
        <v>175</v>
      </c>
      <c r="BY4" s="272" t="s">
        <v>176</v>
      </c>
      <c r="BZ4" s="272" t="s">
        <v>177</v>
      </c>
      <c r="CA4" s="272" t="s">
        <v>178</v>
      </c>
      <c r="CB4" s="272" t="s">
        <v>167</v>
      </c>
      <c r="CC4" s="272" t="s">
        <v>168</v>
      </c>
      <c r="CD4" s="272" t="s">
        <v>169</v>
      </c>
      <c r="CE4" s="272" t="s">
        <v>170</v>
      </c>
      <c r="CF4" s="272" t="s">
        <v>171</v>
      </c>
      <c r="CG4" s="272" t="s">
        <v>172</v>
      </c>
      <c r="CH4" s="272" t="s">
        <v>173</v>
      </c>
      <c r="CI4" s="603" t="s">
        <v>174</v>
      </c>
      <c r="CJ4" s="272" t="s">
        <v>175</v>
      </c>
      <c r="CK4" s="272" t="s">
        <v>176</v>
      </c>
      <c r="CL4" s="272" t="s">
        <v>177</v>
      </c>
      <c r="CM4" s="272" t="s">
        <v>178</v>
      </c>
      <c r="CN4" s="272" t="s">
        <v>167</v>
      </c>
      <c r="CO4" s="272" t="s">
        <v>168</v>
      </c>
      <c r="CP4" s="272" t="s">
        <v>169</v>
      </c>
      <c r="CQ4" s="272" t="s">
        <v>170</v>
      </c>
      <c r="CR4" s="272" t="s">
        <v>171</v>
      </c>
      <c r="CS4" s="272" t="s">
        <v>172</v>
      </c>
      <c r="CT4" s="272" t="s">
        <v>173</v>
      </c>
      <c r="CU4" s="603" t="s">
        <v>174</v>
      </c>
      <c r="CV4" s="272" t="s">
        <v>175</v>
      </c>
      <c r="CW4" s="272" t="s">
        <v>176</v>
      </c>
      <c r="CX4" s="272" t="s">
        <v>177</v>
      </c>
      <c r="CY4" s="272" t="s">
        <v>178</v>
      </c>
      <c r="CZ4" s="272" t="s">
        <v>167</v>
      </c>
      <c r="DA4" s="272" t="s">
        <v>168</v>
      </c>
      <c r="DB4" s="272" t="s">
        <v>169</v>
      </c>
      <c r="DC4" s="272" t="s">
        <v>170</v>
      </c>
      <c r="DD4" s="272" t="s">
        <v>171</v>
      </c>
      <c r="DE4" s="272" t="s">
        <v>172</v>
      </c>
      <c r="DF4" s="272" t="s">
        <v>173</v>
      </c>
      <c r="DG4" s="603" t="s">
        <v>174</v>
      </c>
      <c r="DH4" s="272" t="s">
        <v>175</v>
      </c>
      <c r="DI4" s="272" t="s">
        <v>176</v>
      </c>
      <c r="DJ4" s="272" t="s">
        <v>177</v>
      </c>
      <c r="DK4" s="272" t="s">
        <v>178</v>
      </c>
      <c r="DL4" s="272" t="s">
        <v>167</v>
      </c>
      <c r="DM4" s="272" t="s">
        <v>168</v>
      </c>
      <c r="DN4" s="272" t="s">
        <v>169</v>
      </c>
      <c r="DO4" s="272" t="s">
        <v>170</v>
      </c>
      <c r="DP4" s="272" t="s">
        <v>171</v>
      </c>
      <c r="DQ4" s="272" t="s">
        <v>172</v>
      </c>
      <c r="DR4" s="272" t="s">
        <v>173</v>
      </c>
      <c r="DS4" s="603" t="s">
        <v>174</v>
      </c>
    </row>
    <row r="5" spans="1:124" ht="12.75" customHeight="1" x14ac:dyDescent="0.2">
      <c r="A5" s="248"/>
      <c r="B5" s="248"/>
      <c r="C5" s="7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799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799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799"/>
      <c r="AN5" s="1160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799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799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799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799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799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799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799"/>
    </row>
    <row r="6" spans="1:124" ht="15.75" customHeight="1" x14ac:dyDescent="0.2">
      <c r="A6" s="1419" t="s">
        <v>130</v>
      </c>
      <c r="B6" s="1419"/>
      <c r="C6" s="7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799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799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799"/>
      <c r="AN6" s="1160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799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799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799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799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799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799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799"/>
    </row>
    <row r="7" spans="1:124" ht="15.75" customHeight="1" x14ac:dyDescent="0.2">
      <c r="A7" s="1419"/>
      <c r="B7" s="1419"/>
      <c r="C7" s="75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76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76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76"/>
      <c r="AN7" s="116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76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76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76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76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76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76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76"/>
    </row>
    <row r="8" spans="1:124" ht="22.5" customHeight="1" x14ac:dyDescent="0.3">
      <c r="A8" s="1411" t="s">
        <v>101</v>
      </c>
      <c r="B8" s="1411"/>
      <c r="C8" s="105"/>
      <c r="D8" s="1128">
        <f>SUM('1.Revenue'!E31:E33)</f>
        <v>0</v>
      </c>
      <c r="E8" s="1128">
        <f>SUM('1.Revenue'!F31:F33)</f>
        <v>0</v>
      </c>
      <c r="F8" s="1128">
        <f>SUM('1.Revenue'!G31:G33)</f>
        <v>0</v>
      </c>
      <c r="G8" s="1128">
        <f>SUM('1.Revenue'!H31:H33)</f>
        <v>0</v>
      </c>
      <c r="H8" s="1128">
        <f>SUM('1.Revenue'!I31:I33)</f>
        <v>0</v>
      </c>
      <c r="I8" s="1128">
        <f>SUM('1.Revenue'!J31:J33)</f>
        <v>0</v>
      </c>
      <c r="J8" s="1128">
        <f>SUM('1.Revenue'!K31:K33)</f>
        <v>0</v>
      </c>
      <c r="K8" s="1128">
        <f>SUM('1.Revenue'!L31:L33)</f>
        <v>0</v>
      </c>
      <c r="L8" s="1128">
        <f>SUM('1.Revenue'!M31:M33)</f>
        <v>0</v>
      </c>
      <c r="M8" s="1128">
        <f>SUM('1.Revenue'!N31:N33)</f>
        <v>0</v>
      </c>
      <c r="N8" s="1128">
        <f>SUM('1.Revenue'!O31:O33)</f>
        <v>0</v>
      </c>
      <c r="O8" s="1129">
        <f>SUM('1.Revenue'!P31:P33)</f>
        <v>0</v>
      </c>
      <c r="P8" s="297">
        <f>SUM('1.Revenue'!Q31:Q33)</f>
        <v>0</v>
      </c>
      <c r="Q8" s="298">
        <f>SUM('1.Revenue'!R31:R33)</f>
        <v>0</v>
      </c>
      <c r="R8" s="298">
        <f>SUM('1.Revenue'!S31:S33)</f>
        <v>0</v>
      </c>
      <c r="S8" s="298">
        <f>SUM('1.Revenue'!T31:T33)</f>
        <v>0</v>
      </c>
      <c r="T8" s="298">
        <f>SUM('1.Revenue'!U31:U33)</f>
        <v>0</v>
      </c>
      <c r="U8" s="298">
        <f>SUM('1.Revenue'!V31:V33)</f>
        <v>0</v>
      </c>
      <c r="V8" s="298">
        <f>SUM('1.Revenue'!W31:W33)</f>
        <v>0</v>
      </c>
      <c r="W8" s="298">
        <f>SUM('1.Revenue'!X31:X33)</f>
        <v>0</v>
      </c>
      <c r="X8" s="298">
        <f>SUM('1.Revenue'!Y31:Y33)</f>
        <v>0</v>
      </c>
      <c r="Y8" s="298">
        <f>SUM('1.Revenue'!Z31:Z33)</f>
        <v>0</v>
      </c>
      <c r="Z8" s="298">
        <f>SUM('1.Revenue'!AA31:AA33)</f>
        <v>0</v>
      </c>
      <c r="AA8" s="208">
        <f>SUM('1.Revenue'!AB31:AB33)</f>
        <v>0</v>
      </c>
      <c r="AB8" s="297">
        <f>SUM('1.Revenue'!AC31:AC33)</f>
        <v>0</v>
      </c>
      <c r="AC8" s="298">
        <f>SUM('1.Revenue'!AD31:AD33)</f>
        <v>0</v>
      </c>
      <c r="AD8" s="298">
        <f>SUM('1.Revenue'!AE31:AE33)</f>
        <v>0</v>
      </c>
      <c r="AE8" s="298">
        <f>SUM('1.Revenue'!AF31:AF33)</f>
        <v>0</v>
      </c>
      <c r="AF8" s="298">
        <f>SUM('1.Revenue'!AG31:AG33)</f>
        <v>0</v>
      </c>
      <c r="AG8" s="298">
        <f>SUM('1.Revenue'!AH31:AH33)</f>
        <v>0</v>
      </c>
      <c r="AH8" s="298">
        <f>SUM('1.Revenue'!AI31:AI33)</f>
        <v>0</v>
      </c>
      <c r="AI8" s="298">
        <f>SUM('1.Revenue'!AJ31:AJ33)</f>
        <v>0</v>
      </c>
      <c r="AJ8" s="298">
        <f>SUM('1.Revenue'!AK31:AK33)</f>
        <v>0</v>
      </c>
      <c r="AK8" s="298">
        <f>SUM('1.Revenue'!AL31:AL33)</f>
        <v>0</v>
      </c>
      <c r="AL8" s="298">
        <f>SUM('1.Revenue'!AM31:AM33)</f>
        <v>0</v>
      </c>
      <c r="AM8" s="208">
        <f>SUM('1.Revenue'!AN31:AN33)</f>
        <v>0</v>
      </c>
      <c r="AN8" s="1162">
        <f>SUM('1.Revenue'!AO31:AO33)</f>
        <v>0</v>
      </c>
      <c r="AO8" s="298">
        <f>SUM('1.Revenue'!AP31:AP33)</f>
        <v>0</v>
      </c>
      <c r="AP8" s="298">
        <f>SUM('1.Revenue'!AQ31:AQ33)</f>
        <v>4237682.0618159985</v>
      </c>
      <c r="AQ8" s="298">
        <f>SUM('1.Revenue'!AR31:AR33)</f>
        <v>6356523.0927239973</v>
      </c>
      <c r="AR8" s="298">
        <f>SUM('1.Revenue'!AS31:AS33)</f>
        <v>16950728.247263994</v>
      </c>
      <c r="AS8" s="298">
        <f>SUM('1.Revenue'!AT31:AT33)</f>
        <v>25426092.370895989</v>
      </c>
      <c r="AT8" s="298">
        <f>SUM('1.Revenue'!AU31:AU33)</f>
        <v>16950728.247263994</v>
      </c>
      <c r="AU8" s="298">
        <f>SUM('1.Revenue'!AV31:AV33)</f>
        <v>12713046.185447995</v>
      </c>
      <c r="AV8" s="298">
        <f>SUM('1.Revenue'!AW31:AW33)</f>
        <v>14831887.216355994</v>
      </c>
      <c r="AW8" s="298">
        <f>SUM('1.Revenue'!AX31:AX33)</f>
        <v>12713046.185447995</v>
      </c>
      <c r="AX8" s="298">
        <f>SUM('1.Revenue'!AY31:AY33)</f>
        <v>10594205.154539997</v>
      </c>
      <c r="AY8" s="208">
        <f>SUM('1.Revenue'!AZ31:AZ33)</f>
        <v>16950728.247263994</v>
      </c>
      <c r="AZ8" s="297">
        <f>SUM('1.Revenue'!BA31:BA33)</f>
        <v>16950728.247263994</v>
      </c>
      <c r="BA8" s="298">
        <f>SUM('1.Revenue'!BB31:BB33)</f>
        <v>15232348.171197606</v>
      </c>
      <c r="BB8" s="298">
        <f>SUM('1.Revenue'!BC31:BC33)</f>
        <v>6756984.0475656101</v>
      </c>
      <c r="BC8" s="298">
        <f>SUM('1.Revenue'!BD31:BD33)</f>
        <v>9009312.0634208135</v>
      </c>
      <c r="BD8" s="298">
        <f>SUM('1.Revenue'!BE31:BE33)</f>
        <v>15766296.110986423</v>
      </c>
      <c r="BE8" s="298">
        <f>SUM('1.Revenue'!BF31:BF33)</f>
        <v>27027936.190262441</v>
      </c>
      <c r="BF8" s="298">
        <f>SUM('1.Revenue'!BG31:BG33)</f>
        <v>18018624.126841627</v>
      </c>
      <c r="BG8" s="298">
        <f>SUM('1.Revenue'!BH31:BH33)</f>
        <v>13513968.09513122</v>
      </c>
      <c r="BH8" s="298">
        <f>SUM('1.Revenue'!BI31:BI33)</f>
        <v>18018624.126841627</v>
      </c>
      <c r="BI8" s="298">
        <f>SUM('1.Revenue'!BJ31:BJ33)</f>
        <v>11261640.079276016</v>
      </c>
      <c r="BJ8" s="298">
        <f>SUM('1.Revenue'!BK31:BK33)</f>
        <v>13513968.09513122</v>
      </c>
      <c r="BK8" s="208">
        <f>SUM('1.Revenue'!BL31:BL33)</f>
        <v>18018624.126841627</v>
      </c>
      <c r="BL8" s="297">
        <f>SUM('1.Revenue'!BM31:BM33)</f>
        <v>18018624.126841627</v>
      </c>
      <c r="BM8" s="298">
        <f>SUM('1.Revenue'!BN31:BN33)</f>
        <v>13939658.090127852</v>
      </c>
      <c r="BN8" s="298">
        <f>SUM('1.Revenue'!BO31:BO33)</f>
        <v>9576898.7234163247</v>
      </c>
      <c r="BO8" s="298">
        <f>SUM('1.Revenue'!BP31:BP33)</f>
        <v>9576898.7234163247</v>
      </c>
      <c r="BP8" s="298">
        <f>SUM('1.Revenue'!BQ31:BQ33)</f>
        <v>16759572.765978567</v>
      </c>
      <c r="BQ8" s="298">
        <f>SUM('1.Revenue'!BR31:BR33)</f>
        <v>28730696.170248974</v>
      </c>
      <c r="BR8" s="298">
        <f>SUM('1.Revenue'!BS31:BS33)</f>
        <v>19153797.446832649</v>
      </c>
      <c r="BS8" s="298">
        <f>SUM('1.Revenue'!BT31:BT33)</f>
        <v>14365348.085124487</v>
      </c>
      <c r="BT8" s="298">
        <f>SUM('1.Revenue'!BU31:BU33)</f>
        <v>19153797.446832649</v>
      </c>
      <c r="BU8" s="298">
        <f>SUM('1.Revenue'!BV31:BV33)</f>
        <v>11971123.404270405</v>
      </c>
      <c r="BV8" s="298">
        <f>SUM('1.Revenue'!BW31:BW33)</f>
        <v>11971123.404270407</v>
      </c>
      <c r="BW8" s="208">
        <f>SUM('1.Revenue'!BX31:BX33)</f>
        <v>19153797.446832649</v>
      </c>
      <c r="BX8" s="297">
        <f>SUM('1.Revenue'!BY31:BY33)</f>
        <v>23942246.80854081</v>
      </c>
      <c r="BY8" s="298">
        <f>SUM('1.Revenue'!BZ31:BZ33)</f>
        <v>12272795.714058019</v>
      </c>
      <c r="BZ8" s="298">
        <f>SUM('1.Revenue'!CA31:CA33)</f>
        <v>10180243.342991551</v>
      </c>
      <c r="CA8" s="298">
        <f>SUM('1.Revenue'!CB31:CB33)</f>
        <v>7635182.5072436631</v>
      </c>
      <c r="CB8" s="298">
        <f>SUM('1.Revenue'!CC31:CC33)</f>
        <v>22905547.521730993</v>
      </c>
      <c r="CC8" s="298">
        <f>SUM('1.Revenue'!CD31:CD33)</f>
        <v>27995669.19322677</v>
      </c>
      <c r="CD8" s="298">
        <f>SUM('1.Revenue'!CE31:CE33)</f>
        <v>20360486.685983103</v>
      </c>
      <c r="CE8" s="298">
        <f>SUM('1.Revenue'!CF31:CF33)</f>
        <v>15270365.014487326</v>
      </c>
      <c r="CF8" s="298">
        <f>SUM('1.Revenue'!CG31:CG33)</f>
        <v>20360486.685983103</v>
      </c>
      <c r="CG8" s="298">
        <f>SUM('1.Revenue'!CH31:CH33)</f>
        <v>12725304.17873944</v>
      </c>
      <c r="CH8" s="298">
        <f>SUM('1.Revenue'!CI31:CI33)</f>
        <v>12725304.17873944</v>
      </c>
      <c r="CI8" s="208">
        <f>SUM('1.Revenue'!CJ31:CJ33)</f>
        <v>20360486.685983103</v>
      </c>
      <c r="CJ8" s="297">
        <f>SUM('1.Revenue'!CK31:CK33)</f>
        <v>22905547.521730993</v>
      </c>
      <c r="CK8" s="298">
        <f>SUM('1.Revenue'!CL31:CL33)</f>
        <v>15430703.847139444</v>
      </c>
      <c r="CL8" s="298">
        <f>SUM('1.Revenue'!CM31:CM33)</f>
        <v>7795521.3398957811</v>
      </c>
      <c r="CM8" s="298">
        <f>SUM('1.Revenue'!CN31:CN33)</f>
        <v>10340582.175643668</v>
      </c>
      <c r="CN8" s="298">
        <f>SUM('1.Revenue'!CO31:CO33)</f>
        <v>20921672.600265514</v>
      </c>
      <c r="CO8" s="298">
        <f>SUM('1.Revenue'!CP31:CP33)</f>
        <v>31101915.943257067</v>
      </c>
      <c r="CP8" s="298">
        <f>SUM('1.Revenue'!CQ31:CQ33)</f>
        <v>20600994.934961282</v>
      </c>
      <c r="CQ8" s="298">
        <f>SUM('1.Revenue'!CR31:CR33)</f>
        <v>15591042.679791562</v>
      </c>
      <c r="CR8" s="298">
        <f>SUM('1.Revenue'!CS31:CS33)</f>
        <v>18216272.93186551</v>
      </c>
      <c r="CS8" s="298">
        <f>SUM('1.Revenue'!CT31:CT33)</f>
        <v>15430703.847139444</v>
      </c>
      <c r="CT8" s="298">
        <f>SUM('1.Revenue'!CU31:CU33)</f>
        <v>15671212.096117621</v>
      </c>
      <c r="CU8" s="208">
        <f>SUM('1.Revenue'!CV31:CV33)</f>
        <v>20761333.767613396</v>
      </c>
      <c r="CV8" s="297">
        <f>SUM('1.Revenue'!CW31:CW33)</f>
        <v>20761333.767613396</v>
      </c>
      <c r="CW8" s="298">
        <f>SUM('1.Revenue'!CX31:CX33)</f>
        <v>15931923.038009962</v>
      </c>
      <c r="CX8" s="298">
        <f>SUM('1.Revenue'!CY31:CY33)</f>
        <v>8627519.542527616</v>
      </c>
      <c r="CY8" s="298">
        <f>SUM('1.Revenue'!CZ31:CZ33)</f>
        <v>14379199.237546027</v>
      </c>
      <c r="CZ8" s="298">
        <f>SUM('1.Revenue'!DA31:DA33)</f>
        <v>20130878.932564437</v>
      </c>
      <c r="DA8" s="298">
        <f>SUM('1.Revenue'!DB31:DB33)</f>
        <v>31634238.322601259</v>
      </c>
      <c r="DB8" s="298">
        <f>SUM('1.Revenue'!DC31:DC33)</f>
        <v>23006718.780073643</v>
      </c>
      <c r="DC8" s="298">
        <f>SUM('1.Revenue'!DD31:DD33)</f>
        <v>17255039.085055232</v>
      </c>
      <c r="DD8" s="298">
        <f>SUM('1.Revenue'!DE31:DE33)</f>
        <v>23006718.780073643</v>
      </c>
      <c r="DE8" s="298">
        <f>SUM('1.Revenue'!DF31:DF33)</f>
        <v>14379199.237546027</v>
      </c>
      <c r="DF8" s="298">
        <f>SUM('1.Revenue'!DG31:DG33)</f>
        <v>20130878.932564437</v>
      </c>
      <c r="DG8" s="208">
        <f>SUM('1.Revenue'!DH31:DH33)</f>
        <v>23006718.780073643</v>
      </c>
      <c r="DH8" s="297">
        <f>SUM('1.Revenue'!DI31:DI33)</f>
        <v>23006718.780073643</v>
      </c>
      <c r="DI8" s="298">
        <f>SUM('1.Revenue'!DJ31:DJ33)</f>
        <v>14741555.058332186</v>
      </c>
      <c r="DJ8" s="298">
        <f>SUM('1.Revenue'!DK31:DK33)</f>
        <v>12228071.03160914</v>
      </c>
      <c r="DK8" s="298">
        <f>SUM('1.Revenue'!DL31:DL33)</f>
        <v>12228071.03160914</v>
      </c>
      <c r="DL8" s="298">
        <f>SUM('1.Revenue'!DM31:DM33)</f>
        <v>24456142.063218281</v>
      </c>
      <c r="DM8" s="298">
        <f>SUM('1.Revenue'!DN31:DN33)</f>
        <v>33627195.336925134</v>
      </c>
      <c r="DN8" s="298">
        <f>SUM('1.Revenue'!DO31:DO33)</f>
        <v>24456142.063218281</v>
      </c>
      <c r="DO8" s="298">
        <f>SUM('1.Revenue'!DP31:DP33)</f>
        <v>21399124.305315994</v>
      </c>
      <c r="DP8" s="298">
        <f>SUM('1.Revenue'!DQ31:DQ33)</f>
        <v>21399124.305315994</v>
      </c>
      <c r="DQ8" s="298">
        <f>SUM('1.Revenue'!DR31:DR33)</f>
        <v>15285088.789511425</v>
      </c>
      <c r="DR8" s="298">
        <f>SUM('1.Revenue'!DS31:DS33)</f>
        <v>18342106.547413711</v>
      </c>
      <c r="DS8" s="208">
        <f>SUM('1.Revenue'!DT31:DT33)</f>
        <v>24456142.063218281</v>
      </c>
    </row>
    <row r="9" spans="1:124" ht="19.5" customHeight="1" x14ac:dyDescent="0.25">
      <c r="A9" s="282" t="s">
        <v>63</v>
      </c>
      <c r="B9" s="282"/>
      <c r="C9" s="52"/>
      <c r="D9" s="1130">
        <f>SUM('1.Revenue'!E25:E26)</f>
        <v>0</v>
      </c>
      <c r="E9" s="1130">
        <f>SUM('1.Revenue'!F25:F26)</f>
        <v>0</v>
      </c>
      <c r="F9" s="1130">
        <f>SUM('1.Revenue'!G25:G26)</f>
        <v>0</v>
      </c>
      <c r="G9" s="1130">
        <f>SUM('1.Revenue'!H25:H26)</f>
        <v>0</v>
      </c>
      <c r="H9" s="1130">
        <f>SUM('1.Revenue'!I25:I26)</f>
        <v>0</v>
      </c>
      <c r="I9" s="1130">
        <f>SUM('1.Revenue'!J25:J26)</f>
        <v>0</v>
      </c>
      <c r="J9" s="1130">
        <f>SUM('1.Revenue'!K25:K26)</f>
        <v>0</v>
      </c>
      <c r="K9" s="1130">
        <f>SUM('1.Revenue'!L25:L26)</f>
        <v>0</v>
      </c>
      <c r="L9" s="1130">
        <f>SUM('1.Revenue'!M25:M26)</f>
        <v>0</v>
      </c>
      <c r="M9" s="1130">
        <f>SUM('1.Revenue'!N25:N26)</f>
        <v>0</v>
      </c>
      <c r="N9" s="1130">
        <f>SUM('1.Revenue'!O25:O26)</f>
        <v>0</v>
      </c>
      <c r="O9" s="1131">
        <f>SUM('1.Revenue'!P25:P26)</f>
        <v>0</v>
      </c>
      <c r="P9" s="135">
        <f>SUM('1.Revenue'!Q25:Q26)</f>
        <v>0</v>
      </c>
      <c r="Q9" s="188">
        <f>SUM('1.Revenue'!R25:R26)</f>
        <v>0</v>
      </c>
      <c r="R9" s="188">
        <f>SUM('1.Revenue'!S25:S26)</f>
        <v>0</v>
      </c>
      <c r="S9" s="188">
        <f>SUM('1.Revenue'!T25:T26)</f>
        <v>0</v>
      </c>
      <c r="T9" s="188">
        <f>SUM('1.Revenue'!U25:U26)</f>
        <v>0</v>
      </c>
      <c r="U9" s="188">
        <f>SUM('1.Revenue'!V25:V26)</f>
        <v>0</v>
      </c>
      <c r="V9" s="188">
        <f>SUM('1.Revenue'!W25:W26)</f>
        <v>0</v>
      </c>
      <c r="W9" s="188">
        <f>SUM('1.Revenue'!X25:X26)</f>
        <v>0</v>
      </c>
      <c r="X9" s="188">
        <f>SUM('1.Revenue'!Y25:Y26)</f>
        <v>0</v>
      </c>
      <c r="Y9" s="188">
        <f>SUM('1.Revenue'!Z25:Z26)</f>
        <v>0</v>
      </c>
      <c r="Z9" s="188">
        <f>SUM('1.Revenue'!AA25:AA26)</f>
        <v>0</v>
      </c>
      <c r="AA9" s="211">
        <f>SUM('1.Revenue'!AB25:AB26)</f>
        <v>0</v>
      </c>
      <c r="AB9" s="135">
        <f>SUM('1.Revenue'!AC25:AC26)</f>
        <v>0</v>
      </c>
      <c r="AC9" s="212">
        <f>SUM('1.Revenue'!AD25:AD26)</f>
        <v>0</v>
      </c>
      <c r="AD9" s="212">
        <f>SUM('1.Revenue'!AE25:AE26)</f>
        <v>0</v>
      </c>
      <c r="AE9" s="212">
        <f>SUM('1.Revenue'!AF25:AF26)</f>
        <v>0</v>
      </c>
      <c r="AF9" s="212">
        <f>SUM('1.Revenue'!AG25:AG26)</f>
        <v>0</v>
      </c>
      <c r="AG9" s="212">
        <f>SUM('1.Revenue'!AH25:AH26)</f>
        <v>0</v>
      </c>
      <c r="AH9" s="212">
        <f>SUM('1.Revenue'!AI25:AI26)</f>
        <v>0</v>
      </c>
      <c r="AI9" s="212">
        <f>SUM('1.Revenue'!AJ25:AJ26)</f>
        <v>0</v>
      </c>
      <c r="AJ9" s="212">
        <f>SUM('1.Revenue'!AK25:AK26)</f>
        <v>0</v>
      </c>
      <c r="AK9" s="212">
        <f>SUM('1.Revenue'!AL25:AL26)</f>
        <v>0</v>
      </c>
      <c r="AL9" s="212">
        <f>SUM('1.Revenue'!AM25:AM26)</f>
        <v>0</v>
      </c>
      <c r="AM9" s="211">
        <f>SUM('1.Revenue'!AN25:AN26)</f>
        <v>0</v>
      </c>
      <c r="AN9" s="1163">
        <f>SUM('1.Revenue'!AO25:AO26)</f>
        <v>0</v>
      </c>
      <c r="AO9" s="212">
        <f>SUM('1.Revenue'!AP25:AP26)</f>
        <v>0</v>
      </c>
      <c r="AP9" s="212">
        <f>SUM('1.Revenue'!AQ25:AQ26)</f>
        <v>0</v>
      </c>
      <c r="AQ9" s="212">
        <f>SUM('1.Revenue'!AR25:AR26)</f>
        <v>0</v>
      </c>
      <c r="AR9" s="212">
        <f>SUM('1.Revenue'!AS25:AS26)</f>
        <v>0</v>
      </c>
      <c r="AS9" s="212">
        <f>SUM('1.Revenue'!AT25:AT26)</f>
        <v>0</v>
      </c>
      <c r="AT9" s="212">
        <f>SUM('1.Revenue'!AU25:AU26)</f>
        <v>0</v>
      </c>
      <c r="AU9" s="212">
        <f>SUM('1.Revenue'!AV25:AV26)</f>
        <v>0</v>
      </c>
      <c r="AV9" s="212">
        <f>SUM('1.Revenue'!AW25:AW26)</f>
        <v>0</v>
      </c>
      <c r="AW9" s="212">
        <f>SUM('1.Revenue'!AX25:AX26)</f>
        <v>0</v>
      </c>
      <c r="AX9" s="212">
        <f>SUM('1.Revenue'!AY25:AY26)</f>
        <v>0</v>
      </c>
      <c r="AY9" s="211">
        <f>SUM('1.Revenue'!AZ25:AZ26)</f>
        <v>0</v>
      </c>
      <c r="AZ9" s="213">
        <f>SUM('1.Revenue'!BA25:BA26)</f>
        <v>0</v>
      </c>
      <c r="BA9" s="212">
        <f>SUM('1.Revenue'!BB25:BB26)</f>
        <v>0</v>
      </c>
      <c r="BB9" s="212">
        <f>SUM('1.Revenue'!BC25:BC26)</f>
        <v>0</v>
      </c>
      <c r="BC9" s="212">
        <f>SUM('1.Revenue'!BD25:BD26)</f>
        <v>0</v>
      </c>
      <c r="BD9" s="212">
        <f>SUM('1.Revenue'!BE25:BE26)</f>
        <v>0</v>
      </c>
      <c r="BE9" s="212">
        <f>SUM('1.Revenue'!BF25:BF26)</f>
        <v>0</v>
      </c>
      <c r="BF9" s="212">
        <f>SUM('1.Revenue'!BG25:BG26)</f>
        <v>0</v>
      </c>
      <c r="BG9" s="212">
        <f>SUM('1.Revenue'!BH25:BH26)</f>
        <v>0</v>
      </c>
      <c r="BH9" s="212">
        <f>SUM('1.Revenue'!BI25:BI26)</f>
        <v>0</v>
      </c>
      <c r="BI9" s="212">
        <f>SUM('1.Revenue'!BJ25:BJ26)</f>
        <v>0</v>
      </c>
      <c r="BJ9" s="212">
        <f>SUM('1.Revenue'!BK25:BK26)</f>
        <v>0</v>
      </c>
      <c r="BK9" s="211">
        <f>SUM('1.Revenue'!BL25:BL26)</f>
        <v>0</v>
      </c>
      <c r="BL9" s="213">
        <f>SUM('1.Revenue'!BM25:BM26)</f>
        <v>0</v>
      </c>
      <c r="BM9" s="212">
        <f>SUM('1.Revenue'!BN25:BN26)</f>
        <v>0</v>
      </c>
      <c r="BN9" s="212">
        <f>SUM('1.Revenue'!BO25:BO26)</f>
        <v>0</v>
      </c>
      <c r="BO9" s="212">
        <f>SUM('1.Revenue'!BP25:BP26)</f>
        <v>0</v>
      </c>
      <c r="BP9" s="212">
        <f>SUM('1.Revenue'!BQ25:BQ26)</f>
        <v>0</v>
      </c>
      <c r="BQ9" s="212">
        <f>SUM('1.Revenue'!BR25:BR26)</f>
        <v>0</v>
      </c>
      <c r="BR9" s="212">
        <f>SUM('1.Revenue'!BS25:BS26)</f>
        <v>0</v>
      </c>
      <c r="BS9" s="212">
        <f>SUM('1.Revenue'!BT25:BT26)</f>
        <v>0</v>
      </c>
      <c r="BT9" s="212">
        <f>SUM('1.Revenue'!BU25:BU26)</f>
        <v>0</v>
      </c>
      <c r="BU9" s="212">
        <f>SUM('1.Revenue'!BV25:BV26)</f>
        <v>0</v>
      </c>
      <c r="BV9" s="212">
        <f>SUM('1.Revenue'!BW25:BW26)</f>
        <v>0</v>
      </c>
      <c r="BW9" s="211">
        <f>SUM('1.Revenue'!BX25:BX26)</f>
        <v>0</v>
      </c>
      <c r="BX9" s="213">
        <f>SUM('1.Revenue'!BY25:BY26)</f>
        <v>0</v>
      </c>
      <c r="BY9" s="212">
        <f>SUM('1.Revenue'!BZ25:BZ26)</f>
        <v>0</v>
      </c>
      <c r="BZ9" s="212">
        <f>SUM('1.Revenue'!CA25:CA26)</f>
        <v>0</v>
      </c>
      <c r="CA9" s="212">
        <f>SUM('1.Revenue'!CB25:CB26)</f>
        <v>0</v>
      </c>
      <c r="CB9" s="212">
        <f>SUM('1.Revenue'!CC25:CC26)</f>
        <v>0</v>
      </c>
      <c r="CC9" s="212">
        <f>SUM('1.Revenue'!CD25:CD26)</f>
        <v>0</v>
      </c>
      <c r="CD9" s="212">
        <f>SUM('1.Revenue'!CE25:CE26)</f>
        <v>0</v>
      </c>
      <c r="CE9" s="212">
        <f>SUM('1.Revenue'!CF25:CF26)</f>
        <v>0</v>
      </c>
      <c r="CF9" s="212">
        <f>SUM('1.Revenue'!CG25:CG26)</f>
        <v>0</v>
      </c>
      <c r="CG9" s="212">
        <f>SUM('1.Revenue'!CH25:CH26)</f>
        <v>0</v>
      </c>
      <c r="CH9" s="212">
        <f>SUM('1.Revenue'!CI25:CI26)</f>
        <v>0</v>
      </c>
      <c r="CI9" s="211">
        <f>SUM('1.Revenue'!CJ25:CJ26)</f>
        <v>0</v>
      </c>
      <c r="CJ9" s="213">
        <f>SUM('1.Revenue'!CK25:CK26)</f>
        <v>0</v>
      </c>
      <c r="CK9" s="212">
        <f>SUM('1.Revenue'!CL25:CL26)</f>
        <v>0</v>
      </c>
      <c r="CL9" s="212">
        <f>SUM('1.Revenue'!CM25:CM26)</f>
        <v>0</v>
      </c>
      <c r="CM9" s="212">
        <f>SUM('1.Revenue'!CN25:CN26)</f>
        <v>0</v>
      </c>
      <c r="CN9" s="212">
        <f>SUM('1.Revenue'!CO25:CO26)</f>
        <v>0</v>
      </c>
      <c r="CO9" s="212">
        <f>SUM('1.Revenue'!CP25:CP26)</f>
        <v>0</v>
      </c>
      <c r="CP9" s="212">
        <f>SUM('1.Revenue'!CQ25:CQ26)</f>
        <v>0</v>
      </c>
      <c r="CQ9" s="212">
        <f>SUM('1.Revenue'!CR25:CR26)</f>
        <v>0</v>
      </c>
      <c r="CR9" s="212">
        <f>SUM('1.Revenue'!CS25:CS26)</f>
        <v>0</v>
      </c>
      <c r="CS9" s="212">
        <f>SUM('1.Revenue'!CT25:CT26)</f>
        <v>0</v>
      </c>
      <c r="CT9" s="212">
        <f>SUM('1.Revenue'!CU25:CU26)</f>
        <v>0</v>
      </c>
      <c r="CU9" s="211">
        <f>SUM('1.Revenue'!CV25:CV26)</f>
        <v>0</v>
      </c>
      <c r="CV9" s="213">
        <f>SUM('1.Revenue'!CW25:CW26)</f>
        <v>0</v>
      </c>
      <c r="CW9" s="212">
        <f>SUM('1.Revenue'!CX25:CX26)</f>
        <v>0</v>
      </c>
      <c r="CX9" s="212">
        <f>SUM('1.Revenue'!CY25:CY26)</f>
        <v>0</v>
      </c>
      <c r="CY9" s="212">
        <f>SUM('1.Revenue'!CZ25:CZ26)</f>
        <v>0</v>
      </c>
      <c r="CZ9" s="212">
        <f>SUM('1.Revenue'!DA25:DA26)</f>
        <v>0</v>
      </c>
      <c r="DA9" s="212">
        <f>SUM('1.Revenue'!DB25:DB26)</f>
        <v>0</v>
      </c>
      <c r="DB9" s="212">
        <f>SUM('1.Revenue'!DC25:DC26)</f>
        <v>0</v>
      </c>
      <c r="DC9" s="212">
        <f>SUM('1.Revenue'!DD25:DD26)</f>
        <v>0</v>
      </c>
      <c r="DD9" s="212">
        <f>SUM('1.Revenue'!DE25:DE26)</f>
        <v>0</v>
      </c>
      <c r="DE9" s="212">
        <f>SUM('1.Revenue'!DF25:DF26)</f>
        <v>0</v>
      </c>
      <c r="DF9" s="212">
        <f>SUM('1.Revenue'!DG25:DG26)</f>
        <v>0</v>
      </c>
      <c r="DG9" s="211">
        <f>SUM('1.Revenue'!DH25:DH26)</f>
        <v>0</v>
      </c>
      <c r="DH9" s="213">
        <f>SUM('1.Revenue'!DI25:DI26)</f>
        <v>0</v>
      </c>
      <c r="DI9" s="212">
        <f>SUM('1.Revenue'!DJ25:DJ26)</f>
        <v>0</v>
      </c>
      <c r="DJ9" s="212">
        <f>SUM('1.Revenue'!DK25:DK26)</f>
        <v>0</v>
      </c>
      <c r="DK9" s="212">
        <f>SUM('1.Revenue'!DL25:DL26)</f>
        <v>0</v>
      </c>
      <c r="DL9" s="212">
        <f>SUM('1.Revenue'!DM25:DM26)</f>
        <v>0</v>
      </c>
      <c r="DM9" s="212">
        <f>SUM('1.Revenue'!DN25:DN26)</f>
        <v>0</v>
      </c>
      <c r="DN9" s="212">
        <f>SUM('1.Revenue'!DO25:DO26)</f>
        <v>0</v>
      </c>
      <c r="DO9" s="212">
        <f>SUM('1.Revenue'!DP25:DP26)</f>
        <v>0</v>
      </c>
      <c r="DP9" s="212">
        <f>SUM('1.Revenue'!DQ25:DQ26)</f>
        <v>0</v>
      </c>
      <c r="DQ9" s="212">
        <f>SUM('1.Revenue'!DR25:DR26)</f>
        <v>0</v>
      </c>
      <c r="DR9" s="212">
        <f>SUM('1.Revenue'!DS25:DS26)</f>
        <v>0</v>
      </c>
      <c r="DS9" s="211">
        <f>SUM('1.Revenue'!DT25:DT26)</f>
        <v>0</v>
      </c>
    </row>
    <row r="10" spans="1:124" ht="19.5" customHeight="1" x14ac:dyDescent="0.25">
      <c r="A10" s="282" t="s">
        <v>179</v>
      </c>
      <c r="B10" s="282"/>
      <c r="C10" s="52"/>
      <c r="D10" s="1130">
        <f>SUM('2.Sales Costs'!D9:D11)</f>
        <v>0</v>
      </c>
      <c r="E10" s="1130">
        <f>SUM('2.Sales Costs'!E9:E11)</f>
        <v>0</v>
      </c>
      <c r="F10" s="1130">
        <f>SUM('2.Sales Costs'!F9:F11)</f>
        <v>0</v>
      </c>
      <c r="G10" s="1130">
        <f>SUM('2.Sales Costs'!G9:G11)</f>
        <v>0</v>
      </c>
      <c r="H10" s="1130">
        <f>SUM('2.Sales Costs'!H9:H11)</f>
        <v>0</v>
      </c>
      <c r="I10" s="1130">
        <f>SUM('2.Sales Costs'!I9:I11)</f>
        <v>0</v>
      </c>
      <c r="J10" s="1130">
        <f>SUM('2.Sales Costs'!J9:J11)</f>
        <v>0</v>
      </c>
      <c r="K10" s="1130">
        <f>SUM('2.Sales Costs'!K9:K11)</f>
        <v>0</v>
      </c>
      <c r="L10" s="1130">
        <f>SUM('2.Sales Costs'!L9:L11)</f>
        <v>0</v>
      </c>
      <c r="M10" s="1130">
        <f>SUM('2.Sales Costs'!M9:M11)</f>
        <v>0</v>
      </c>
      <c r="N10" s="1130">
        <f>SUM('2.Sales Costs'!N9:N11)</f>
        <v>0</v>
      </c>
      <c r="O10" s="1131">
        <f>SUM('2.Sales Costs'!O9:O11)</f>
        <v>0</v>
      </c>
      <c r="P10" s="135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211"/>
      <c r="AB10" s="135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1"/>
      <c r="AN10" s="1163"/>
      <c r="AO10" s="212">
        <f>SUM('2.Sales Costs'!AO10:AO11)</f>
        <v>-162156.20134499995</v>
      </c>
      <c r="AP10" s="212">
        <f>SUM('2.Sales Costs'!AP10:AP11)</f>
        <v>-518760.63391478872</v>
      </c>
      <c r="AQ10" s="212">
        <f>SUM('2.Sales Costs'!AQ10:AQ11)</f>
        <v>-843073.03660478862</v>
      </c>
      <c r="AR10" s="212">
        <f>SUM('2.Sales Costs'!AR10:AR11)</f>
        <v>-1514241.4050993661</v>
      </c>
      <c r="AS10" s="212">
        <f>SUM('2.Sales Costs'!AS10:AS11)</f>
        <v>-1312307.810814155</v>
      </c>
      <c r="AT10" s="212">
        <f>SUM('2.Sales Costs'!AT10:AT11)</f>
        <v>-706071.5280521831</v>
      </c>
      <c r="AU10" s="212">
        <f>SUM('2.Sales Costs'!AU10:AU11)</f>
        <v>-1067550.1940045774</v>
      </c>
      <c r="AV10" s="212">
        <f>SUM('2.Sales Costs'!AV10:AV11)</f>
        <v>-798421.41028197191</v>
      </c>
      <c r="AW10" s="212">
        <f>SUM('2.Sales Costs'!AW10:AW11)</f>
        <v>-680916.83525978867</v>
      </c>
      <c r="AX10" s="212">
        <f>SUM('2.Sales Costs'!AX10:AX11)</f>
        <v>-965451.84500957734</v>
      </c>
      <c r="AY10" s="211">
        <f>SUM('2.Sales Costs'!AY10:AY11)</f>
        <v>-1194803.2357919719</v>
      </c>
      <c r="AZ10" s="213">
        <f>SUM('2.Sales Costs'!AZ10:AZ11)</f>
        <v>-880642.70765376103</v>
      </c>
      <c r="BA10" s="212">
        <f>SUM('2.Sales Costs'!BA10:BA11)</f>
        <v>-712278.56413780048</v>
      </c>
      <c r="BB10" s="212">
        <f>SUM('2.Sales Costs'!BB10:BB11)</f>
        <v>-459956.02678065543</v>
      </c>
      <c r="BC10" s="212">
        <f>SUM('2.Sales Costs'!BC10:BC11)</f>
        <v>-913230.65582181024</v>
      </c>
      <c r="BD10" s="212">
        <f>SUM('2.Sales Costs'!BD10:BD11)</f>
        <v>-1660770.6673533861</v>
      </c>
      <c r="BE10" s="212">
        <f>SUM('2.Sales Costs'!BE10:BE11)</f>
        <v>-1463159.274539127</v>
      </c>
      <c r="BF10" s="212">
        <f>SUM('2.Sales Costs'!BF10:BF11)</f>
        <v>-884650.60616753553</v>
      </c>
      <c r="BG10" s="212">
        <f>SUM('2.Sales Costs'!BG10:BG11)</f>
        <v>-1060363.3470670208</v>
      </c>
      <c r="BH10" s="212">
        <f>SUM('2.Sales Costs'!BH10:BH11)</f>
        <v>-999862.54888872104</v>
      </c>
      <c r="BI10" s="212">
        <f>SUM('2.Sales Costs'!BI10:BI11)</f>
        <v>-740858.61379207531</v>
      </c>
      <c r="BJ10" s="212">
        <f>SUM('2.Sales Costs'!BJ10:BJ11)</f>
        <v>-1060363.3470670208</v>
      </c>
      <c r="BK10" s="211">
        <f>SUM('2.Sales Costs'!BK10:BK11)</f>
        <v>-1204155.3394424808</v>
      </c>
      <c r="BL10" s="213">
        <f>SUM('2.Sales Costs'!BL10:BL11)</f>
        <v>-1096785.645149749</v>
      </c>
      <c r="BM10" s="212">
        <f>SUM('2.Sales Costs'!BM10:BM11)</f>
        <v>-786040.93149065855</v>
      </c>
      <c r="BN10" s="212">
        <f>SUM('2.Sales Costs'!BN10:BN11)</f>
        <v>-508192.468342621</v>
      </c>
      <c r="BO10" s="212">
        <f>SUM('2.Sales Costs'!BO10:BO11)</f>
        <v>-990023.39901336865</v>
      </c>
      <c r="BP10" s="212">
        <f>SUM('2.Sales Costs'!BP10:BP11)</f>
        <v>-1823176.8550210025</v>
      </c>
      <c r="BQ10" s="212">
        <f>SUM('2.Sales Costs'!BQ10:BQ11)</f>
        <v>-1632375.156334229</v>
      </c>
      <c r="BR10" s="212">
        <f>SUM('2.Sales Costs'!BR10:BR11)</f>
        <v>-969272.41216826672</v>
      </c>
      <c r="BS10" s="212">
        <f>SUM('2.Sales Costs'!BS10:BS11)</f>
        <v>-1165684.6616818118</v>
      </c>
      <c r="BT10" s="212">
        <f>SUM('2.Sales Costs'!BT10:BT11)</f>
        <v>-995633.9498401403</v>
      </c>
      <c r="BU10" s="212">
        <f>SUM('2.Sales Costs'!BU10:BU11)</f>
        <v>-806791.91833576036</v>
      </c>
      <c r="BV10" s="212">
        <f>SUM('2.Sales Costs'!BV10:BV11)</f>
        <v>-1281052.630997343</v>
      </c>
      <c r="BW10" s="211">
        <f>SUM('2.Sales Costs'!BW10:BW11)</f>
        <v>-1362096.9111953566</v>
      </c>
      <c r="BX10" s="213">
        <f>SUM('2.Sales Costs'!BX10:BX11)</f>
        <v>-1353711.805006433</v>
      </c>
      <c r="BY10" s="212">
        <f>SUM('2.Sales Costs'!BY10:BY11)</f>
        <v>-561970.90623114433</v>
      </c>
      <c r="BZ10" s="212">
        <f>SUM('2.Sales Costs'!BZ10:BZ11)</f>
        <v>-684607.05761355394</v>
      </c>
      <c r="CA10" s="212">
        <f>SUM('2.Sales Costs'!CA10:CA11)</f>
        <v>-1110226.6418230929</v>
      </c>
      <c r="CB10" s="212">
        <f>SUM('2.Sales Costs'!CB10:CB11)</f>
        <v>-2150852.3988826196</v>
      </c>
      <c r="CC10" s="212">
        <f>SUM('2.Sales Costs'!CC10:CC11)</f>
        <v>-1638666.1195796151</v>
      </c>
      <c r="CD10" s="212">
        <f>SUM('2.Sales Costs'!CD10:CD11)</f>
        <v>-1062980.0427092749</v>
      </c>
      <c r="CE10" s="212">
        <f>SUM('2.Sales Costs'!CE10:CE11)</f>
        <v>-1282647.4201336422</v>
      </c>
      <c r="CF10" s="212">
        <f>SUM('2.Sales Costs'!CF10:CF11)</f>
        <v>-1112764.6696374146</v>
      </c>
      <c r="CG10" s="212">
        <f>SUM('2.Sales Costs'!CG10:CG11)</f>
        <v>-879382.12157385144</v>
      </c>
      <c r="CH10" s="212">
        <f>SUM('2.Sales Costs'!CH10:CH11)</f>
        <v>-1282647.4201336422</v>
      </c>
      <c r="CI10" s="211">
        <f>SUM('2.Sales Costs'!CI10:CI11)</f>
        <v>-1624950.9489404194</v>
      </c>
      <c r="CJ10" s="213">
        <f>SUM('2.Sales Costs'!CJ10:CJ11)</f>
        <v>-1378033.433991527</v>
      </c>
      <c r="CK10" s="212">
        <f>SUM('2.Sales Costs'!CK10:CK11)</f>
        <v>-740032.67142372602</v>
      </c>
      <c r="CL10" s="212">
        <f>SUM('2.Sales Costs'!CL10:CL11)</f>
        <v>-609670.44250422472</v>
      </c>
      <c r="CM10" s="212">
        <f>SUM('2.Sales Costs'!CM10:CM11)</f>
        <v>-1322828.5183579675</v>
      </c>
      <c r="CN10" s="212">
        <f>SUM('2.Sales Costs'!CN10:CN11)</f>
        <v>-2329389.8921440388</v>
      </c>
      <c r="CO10" s="212">
        <f>SUM('2.Sales Costs'!CO10:CO11)</f>
        <v>-1784935.8772449447</v>
      </c>
      <c r="CP10" s="212">
        <f>SUM('2.Sales Costs'!CP10:CP11)</f>
        <v>-1018028.6102512352</v>
      </c>
      <c r="CQ10" s="212">
        <f>SUM('2.Sales Costs'!CQ10:CQ11)</f>
        <v>-1518407.1748825996</v>
      </c>
      <c r="CR10" s="212">
        <f>SUM('2.Sales Costs'!CR10:CR11)</f>
        <v>-1213607.2667758674</v>
      </c>
      <c r="CS10" s="212">
        <f>SUM('2.Sales Costs'!CS10:CS11)</f>
        <v>-985420.39644866972</v>
      </c>
      <c r="CT10" s="212">
        <f>SUM('2.Sales Costs'!CT10:CT11)</f>
        <v>-1589357.2207203123</v>
      </c>
      <c r="CU10" s="211">
        <f>SUM('2.Sales Costs'!CU10:CU11)</f>
        <v>-1719719.4496398137</v>
      </c>
      <c r="CV10" s="213">
        <f>SUM('2.Sales Costs'!CV10:CV11)</f>
        <v>-1290064.5245827469</v>
      </c>
      <c r="CW10" s="212">
        <f>SUM('2.Sales Costs'!CW10:CW11)</f>
        <v>-827511.4791973934</v>
      </c>
      <c r="CX10" s="212">
        <f>SUM('2.Sales Costs'!CX10:CX11)</f>
        <v>-729693.79730932519</v>
      </c>
      <c r="CY10" s="212">
        <f>SUM('2.Sales Costs'!CY10:CY11)</f>
        <v>-1502114.3704976053</v>
      </c>
      <c r="CZ10" s="212">
        <f>SUM('2.Sales Costs'!CZ10:CZ11)</f>
        <v>-2384716.7557041119</v>
      </c>
      <c r="DA10" s="212">
        <f>SUM('2.Sales Costs'!DA10:DA11)</f>
        <v>-2040385.46067028</v>
      </c>
      <c r="DB10" s="212">
        <f>SUM('2.Sales Costs'!DB10:DB11)</f>
        <v>-1282024.5862494519</v>
      </c>
      <c r="DC10" s="212">
        <f>SUM('2.Sales Costs'!DC10:DC11)</f>
        <v>-1557205.2765067187</v>
      </c>
      <c r="DD10" s="212">
        <f>SUM('2.Sales Costs'!DD10:DD11)</f>
        <v>-1530781.4476091084</v>
      </c>
      <c r="DE10" s="212">
        <f>SUM('2.Sales Costs'!DE10:DE11)</f>
        <v>-1088358.6308989085</v>
      </c>
      <c r="DF10" s="212">
        <f>SUM('2.Sales Costs'!DF10:DF11)</f>
        <v>-1791628.5993106235</v>
      </c>
      <c r="DG10" s="211">
        <f>SUM('2.Sales Costs'!DG10:DG11)</f>
        <v>-1791628.5993106235</v>
      </c>
      <c r="DH10" s="213">
        <f>SUM('2.Sales Costs'!DH10:DH11)</f>
        <v>-1627220.6788084824</v>
      </c>
      <c r="DI10" s="212">
        <f>SUM('2.Sales Costs'!DI10:DI11)</f>
        <v>-763737.61594659858</v>
      </c>
      <c r="DJ10" s="212">
        <f>SUM('2.Sales Costs'!DJ10:DJ11)</f>
        <v>-954367.97499946214</v>
      </c>
      <c r="DK10" s="212">
        <f>SUM('2.Sales Costs'!DK10:DK11)</f>
        <v>-1643844.8623535186</v>
      </c>
      <c r="DL10" s="212">
        <f>SUM('2.Sales Costs'!DL10:DL11)</f>
        <v>-2629148.4843425993</v>
      </c>
      <c r="DM10" s="212">
        <f>SUM('2.Sales Costs'!DM10:DM11)</f>
        <v>-2278823.4132264908</v>
      </c>
      <c r="DN10" s="212">
        <f>SUM('2.Sales Costs'!DN10:DN11)</f>
        <v>-1453214.5033006547</v>
      </c>
      <c r="DO10" s="212">
        <f>SUM('2.Sales Costs'!DO10:DO11)</f>
        <v>-1939671.5969885427</v>
      </c>
      <c r="DP10" s="212">
        <f>SUM('2.Sales Costs'!DP10:DP11)</f>
        <v>-1293519.7912374099</v>
      </c>
      <c r="DQ10" s="212">
        <f>SUM('2.Sales Costs'!DQ10:DQ11)</f>
        <v>-1188323.4156552493</v>
      </c>
      <c r="DR10" s="212">
        <f>SUM('2.Sales Costs'!DR10:DR11)</f>
        <v>-2130301.9560414064</v>
      </c>
      <c r="DS10" s="211">
        <f>SUM('2.Sales Costs'!DS10:DS11)</f>
        <v>-1982996.6785914663</v>
      </c>
    </row>
    <row r="11" spans="1:124" ht="19.5" customHeight="1" x14ac:dyDescent="0.25">
      <c r="A11" s="282" t="s">
        <v>162</v>
      </c>
      <c r="B11" s="282"/>
      <c r="C11" s="52"/>
      <c r="D11" s="1132">
        <f>SUM('3. Variable Costs'!D9:D52)</f>
        <v>0</v>
      </c>
      <c r="E11" s="1132">
        <f>SUM('3. Variable Costs'!E9:E52)</f>
        <v>0</v>
      </c>
      <c r="F11" s="1132">
        <f>SUM('3. Variable Costs'!F9:F52)</f>
        <v>0</v>
      </c>
      <c r="G11" s="1132">
        <f>SUM('3. Variable Costs'!G9:G52)</f>
        <v>0</v>
      </c>
      <c r="H11" s="1132">
        <f>SUM('3. Variable Costs'!H9:H52)</f>
        <v>0</v>
      </c>
      <c r="I11" s="1132">
        <f>SUM('3. Variable Costs'!I9:I52)</f>
        <v>0</v>
      </c>
      <c r="J11" s="1132">
        <f>SUM('3. Variable Costs'!J9:J52)</f>
        <v>0</v>
      </c>
      <c r="K11" s="1132">
        <f>SUM('3. Variable Costs'!K9:K52)</f>
        <v>0</v>
      </c>
      <c r="L11" s="1132">
        <f>SUM('3. Variable Costs'!L9:L52)</f>
        <v>0</v>
      </c>
      <c r="M11" s="1132">
        <f>SUM('3. Variable Costs'!M9:M52)</f>
        <v>0</v>
      </c>
      <c r="N11" s="1132">
        <f>SUM('3. Variable Costs'!N9:N52)</f>
        <v>0</v>
      </c>
      <c r="O11" s="1133">
        <f>SUM('3. Variable Costs'!O9:O52)</f>
        <v>0</v>
      </c>
      <c r="P11" s="299">
        <f>SUM('3. Variable Costs'!P9:P52)</f>
        <v>0</v>
      </c>
      <c r="Q11" s="300">
        <f>SUM('3. Variable Costs'!Q9:Q52)</f>
        <v>0</v>
      </c>
      <c r="R11" s="300">
        <f>SUM('3. Variable Costs'!R9:R52)</f>
        <v>-950718.73746389337</v>
      </c>
      <c r="S11" s="300">
        <f>SUM('3. Variable Costs'!S9:S52)</f>
        <v>-204024.73746389337</v>
      </c>
      <c r="T11" s="300">
        <f>SUM('3. Variable Costs'!T9:T52)</f>
        <v>-278434.73746389337</v>
      </c>
      <c r="U11" s="300">
        <f>SUM('3. Variable Costs'!U9:U52)</f>
        <v>-234623.83871783869</v>
      </c>
      <c r="V11" s="300">
        <f>SUM('3. Variable Costs'!V9:V52)</f>
        <v>-335085.15050975292</v>
      </c>
      <c r="W11" s="300">
        <f>SUM('3. Variable Costs'!W9:W52)</f>
        <v>-433735.12032732356</v>
      </c>
      <c r="X11" s="300">
        <f>SUM('3. Variable Costs'!X9:X52)</f>
        <v>-437764.36888726027</v>
      </c>
      <c r="Y11" s="300">
        <f>SUM('3. Variable Costs'!Y9:Y52)</f>
        <v>-488281.09236293228</v>
      </c>
      <c r="Z11" s="300">
        <f>SUM('3. Variable Costs'!Z9:Z52)</f>
        <v>-612802.34163502394</v>
      </c>
      <c r="AA11" s="284">
        <f>SUM('3. Variable Costs'!AA9:AA52)</f>
        <v>-601752.31163547421</v>
      </c>
      <c r="AB11" s="299">
        <f>SUM('3. Variable Costs'!AB9:AB52)</f>
        <v>-1004497.5585492</v>
      </c>
      <c r="AC11" s="283">
        <f>SUM('3. Variable Costs'!AC9:AC52)</f>
        <v>-1585179.4236245451</v>
      </c>
      <c r="AD11" s="283">
        <f>SUM('3. Variable Costs'!AD9:AD52)</f>
        <v>-2434476.5627727928</v>
      </c>
      <c r="AE11" s="283">
        <f>SUM('3. Variable Costs'!AE9:AE52)</f>
        <v>-1956311.3587233785</v>
      </c>
      <c r="AF11" s="283">
        <f>SUM('3. Variable Costs'!AF9:AF52)</f>
        <v>-2973427.9199815374</v>
      </c>
      <c r="AG11" s="283">
        <f>SUM('3. Variable Costs'!AG9:AG52)</f>
        <v>-3620690.7645174772</v>
      </c>
      <c r="AH11" s="283">
        <f>SUM('3. Variable Costs'!AH9:AH52)</f>
        <v>-4351382.0909935441</v>
      </c>
      <c r="AI11" s="283">
        <f>SUM('3. Variable Costs'!AI9:AI52)</f>
        <v>-5378157.6229111236</v>
      </c>
      <c r="AJ11" s="283">
        <f>SUM('3. Variable Costs'!AJ9:AJ52)</f>
        <v>-5349103.5935420487</v>
      </c>
      <c r="AK11" s="283">
        <f>SUM('3. Variable Costs'!AK9:AK52)</f>
        <v>-5171855.5533478577</v>
      </c>
      <c r="AL11" s="283">
        <f>SUM('3. Variable Costs'!AL9:AL52)</f>
        <v>-5428891.5160994073</v>
      </c>
      <c r="AM11" s="284">
        <f>SUM('3. Variable Costs'!AM9:AM52)</f>
        <v>-4452832.400397148</v>
      </c>
      <c r="AN11" s="1164">
        <f>SUM('3. Variable Costs'!AN9:AN52)</f>
        <v>-7038059.6546148686</v>
      </c>
      <c r="AO11" s="283">
        <f>SUM('3. Variable Costs'!AO9:AO52)</f>
        <v>-9219042.2570959292</v>
      </c>
      <c r="AP11" s="283">
        <f>SUM('3. Variable Costs'!AP9:AP52)</f>
        <v>-11242191.329236224</v>
      </c>
      <c r="AQ11" s="283">
        <f>SUM('3. Variable Costs'!AQ9:AQ52)</f>
        <v>-10389428.912863258</v>
      </c>
      <c r="AR11" s="283">
        <f>SUM('3. Variable Costs'!AR9:AR52)</f>
        <v>-10175861.661937254</v>
      </c>
      <c r="AS11" s="283">
        <f>SUM('3. Variable Costs'!AS9:AS52)</f>
        <v>-10351928.580692716</v>
      </c>
      <c r="AT11" s="283">
        <f>SUM('3. Variable Costs'!AT9:AT52)</f>
        <v>-10097748.884345669</v>
      </c>
      <c r="AU11" s="283">
        <f>SUM('3. Variable Costs'!AU9:AU52)</f>
        <v>-10199274.563765924</v>
      </c>
      <c r="AV11" s="283">
        <f>SUM('3. Variable Costs'!AV9:AV52)</f>
        <v>-9234437.7612493262</v>
      </c>
      <c r="AW11" s="283">
        <f>SUM('3. Variable Costs'!AW9:AW52)</f>
        <v>-8212164.8101644991</v>
      </c>
      <c r="AX11" s="283">
        <f>SUM('3. Variable Costs'!AX9:AX52)</f>
        <v>-7198686.5644882219</v>
      </c>
      <c r="AY11" s="284">
        <f>SUM('3. Variable Costs'!AY9:AY52)</f>
        <v>-5910932.8905894104</v>
      </c>
      <c r="AZ11" s="285">
        <f>SUM('3. Variable Costs'!AZ9:AZ52)</f>
        <v>-8290048.856959939</v>
      </c>
      <c r="BA11" s="283">
        <f>SUM('3. Variable Costs'!BA9:BA52)</f>
        <v>-9892823.5161010846</v>
      </c>
      <c r="BB11" s="283">
        <f>SUM('3. Variable Costs'!BB9:BB52)</f>
        <v>-11993188.755959025</v>
      </c>
      <c r="BC11" s="283">
        <f>SUM('3. Variable Costs'!BC9:BC52)</f>
        <v>-11109805.587771056</v>
      </c>
      <c r="BD11" s="283">
        <f>SUM('3. Variable Costs'!BD9:BD52)</f>
        <v>-10878599.991186241</v>
      </c>
      <c r="BE11" s="283">
        <f>SUM('3. Variable Costs'!BE9:BE52)</f>
        <v>-11082111.640871761</v>
      </c>
      <c r="BF11" s="283">
        <f>SUM('3. Variable Costs'!BF9:BF52)</f>
        <v>-10807095.926166425</v>
      </c>
      <c r="BG11" s="283">
        <f>SUM('3. Variable Costs'!BG9:BG52)</f>
        <v>-10912411.519664316</v>
      </c>
      <c r="BH11" s="283">
        <f>SUM('3. Variable Costs'!BH9:BH52)</f>
        <v>-9898384.8931215238</v>
      </c>
      <c r="BI11" s="283">
        <f>SUM('3. Variable Costs'!BI9:BI52)</f>
        <v>-8801406.8591905646</v>
      </c>
      <c r="BJ11" s="283">
        <f>SUM('3. Variable Costs'!BJ9:BJ52)</f>
        <v>-7722563.6754986066</v>
      </c>
      <c r="BK11" s="284">
        <f>SUM('3. Variable Costs'!BK9:BK52)</f>
        <v>-6353144.9739169404</v>
      </c>
      <c r="BL11" s="285">
        <f>SUM('3. Variable Costs'!BL9:BL52)</f>
        <v>-8807247.3825127874</v>
      </c>
      <c r="BM11" s="283">
        <f>SUM('3. Variable Costs'!BM9:BM52)</f>
        <v>-10510751.001142079</v>
      </c>
      <c r="BN11" s="283">
        <f>SUM('3. Variable Costs'!BN9:BN52)</f>
        <v>-12705965.326693485</v>
      </c>
      <c r="BO11" s="283">
        <f>SUM('3. Variable Costs'!BO9:BO52)</f>
        <v>-11790032.29932617</v>
      </c>
      <c r="BP11" s="283">
        <f>SUM('3. Variable Costs'!BP9:BP52)</f>
        <v>-11540077.141306031</v>
      </c>
      <c r="BQ11" s="283">
        <f>SUM('3. Variable Costs'!BQ9:BQ52)</f>
        <v>-11772762.539970212</v>
      </c>
      <c r="BR11" s="283">
        <f>SUM('3. Variable Costs'!BR9:BR52)</f>
        <v>-11475598.137750007</v>
      </c>
      <c r="BS11" s="283">
        <f>SUM('3. Variable Costs'!BS9:BS52)</f>
        <v>-11584942.409912428</v>
      </c>
      <c r="BT11" s="283">
        <f>SUM('3. Variable Costs'!BT9:BT52)</f>
        <v>-10518627.000429794</v>
      </c>
      <c r="BU11" s="283">
        <f>SUM('3. Variable Costs'!BU9:BU52)</f>
        <v>-9342237.4634333998</v>
      </c>
      <c r="BV11" s="283">
        <f>SUM('3. Variable Costs'!BV9:BV52)</f>
        <v>-8193911.3506307835</v>
      </c>
      <c r="BW11" s="284">
        <f>SUM('3. Variable Costs'!BW9:BW52)</f>
        <v>-6737682.7246222431</v>
      </c>
      <c r="BX11" s="285">
        <f>SUM('3. Variable Costs'!BX9:BX52)</f>
        <v>-9357512.8895435855</v>
      </c>
      <c r="BY11" s="283">
        <f>SUM('3. Variable Costs'!BY9:BY52)</f>
        <v>-15092448.236345891</v>
      </c>
      <c r="BZ11" s="283">
        <f>SUM('3. Variable Costs'!BZ9:BZ52)</f>
        <v>-13464130.295752352</v>
      </c>
      <c r="CA11" s="283">
        <f>SUM('3. Variable Costs'!CA9:CA52)</f>
        <v>-12513596.768077383</v>
      </c>
      <c r="CB11" s="283">
        <f>SUM('3. Variable Costs'!CB9:CB52)</f>
        <v>-12243710.826251505</v>
      </c>
      <c r="CC11" s="283">
        <f>SUM('3. Variable Costs'!CC9:CC52)</f>
        <v>-12507407.920079995</v>
      </c>
      <c r="CD11" s="283">
        <f>SUM('3. Variable Costs'!CD9:CD52)</f>
        <v>-12186699.463031488</v>
      </c>
      <c r="CE11" s="283">
        <f>SUM('3. Variable Costs'!CE9:CE52)</f>
        <v>-12300326.220614303</v>
      </c>
      <c r="CF11" s="283">
        <f>SUM('3. Variable Costs'!CF9:CF52)</f>
        <v>-11178427.834866617</v>
      </c>
      <c r="CG11" s="283">
        <f>SUM('3. Variable Costs'!CG9:CG52)</f>
        <v>-9917623.8701116629</v>
      </c>
      <c r="CH11" s="283">
        <f>SUM('3. Variable Costs'!CH9:CH52)</f>
        <v>-8695437.4036643989</v>
      </c>
      <c r="CI11" s="284">
        <f>SUM('3. Variable Costs'!CI9:CI52)</f>
        <v>-7146929.8279900961</v>
      </c>
      <c r="CJ11" s="285">
        <f>SUM('3. Variable Costs'!CJ9:CJ52)</f>
        <v>-9942976.9453222603</v>
      </c>
      <c r="CK11" s="283">
        <f>SUM('3. Variable Costs'!CK9:CK52)</f>
        <v>-11867376.049511326</v>
      </c>
      <c r="CL11" s="283">
        <f>SUM('3. Variable Costs'!CL9:CL52)</f>
        <v>-14270591.47966685</v>
      </c>
      <c r="CM11" s="283">
        <f>SUM('3. Variable Costs'!CM9:CM52)</f>
        <v>-13283277.620164856</v>
      </c>
      <c r="CN11" s="283">
        <f>SUM('3. Variable Costs'!CN9:CN52)</f>
        <v>-12992205.25515347</v>
      </c>
      <c r="CO11" s="283">
        <f>SUM('3. Variable Costs'!CO9:CO52)</f>
        <v>-13288867.780941624</v>
      </c>
      <c r="CP11" s="283">
        <f>SUM('3. Variable Costs'!CP9:CP52)</f>
        <v>-12943131.993610632</v>
      </c>
      <c r="CQ11" s="283">
        <f>SUM('3. Variable Costs'!CQ9:CQ52)</f>
        <v>-13061311.033195322</v>
      </c>
      <c r="CR11" s="283">
        <f>SUM('3. Variable Costs'!CR9:CR52)</f>
        <v>-11880327.943677889</v>
      </c>
      <c r="CS11" s="283">
        <f>SUM('3. Variable Costs'!CS9:CS52)</f>
        <v>-10529791.442215588</v>
      </c>
      <c r="CT11" s="283">
        <f>SUM('3. Variable Costs'!CT9:CT52)</f>
        <v>-9229091.4198440779</v>
      </c>
      <c r="CU11" s="284">
        <f>SUM('3. Variable Costs'!CU9:CU52)</f>
        <v>-7582491.320675062</v>
      </c>
      <c r="CV11" s="285">
        <f>SUM('3. Variable Costs'!CV9:CV52)</f>
        <v>-10565910.240600413</v>
      </c>
      <c r="CW11" s="283">
        <f>SUM('3. Variable Costs'!CW9:CW52)</f>
        <v>-12611300.644315654</v>
      </c>
      <c r="CX11" s="283">
        <f>SUM('3. Variable Costs'!CX9:CX52)</f>
        <v>-15128444.722153392</v>
      </c>
      <c r="CY11" s="283">
        <f>SUM('3. Variable Costs'!CY9:CY52)</f>
        <v>-14102033.369919265</v>
      </c>
      <c r="CZ11" s="283">
        <f>SUM('3. Variable Costs'!CZ9:CZ52)</f>
        <v>-13788439.837061685</v>
      </c>
      <c r="DA11" s="283">
        <f>SUM('3. Variable Costs'!DA9:DA52)</f>
        <v>-14120144.617022963</v>
      </c>
      <c r="DB11" s="283">
        <f>SUM('3. Variable Costs'!DB9:DB52)</f>
        <v>-13747804.777601687</v>
      </c>
      <c r="DC11" s="283">
        <f>SUM('3. Variable Costs'!DC9:DC52)</f>
        <v>-13870822.892954376</v>
      </c>
      <c r="DD11" s="283">
        <f>SUM('3. Variable Costs'!DD9:DD52)</f>
        <v>-12627032.763329696</v>
      </c>
      <c r="DE11" s="283">
        <f>SUM('3. Variable Costs'!DE9:DE52)</f>
        <v>-11181110.575347483</v>
      </c>
      <c r="DF11" s="283">
        <f>SUM('3. Variable Costs'!DF9:DF52)</f>
        <v>-9796950.6430284921</v>
      </c>
      <c r="DG11" s="284">
        <f>SUM('3. Variable Costs'!DG9:DG52)</f>
        <v>-8046078.1913846033</v>
      </c>
      <c r="DH11" s="285">
        <f>SUM('3. Variable Costs'!DH9:DH52)</f>
        <v>-11228731.837865066</v>
      </c>
      <c r="DI11" s="283">
        <f>SUM('3. Variable Costs'!DI9:DI52)</f>
        <v>-13402735.99297663</v>
      </c>
      <c r="DJ11" s="283">
        <f>SUM('3. Variable Costs'!DJ9:DJ52)</f>
        <v>-16040986.223300563</v>
      </c>
      <c r="DK11" s="283">
        <f>SUM('3. Variable Costs'!DK9:DK52)</f>
        <v>-14973014.236292176</v>
      </c>
      <c r="DL11" s="283">
        <f>SUM('3. Variable Costs'!DL9:DL52)</f>
        <v>-14635480.702014098</v>
      </c>
      <c r="DM11" s="283">
        <f>SUM('3. Variable Costs'!DM9:DM52)</f>
        <v>-15004435.398161402</v>
      </c>
      <c r="DN11" s="283">
        <f>SUM('3. Variable Costs'!DN9:DN52)</f>
        <v>-14603815.451368157</v>
      </c>
      <c r="DO11" s="283">
        <f>SUM('3. Variable Costs'!DO9:DO52)</f>
        <v>-14731977.504262226</v>
      </c>
      <c r="DP11" s="283">
        <f>SUM('3. Variable Costs'!DP9:DP52)</f>
        <v>-13421423.491003547</v>
      </c>
      <c r="DQ11" s="283">
        <f>SUM('3. Variable Costs'!DQ9:DQ52)</f>
        <v>-11874106.318250667</v>
      </c>
      <c r="DR11" s="283">
        <f>SUM('3. Variable Costs'!DR9:DR52)</f>
        <v>-10401228.501657508</v>
      </c>
      <c r="DS11" s="284">
        <f>SUM('3. Variable Costs'!DS9:DS52)</f>
        <v>-8539514.5393328201</v>
      </c>
    </row>
    <row r="12" spans="1:124" ht="19.5" customHeight="1" thickBot="1" x14ac:dyDescent="0.3">
      <c r="A12" s="282" t="s">
        <v>163</v>
      </c>
      <c r="B12" s="282"/>
      <c r="C12" s="52"/>
      <c r="D12" s="1134">
        <f>SUM('4. OH Expenses'!D8:D31)</f>
        <v>0</v>
      </c>
      <c r="E12" s="1134">
        <f>SUM('4. OH Expenses'!E8:E31)</f>
        <v>0</v>
      </c>
      <c r="F12" s="1134">
        <f>SUM('4. OH Expenses'!F8:F31)</f>
        <v>0</v>
      </c>
      <c r="G12" s="1134">
        <f>SUM('4. OH Expenses'!G8:G31)</f>
        <v>0</v>
      </c>
      <c r="H12" s="1134">
        <f>SUM('4. OH Expenses'!H8:H31)</f>
        <v>0</v>
      </c>
      <c r="I12" s="1134">
        <f>SUM('4. OH Expenses'!I8:I31)</f>
        <v>0</v>
      </c>
      <c r="J12" s="1134">
        <f>SUM('4. OH Expenses'!J8:J31)</f>
        <v>0</v>
      </c>
      <c r="K12" s="1134">
        <f>SUM('4. OH Expenses'!K8:K31)</f>
        <v>0</v>
      </c>
      <c r="L12" s="1134">
        <f>SUM('4. OH Expenses'!L8:L31)</f>
        <v>0</v>
      </c>
      <c r="M12" s="1134">
        <f>SUM('4. OH Expenses'!M8:M31)</f>
        <v>0</v>
      </c>
      <c r="N12" s="1134">
        <f>SUM('4. OH Expenses'!N8:N31)</f>
        <v>0</v>
      </c>
      <c r="O12" s="1135">
        <f>SUM('4. OH Expenses'!O8:O31)</f>
        <v>0</v>
      </c>
      <c r="P12" s="301">
        <f>SUM('4. OH Expenses'!P8:P31)</f>
        <v>0</v>
      </c>
      <c r="Q12" s="302">
        <f>SUM('4. OH Expenses'!Q8:Q31)</f>
        <v>0</v>
      </c>
      <c r="R12" s="302">
        <f>SUM('4. OH Expenses'!R8:R31)</f>
        <v>-691537.89302996651</v>
      </c>
      <c r="S12" s="302">
        <f>SUM('4. OH Expenses'!S8:S31)</f>
        <v>-675592.89302996651</v>
      </c>
      <c r="T12" s="302">
        <f>SUM('4. OH Expenses'!T8:T31)</f>
        <v>-649017.89302996651</v>
      </c>
      <c r="U12" s="302">
        <f>SUM('4. OH Expenses'!U8:U31)</f>
        <v>-649017.89302996651</v>
      </c>
      <c r="V12" s="302">
        <f>SUM('4. OH Expenses'!V8:V31)</f>
        <v>-675592.89302996651</v>
      </c>
      <c r="W12" s="302">
        <f>SUM('4. OH Expenses'!W8:W31)</f>
        <v>-649017.89302996651</v>
      </c>
      <c r="X12" s="302">
        <f>SUM('4. OH Expenses'!X8:X31)</f>
        <v>-649017.89302996651</v>
      </c>
      <c r="Y12" s="302">
        <f>SUM('4. OH Expenses'!Y8:Y31)</f>
        <v>-675592.89302996651</v>
      </c>
      <c r="Z12" s="302">
        <f>SUM('4. OH Expenses'!Z8:Z31)</f>
        <v>-649017.89302996651</v>
      </c>
      <c r="AA12" s="214">
        <f>SUM('4. OH Expenses'!AA8:AA31)</f>
        <v>-649017.89302996651</v>
      </c>
      <c r="AB12" s="301">
        <f>SUM('4. OH Expenses'!AB8:AB31)</f>
        <v>-736773.40029085451</v>
      </c>
      <c r="AC12" s="215">
        <f>SUM('4. OH Expenses'!AC8:AC31)</f>
        <v>-689906.0202908545</v>
      </c>
      <c r="AD12" s="215">
        <f>SUM('4. OH Expenses'!AD8:AD31)</f>
        <v>-740754.62529085448</v>
      </c>
      <c r="AE12" s="215">
        <f>SUM('4. OH Expenses'!AE8:AE31)</f>
        <v>-718155.24529085448</v>
      </c>
      <c r="AF12" s="215">
        <f>SUM('4. OH Expenses'!AF8:AF31)</f>
        <v>-689906.0202908545</v>
      </c>
      <c r="AG12" s="215">
        <f>SUM('4. OH Expenses'!AG8:AG31)</f>
        <v>-689906.0202908545</v>
      </c>
      <c r="AH12" s="215">
        <f>SUM('4. OH Expenses'!AH8:AH31)</f>
        <v>-718155.24529085448</v>
      </c>
      <c r="AI12" s="215">
        <f>SUM('4. OH Expenses'!AI8:AI31)</f>
        <v>-689906.0202908545</v>
      </c>
      <c r="AJ12" s="215">
        <f>SUM('4. OH Expenses'!AJ8:AJ31)</f>
        <v>-689906.0202908545</v>
      </c>
      <c r="AK12" s="215">
        <f>SUM('4. OH Expenses'!AK8:AK31)</f>
        <v>-718155.24529085448</v>
      </c>
      <c r="AL12" s="215">
        <f>SUM('4. OH Expenses'!AL8:AL31)</f>
        <v>-689906.0202908545</v>
      </c>
      <c r="AM12" s="214">
        <f>SUM('4. OH Expenses'!AM8:AM31)</f>
        <v>-689906.0202908545</v>
      </c>
      <c r="AN12" s="1165">
        <f>SUM('4. OH Expenses'!AN8:AN31)</f>
        <v>-809042.99353017786</v>
      </c>
      <c r="AO12" s="215">
        <f>SUM('4. OH Expenses'!AO8:AO31)</f>
        <v>-779014.06735517795</v>
      </c>
      <c r="AP12" s="215">
        <f>SUM('4. OH Expenses'!AP8:AP31)</f>
        <v>-833066.13447017793</v>
      </c>
      <c r="AQ12" s="215">
        <f>SUM('4. OH Expenses'!AQ8:AQ31)</f>
        <v>-809042.99353017786</v>
      </c>
      <c r="AR12" s="215">
        <f>SUM('4. OH Expenses'!AR8:AR31)</f>
        <v>-779014.06735517795</v>
      </c>
      <c r="AS12" s="215">
        <f>SUM('4. OH Expenses'!AS8:AS31)</f>
        <v>-779014.06735517795</v>
      </c>
      <c r="AT12" s="215">
        <f>SUM('4. OH Expenses'!AT8:AT31)</f>
        <v>-809042.99353017786</v>
      </c>
      <c r="AU12" s="215">
        <f>SUM('4. OH Expenses'!AU8:AU31)</f>
        <v>-779014.06735517795</v>
      </c>
      <c r="AV12" s="215">
        <f>SUM('4. OH Expenses'!AV8:AV31)</f>
        <v>-779014.06735517795</v>
      </c>
      <c r="AW12" s="215">
        <f>SUM('4. OH Expenses'!AW8:AW31)</f>
        <v>-809042.99353017786</v>
      </c>
      <c r="AX12" s="215">
        <f>SUM('4. OH Expenses'!AX8:AX31)</f>
        <v>-779014.06735517795</v>
      </c>
      <c r="AY12" s="214">
        <f>SUM('4. OH Expenses'!AY8:AY31)</f>
        <v>-779014.06735517795</v>
      </c>
      <c r="AZ12" s="216">
        <f>SUM('4. OH Expenses'!AZ8:AZ31)</f>
        <v>-860012.7021225791</v>
      </c>
      <c r="BA12" s="215">
        <f>SUM('4. OH Expenses'!BA8:BA31)</f>
        <v>-828091.95359855425</v>
      </c>
      <c r="BB12" s="215">
        <f>SUM('4. OH Expenses'!BB8:BB31)</f>
        <v>-885549.30094179907</v>
      </c>
      <c r="BC12" s="215">
        <f>SUM('4. OH Expenses'!BC8:BC31)</f>
        <v>-860012.7021225791</v>
      </c>
      <c r="BD12" s="215">
        <f>SUM('4. OH Expenses'!BD8:BD31)</f>
        <v>-828091.95359855425</v>
      </c>
      <c r="BE12" s="215">
        <f>SUM('4. OH Expenses'!BE8:BE31)</f>
        <v>-828091.95359855425</v>
      </c>
      <c r="BF12" s="215">
        <f>SUM('4. OH Expenses'!BF8:BF31)</f>
        <v>-860012.7021225791</v>
      </c>
      <c r="BG12" s="215">
        <f>SUM('4. OH Expenses'!BG8:BG31)</f>
        <v>-828091.95359855425</v>
      </c>
      <c r="BH12" s="215">
        <f>SUM('4. OH Expenses'!BH8:BH31)</f>
        <v>-828091.95359855425</v>
      </c>
      <c r="BI12" s="215">
        <f>SUM('4. OH Expenses'!BI8:BI31)</f>
        <v>-860012.7021225791</v>
      </c>
      <c r="BJ12" s="215">
        <f>SUM('4. OH Expenses'!BJ8:BJ31)</f>
        <v>-828091.95359855425</v>
      </c>
      <c r="BK12" s="214">
        <f>SUM('4. OH Expenses'!BK8:BK31)</f>
        <v>-828091.95359855425</v>
      </c>
      <c r="BL12" s="216">
        <f>SUM('4. OH Expenses'!BL8:BL31)</f>
        <v>-914193.50235630164</v>
      </c>
      <c r="BM12" s="215">
        <f>SUM('4. OH Expenses'!BM8:BM31)</f>
        <v>-880261.74667526328</v>
      </c>
      <c r="BN12" s="215">
        <f>SUM('4. OH Expenses'!BN8:BN31)</f>
        <v>-941338.90690113266</v>
      </c>
      <c r="BO12" s="215">
        <f>SUM('4. OH Expenses'!BO8:BO31)</f>
        <v>-914193.50235630164</v>
      </c>
      <c r="BP12" s="215">
        <f>SUM('4. OH Expenses'!BP8:BP31)</f>
        <v>-880261.74667526328</v>
      </c>
      <c r="BQ12" s="215">
        <f>SUM('4. OH Expenses'!BQ8:BQ31)</f>
        <v>-880261.74667526328</v>
      </c>
      <c r="BR12" s="215">
        <f>SUM('4. OH Expenses'!BR8:BR31)</f>
        <v>-914193.50235630164</v>
      </c>
      <c r="BS12" s="215">
        <f>SUM('4. OH Expenses'!BS8:BS31)</f>
        <v>-880261.74667526328</v>
      </c>
      <c r="BT12" s="215">
        <f>SUM('4. OH Expenses'!BT8:BT31)</f>
        <v>-880261.74667526328</v>
      </c>
      <c r="BU12" s="215">
        <f>SUM('4. OH Expenses'!BU8:BU31)</f>
        <v>-914193.50235630164</v>
      </c>
      <c r="BV12" s="215">
        <f>SUM('4. OH Expenses'!BV8:BV31)</f>
        <v>-880261.74667526328</v>
      </c>
      <c r="BW12" s="214">
        <f>SUM('4. OH Expenses'!BW8:BW31)</f>
        <v>-880261.74667526328</v>
      </c>
      <c r="BX12" s="216">
        <f>SUM('4. OH Expenses'!BX8:BX31)</f>
        <v>-971787.69300474867</v>
      </c>
      <c r="BY12" s="215">
        <f>SUM('4. OH Expenses'!BY8:BY31)</f>
        <v>-935718.23671580467</v>
      </c>
      <c r="BZ12" s="215">
        <f>SUM('4. OH Expenses'!BZ8:BZ31)</f>
        <v>-1000643.2580359039</v>
      </c>
      <c r="CA12" s="215">
        <f>SUM('4. OH Expenses'!CA8:CA31)</f>
        <v>-971787.69300474867</v>
      </c>
      <c r="CB12" s="215">
        <f>SUM('4. OH Expenses'!CB8:CB31)</f>
        <v>-935718.23671580467</v>
      </c>
      <c r="CC12" s="215">
        <f>SUM('4. OH Expenses'!CC8:CC31)</f>
        <v>-935718.23671580467</v>
      </c>
      <c r="CD12" s="215">
        <f>SUM('4. OH Expenses'!CD8:CD31)</f>
        <v>-971787.69300474867</v>
      </c>
      <c r="CE12" s="215">
        <f>SUM('4. OH Expenses'!CE8:CE31)</f>
        <v>-935718.23671580467</v>
      </c>
      <c r="CF12" s="215">
        <f>SUM('4. OH Expenses'!CF8:CF31)</f>
        <v>-935718.23671580467</v>
      </c>
      <c r="CG12" s="215">
        <f>SUM('4. OH Expenses'!CG8:CG31)</f>
        <v>-971787.69300474867</v>
      </c>
      <c r="CH12" s="215">
        <f>SUM('4. OH Expenses'!CH8:CH31)</f>
        <v>-935718.23671580467</v>
      </c>
      <c r="CI12" s="214">
        <f>SUM('4. OH Expenses'!CI8:CI31)</f>
        <v>-935718.23671580467</v>
      </c>
      <c r="CJ12" s="216">
        <f>SUM('4. OH Expenses'!CJ8:CJ31)</f>
        <v>-1033010.3176640478</v>
      </c>
      <c r="CK12" s="215">
        <f>SUM('4. OH Expenses'!CK8:CK31)</f>
        <v>-994668.48562890047</v>
      </c>
      <c r="CL12" s="215">
        <f>SUM('4. OH Expenses'!CL8:CL31)</f>
        <v>-1063683.783292166</v>
      </c>
      <c r="CM12" s="215">
        <f>SUM('4. OH Expenses'!CM8:CM31)</f>
        <v>-1033010.3176640478</v>
      </c>
      <c r="CN12" s="215">
        <f>SUM('4. OH Expenses'!CN8:CN31)</f>
        <v>-994668.48562890047</v>
      </c>
      <c r="CO12" s="215">
        <f>SUM('4. OH Expenses'!CO8:CO31)</f>
        <v>-994668.48562890047</v>
      </c>
      <c r="CP12" s="215">
        <f>SUM('4. OH Expenses'!CP8:CP31)</f>
        <v>-1033010.3176640478</v>
      </c>
      <c r="CQ12" s="215">
        <f>SUM('4. OH Expenses'!CQ8:CQ31)</f>
        <v>-994668.48562890047</v>
      </c>
      <c r="CR12" s="215">
        <f>SUM('4. OH Expenses'!CR8:CR31)</f>
        <v>-994668.48562890047</v>
      </c>
      <c r="CS12" s="215">
        <f>SUM('4. OH Expenses'!CS8:CS31)</f>
        <v>-1033010.3176640478</v>
      </c>
      <c r="CT12" s="215">
        <f>SUM('4. OH Expenses'!CT8:CT31)</f>
        <v>-994668.48562890047</v>
      </c>
      <c r="CU12" s="214">
        <f>SUM('4. OH Expenses'!CU8:CU31)</f>
        <v>-994668.48562890047</v>
      </c>
      <c r="CV12" s="216">
        <f>SUM('4. OH Expenses'!CV8:CV31)</f>
        <v>-1098089.9676768829</v>
      </c>
      <c r="CW12" s="215">
        <f>SUM('4. OH Expenses'!CW8:CW31)</f>
        <v>-1057332.600223521</v>
      </c>
      <c r="CX12" s="215">
        <f>SUM('4. OH Expenses'!CX8:CX31)</f>
        <v>-1130695.8616395718</v>
      </c>
      <c r="CY12" s="215">
        <f>SUM('4. OH Expenses'!CY8:CY31)</f>
        <v>-1098089.9676768829</v>
      </c>
      <c r="CZ12" s="215">
        <f>SUM('4. OH Expenses'!CZ8:CZ31)</f>
        <v>-1057332.600223521</v>
      </c>
      <c r="DA12" s="215">
        <f>SUM('4. OH Expenses'!DA8:DA31)</f>
        <v>-1057332.600223521</v>
      </c>
      <c r="DB12" s="215">
        <f>SUM('4. OH Expenses'!DB8:DB31)</f>
        <v>-1098089.9676768829</v>
      </c>
      <c r="DC12" s="215">
        <f>SUM('4. OH Expenses'!DC8:DC31)</f>
        <v>-1057332.600223521</v>
      </c>
      <c r="DD12" s="215">
        <f>SUM('4. OH Expenses'!DD8:DD31)</f>
        <v>-1057332.600223521</v>
      </c>
      <c r="DE12" s="215">
        <f>SUM('4. OH Expenses'!DE8:DE31)</f>
        <v>-1098089.9676768829</v>
      </c>
      <c r="DF12" s="215">
        <f>SUM('4. OH Expenses'!DF8:DF31)</f>
        <v>-1057332.600223521</v>
      </c>
      <c r="DG12" s="214">
        <f>SUM('4. OH Expenses'!DG8:DG31)</f>
        <v>-1057332.600223521</v>
      </c>
      <c r="DH12" s="216">
        <f>SUM('4. OH Expenses'!DH8:DH31)</f>
        <v>-1167269.6356405262</v>
      </c>
      <c r="DI12" s="215">
        <f>SUM('4. OH Expenses'!DI8:DI31)</f>
        <v>-1123944.5540376026</v>
      </c>
      <c r="DJ12" s="215">
        <f>SUM('4. OH Expenses'!DJ8:DJ31)</f>
        <v>-1201929.700922865</v>
      </c>
      <c r="DK12" s="215">
        <f>SUM('4. OH Expenses'!DK8:DK31)</f>
        <v>-1167269.6356405262</v>
      </c>
      <c r="DL12" s="215">
        <f>SUM('4. OH Expenses'!DL8:DL31)</f>
        <v>-1123944.5540376026</v>
      </c>
      <c r="DM12" s="215">
        <f>SUM('4. OH Expenses'!DM8:DM31)</f>
        <v>-1123944.5540376026</v>
      </c>
      <c r="DN12" s="215">
        <f>SUM('4. OH Expenses'!DN8:DN31)</f>
        <v>-1167269.6356405262</v>
      </c>
      <c r="DO12" s="215">
        <f>SUM('4. OH Expenses'!DO8:DO31)</f>
        <v>-1123944.5540376026</v>
      </c>
      <c r="DP12" s="215">
        <f>SUM('4. OH Expenses'!DP8:DP31)</f>
        <v>-1123944.5540376026</v>
      </c>
      <c r="DQ12" s="215">
        <f>SUM('4. OH Expenses'!DQ8:DQ31)</f>
        <v>-1167269.6356405262</v>
      </c>
      <c r="DR12" s="215">
        <f>SUM('4. OH Expenses'!DR8:DR31)</f>
        <v>-1123944.5540376026</v>
      </c>
      <c r="DS12" s="214">
        <f>SUM('4. OH Expenses'!DS8:DS31)</f>
        <v>-1123944.5540376026</v>
      </c>
    </row>
    <row r="13" spans="1:124" ht="22.5" customHeight="1" x14ac:dyDescent="0.3">
      <c r="A13" s="1413" t="s">
        <v>50</v>
      </c>
      <c r="B13" s="1413"/>
      <c r="C13" s="105"/>
      <c r="D13" s="1128">
        <f t="shared" ref="D13:M13" si="0">SUM(D8:D12)</f>
        <v>0</v>
      </c>
      <c r="E13" s="1128">
        <f t="shared" si="0"/>
        <v>0</v>
      </c>
      <c r="F13" s="1128">
        <f t="shared" si="0"/>
        <v>0</v>
      </c>
      <c r="G13" s="1128">
        <f t="shared" si="0"/>
        <v>0</v>
      </c>
      <c r="H13" s="1128">
        <f t="shared" si="0"/>
        <v>0</v>
      </c>
      <c r="I13" s="1128">
        <f t="shared" si="0"/>
        <v>0</v>
      </c>
      <c r="J13" s="1128">
        <f t="shared" si="0"/>
        <v>0</v>
      </c>
      <c r="K13" s="1128">
        <f t="shared" si="0"/>
        <v>0</v>
      </c>
      <c r="L13" s="1128">
        <f t="shared" si="0"/>
        <v>0</v>
      </c>
      <c r="M13" s="1128">
        <f t="shared" si="0"/>
        <v>0</v>
      </c>
      <c r="N13" s="1128">
        <f>SUM(N8:N12)</f>
        <v>0</v>
      </c>
      <c r="O13" s="1129">
        <f>SUM(O8:O12)</f>
        <v>0</v>
      </c>
      <c r="P13" s="297">
        <f>SUM(P8:P12)</f>
        <v>0</v>
      </c>
      <c r="Q13" s="298">
        <f>SUM(Q8:Q12)</f>
        <v>0</v>
      </c>
      <c r="R13" s="298">
        <f>SUM(R8:R12)</f>
        <v>-1642256.6304938598</v>
      </c>
      <c r="S13" s="298">
        <f t="shared" ref="S13:CB13" si="1">SUM(S8:S12)</f>
        <v>-879617.63049385988</v>
      </c>
      <c r="T13" s="298">
        <f t="shared" si="1"/>
        <v>-927452.63049385988</v>
      </c>
      <c r="U13" s="298">
        <f t="shared" si="1"/>
        <v>-883641.73174780514</v>
      </c>
      <c r="V13" s="298">
        <f t="shared" si="1"/>
        <v>-1010678.0435397194</v>
      </c>
      <c r="W13" s="298">
        <f t="shared" si="1"/>
        <v>-1082753.0133572901</v>
      </c>
      <c r="X13" s="298">
        <f t="shared" si="1"/>
        <v>-1086782.2619172267</v>
      </c>
      <c r="Y13" s="298">
        <f t="shared" si="1"/>
        <v>-1163873.9853928988</v>
      </c>
      <c r="Z13" s="298">
        <f t="shared" si="1"/>
        <v>-1261820.2346649906</v>
      </c>
      <c r="AA13" s="208">
        <f t="shared" si="1"/>
        <v>-1250770.2046654406</v>
      </c>
      <c r="AB13" s="297">
        <f t="shared" si="1"/>
        <v>-1741270.9588400545</v>
      </c>
      <c r="AC13" s="209">
        <f t="shared" si="1"/>
        <v>-2275085.4439153997</v>
      </c>
      <c r="AD13" s="209">
        <f t="shared" si="1"/>
        <v>-3175231.1880636471</v>
      </c>
      <c r="AE13" s="209">
        <f t="shared" si="1"/>
        <v>-2674466.6040142328</v>
      </c>
      <c r="AF13" s="209">
        <f t="shared" si="1"/>
        <v>-3663333.9402723918</v>
      </c>
      <c r="AG13" s="209">
        <f t="shared" si="1"/>
        <v>-4310596.7848083321</v>
      </c>
      <c r="AH13" s="209">
        <f t="shared" si="1"/>
        <v>-5069537.336284399</v>
      </c>
      <c r="AI13" s="209">
        <f t="shared" si="1"/>
        <v>-6068063.6432019779</v>
      </c>
      <c r="AJ13" s="209">
        <f t="shared" si="1"/>
        <v>-6039009.6138329031</v>
      </c>
      <c r="AK13" s="209">
        <f t="shared" si="1"/>
        <v>-5890010.7986387126</v>
      </c>
      <c r="AL13" s="209">
        <f t="shared" si="1"/>
        <v>-6118797.5363902617</v>
      </c>
      <c r="AM13" s="208">
        <f t="shared" si="1"/>
        <v>-5142738.4206880024</v>
      </c>
      <c r="AN13" s="1166">
        <f t="shared" si="1"/>
        <v>-7847102.6481450461</v>
      </c>
      <c r="AO13" s="209">
        <f t="shared" si="1"/>
        <v>-10160212.525796108</v>
      </c>
      <c r="AP13" s="209">
        <f t="shared" si="1"/>
        <v>-8356336.0358051918</v>
      </c>
      <c r="AQ13" s="209">
        <f t="shared" si="1"/>
        <v>-5685021.8502742266</v>
      </c>
      <c r="AR13" s="209">
        <f t="shared" si="1"/>
        <v>4481611.1128721964</v>
      </c>
      <c r="AS13" s="209">
        <f t="shared" si="1"/>
        <v>12982841.912033942</v>
      </c>
      <c r="AT13" s="209">
        <f t="shared" si="1"/>
        <v>5337864.8413359644</v>
      </c>
      <c r="AU13" s="209">
        <f t="shared" si="1"/>
        <v>667207.3603223156</v>
      </c>
      <c r="AV13" s="209">
        <f t="shared" si="1"/>
        <v>4020013.9774695192</v>
      </c>
      <c r="AW13" s="209">
        <f t="shared" si="1"/>
        <v>3010921.5464935298</v>
      </c>
      <c r="AX13" s="209">
        <f t="shared" si="1"/>
        <v>1651052.6776870205</v>
      </c>
      <c r="AY13" s="208">
        <f t="shared" si="1"/>
        <v>9065978.0535274334</v>
      </c>
      <c r="AZ13" s="210">
        <f t="shared" si="1"/>
        <v>6920023.9805277148</v>
      </c>
      <c r="BA13" s="209">
        <f t="shared" si="1"/>
        <v>3799154.1373601677</v>
      </c>
      <c r="BB13" s="209">
        <f t="shared" si="1"/>
        <v>-6581710.0361158689</v>
      </c>
      <c r="BC13" s="209">
        <f t="shared" si="1"/>
        <v>-3873736.8822946325</v>
      </c>
      <c r="BD13" s="209">
        <f t="shared" si="1"/>
        <v>2398833.4988482418</v>
      </c>
      <c r="BE13" s="209">
        <f t="shared" si="1"/>
        <v>13654573.321252998</v>
      </c>
      <c r="BF13" s="209">
        <f t="shared" si="1"/>
        <v>5466864.892385087</v>
      </c>
      <c r="BG13" s="209">
        <f t="shared" si="1"/>
        <v>713101.27480132971</v>
      </c>
      <c r="BH13" s="209">
        <f t="shared" si="1"/>
        <v>6292284.7312328285</v>
      </c>
      <c r="BI13" s="209">
        <f t="shared" si="1"/>
        <v>859361.90417079744</v>
      </c>
      <c r="BJ13" s="209">
        <f t="shared" si="1"/>
        <v>3902949.1189670386</v>
      </c>
      <c r="BK13" s="208">
        <f t="shared" si="1"/>
        <v>9633231.8598836511</v>
      </c>
      <c r="BL13" s="210">
        <f t="shared" si="1"/>
        <v>7200397.5968227889</v>
      </c>
      <c r="BM13" s="209">
        <f t="shared" si="1"/>
        <v>1762604.4108198518</v>
      </c>
      <c r="BN13" s="209">
        <f t="shared" si="1"/>
        <v>-4578597.978520913</v>
      </c>
      <c r="BO13" s="209">
        <f t="shared" si="1"/>
        <v>-4117350.4772795155</v>
      </c>
      <c r="BP13" s="209">
        <f t="shared" si="1"/>
        <v>2516057.0229762709</v>
      </c>
      <c r="BQ13" s="209">
        <f t="shared" si="1"/>
        <v>14445296.72726927</v>
      </c>
      <c r="BR13" s="209">
        <f t="shared" si="1"/>
        <v>5794733.3945580721</v>
      </c>
      <c r="BS13" s="209">
        <f t="shared" si="1"/>
        <v>734459.26685498364</v>
      </c>
      <c r="BT13" s="209">
        <f t="shared" si="1"/>
        <v>6759274.7498874525</v>
      </c>
      <c r="BU13" s="209">
        <f t="shared" si="1"/>
        <v>907900.5201449435</v>
      </c>
      <c r="BV13" s="209">
        <f t="shared" si="1"/>
        <v>1615897.6759670172</v>
      </c>
      <c r="BW13" s="208">
        <f t="shared" si="1"/>
        <v>10173756.064339787</v>
      </c>
      <c r="BX13" s="210">
        <f t="shared" si="1"/>
        <v>12259234.420986043</v>
      </c>
      <c r="BY13" s="209">
        <f t="shared" si="1"/>
        <v>-4317341.6652348209</v>
      </c>
      <c r="BZ13" s="209">
        <f t="shared" si="1"/>
        <v>-4969137.268410258</v>
      </c>
      <c r="CA13" s="209">
        <f t="shared" si="1"/>
        <v>-6960428.595661561</v>
      </c>
      <c r="CB13" s="209">
        <f t="shared" si="1"/>
        <v>7575266.0598810632</v>
      </c>
      <c r="CC13" s="209">
        <f t="shared" ref="CC13:DS13" si="2">SUM(CC8:CC12)</f>
        <v>12913876.916851357</v>
      </c>
      <c r="CD13" s="209">
        <f t="shared" si="2"/>
        <v>6139019.4872375904</v>
      </c>
      <c r="CE13" s="209">
        <f t="shared" si="2"/>
        <v>751673.13702357572</v>
      </c>
      <c r="CF13" s="209">
        <f t="shared" si="2"/>
        <v>7133575.9447632656</v>
      </c>
      <c r="CG13" s="209">
        <f t="shared" si="2"/>
        <v>956510.49404917762</v>
      </c>
      <c r="CH13" s="209">
        <f t="shared" si="2"/>
        <v>1811501.1182255931</v>
      </c>
      <c r="CI13" s="208">
        <f t="shared" si="2"/>
        <v>10652887.672336783</v>
      </c>
      <c r="CJ13" s="210">
        <f t="shared" si="2"/>
        <v>10551526.82475316</v>
      </c>
      <c r="CK13" s="209">
        <f t="shared" si="2"/>
        <v>1828626.6405754914</v>
      </c>
      <c r="CL13" s="209">
        <f t="shared" si="2"/>
        <v>-8148424.3655674588</v>
      </c>
      <c r="CM13" s="209">
        <f t="shared" si="2"/>
        <v>-5298534.2805432044</v>
      </c>
      <c r="CN13" s="209">
        <f t="shared" si="2"/>
        <v>4605408.967339105</v>
      </c>
      <c r="CO13" s="209">
        <f t="shared" si="2"/>
        <v>15033443.799441596</v>
      </c>
      <c r="CP13" s="209">
        <f t="shared" si="2"/>
        <v>5606824.0134353656</v>
      </c>
      <c r="CQ13" s="209">
        <f t="shared" si="2"/>
        <v>16655.986084739328</v>
      </c>
      <c r="CR13" s="209">
        <f t="shared" si="2"/>
        <v>4127669.235782851</v>
      </c>
      <c r="CS13" s="209">
        <f t="shared" si="2"/>
        <v>2882481.6908111386</v>
      </c>
      <c r="CT13" s="209">
        <f t="shared" si="2"/>
        <v>3858094.9699243312</v>
      </c>
      <c r="CU13" s="208">
        <f t="shared" si="2"/>
        <v>10464454.511669621</v>
      </c>
      <c r="CV13" s="210">
        <f t="shared" si="2"/>
        <v>7807269.0347533533</v>
      </c>
      <c r="CW13" s="209">
        <f t="shared" si="2"/>
        <v>1435778.3142733925</v>
      </c>
      <c r="CX13" s="209">
        <f t="shared" si="2"/>
        <v>-8361314.8385746721</v>
      </c>
      <c r="CY13" s="209">
        <f t="shared" si="2"/>
        <v>-2323038.4705477254</v>
      </c>
      <c r="CZ13" s="209">
        <f t="shared" si="2"/>
        <v>2900389.7395751197</v>
      </c>
      <c r="DA13" s="209">
        <f t="shared" si="2"/>
        <v>14416375.644684494</v>
      </c>
      <c r="DB13" s="209">
        <f t="shared" si="2"/>
        <v>6878799.4485456208</v>
      </c>
      <c r="DC13" s="209">
        <f t="shared" si="2"/>
        <v>769678.3153706172</v>
      </c>
      <c r="DD13" s="209">
        <f t="shared" si="2"/>
        <v>7791571.9689113181</v>
      </c>
      <c r="DE13" s="209">
        <f t="shared" si="2"/>
        <v>1011640.0636227529</v>
      </c>
      <c r="DF13" s="209">
        <f t="shared" si="2"/>
        <v>7484967.0900018029</v>
      </c>
      <c r="DG13" s="208">
        <f t="shared" si="2"/>
        <v>12111679.389154898</v>
      </c>
      <c r="DH13" s="210">
        <f t="shared" si="2"/>
        <v>8983496.6277595703</v>
      </c>
      <c r="DI13" s="209">
        <f t="shared" si="2"/>
        <v>-548863.10462864488</v>
      </c>
      <c r="DJ13" s="209">
        <f t="shared" si="2"/>
        <v>-5969212.8676137496</v>
      </c>
      <c r="DK13" s="209">
        <f t="shared" si="2"/>
        <v>-5556057.7026770804</v>
      </c>
      <c r="DL13" s="209">
        <f t="shared" si="2"/>
        <v>6067568.3228239827</v>
      </c>
      <c r="DM13" s="209">
        <f t="shared" si="2"/>
        <v>15219991.971499637</v>
      </c>
      <c r="DN13" s="209">
        <f t="shared" si="2"/>
        <v>7231842.472908942</v>
      </c>
      <c r="DO13" s="209">
        <f t="shared" si="2"/>
        <v>3603530.6500276215</v>
      </c>
      <c r="DP13" s="209">
        <f t="shared" si="2"/>
        <v>5560236.4690374341</v>
      </c>
      <c r="DQ13" s="209">
        <f t="shared" si="2"/>
        <v>1055389.4199649822</v>
      </c>
      <c r="DR13" s="209">
        <f t="shared" si="2"/>
        <v>4686631.5356771927</v>
      </c>
      <c r="DS13" s="208">
        <f t="shared" si="2"/>
        <v>12809686.291256391</v>
      </c>
    </row>
    <row r="14" spans="1:124" ht="19.5" customHeight="1" thickBot="1" x14ac:dyDescent="0.3">
      <c r="A14" s="1422" t="s">
        <v>104</v>
      </c>
      <c r="B14" s="1423"/>
      <c r="C14" s="52"/>
      <c r="D14" s="1136">
        <f>'5.Depreciation'!$F62/12</f>
        <v>-383653.39155628486</v>
      </c>
      <c r="E14" s="1136">
        <f>'5.Depreciation'!$F62/12</f>
        <v>-383653.39155628486</v>
      </c>
      <c r="F14" s="1136">
        <f>'5.Depreciation'!$F62/12</f>
        <v>-383653.39155628486</v>
      </c>
      <c r="G14" s="1136">
        <f>'5.Depreciation'!$F62/12</f>
        <v>-383653.39155628486</v>
      </c>
      <c r="H14" s="1136">
        <f>'5.Depreciation'!$F62/12</f>
        <v>-383653.39155628486</v>
      </c>
      <c r="I14" s="1136">
        <f>'5.Depreciation'!$F62/12</f>
        <v>-383653.39155628486</v>
      </c>
      <c r="J14" s="1136">
        <f>'5.Depreciation'!$F62/12</f>
        <v>-383653.39155628486</v>
      </c>
      <c r="K14" s="1136">
        <f>'5.Depreciation'!$F62/12</f>
        <v>-383653.39155628486</v>
      </c>
      <c r="L14" s="1136">
        <f>'5.Depreciation'!$F62/12</f>
        <v>-383653.39155628486</v>
      </c>
      <c r="M14" s="1136">
        <f>'5.Depreciation'!$F62/12</f>
        <v>-383653.39155628486</v>
      </c>
      <c r="N14" s="1136">
        <f>'5.Depreciation'!$F62/12</f>
        <v>-383653.39155628486</v>
      </c>
      <c r="O14" s="1135">
        <f>'5.Depreciation'!$F62/12</f>
        <v>-383653.39155628486</v>
      </c>
      <c r="P14" s="216">
        <f>'5.Depreciation'!$G62/12</f>
        <v>-709105.64155628486</v>
      </c>
      <c r="Q14" s="215">
        <f>'5.Depreciation'!$G62/12</f>
        <v>-709105.64155628486</v>
      </c>
      <c r="R14" s="215">
        <f>'5.Depreciation'!$G62/12</f>
        <v>-709105.64155628486</v>
      </c>
      <c r="S14" s="215">
        <f>'5.Depreciation'!$G62/12</f>
        <v>-709105.64155628486</v>
      </c>
      <c r="T14" s="215">
        <f>'5.Depreciation'!$G62/12</f>
        <v>-709105.64155628486</v>
      </c>
      <c r="U14" s="215">
        <f>'5.Depreciation'!$G62/12</f>
        <v>-709105.64155628486</v>
      </c>
      <c r="V14" s="215">
        <f>'5.Depreciation'!$G62/12</f>
        <v>-709105.64155628486</v>
      </c>
      <c r="W14" s="215">
        <f>'5.Depreciation'!$G62/12</f>
        <v>-709105.64155628486</v>
      </c>
      <c r="X14" s="215">
        <f>'5.Depreciation'!$G62/12</f>
        <v>-709105.64155628486</v>
      </c>
      <c r="Y14" s="215">
        <f>'5.Depreciation'!$G62/12</f>
        <v>-709105.64155628486</v>
      </c>
      <c r="Z14" s="215">
        <f>'5.Depreciation'!$G62/12</f>
        <v>-709105.64155628486</v>
      </c>
      <c r="AA14" s="214">
        <f>'5.Depreciation'!$G62/12</f>
        <v>-709105.64155628486</v>
      </c>
      <c r="AB14" s="216">
        <f>'5.Depreciation'!$H62/12</f>
        <v>-709105.64155628486</v>
      </c>
      <c r="AC14" s="216">
        <f>'5.Depreciation'!$H62/12</f>
        <v>-709105.64155628486</v>
      </c>
      <c r="AD14" s="216">
        <f>'5.Depreciation'!$H62/12</f>
        <v>-709105.64155628486</v>
      </c>
      <c r="AE14" s="216">
        <f>'5.Depreciation'!$H62/12</f>
        <v>-709105.64155628486</v>
      </c>
      <c r="AF14" s="216">
        <f>'5.Depreciation'!$H62/12</f>
        <v>-709105.64155628486</v>
      </c>
      <c r="AG14" s="216">
        <f>'5.Depreciation'!$H62/12</f>
        <v>-709105.64155628486</v>
      </c>
      <c r="AH14" s="216">
        <f>'5.Depreciation'!$H62/12</f>
        <v>-709105.64155628486</v>
      </c>
      <c r="AI14" s="216">
        <f>'5.Depreciation'!$H62/12</f>
        <v>-709105.64155628486</v>
      </c>
      <c r="AJ14" s="216">
        <f>'5.Depreciation'!$H62/12</f>
        <v>-709105.64155628486</v>
      </c>
      <c r="AK14" s="216">
        <f>'5.Depreciation'!$H62/12</f>
        <v>-709105.64155628486</v>
      </c>
      <c r="AL14" s="216">
        <f>'5.Depreciation'!$H62/12</f>
        <v>-709105.64155628486</v>
      </c>
      <c r="AM14" s="804">
        <f>'5.Depreciation'!$H62/12</f>
        <v>-709105.64155628486</v>
      </c>
      <c r="AN14" s="1165">
        <f>'5.Depreciation'!$I62/12</f>
        <v>-709105.64155628486</v>
      </c>
      <c r="AO14" s="216">
        <f>'5.Depreciation'!$I62/12</f>
        <v>-709105.64155628486</v>
      </c>
      <c r="AP14" s="216">
        <f>'5.Depreciation'!$I62/12</f>
        <v>-709105.64155628486</v>
      </c>
      <c r="AQ14" s="216">
        <f>'5.Depreciation'!$I62/12</f>
        <v>-709105.64155628486</v>
      </c>
      <c r="AR14" s="216">
        <f>'5.Depreciation'!$I62/12</f>
        <v>-709105.64155628486</v>
      </c>
      <c r="AS14" s="216">
        <f>'5.Depreciation'!$I62/12</f>
        <v>-709105.64155628486</v>
      </c>
      <c r="AT14" s="216">
        <f>'5.Depreciation'!$I62/12</f>
        <v>-709105.64155628486</v>
      </c>
      <c r="AU14" s="216">
        <f>'5.Depreciation'!$I62/12</f>
        <v>-709105.64155628486</v>
      </c>
      <c r="AV14" s="216">
        <f>'5.Depreciation'!$I62/12</f>
        <v>-709105.64155628486</v>
      </c>
      <c r="AW14" s="216">
        <f>'5.Depreciation'!$I62/12</f>
        <v>-709105.64155628486</v>
      </c>
      <c r="AX14" s="216">
        <f>'5.Depreciation'!$I62/12</f>
        <v>-709105.64155628486</v>
      </c>
      <c r="AY14" s="804">
        <f>'5.Depreciation'!$I62/12</f>
        <v>-709105.64155628486</v>
      </c>
      <c r="AZ14" s="216">
        <f>'5.Depreciation'!$J62/12</f>
        <v>-709105.64155628486</v>
      </c>
      <c r="BA14" s="216">
        <f>'5.Depreciation'!$J62/12</f>
        <v>-709105.64155628486</v>
      </c>
      <c r="BB14" s="216">
        <f>'5.Depreciation'!$J62/12</f>
        <v>-709105.64155628486</v>
      </c>
      <c r="BC14" s="216">
        <f>'5.Depreciation'!$J62/12</f>
        <v>-709105.64155628486</v>
      </c>
      <c r="BD14" s="216">
        <f>'5.Depreciation'!$J62/12</f>
        <v>-709105.64155628486</v>
      </c>
      <c r="BE14" s="216">
        <f>'5.Depreciation'!$J62/12</f>
        <v>-709105.64155628486</v>
      </c>
      <c r="BF14" s="216">
        <f>'5.Depreciation'!$J62/12</f>
        <v>-709105.64155628486</v>
      </c>
      <c r="BG14" s="216">
        <f>'5.Depreciation'!$J62/12</f>
        <v>-709105.64155628486</v>
      </c>
      <c r="BH14" s="216">
        <f>'5.Depreciation'!$J62/12</f>
        <v>-709105.64155628486</v>
      </c>
      <c r="BI14" s="216">
        <f>'5.Depreciation'!$J62/12</f>
        <v>-709105.64155628486</v>
      </c>
      <c r="BJ14" s="216">
        <f>'5.Depreciation'!$J62/12</f>
        <v>-709105.64155628486</v>
      </c>
      <c r="BK14" s="804">
        <f>'5.Depreciation'!$J62/12</f>
        <v>-709105.64155628486</v>
      </c>
      <c r="BL14" s="216">
        <f>'5.Depreciation'!$K62/12</f>
        <v>-461506.625</v>
      </c>
      <c r="BM14" s="216">
        <f>'5.Depreciation'!$K62/12</f>
        <v>-461506.625</v>
      </c>
      <c r="BN14" s="216">
        <f>'5.Depreciation'!$K62/12</f>
        <v>-461506.625</v>
      </c>
      <c r="BO14" s="216">
        <f>'5.Depreciation'!$K62/12</f>
        <v>-461506.625</v>
      </c>
      <c r="BP14" s="216">
        <f>'5.Depreciation'!$K62/12</f>
        <v>-461506.625</v>
      </c>
      <c r="BQ14" s="216">
        <f>'5.Depreciation'!$K62/12</f>
        <v>-461506.625</v>
      </c>
      <c r="BR14" s="216">
        <f>'5.Depreciation'!$K62/12</f>
        <v>-461506.625</v>
      </c>
      <c r="BS14" s="216">
        <f>'5.Depreciation'!$K62/12</f>
        <v>-461506.625</v>
      </c>
      <c r="BT14" s="216">
        <f>'5.Depreciation'!$K62/12</f>
        <v>-461506.625</v>
      </c>
      <c r="BU14" s="216">
        <f>'5.Depreciation'!$K62/12</f>
        <v>-461506.625</v>
      </c>
      <c r="BV14" s="216">
        <f>'5.Depreciation'!$K62/12</f>
        <v>-461506.625</v>
      </c>
      <c r="BW14" s="804">
        <f>'5.Depreciation'!$K62/12</f>
        <v>-461506.625</v>
      </c>
      <c r="BX14" s="216">
        <f>'5.Depreciation'!$L62/12</f>
        <v>-461506.625</v>
      </c>
      <c r="BY14" s="216">
        <f>'5.Depreciation'!$L62/12</f>
        <v>-461506.625</v>
      </c>
      <c r="BZ14" s="216">
        <f>'5.Depreciation'!$L62/12</f>
        <v>-461506.625</v>
      </c>
      <c r="CA14" s="216">
        <f>'5.Depreciation'!$L62/12</f>
        <v>-461506.625</v>
      </c>
      <c r="CB14" s="216">
        <f>'5.Depreciation'!$L62/12</f>
        <v>-461506.625</v>
      </c>
      <c r="CC14" s="216">
        <f>'5.Depreciation'!$L62/12</f>
        <v>-461506.625</v>
      </c>
      <c r="CD14" s="216">
        <f>'5.Depreciation'!$L62/12</f>
        <v>-461506.625</v>
      </c>
      <c r="CE14" s="216">
        <f>'5.Depreciation'!$L62/12</f>
        <v>-461506.625</v>
      </c>
      <c r="CF14" s="216">
        <f>'5.Depreciation'!$L62/12</f>
        <v>-461506.625</v>
      </c>
      <c r="CG14" s="216">
        <f>'5.Depreciation'!$L62/12</f>
        <v>-461506.625</v>
      </c>
      <c r="CH14" s="216">
        <f>'5.Depreciation'!$L62/12</f>
        <v>-461506.625</v>
      </c>
      <c r="CI14" s="804">
        <f>'5.Depreciation'!$L62/12</f>
        <v>-461506.625</v>
      </c>
      <c r="CJ14" s="216">
        <f>'5.Depreciation'!$M62/12</f>
        <v>-461506.625</v>
      </c>
      <c r="CK14" s="216">
        <f>'5.Depreciation'!$M62/12</f>
        <v>-461506.625</v>
      </c>
      <c r="CL14" s="216">
        <f>'5.Depreciation'!$M62/12</f>
        <v>-461506.625</v>
      </c>
      <c r="CM14" s="216">
        <f>'5.Depreciation'!$M62/12</f>
        <v>-461506.625</v>
      </c>
      <c r="CN14" s="216">
        <f>'5.Depreciation'!$M62/12</f>
        <v>-461506.625</v>
      </c>
      <c r="CO14" s="216">
        <f>'5.Depreciation'!$M62/12</f>
        <v>-461506.625</v>
      </c>
      <c r="CP14" s="216">
        <f>'5.Depreciation'!$M62/12</f>
        <v>-461506.625</v>
      </c>
      <c r="CQ14" s="216">
        <f>'5.Depreciation'!$M62/12</f>
        <v>-461506.625</v>
      </c>
      <c r="CR14" s="216">
        <f>'5.Depreciation'!$M62/12</f>
        <v>-461506.625</v>
      </c>
      <c r="CS14" s="216">
        <f>'5.Depreciation'!$M62/12</f>
        <v>-461506.625</v>
      </c>
      <c r="CT14" s="216">
        <f>'5.Depreciation'!$M62/12</f>
        <v>-461506.625</v>
      </c>
      <c r="CU14" s="804">
        <f>'5.Depreciation'!$M62/12</f>
        <v>-461506.625</v>
      </c>
      <c r="CV14" s="216">
        <f>'5.Depreciation'!$N62/12</f>
        <v>-461506.625</v>
      </c>
      <c r="CW14" s="216">
        <f>'5.Depreciation'!$N62/12</f>
        <v>-461506.625</v>
      </c>
      <c r="CX14" s="216">
        <f>'5.Depreciation'!$N62/12</f>
        <v>-461506.625</v>
      </c>
      <c r="CY14" s="216">
        <f>'5.Depreciation'!$N62/12</f>
        <v>-461506.625</v>
      </c>
      <c r="CZ14" s="216">
        <f>'5.Depreciation'!$N62/12</f>
        <v>-461506.625</v>
      </c>
      <c r="DA14" s="216">
        <f>'5.Depreciation'!$N62/12</f>
        <v>-461506.625</v>
      </c>
      <c r="DB14" s="216">
        <f>'5.Depreciation'!$N62/12</f>
        <v>-461506.625</v>
      </c>
      <c r="DC14" s="216">
        <f>'5.Depreciation'!$N62/12</f>
        <v>-461506.625</v>
      </c>
      <c r="DD14" s="216">
        <f>'5.Depreciation'!$N62/12</f>
        <v>-461506.625</v>
      </c>
      <c r="DE14" s="216">
        <f>'5.Depreciation'!$N62/12</f>
        <v>-461506.625</v>
      </c>
      <c r="DF14" s="216">
        <f>'5.Depreciation'!$N62/12</f>
        <v>-461506.625</v>
      </c>
      <c r="DG14" s="804">
        <f>'5.Depreciation'!$N62/12</f>
        <v>-461506.625</v>
      </c>
      <c r="DH14" s="216">
        <f>'5.Depreciation'!$O62/12</f>
        <v>-461506.625</v>
      </c>
      <c r="DI14" s="216">
        <f>'5.Depreciation'!$O62/12</f>
        <v>-461506.625</v>
      </c>
      <c r="DJ14" s="216">
        <f>'5.Depreciation'!$O62/12</f>
        <v>-461506.625</v>
      </c>
      <c r="DK14" s="216">
        <f>'5.Depreciation'!$O62/12</f>
        <v>-461506.625</v>
      </c>
      <c r="DL14" s="216">
        <f>'5.Depreciation'!$O62/12</f>
        <v>-461506.625</v>
      </c>
      <c r="DM14" s="216">
        <f>'5.Depreciation'!$O62/12</f>
        <v>-461506.625</v>
      </c>
      <c r="DN14" s="216">
        <f>'5.Depreciation'!$O62/12</f>
        <v>-461506.625</v>
      </c>
      <c r="DO14" s="216">
        <f>'5.Depreciation'!$O62/12</f>
        <v>-461506.625</v>
      </c>
      <c r="DP14" s="216">
        <f>'5.Depreciation'!$O62/12</f>
        <v>-461506.625</v>
      </c>
      <c r="DQ14" s="216">
        <f>'5.Depreciation'!$O62/12</f>
        <v>-461506.625</v>
      </c>
      <c r="DR14" s="216">
        <f>'5.Depreciation'!$O62/12</f>
        <v>-461506.625</v>
      </c>
      <c r="DS14" s="804">
        <f>'5.Depreciation'!$O62/12</f>
        <v>-461506.625</v>
      </c>
      <c r="DT14" s="216"/>
    </row>
    <row r="15" spans="1:124" ht="22.5" customHeight="1" x14ac:dyDescent="0.3">
      <c r="A15" s="1424" t="s">
        <v>105</v>
      </c>
      <c r="B15" s="1424"/>
      <c r="C15" s="53"/>
      <c r="D15" s="1137">
        <f t="shared" ref="D15:M15" si="3">SUM(D13:D14)</f>
        <v>-383653.39155628486</v>
      </c>
      <c r="E15" s="1137">
        <f t="shared" si="3"/>
        <v>-383653.39155628486</v>
      </c>
      <c r="F15" s="1137">
        <f t="shared" si="3"/>
        <v>-383653.39155628486</v>
      </c>
      <c r="G15" s="1137">
        <f t="shared" si="3"/>
        <v>-383653.39155628486</v>
      </c>
      <c r="H15" s="1137">
        <f t="shared" si="3"/>
        <v>-383653.39155628486</v>
      </c>
      <c r="I15" s="1137">
        <f t="shared" si="3"/>
        <v>-383653.39155628486</v>
      </c>
      <c r="J15" s="1137">
        <f t="shared" si="3"/>
        <v>-383653.39155628486</v>
      </c>
      <c r="K15" s="1137">
        <f t="shared" si="3"/>
        <v>-383653.39155628486</v>
      </c>
      <c r="L15" s="1137">
        <f t="shared" si="3"/>
        <v>-383653.39155628486</v>
      </c>
      <c r="M15" s="1137">
        <f t="shared" si="3"/>
        <v>-383653.39155628486</v>
      </c>
      <c r="N15" s="1137">
        <f>SUM(N13:N14)</f>
        <v>-383653.39155628486</v>
      </c>
      <c r="O15" s="1138">
        <f>SUM(O13:O14)</f>
        <v>-383653.39155628486</v>
      </c>
      <c r="P15" s="217">
        <f>SUM(P13:P14)</f>
        <v>-709105.64155628486</v>
      </c>
      <c r="Q15" s="217">
        <f>SUM(Q13:Q14)</f>
        <v>-709105.64155628486</v>
      </c>
      <c r="R15" s="217">
        <f>SUM(R13:R14)</f>
        <v>-2351362.2720501446</v>
      </c>
      <c r="S15" s="217">
        <f t="shared" ref="S15:CB15" si="4">SUM(S13:S14)</f>
        <v>-1588723.2720501446</v>
      </c>
      <c r="T15" s="217">
        <f t="shared" si="4"/>
        <v>-1636558.2720501446</v>
      </c>
      <c r="U15" s="217">
        <f t="shared" si="4"/>
        <v>-1592747.37330409</v>
      </c>
      <c r="V15" s="217">
        <f t="shared" si="4"/>
        <v>-1719783.6850960043</v>
      </c>
      <c r="W15" s="217">
        <f t="shared" si="4"/>
        <v>-1791858.6549135749</v>
      </c>
      <c r="X15" s="217">
        <f t="shared" si="4"/>
        <v>-1795887.9034735116</v>
      </c>
      <c r="Y15" s="217">
        <f t="shared" si="4"/>
        <v>-1872979.6269491836</v>
      </c>
      <c r="Z15" s="217">
        <f t="shared" si="4"/>
        <v>-1970925.8762212754</v>
      </c>
      <c r="AA15" s="218">
        <f t="shared" si="4"/>
        <v>-1959875.8462217255</v>
      </c>
      <c r="AB15" s="217">
        <f t="shared" si="4"/>
        <v>-2450376.6003963393</v>
      </c>
      <c r="AC15" s="217">
        <f t="shared" si="4"/>
        <v>-2984191.0854716846</v>
      </c>
      <c r="AD15" s="217">
        <f t="shared" si="4"/>
        <v>-3884336.829619932</v>
      </c>
      <c r="AE15" s="217">
        <f t="shared" si="4"/>
        <v>-3383572.2455705176</v>
      </c>
      <c r="AF15" s="217">
        <f t="shared" si="4"/>
        <v>-4372439.5818286762</v>
      </c>
      <c r="AG15" s="217">
        <f t="shared" si="4"/>
        <v>-5019702.4263646174</v>
      </c>
      <c r="AH15" s="217">
        <f t="shared" si="4"/>
        <v>-5778642.9778406844</v>
      </c>
      <c r="AI15" s="217">
        <f t="shared" si="4"/>
        <v>-6777169.2847582623</v>
      </c>
      <c r="AJ15" s="217">
        <f t="shared" si="4"/>
        <v>-6748115.2553891875</v>
      </c>
      <c r="AK15" s="217">
        <f t="shared" si="4"/>
        <v>-6599116.4401949979</v>
      </c>
      <c r="AL15" s="217">
        <f t="shared" si="4"/>
        <v>-6827903.177946547</v>
      </c>
      <c r="AM15" s="218">
        <f t="shared" si="4"/>
        <v>-5851844.0622442868</v>
      </c>
      <c r="AN15" s="1167">
        <f t="shared" si="4"/>
        <v>-8556208.2897013314</v>
      </c>
      <c r="AO15" s="217">
        <f t="shared" si="4"/>
        <v>-10869318.167352393</v>
      </c>
      <c r="AP15" s="217">
        <f t="shared" si="4"/>
        <v>-9065441.6773614772</v>
      </c>
      <c r="AQ15" s="217">
        <f t="shared" si="4"/>
        <v>-6394127.491830511</v>
      </c>
      <c r="AR15" s="217">
        <f t="shared" si="4"/>
        <v>3772505.4713159115</v>
      </c>
      <c r="AS15" s="217">
        <f t="shared" si="4"/>
        <v>12273736.270477656</v>
      </c>
      <c r="AT15" s="217">
        <f t="shared" si="4"/>
        <v>4628759.19977968</v>
      </c>
      <c r="AU15" s="217">
        <f t="shared" si="4"/>
        <v>-41898.281233969261</v>
      </c>
      <c r="AV15" s="217">
        <f t="shared" si="4"/>
        <v>3310908.3359132344</v>
      </c>
      <c r="AW15" s="217">
        <f t="shared" si="4"/>
        <v>2301815.904937245</v>
      </c>
      <c r="AX15" s="217">
        <f t="shared" si="4"/>
        <v>941947.03613073565</v>
      </c>
      <c r="AY15" s="218">
        <f t="shared" si="4"/>
        <v>8356872.4119711481</v>
      </c>
      <c r="AZ15" s="217">
        <f t="shared" si="4"/>
        <v>6210918.3389714304</v>
      </c>
      <c r="BA15" s="217">
        <f t="shared" si="4"/>
        <v>3090048.4958038828</v>
      </c>
      <c r="BB15" s="217">
        <f t="shared" si="4"/>
        <v>-7290815.6776721533</v>
      </c>
      <c r="BC15" s="217">
        <f t="shared" si="4"/>
        <v>-4582842.5238509178</v>
      </c>
      <c r="BD15" s="217">
        <f t="shared" si="4"/>
        <v>1689727.8572919569</v>
      </c>
      <c r="BE15" s="217">
        <f t="shared" si="4"/>
        <v>12945467.679696713</v>
      </c>
      <c r="BF15" s="217">
        <f t="shared" si="4"/>
        <v>4757759.2508288026</v>
      </c>
      <c r="BG15" s="217">
        <f t="shared" si="4"/>
        <v>3995.6332450448535</v>
      </c>
      <c r="BH15" s="217">
        <f t="shared" si="4"/>
        <v>5583179.0896765441</v>
      </c>
      <c r="BI15" s="217">
        <f t="shared" si="4"/>
        <v>150256.26261451258</v>
      </c>
      <c r="BJ15" s="217">
        <f t="shared" si="4"/>
        <v>3193843.4774107537</v>
      </c>
      <c r="BK15" s="218">
        <f t="shared" si="4"/>
        <v>8924126.2183273658</v>
      </c>
      <c r="BL15" s="217">
        <f t="shared" si="4"/>
        <v>6738890.9718227889</v>
      </c>
      <c r="BM15" s="217">
        <f t="shared" si="4"/>
        <v>1301097.7858198518</v>
      </c>
      <c r="BN15" s="217">
        <f t="shared" si="4"/>
        <v>-5040104.603520913</v>
      </c>
      <c r="BO15" s="217">
        <f t="shared" si="4"/>
        <v>-4578857.1022795159</v>
      </c>
      <c r="BP15" s="217">
        <f t="shared" si="4"/>
        <v>2054550.3979762709</v>
      </c>
      <c r="BQ15" s="217">
        <f t="shared" si="4"/>
        <v>13983790.10226927</v>
      </c>
      <c r="BR15" s="217">
        <f t="shared" si="4"/>
        <v>5333226.7695580721</v>
      </c>
      <c r="BS15" s="217">
        <f t="shared" si="4"/>
        <v>272952.64185498364</v>
      </c>
      <c r="BT15" s="217">
        <f t="shared" si="4"/>
        <v>6297768.1248874525</v>
      </c>
      <c r="BU15" s="217">
        <f t="shared" si="4"/>
        <v>446393.8951449435</v>
      </c>
      <c r="BV15" s="217">
        <f t="shared" si="4"/>
        <v>1154391.0509670172</v>
      </c>
      <c r="BW15" s="218">
        <f t="shared" si="4"/>
        <v>9712249.4393397868</v>
      </c>
      <c r="BX15" s="217">
        <f t="shared" si="4"/>
        <v>11797727.795986043</v>
      </c>
      <c r="BY15" s="217">
        <f t="shared" si="4"/>
        <v>-4778848.2902348209</v>
      </c>
      <c r="BZ15" s="217">
        <f t="shared" si="4"/>
        <v>-5430643.893410258</v>
      </c>
      <c r="CA15" s="217">
        <f t="shared" si="4"/>
        <v>-7421935.220661561</v>
      </c>
      <c r="CB15" s="217">
        <f t="shared" si="4"/>
        <v>7113759.4348810632</v>
      </c>
      <c r="CC15" s="217">
        <f t="shared" ref="CC15:DS15" si="5">SUM(CC13:CC14)</f>
        <v>12452370.291851357</v>
      </c>
      <c r="CD15" s="217">
        <f t="shared" si="5"/>
        <v>5677512.8622375904</v>
      </c>
      <c r="CE15" s="217">
        <f t="shared" si="5"/>
        <v>290166.51202357572</v>
      </c>
      <c r="CF15" s="217">
        <f t="shared" si="5"/>
        <v>6672069.3197632656</v>
      </c>
      <c r="CG15" s="217">
        <f t="shared" si="5"/>
        <v>495003.86904917762</v>
      </c>
      <c r="CH15" s="217">
        <f t="shared" si="5"/>
        <v>1349994.4932255931</v>
      </c>
      <c r="CI15" s="218">
        <f t="shared" si="5"/>
        <v>10191381.047336783</v>
      </c>
      <c r="CJ15" s="217">
        <f t="shared" si="5"/>
        <v>10090020.19975316</v>
      </c>
      <c r="CK15" s="217">
        <f t="shared" si="5"/>
        <v>1367120.0155754914</v>
      </c>
      <c r="CL15" s="217">
        <f t="shared" si="5"/>
        <v>-8609930.9905674588</v>
      </c>
      <c r="CM15" s="217">
        <f t="shared" si="5"/>
        <v>-5760040.9055432044</v>
      </c>
      <c r="CN15" s="217">
        <f t="shared" si="5"/>
        <v>4143902.342339105</v>
      </c>
      <c r="CO15" s="217">
        <f t="shared" si="5"/>
        <v>14571937.174441596</v>
      </c>
      <c r="CP15" s="217">
        <f t="shared" si="5"/>
        <v>5145317.3884353656</v>
      </c>
      <c r="CQ15" s="217">
        <f t="shared" si="5"/>
        <v>-444850.63891526067</v>
      </c>
      <c r="CR15" s="217">
        <f t="shared" si="5"/>
        <v>3666162.610782851</v>
      </c>
      <c r="CS15" s="217">
        <f t="shared" si="5"/>
        <v>2420975.0658111386</v>
      </c>
      <c r="CT15" s="217">
        <f t="shared" si="5"/>
        <v>3396588.3449243312</v>
      </c>
      <c r="CU15" s="218">
        <f t="shared" si="5"/>
        <v>10002947.886669621</v>
      </c>
      <c r="CV15" s="217">
        <f t="shared" si="5"/>
        <v>7345762.4097533533</v>
      </c>
      <c r="CW15" s="217">
        <f t="shared" si="5"/>
        <v>974271.68927339255</v>
      </c>
      <c r="CX15" s="217">
        <f t="shared" si="5"/>
        <v>-8822821.4635746721</v>
      </c>
      <c r="CY15" s="217">
        <f t="shared" si="5"/>
        <v>-2784545.0955477254</v>
      </c>
      <c r="CZ15" s="217">
        <f t="shared" si="5"/>
        <v>2438883.1145751197</v>
      </c>
      <c r="DA15" s="217">
        <f t="shared" si="5"/>
        <v>13954869.019684494</v>
      </c>
      <c r="DB15" s="217">
        <f t="shared" si="5"/>
        <v>6417292.8235456208</v>
      </c>
      <c r="DC15" s="217">
        <f t="shared" si="5"/>
        <v>308171.6903706172</v>
      </c>
      <c r="DD15" s="217">
        <f t="shared" si="5"/>
        <v>7330065.3439113181</v>
      </c>
      <c r="DE15" s="217">
        <f t="shared" si="5"/>
        <v>550133.4386227529</v>
      </c>
      <c r="DF15" s="217">
        <f t="shared" si="5"/>
        <v>7023460.4650018029</v>
      </c>
      <c r="DG15" s="218">
        <f t="shared" si="5"/>
        <v>11650172.764154898</v>
      </c>
      <c r="DH15" s="217">
        <f t="shared" si="5"/>
        <v>8521990.0027595703</v>
      </c>
      <c r="DI15" s="217">
        <f t="shared" si="5"/>
        <v>-1010369.7296286449</v>
      </c>
      <c r="DJ15" s="217">
        <f t="shared" si="5"/>
        <v>-6430719.4926137496</v>
      </c>
      <c r="DK15" s="217">
        <f t="shared" si="5"/>
        <v>-6017564.3276770804</v>
      </c>
      <c r="DL15" s="217">
        <f t="shared" si="5"/>
        <v>5606061.6978239827</v>
      </c>
      <c r="DM15" s="217">
        <f t="shared" si="5"/>
        <v>14758485.346499637</v>
      </c>
      <c r="DN15" s="217">
        <f t="shared" si="5"/>
        <v>6770335.847908942</v>
      </c>
      <c r="DO15" s="217">
        <f t="shared" si="5"/>
        <v>3142024.0250276215</v>
      </c>
      <c r="DP15" s="217">
        <f t="shared" si="5"/>
        <v>5098729.8440374341</v>
      </c>
      <c r="DQ15" s="217">
        <f t="shared" si="5"/>
        <v>593882.7949649822</v>
      </c>
      <c r="DR15" s="217">
        <f t="shared" si="5"/>
        <v>4225124.9106771927</v>
      </c>
      <c r="DS15" s="218">
        <f t="shared" si="5"/>
        <v>12348179.666256391</v>
      </c>
    </row>
    <row r="16" spans="1:124" ht="19.5" customHeight="1" x14ac:dyDescent="0.25">
      <c r="A16" s="97" t="s">
        <v>106</v>
      </c>
      <c r="B16" s="93"/>
      <c r="C16" s="52"/>
      <c r="D16" s="1139">
        <f>'6. Finance Income'!C8</f>
        <v>0</v>
      </c>
      <c r="E16" s="1139">
        <f>'6. Finance Income'!D8</f>
        <v>0</v>
      </c>
      <c r="F16" s="1139">
        <f>'6. Finance Income'!E8</f>
        <v>0</v>
      </c>
      <c r="G16" s="1139">
        <f>'6. Finance Income'!F8</f>
        <v>0</v>
      </c>
      <c r="H16" s="1139">
        <f>'6. Finance Income'!G8</f>
        <v>0</v>
      </c>
      <c r="I16" s="1139">
        <f>'6. Finance Income'!H8</f>
        <v>0</v>
      </c>
      <c r="J16" s="1139">
        <f>'6. Finance Income'!I8</f>
        <v>0</v>
      </c>
      <c r="K16" s="1139">
        <f>'6. Finance Income'!J8</f>
        <v>0</v>
      </c>
      <c r="L16" s="1139">
        <f>'6. Finance Income'!K8</f>
        <v>0</v>
      </c>
      <c r="M16" s="1139">
        <f>'6. Finance Income'!L8</f>
        <v>0</v>
      </c>
      <c r="N16" s="1139">
        <f>'6. Finance Income'!M8</f>
        <v>0</v>
      </c>
      <c r="O16" s="1140">
        <f>'6. Finance Income'!N8</f>
        <v>0</v>
      </c>
      <c r="P16" s="219">
        <f>'6. Finance Income'!O8</f>
        <v>0</v>
      </c>
      <c r="Q16" s="292">
        <f>'6. Finance Income'!P8</f>
        <v>0</v>
      </c>
      <c r="R16" s="292">
        <f>'6. Finance Income'!Q8</f>
        <v>0</v>
      </c>
      <c r="S16" s="292">
        <f>'6. Finance Income'!R8</f>
        <v>0</v>
      </c>
      <c r="T16" s="292">
        <f>'6. Finance Income'!S8</f>
        <v>0</v>
      </c>
      <c r="U16" s="292">
        <f>'6. Finance Income'!T8</f>
        <v>0</v>
      </c>
      <c r="V16" s="292">
        <f>'6. Finance Income'!U8</f>
        <v>0</v>
      </c>
      <c r="W16" s="292">
        <f>'6. Finance Income'!V8</f>
        <v>0</v>
      </c>
      <c r="X16" s="292">
        <f>'6. Finance Income'!W8</f>
        <v>0</v>
      </c>
      <c r="Y16" s="292">
        <f>'6. Finance Income'!X8</f>
        <v>0</v>
      </c>
      <c r="Z16" s="292">
        <f>'6. Finance Income'!Y8</f>
        <v>0</v>
      </c>
      <c r="AA16" s="220">
        <f>'6. Finance Income'!Z8</f>
        <v>0</v>
      </c>
      <c r="AB16" s="219">
        <f>'6. Finance Income'!AA8</f>
        <v>0</v>
      </c>
      <c r="AC16" s="221">
        <f>'6. Finance Income'!AB8</f>
        <v>0</v>
      </c>
      <c r="AD16" s="221">
        <f>'6. Finance Income'!AC8</f>
        <v>0</v>
      </c>
      <c r="AE16" s="221">
        <f>'6. Finance Income'!AD8</f>
        <v>0</v>
      </c>
      <c r="AF16" s="221">
        <f>'6. Finance Income'!AE8</f>
        <v>0</v>
      </c>
      <c r="AG16" s="221">
        <f>'6. Finance Income'!AF8</f>
        <v>0</v>
      </c>
      <c r="AH16" s="221">
        <f>'6. Finance Income'!AG8</f>
        <v>0</v>
      </c>
      <c r="AI16" s="221">
        <f>'6. Finance Income'!AH8</f>
        <v>0</v>
      </c>
      <c r="AJ16" s="221">
        <f>'6. Finance Income'!AI8</f>
        <v>0</v>
      </c>
      <c r="AK16" s="221">
        <f>'6. Finance Income'!AJ8</f>
        <v>0</v>
      </c>
      <c r="AL16" s="221">
        <f>'6. Finance Income'!AK8</f>
        <v>0</v>
      </c>
      <c r="AM16" s="220">
        <f>'6. Finance Income'!AL8</f>
        <v>0</v>
      </c>
      <c r="AN16" s="1168">
        <f>'6. Finance Income'!AM8</f>
        <v>0</v>
      </c>
      <c r="AO16" s="221">
        <f>'6. Finance Income'!AN8</f>
        <v>0</v>
      </c>
      <c r="AP16" s="221">
        <f>'6. Finance Income'!AO8</f>
        <v>0</v>
      </c>
      <c r="AQ16" s="221">
        <f>'6. Finance Income'!AP8</f>
        <v>0</v>
      </c>
      <c r="AR16" s="221">
        <f>'6. Finance Income'!AQ8</f>
        <v>0</v>
      </c>
      <c r="AS16" s="221">
        <f>'6. Finance Income'!AR8</f>
        <v>0</v>
      </c>
      <c r="AT16" s="221">
        <f>'6. Finance Income'!AS8</f>
        <v>0</v>
      </c>
      <c r="AU16" s="221">
        <f>'6. Finance Income'!AT8</f>
        <v>0</v>
      </c>
      <c r="AV16" s="221">
        <f>'6. Finance Income'!AU8</f>
        <v>0</v>
      </c>
      <c r="AW16" s="221">
        <f>'6. Finance Income'!AV8</f>
        <v>0</v>
      </c>
      <c r="AX16" s="221">
        <f>'6. Finance Income'!AW8</f>
        <v>0</v>
      </c>
      <c r="AY16" s="220">
        <f>'6. Finance Income'!AX8</f>
        <v>0</v>
      </c>
      <c r="AZ16" s="222">
        <f>'6. Finance Income'!AY8</f>
        <v>0</v>
      </c>
      <c r="BA16" s="221">
        <f>'6. Finance Income'!AZ8</f>
        <v>0</v>
      </c>
      <c r="BB16" s="221">
        <f>'6. Finance Income'!BA8</f>
        <v>0</v>
      </c>
      <c r="BC16" s="221">
        <f>'6. Finance Income'!BB8</f>
        <v>0</v>
      </c>
      <c r="BD16" s="221">
        <f>'6. Finance Income'!BC8</f>
        <v>0</v>
      </c>
      <c r="BE16" s="221">
        <f>'6. Finance Income'!BD8</f>
        <v>0</v>
      </c>
      <c r="BF16" s="221">
        <f>'6. Finance Income'!BE8</f>
        <v>0</v>
      </c>
      <c r="BG16" s="221">
        <f>'6. Finance Income'!BF8</f>
        <v>0</v>
      </c>
      <c r="BH16" s="221">
        <f>'6. Finance Income'!BG8</f>
        <v>0</v>
      </c>
      <c r="BI16" s="221">
        <f>'6. Finance Income'!BH8</f>
        <v>0</v>
      </c>
      <c r="BJ16" s="221">
        <f>'6. Finance Income'!BI8</f>
        <v>0</v>
      </c>
      <c r="BK16" s="220">
        <f>'6. Finance Income'!BJ8</f>
        <v>0</v>
      </c>
      <c r="BL16" s="222">
        <f>'6. Finance Income'!BK8</f>
        <v>0</v>
      </c>
      <c r="BM16" s="221">
        <f>'6. Finance Income'!BL8</f>
        <v>0</v>
      </c>
      <c r="BN16" s="221">
        <f>'6. Finance Income'!BM8</f>
        <v>0</v>
      </c>
      <c r="BO16" s="221">
        <f>'6. Finance Income'!BN8</f>
        <v>0</v>
      </c>
      <c r="BP16" s="221">
        <f>'6. Finance Income'!BO8</f>
        <v>0</v>
      </c>
      <c r="BQ16" s="221">
        <f>'6. Finance Income'!BP8</f>
        <v>0</v>
      </c>
      <c r="BR16" s="221">
        <f>'6. Finance Income'!BQ8</f>
        <v>0</v>
      </c>
      <c r="BS16" s="221">
        <f>'6. Finance Income'!BR8</f>
        <v>0</v>
      </c>
      <c r="BT16" s="221">
        <f>'6. Finance Income'!BS8</f>
        <v>0</v>
      </c>
      <c r="BU16" s="221">
        <f>'6. Finance Income'!BT8</f>
        <v>0</v>
      </c>
      <c r="BV16" s="221">
        <f>'6. Finance Income'!BU8</f>
        <v>0</v>
      </c>
      <c r="BW16" s="220">
        <f>'6. Finance Income'!BV8</f>
        <v>0</v>
      </c>
      <c r="BX16" s="222">
        <f>'6. Finance Income'!BW8</f>
        <v>0</v>
      </c>
      <c r="BY16" s="221">
        <f>'6. Finance Income'!BX8</f>
        <v>0</v>
      </c>
      <c r="BZ16" s="221">
        <f>'6. Finance Income'!BY8</f>
        <v>0</v>
      </c>
      <c r="CA16" s="221">
        <f>'6. Finance Income'!BZ8</f>
        <v>0</v>
      </c>
      <c r="CB16" s="221">
        <f>'6. Finance Income'!CA8</f>
        <v>0</v>
      </c>
      <c r="CC16" s="221">
        <f>'6. Finance Income'!CB8</f>
        <v>0</v>
      </c>
      <c r="CD16" s="221">
        <f>'6. Finance Income'!CC8</f>
        <v>0</v>
      </c>
      <c r="CE16" s="221">
        <f>'6. Finance Income'!CD8</f>
        <v>0</v>
      </c>
      <c r="CF16" s="221">
        <f>'6. Finance Income'!CE8</f>
        <v>0</v>
      </c>
      <c r="CG16" s="221">
        <f>'6. Finance Income'!CF8</f>
        <v>0</v>
      </c>
      <c r="CH16" s="221">
        <f>'6. Finance Income'!CG8</f>
        <v>0</v>
      </c>
      <c r="CI16" s="220">
        <f>'6. Finance Income'!CH8</f>
        <v>0</v>
      </c>
      <c r="CJ16" s="222">
        <f>'6. Finance Income'!CI8</f>
        <v>0</v>
      </c>
      <c r="CK16" s="221">
        <f>'6. Finance Income'!CJ8</f>
        <v>0</v>
      </c>
      <c r="CL16" s="221">
        <f>'6. Finance Income'!CK8</f>
        <v>0</v>
      </c>
      <c r="CM16" s="221">
        <f>'6. Finance Income'!CL8</f>
        <v>0</v>
      </c>
      <c r="CN16" s="221">
        <f>'6. Finance Income'!CM8</f>
        <v>0</v>
      </c>
      <c r="CO16" s="221">
        <f>'6. Finance Income'!CN8</f>
        <v>0</v>
      </c>
      <c r="CP16" s="221">
        <f>'6. Finance Income'!CO8</f>
        <v>0</v>
      </c>
      <c r="CQ16" s="221">
        <f>'6. Finance Income'!CP8</f>
        <v>0</v>
      </c>
      <c r="CR16" s="221">
        <f>'6. Finance Income'!CQ8</f>
        <v>0</v>
      </c>
      <c r="CS16" s="221">
        <f>'6. Finance Income'!CR8</f>
        <v>0</v>
      </c>
      <c r="CT16" s="221">
        <f>'6. Finance Income'!CS8</f>
        <v>0</v>
      </c>
      <c r="CU16" s="220">
        <f>'6. Finance Income'!CT8</f>
        <v>0</v>
      </c>
      <c r="CV16" s="222">
        <f>'6. Finance Income'!CU8</f>
        <v>0</v>
      </c>
      <c r="CW16" s="221">
        <f>'6. Finance Income'!CV8</f>
        <v>0</v>
      </c>
      <c r="CX16" s="221">
        <f>'6. Finance Income'!CW8</f>
        <v>0</v>
      </c>
      <c r="CY16" s="221">
        <f>'6. Finance Income'!CX8</f>
        <v>0</v>
      </c>
      <c r="CZ16" s="221">
        <f>'6. Finance Income'!CY8</f>
        <v>0</v>
      </c>
      <c r="DA16" s="221">
        <f>'6. Finance Income'!CZ8</f>
        <v>0</v>
      </c>
      <c r="DB16" s="221">
        <f>'6. Finance Income'!DA8</f>
        <v>0</v>
      </c>
      <c r="DC16" s="221">
        <f>'6. Finance Income'!DB8</f>
        <v>0</v>
      </c>
      <c r="DD16" s="221">
        <f>'6. Finance Income'!DC8</f>
        <v>0</v>
      </c>
      <c r="DE16" s="221">
        <f>'6. Finance Income'!DD8</f>
        <v>0</v>
      </c>
      <c r="DF16" s="221">
        <f>'6. Finance Income'!DE8</f>
        <v>0</v>
      </c>
      <c r="DG16" s="220">
        <f>'6. Finance Income'!DF8</f>
        <v>0</v>
      </c>
      <c r="DH16" s="222">
        <f>'6. Finance Income'!DG8</f>
        <v>0</v>
      </c>
      <c r="DI16" s="221">
        <f>'6. Finance Income'!DH8</f>
        <v>0</v>
      </c>
      <c r="DJ16" s="221">
        <f>'6. Finance Income'!DI8</f>
        <v>0</v>
      </c>
      <c r="DK16" s="221">
        <f>'6. Finance Income'!DJ8</f>
        <v>0</v>
      </c>
      <c r="DL16" s="221">
        <f>'6. Finance Income'!DK8</f>
        <v>0</v>
      </c>
      <c r="DM16" s="221">
        <f>'6. Finance Income'!DL8</f>
        <v>0</v>
      </c>
      <c r="DN16" s="221">
        <f>'6. Finance Income'!DM8</f>
        <v>0</v>
      </c>
      <c r="DO16" s="221">
        <f>'6. Finance Income'!DN8</f>
        <v>0</v>
      </c>
      <c r="DP16" s="221">
        <f>'6. Finance Income'!DO8</f>
        <v>0</v>
      </c>
      <c r="DQ16" s="221">
        <f>'6. Finance Income'!DP8</f>
        <v>0</v>
      </c>
      <c r="DR16" s="221">
        <f>'6. Finance Income'!DQ8</f>
        <v>0</v>
      </c>
      <c r="DS16" s="220">
        <f>'6. Finance Income'!DR8</f>
        <v>0</v>
      </c>
    </row>
    <row r="17" spans="1:123" ht="19.5" customHeight="1" thickBot="1" x14ac:dyDescent="0.3">
      <c r="A17" s="97" t="s">
        <v>92</v>
      </c>
      <c r="B17" s="93"/>
      <c r="C17" s="52"/>
      <c r="D17" s="1141">
        <f>'7.Finance Costs'!C7</f>
        <v>0</v>
      </c>
      <c r="E17" s="1141">
        <f>'7.Finance Costs'!D7</f>
        <v>0</v>
      </c>
      <c r="F17" s="1141">
        <f>'7.Finance Costs'!E7</f>
        <v>0</v>
      </c>
      <c r="G17" s="1141">
        <f>'7.Finance Costs'!F7</f>
        <v>0</v>
      </c>
      <c r="H17" s="1141">
        <f>'7.Finance Costs'!G7</f>
        <v>0</v>
      </c>
      <c r="I17" s="1141">
        <f>'7.Finance Costs'!H7</f>
        <v>0</v>
      </c>
      <c r="J17" s="1141">
        <f>'7.Finance Costs'!I7</f>
        <v>0</v>
      </c>
      <c r="K17" s="1141">
        <f>'7.Finance Costs'!J7</f>
        <v>0</v>
      </c>
      <c r="L17" s="1141">
        <f>'7.Finance Costs'!K7</f>
        <v>0</v>
      </c>
      <c r="M17" s="1141">
        <f>'7.Finance Costs'!L7</f>
        <v>0</v>
      </c>
      <c r="N17" s="1141">
        <f>'7.Finance Costs'!M7</f>
        <v>0</v>
      </c>
      <c r="O17" s="1142">
        <f>'7.Finance Costs'!N7</f>
        <v>0</v>
      </c>
      <c r="P17" s="303">
        <f>'7.Finance Costs'!O7</f>
        <v>0</v>
      </c>
      <c r="Q17" s="304">
        <f>'7.Finance Costs'!P7</f>
        <v>0</v>
      </c>
      <c r="R17" s="304">
        <f>'7.Finance Costs'!Q7</f>
        <v>0</v>
      </c>
      <c r="S17" s="304">
        <f>'7.Finance Costs'!R7</f>
        <v>0</v>
      </c>
      <c r="T17" s="304">
        <f>'7.Finance Costs'!S7</f>
        <v>0</v>
      </c>
      <c r="U17" s="304">
        <f>'7.Finance Costs'!T7</f>
        <v>0</v>
      </c>
      <c r="V17" s="304">
        <f>'7.Finance Costs'!U7</f>
        <v>0</v>
      </c>
      <c r="W17" s="304">
        <f>'7.Finance Costs'!V7</f>
        <v>0</v>
      </c>
      <c r="X17" s="304">
        <f>'7.Finance Costs'!W7</f>
        <v>0</v>
      </c>
      <c r="Y17" s="304">
        <f>'7.Finance Costs'!X7</f>
        <v>0</v>
      </c>
      <c r="Z17" s="304">
        <f>'7.Finance Costs'!Y7</f>
        <v>0</v>
      </c>
      <c r="AA17" s="223">
        <f>'7.Finance Costs'!Z7</f>
        <v>0</v>
      </c>
      <c r="AB17" s="303">
        <f>'7.Finance Costs'!AA7</f>
        <v>0</v>
      </c>
      <c r="AC17" s="224">
        <f>'7.Finance Costs'!AB7</f>
        <v>0</v>
      </c>
      <c r="AD17" s="224">
        <f>'7.Finance Costs'!AC7</f>
        <v>0</v>
      </c>
      <c r="AE17" s="224">
        <f>'7.Finance Costs'!AD7</f>
        <v>0</v>
      </c>
      <c r="AF17" s="224">
        <f>'7.Finance Costs'!AE7</f>
        <v>0</v>
      </c>
      <c r="AG17" s="224">
        <f>'7.Finance Costs'!AF7</f>
        <v>0</v>
      </c>
      <c r="AH17" s="224">
        <f>'7.Finance Costs'!AG7</f>
        <v>0</v>
      </c>
      <c r="AI17" s="224">
        <f>'7.Finance Costs'!AH7</f>
        <v>0</v>
      </c>
      <c r="AJ17" s="224">
        <f>'7.Finance Costs'!AI7</f>
        <v>0</v>
      </c>
      <c r="AK17" s="224">
        <f>'7.Finance Costs'!AJ7</f>
        <v>0</v>
      </c>
      <c r="AL17" s="224">
        <f>'7.Finance Costs'!AK7</f>
        <v>0</v>
      </c>
      <c r="AM17" s="223">
        <f>'7.Finance Costs'!AL7</f>
        <v>0</v>
      </c>
      <c r="AN17" s="1169">
        <f>'7.Finance Costs'!AM7</f>
        <v>0</v>
      </c>
      <c r="AO17" s="224">
        <f>'7.Finance Costs'!AN7</f>
        <v>0</v>
      </c>
      <c r="AP17" s="224">
        <f>'7.Finance Costs'!AO7</f>
        <v>0</v>
      </c>
      <c r="AQ17" s="224">
        <f>'7.Finance Costs'!AP7</f>
        <v>0</v>
      </c>
      <c r="AR17" s="224">
        <f>'7.Finance Costs'!AQ7</f>
        <v>0</v>
      </c>
      <c r="AS17" s="224">
        <f>'7.Finance Costs'!AR7</f>
        <v>0</v>
      </c>
      <c r="AT17" s="224">
        <f>'7.Finance Costs'!AS7</f>
        <v>0</v>
      </c>
      <c r="AU17" s="224">
        <f>'7.Finance Costs'!AT7</f>
        <v>0</v>
      </c>
      <c r="AV17" s="224">
        <f>'7.Finance Costs'!AU7</f>
        <v>0</v>
      </c>
      <c r="AW17" s="224">
        <f>'7.Finance Costs'!AV7</f>
        <v>0</v>
      </c>
      <c r="AX17" s="224">
        <f>'7.Finance Costs'!AW7</f>
        <v>0</v>
      </c>
      <c r="AY17" s="223">
        <f>'7.Finance Costs'!AX7</f>
        <v>0</v>
      </c>
      <c r="AZ17" s="225">
        <f>'7.Finance Costs'!AY7</f>
        <v>0</v>
      </c>
      <c r="BA17" s="224">
        <f>'7.Finance Costs'!AZ7</f>
        <v>0</v>
      </c>
      <c r="BB17" s="224">
        <f>'7.Finance Costs'!BA7</f>
        <v>0</v>
      </c>
      <c r="BC17" s="224">
        <f>'7.Finance Costs'!BB7</f>
        <v>0</v>
      </c>
      <c r="BD17" s="224">
        <f>'7.Finance Costs'!BC7</f>
        <v>0</v>
      </c>
      <c r="BE17" s="224">
        <f>'7.Finance Costs'!BD7</f>
        <v>0</v>
      </c>
      <c r="BF17" s="224">
        <f>'7.Finance Costs'!BE7</f>
        <v>0</v>
      </c>
      <c r="BG17" s="224">
        <f>'7.Finance Costs'!BF7</f>
        <v>0</v>
      </c>
      <c r="BH17" s="224">
        <f>'7.Finance Costs'!BG7</f>
        <v>0</v>
      </c>
      <c r="BI17" s="224">
        <f>'7.Finance Costs'!BH7</f>
        <v>0</v>
      </c>
      <c r="BJ17" s="224">
        <f>'7.Finance Costs'!BI7</f>
        <v>0</v>
      </c>
      <c r="BK17" s="223">
        <f>'7.Finance Costs'!BJ7</f>
        <v>0</v>
      </c>
      <c r="BL17" s="225">
        <f>'7.Finance Costs'!BK7</f>
        <v>0</v>
      </c>
      <c r="BM17" s="224">
        <f>'7.Finance Costs'!BL7</f>
        <v>0</v>
      </c>
      <c r="BN17" s="224">
        <f>'7.Finance Costs'!BM7</f>
        <v>0</v>
      </c>
      <c r="BO17" s="224">
        <f>'7.Finance Costs'!BN7</f>
        <v>0</v>
      </c>
      <c r="BP17" s="224">
        <f>'7.Finance Costs'!BO7</f>
        <v>0</v>
      </c>
      <c r="BQ17" s="224">
        <f>'7.Finance Costs'!BP7</f>
        <v>0</v>
      </c>
      <c r="BR17" s="224">
        <f>'7.Finance Costs'!BQ7</f>
        <v>0</v>
      </c>
      <c r="BS17" s="224">
        <f>'7.Finance Costs'!BR7</f>
        <v>0</v>
      </c>
      <c r="BT17" s="224">
        <f>'7.Finance Costs'!BS7</f>
        <v>0</v>
      </c>
      <c r="BU17" s="224">
        <f>'7.Finance Costs'!BT7</f>
        <v>0</v>
      </c>
      <c r="BV17" s="224">
        <f>'7.Finance Costs'!BU7</f>
        <v>0</v>
      </c>
      <c r="BW17" s="223">
        <f>'7.Finance Costs'!BV7</f>
        <v>0</v>
      </c>
      <c r="BX17" s="225">
        <f>'7.Finance Costs'!BW7</f>
        <v>0</v>
      </c>
      <c r="BY17" s="224">
        <f>'7.Finance Costs'!BX7</f>
        <v>0</v>
      </c>
      <c r="BZ17" s="224">
        <f>'7.Finance Costs'!BY7</f>
        <v>0</v>
      </c>
      <c r="CA17" s="224">
        <f>'7.Finance Costs'!BZ7</f>
        <v>0</v>
      </c>
      <c r="CB17" s="224">
        <f>'7.Finance Costs'!CA7</f>
        <v>0</v>
      </c>
      <c r="CC17" s="224">
        <f>'7.Finance Costs'!CB7</f>
        <v>0</v>
      </c>
      <c r="CD17" s="224">
        <f>'7.Finance Costs'!CC7</f>
        <v>0</v>
      </c>
      <c r="CE17" s="224">
        <f>'7.Finance Costs'!CD7</f>
        <v>0</v>
      </c>
      <c r="CF17" s="224">
        <f>'7.Finance Costs'!CE7</f>
        <v>0</v>
      </c>
      <c r="CG17" s="224">
        <f>'7.Finance Costs'!CF7</f>
        <v>0</v>
      </c>
      <c r="CH17" s="224">
        <f>'7.Finance Costs'!CG7</f>
        <v>0</v>
      </c>
      <c r="CI17" s="223">
        <f>'7.Finance Costs'!CH7</f>
        <v>0</v>
      </c>
      <c r="CJ17" s="225">
        <f>'7.Finance Costs'!CI7</f>
        <v>0</v>
      </c>
      <c r="CK17" s="224">
        <f>'7.Finance Costs'!CJ7</f>
        <v>0</v>
      </c>
      <c r="CL17" s="224">
        <f>'7.Finance Costs'!CK7</f>
        <v>0</v>
      </c>
      <c r="CM17" s="224">
        <f>'7.Finance Costs'!CL7</f>
        <v>0</v>
      </c>
      <c r="CN17" s="224">
        <f>'7.Finance Costs'!CM7</f>
        <v>0</v>
      </c>
      <c r="CO17" s="224">
        <f>'7.Finance Costs'!CN7</f>
        <v>0</v>
      </c>
      <c r="CP17" s="224">
        <f>'7.Finance Costs'!CO7</f>
        <v>0</v>
      </c>
      <c r="CQ17" s="224">
        <f>'7.Finance Costs'!CP7</f>
        <v>0</v>
      </c>
      <c r="CR17" s="224">
        <f>'7.Finance Costs'!CQ7</f>
        <v>0</v>
      </c>
      <c r="CS17" s="224">
        <f>'7.Finance Costs'!CR7</f>
        <v>0</v>
      </c>
      <c r="CT17" s="224">
        <f>'7.Finance Costs'!CS7</f>
        <v>0</v>
      </c>
      <c r="CU17" s="223">
        <f>'7.Finance Costs'!CT7</f>
        <v>0</v>
      </c>
      <c r="CV17" s="225">
        <f>'7.Finance Costs'!CU7</f>
        <v>0</v>
      </c>
      <c r="CW17" s="224">
        <f>'7.Finance Costs'!CV7</f>
        <v>0</v>
      </c>
      <c r="CX17" s="224">
        <f>'7.Finance Costs'!CW7</f>
        <v>0</v>
      </c>
      <c r="CY17" s="224">
        <f>'7.Finance Costs'!CX7</f>
        <v>0</v>
      </c>
      <c r="CZ17" s="224">
        <f>'7.Finance Costs'!CY7</f>
        <v>0</v>
      </c>
      <c r="DA17" s="224">
        <f>'7.Finance Costs'!CZ7</f>
        <v>0</v>
      </c>
      <c r="DB17" s="224">
        <f>'7.Finance Costs'!DA7</f>
        <v>0</v>
      </c>
      <c r="DC17" s="224">
        <f>'7.Finance Costs'!DB7</f>
        <v>0</v>
      </c>
      <c r="DD17" s="224">
        <f>'7.Finance Costs'!DC7</f>
        <v>0</v>
      </c>
      <c r="DE17" s="224">
        <f>'7.Finance Costs'!DD7</f>
        <v>0</v>
      </c>
      <c r="DF17" s="224">
        <f>'7.Finance Costs'!DE7</f>
        <v>0</v>
      </c>
      <c r="DG17" s="223">
        <f>'7.Finance Costs'!DF7</f>
        <v>0</v>
      </c>
      <c r="DH17" s="225">
        <f>'7.Finance Costs'!DG7</f>
        <v>0</v>
      </c>
      <c r="DI17" s="224">
        <f>'7.Finance Costs'!DH7</f>
        <v>0</v>
      </c>
      <c r="DJ17" s="224">
        <f>'7.Finance Costs'!DI7</f>
        <v>0</v>
      </c>
      <c r="DK17" s="224">
        <f>'7.Finance Costs'!DJ7</f>
        <v>0</v>
      </c>
      <c r="DL17" s="224">
        <f>'7.Finance Costs'!DK7</f>
        <v>0</v>
      </c>
      <c r="DM17" s="224">
        <f>'7.Finance Costs'!DL7</f>
        <v>0</v>
      </c>
      <c r="DN17" s="224">
        <f>'7.Finance Costs'!DM7</f>
        <v>0</v>
      </c>
      <c r="DO17" s="224">
        <f>'7.Finance Costs'!DN7</f>
        <v>0</v>
      </c>
      <c r="DP17" s="224">
        <f>'7.Finance Costs'!DO7</f>
        <v>0</v>
      </c>
      <c r="DQ17" s="224">
        <f>'7.Finance Costs'!DP7</f>
        <v>0</v>
      </c>
      <c r="DR17" s="224">
        <f>'7.Finance Costs'!DQ7</f>
        <v>0</v>
      </c>
      <c r="DS17" s="223">
        <f>'7.Finance Costs'!DR7</f>
        <v>0</v>
      </c>
    </row>
    <row r="18" spans="1:123" ht="23.25" customHeight="1" x14ac:dyDescent="0.3">
      <c r="A18" s="1424" t="s">
        <v>107</v>
      </c>
      <c r="B18" s="1424"/>
      <c r="C18" s="53"/>
      <c r="D18" s="1143">
        <f t="shared" ref="D18:M18" si="6">SUM(D15:D17)</f>
        <v>-383653.39155628486</v>
      </c>
      <c r="E18" s="1143">
        <f t="shared" si="6"/>
        <v>-383653.39155628486</v>
      </c>
      <c r="F18" s="1143">
        <f t="shared" si="6"/>
        <v>-383653.39155628486</v>
      </c>
      <c r="G18" s="1143">
        <f t="shared" si="6"/>
        <v>-383653.39155628486</v>
      </c>
      <c r="H18" s="1143">
        <f t="shared" si="6"/>
        <v>-383653.39155628486</v>
      </c>
      <c r="I18" s="1143">
        <f t="shared" si="6"/>
        <v>-383653.39155628486</v>
      </c>
      <c r="J18" s="1143">
        <f t="shared" si="6"/>
        <v>-383653.39155628486</v>
      </c>
      <c r="K18" s="1143">
        <f t="shared" si="6"/>
        <v>-383653.39155628486</v>
      </c>
      <c r="L18" s="1143">
        <f t="shared" si="6"/>
        <v>-383653.39155628486</v>
      </c>
      <c r="M18" s="1143">
        <f t="shared" si="6"/>
        <v>-383653.39155628486</v>
      </c>
      <c r="N18" s="1143">
        <f>SUM(N15:N17)</f>
        <v>-383653.39155628486</v>
      </c>
      <c r="O18" s="1144">
        <f>SUM(O15:O17)</f>
        <v>-383653.39155628486</v>
      </c>
      <c r="P18" s="305">
        <f>SUM(P15:P17)</f>
        <v>-709105.64155628486</v>
      </c>
      <c r="Q18" s="306">
        <f>SUM(Q15:Q17)</f>
        <v>-709105.64155628486</v>
      </c>
      <c r="R18" s="306">
        <f>SUM(R15:R17)</f>
        <v>-2351362.2720501446</v>
      </c>
      <c r="S18" s="306">
        <f t="shared" ref="S18:CB18" si="7">SUM(S15:S17)</f>
        <v>-1588723.2720501446</v>
      </c>
      <c r="T18" s="306">
        <f t="shared" si="7"/>
        <v>-1636558.2720501446</v>
      </c>
      <c r="U18" s="306">
        <f t="shared" si="7"/>
        <v>-1592747.37330409</v>
      </c>
      <c r="V18" s="306">
        <f t="shared" si="7"/>
        <v>-1719783.6850960043</v>
      </c>
      <c r="W18" s="306">
        <f t="shared" si="7"/>
        <v>-1791858.6549135749</v>
      </c>
      <c r="X18" s="306">
        <f t="shared" si="7"/>
        <v>-1795887.9034735116</v>
      </c>
      <c r="Y18" s="306">
        <f t="shared" si="7"/>
        <v>-1872979.6269491836</v>
      </c>
      <c r="Z18" s="306">
        <f t="shared" si="7"/>
        <v>-1970925.8762212754</v>
      </c>
      <c r="AA18" s="226">
        <f t="shared" si="7"/>
        <v>-1959875.8462217255</v>
      </c>
      <c r="AB18" s="305">
        <f t="shared" si="7"/>
        <v>-2450376.6003963393</v>
      </c>
      <c r="AC18" s="227">
        <f t="shared" si="7"/>
        <v>-2984191.0854716846</v>
      </c>
      <c r="AD18" s="227">
        <f t="shared" si="7"/>
        <v>-3884336.829619932</v>
      </c>
      <c r="AE18" s="227">
        <f t="shared" si="7"/>
        <v>-3383572.2455705176</v>
      </c>
      <c r="AF18" s="227">
        <f t="shared" si="7"/>
        <v>-4372439.5818286762</v>
      </c>
      <c r="AG18" s="227">
        <f t="shared" si="7"/>
        <v>-5019702.4263646174</v>
      </c>
      <c r="AH18" s="227">
        <f t="shared" si="7"/>
        <v>-5778642.9778406844</v>
      </c>
      <c r="AI18" s="227">
        <f t="shared" si="7"/>
        <v>-6777169.2847582623</v>
      </c>
      <c r="AJ18" s="227">
        <f t="shared" si="7"/>
        <v>-6748115.2553891875</v>
      </c>
      <c r="AK18" s="227">
        <f t="shared" si="7"/>
        <v>-6599116.4401949979</v>
      </c>
      <c r="AL18" s="227">
        <f t="shared" si="7"/>
        <v>-6827903.177946547</v>
      </c>
      <c r="AM18" s="226">
        <f t="shared" si="7"/>
        <v>-5851844.0622442868</v>
      </c>
      <c r="AN18" s="1170">
        <f t="shared" si="7"/>
        <v>-8556208.2897013314</v>
      </c>
      <c r="AO18" s="227">
        <f t="shared" si="7"/>
        <v>-10869318.167352393</v>
      </c>
      <c r="AP18" s="227">
        <f t="shared" si="7"/>
        <v>-9065441.6773614772</v>
      </c>
      <c r="AQ18" s="227">
        <f t="shared" si="7"/>
        <v>-6394127.491830511</v>
      </c>
      <c r="AR18" s="227">
        <f t="shared" si="7"/>
        <v>3772505.4713159115</v>
      </c>
      <c r="AS18" s="227">
        <f t="shared" si="7"/>
        <v>12273736.270477656</v>
      </c>
      <c r="AT18" s="227">
        <f t="shared" si="7"/>
        <v>4628759.19977968</v>
      </c>
      <c r="AU18" s="227">
        <f t="shared" si="7"/>
        <v>-41898.281233969261</v>
      </c>
      <c r="AV18" s="227">
        <f t="shared" si="7"/>
        <v>3310908.3359132344</v>
      </c>
      <c r="AW18" s="227">
        <f t="shared" si="7"/>
        <v>2301815.904937245</v>
      </c>
      <c r="AX18" s="227">
        <f t="shared" si="7"/>
        <v>941947.03613073565</v>
      </c>
      <c r="AY18" s="226">
        <f t="shared" si="7"/>
        <v>8356872.4119711481</v>
      </c>
      <c r="AZ18" s="228">
        <f t="shared" si="7"/>
        <v>6210918.3389714304</v>
      </c>
      <c r="BA18" s="227">
        <f t="shared" si="7"/>
        <v>3090048.4958038828</v>
      </c>
      <c r="BB18" s="227">
        <f t="shared" si="7"/>
        <v>-7290815.6776721533</v>
      </c>
      <c r="BC18" s="227">
        <f t="shared" si="7"/>
        <v>-4582842.5238509178</v>
      </c>
      <c r="BD18" s="227">
        <f t="shared" si="7"/>
        <v>1689727.8572919569</v>
      </c>
      <c r="BE18" s="227">
        <f t="shared" si="7"/>
        <v>12945467.679696713</v>
      </c>
      <c r="BF18" s="227">
        <f t="shared" si="7"/>
        <v>4757759.2508288026</v>
      </c>
      <c r="BG18" s="227">
        <f t="shared" si="7"/>
        <v>3995.6332450448535</v>
      </c>
      <c r="BH18" s="227">
        <f t="shared" si="7"/>
        <v>5583179.0896765441</v>
      </c>
      <c r="BI18" s="227">
        <f t="shared" si="7"/>
        <v>150256.26261451258</v>
      </c>
      <c r="BJ18" s="227">
        <f t="shared" si="7"/>
        <v>3193843.4774107537</v>
      </c>
      <c r="BK18" s="226">
        <f t="shared" si="7"/>
        <v>8924126.2183273658</v>
      </c>
      <c r="BL18" s="228">
        <f t="shared" si="7"/>
        <v>6738890.9718227889</v>
      </c>
      <c r="BM18" s="227">
        <f t="shared" si="7"/>
        <v>1301097.7858198518</v>
      </c>
      <c r="BN18" s="227">
        <f t="shared" si="7"/>
        <v>-5040104.603520913</v>
      </c>
      <c r="BO18" s="227">
        <f t="shared" si="7"/>
        <v>-4578857.1022795159</v>
      </c>
      <c r="BP18" s="227">
        <f t="shared" si="7"/>
        <v>2054550.3979762709</v>
      </c>
      <c r="BQ18" s="227">
        <f t="shared" si="7"/>
        <v>13983790.10226927</v>
      </c>
      <c r="BR18" s="227">
        <f t="shared" si="7"/>
        <v>5333226.7695580721</v>
      </c>
      <c r="BS18" s="227">
        <f t="shared" si="7"/>
        <v>272952.64185498364</v>
      </c>
      <c r="BT18" s="227">
        <f t="shared" si="7"/>
        <v>6297768.1248874525</v>
      </c>
      <c r="BU18" s="227">
        <f t="shared" si="7"/>
        <v>446393.8951449435</v>
      </c>
      <c r="BV18" s="227">
        <f t="shared" si="7"/>
        <v>1154391.0509670172</v>
      </c>
      <c r="BW18" s="226">
        <f t="shared" si="7"/>
        <v>9712249.4393397868</v>
      </c>
      <c r="BX18" s="228">
        <f t="shared" si="7"/>
        <v>11797727.795986043</v>
      </c>
      <c r="BY18" s="227">
        <f t="shared" si="7"/>
        <v>-4778848.2902348209</v>
      </c>
      <c r="BZ18" s="227">
        <f t="shared" si="7"/>
        <v>-5430643.893410258</v>
      </c>
      <c r="CA18" s="227">
        <f t="shared" si="7"/>
        <v>-7421935.220661561</v>
      </c>
      <c r="CB18" s="227">
        <f t="shared" si="7"/>
        <v>7113759.4348810632</v>
      </c>
      <c r="CC18" s="227">
        <f t="shared" ref="CC18:DS18" si="8">SUM(CC15:CC17)</f>
        <v>12452370.291851357</v>
      </c>
      <c r="CD18" s="227">
        <f t="shared" si="8"/>
        <v>5677512.8622375904</v>
      </c>
      <c r="CE18" s="227">
        <f t="shared" si="8"/>
        <v>290166.51202357572</v>
      </c>
      <c r="CF18" s="227">
        <f t="shared" si="8"/>
        <v>6672069.3197632656</v>
      </c>
      <c r="CG18" s="227">
        <f t="shared" si="8"/>
        <v>495003.86904917762</v>
      </c>
      <c r="CH18" s="227">
        <f t="shared" si="8"/>
        <v>1349994.4932255931</v>
      </c>
      <c r="CI18" s="226">
        <f t="shared" si="8"/>
        <v>10191381.047336783</v>
      </c>
      <c r="CJ18" s="228">
        <f t="shared" si="8"/>
        <v>10090020.19975316</v>
      </c>
      <c r="CK18" s="227">
        <f t="shared" si="8"/>
        <v>1367120.0155754914</v>
      </c>
      <c r="CL18" s="227">
        <f t="shared" si="8"/>
        <v>-8609930.9905674588</v>
      </c>
      <c r="CM18" s="227">
        <f t="shared" si="8"/>
        <v>-5760040.9055432044</v>
      </c>
      <c r="CN18" s="227">
        <f t="shared" si="8"/>
        <v>4143902.342339105</v>
      </c>
      <c r="CO18" s="227">
        <f t="shared" si="8"/>
        <v>14571937.174441596</v>
      </c>
      <c r="CP18" s="227">
        <f t="shared" si="8"/>
        <v>5145317.3884353656</v>
      </c>
      <c r="CQ18" s="227">
        <f t="shared" si="8"/>
        <v>-444850.63891526067</v>
      </c>
      <c r="CR18" s="227">
        <f t="shared" si="8"/>
        <v>3666162.610782851</v>
      </c>
      <c r="CS18" s="227">
        <f t="shared" si="8"/>
        <v>2420975.0658111386</v>
      </c>
      <c r="CT18" s="227">
        <f t="shared" si="8"/>
        <v>3396588.3449243312</v>
      </c>
      <c r="CU18" s="226">
        <f t="shared" si="8"/>
        <v>10002947.886669621</v>
      </c>
      <c r="CV18" s="228">
        <f t="shared" si="8"/>
        <v>7345762.4097533533</v>
      </c>
      <c r="CW18" s="227">
        <f t="shared" si="8"/>
        <v>974271.68927339255</v>
      </c>
      <c r="CX18" s="227">
        <f t="shared" si="8"/>
        <v>-8822821.4635746721</v>
      </c>
      <c r="CY18" s="227">
        <f t="shared" si="8"/>
        <v>-2784545.0955477254</v>
      </c>
      <c r="CZ18" s="227">
        <f t="shared" si="8"/>
        <v>2438883.1145751197</v>
      </c>
      <c r="DA18" s="227">
        <f t="shared" si="8"/>
        <v>13954869.019684494</v>
      </c>
      <c r="DB18" s="227">
        <f t="shared" si="8"/>
        <v>6417292.8235456208</v>
      </c>
      <c r="DC18" s="227">
        <f t="shared" si="8"/>
        <v>308171.6903706172</v>
      </c>
      <c r="DD18" s="227">
        <f t="shared" si="8"/>
        <v>7330065.3439113181</v>
      </c>
      <c r="DE18" s="227">
        <f t="shared" si="8"/>
        <v>550133.4386227529</v>
      </c>
      <c r="DF18" s="227">
        <f t="shared" si="8"/>
        <v>7023460.4650018029</v>
      </c>
      <c r="DG18" s="226">
        <f t="shared" si="8"/>
        <v>11650172.764154898</v>
      </c>
      <c r="DH18" s="228">
        <f t="shared" si="8"/>
        <v>8521990.0027595703</v>
      </c>
      <c r="DI18" s="227">
        <f t="shared" si="8"/>
        <v>-1010369.7296286449</v>
      </c>
      <c r="DJ18" s="227">
        <f t="shared" si="8"/>
        <v>-6430719.4926137496</v>
      </c>
      <c r="DK18" s="227">
        <f t="shared" si="8"/>
        <v>-6017564.3276770804</v>
      </c>
      <c r="DL18" s="227">
        <f t="shared" si="8"/>
        <v>5606061.6978239827</v>
      </c>
      <c r="DM18" s="227">
        <f t="shared" si="8"/>
        <v>14758485.346499637</v>
      </c>
      <c r="DN18" s="227">
        <f t="shared" si="8"/>
        <v>6770335.847908942</v>
      </c>
      <c r="DO18" s="227">
        <f t="shared" si="8"/>
        <v>3142024.0250276215</v>
      </c>
      <c r="DP18" s="227">
        <f t="shared" si="8"/>
        <v>5098729.8440374341</v>
      </c>
      <c r="DQ18" s="227">
        <f t="shared" si="8"/>
        <v>593882.7949649822</v>
      </c>
      <c r="DR18" s="227">
        <f t="shared" si="8"/>
        <v>4225124.9106771927</v>
      </c>
      <c r="DS18" s="226">
        <f t="shared" si="8"/>
        <v>12348179.666256391</v>
      </c>
    </row>
    <row r="19" spans="1:123" ht="19.5" customHeight="1" thickBot="1" x14ac:dyDescent="0.3">
      <c r="A19" s="97" t="s">
        <v>108</v>
      </c>
      <c r="B19" s="93"/>
      <c r="C19" s="52"/>
      <c r="D19" s="1145">
        <v>0</v>
      </c>
      <c r="E19" s="1145">
        <v>0</v>
      </c>
      <c r="F19" s="1145">
        <v>0</v>
      </c>
      <c r="G19" s="1145">
        <v>0</v>
      </c>
      <c r="H19" s="1145">
        <v>0</v>
      </c>
      <c r="I19" s="1145">
        <v>0</v>
      </c>
      <c r="J19" s="1145">
        <v>0</v>
      </c>
      <c r="K19" s="1145">
        <v>0</v>
      </c>
      <c r="L19" s="1145">
        <v>0</v>
      </c>
      <c r="M19" s="1145">
        <v>0</v>
      </c>
      <c r="N19" s="1145">
        <v>0</v>
      </c>
      <c r="O19" s="1146">
        <f>('8.Income Tax'!$C19*0.5)*1000</f>
        <v>0</v>
      </c>
      <c r="P19" s="229">
        <v>0</v>
      </c>
      <c r="Q19" s="307">
        <v>0</v>
      </c>
      <c r="R19" s="307">
        <v>0</v>
      </c>
      <c r="S19" s="307">
        <v>0</v>
      </c>
      <c r="T19" s="307">
        <v>0</v>
      </c>
      <c r="U19" s="307">
        <f>('8.Income Tax'!$D19*0.5)*1000</f>
        <v>0</v>
      </c>
      <c r="V19" s="229">
        <v>0</v>
      </c>
      <c r="W19" s="307">
        <v>0</v>
      </c>
      <c r="X19" s="307">
        <v>0</v>
      </c>
      <c r="Y19" s="307">
        <v>0</v>
      </c>
      <c r="Z19" s="307">
        <v>0</v>
      </c>
      <c r="AA19" s="230">
        <f>('8.Income Tax'!$D19*0.5)*1000</f>
        <v>0</v>
      </c>
      <c r="AB19" s="229">
        <v>0</v>
      </c>
      <c r="AC19" s="231">
        <v>0</v>
      </c>
      <c r="AD19" s="231">
        <v>0</v>
      </c>
      <c r="AE19" s="231">
        <v>0</v>
      </c>
      <c r="AF19" s="231">
        <v>0</v>
      </c>
      <c r="AG19" s="231">
        <f>('8.Income Tax'!$E19*0.5)*1000</f>
        <v>0</v>
      </c>
      <c r="AH19" s="231">
        <v>0</v>
      </c>
      <c r="AI19" s="231">
        <v>0</v>
      </c>
      <c r="AJ19" s="231">
        <v>0</v>
      </c>
      <c r="AK19" s="231">
        <v>0</v>
      </c>
      <c r="AL19" s="231">
        <v>0</v>
      </c>
      <c r="AM19" s="230">
        <f>('8.Income Tax'!$E19*0.5)*1000</f>
        <v>0</v>
      </c>
      <c r="AN19" s="1171">
        <v>0</v>
      </c>
      <c r="AO19" s="231">
        <v>0</v>
      </c>
      <c r="AP19" s="231">
        <v>0</v>
      </c>
      <c r="AQ19" s="231">
        <v>0</v>
      </c>
      <c r="AR19" s="231">
        <v>0</v>
      </c>
      <c r="AS19" s="231">
        <f>('8.Income Tax'!$F19*0.5)*1000</f>
        <v>0</v>
      </c>
      <c r="AT19" s="231">
        <v>0</v>
      </c>
      <c r="AU19" s="231">
        <v>0</v>
      </c>
      <c r="AV19" s="231">
        <v>0</v>
      </c>
      <c r="AW19" s="231">
        <v>0</v>
      </c>
      <c r="AX19" s="231">
        <v>0</v>
      </c>
      <c r="AY19" s="230">
        <f>('8.Income Tax'!$F19*0.5)*1000</f>
        <v>0</v>
      </c>
      <c r="AZ19" s="229">
        <v>0</v>
      </c>
      <c r="BA19" s="231">
        <v>0</v>
      </c>
      <c r="BB19" s="231">
        <v>0</v>
      </c>
      <c r="BC19" s="231">
        <v>0</v>
      </c>
      <c r="BD19" s="231">
        <v>0</v>
      </c>
      <c r="BE19" s="231">
        <f>('8.Income Tax'!$G19*0.5)*1000</f>
        <v>0</v>
      </c>
      <c r="BF19" s="231">
        <v>0</v>
      </c>
      <c r="BG19" s="231">
        <v>0</v>
      </c>
      <c r="BH19" s="231">
        <v>0</v>
      </c>
      <c r="BI19" s="231">
        <v>0</v>
      </c>
      <c r="BJ19" s="231">
        <v>0</v>
      </c>
      <c r="BK19" s="230">
        <f>('8.Income Tax'!$G19*0.5)*1000</f>
        <v>0</v>
      </c>
      <c r="BL19" s="229">
        <v>0</v>
      </c>
      <c r="BM19" s="231">
        <v>0</v>
      </c>
      <c r="BN19" s="231">
        <v>0</v>
      </c>
      <c r="BO19" s="231">
        <v>0</v>
      </c>
      <c r="BP19" s="231">
        <v>0</v>
      </c>
      <c r="BQ19" s="231">
        <f>('8.Income Tax'!$H19*0.5)*1000</f>
        <v>0</v>
      </c>
      <c r="BR19" s="231">
        <v>0</v>
      </c>
      <c r="BS19" s="231">
        <v>0</v>
      </c>
      <c r="BT19" s="231">
        <v>0</v>
      </c>
      <c r="BU19" s="231">
        <v>0</v>
      </c>
      <c r="BV19" s="231">
        <v>0</v>
      </c>
      <c r="BW19" s="230">
        <f>('8.Income Tax'!$H19*0.5)*1000</f>
        <v>0</v>
      </c>
      <c r="BX19" s="229">
        <v>0</v>
      </c>
      <c r="BY19" s="231">
        <v>0</v>
      </c>
      <c r="BZ19" s="231">
        <v>0</v>
      </c>
      <c r="CA19" s="231">
        <v>0</v>
      </c>
      <c r="CB19" s="231">
        <v>0</v>
      </c>
      <c r="CC19" s="231">
        <f>('8.Income Tax'!$I19*0.5)*1000</f>
        <v>-4346131.7883493407</v>
      </c>
      <c r="CD19" s="231">
        <v>0</v>
      </c>
      <c r="CE19" s="231">
        <v>0</v>
      </c>
      <c r="CF19" s="231">
        <v>0</v>
      </c>
      <c r="CG19" s="231">
        <v>0</v>
      </c>
      <c r="CH19" s="231">
        <v>0</v>
      </c>
      <c r="CI19" s="230">
        <f>('8.Income Tax'!$I19*0.5)*1000</f>
        <v>-4346131.7883493407</v>
      </c>
      <c r="CJ19" s="229">
        <v>0</v>
      </c>
      <c r="CK19" s="231">
        <v>0</v>
      </c>
      <c r="CL19" s="231">
        <v>0</v>
      </c>
      <c r="CM19" s="231">
        <v>0</v>
      </c>
      <c r="CN19" s="231">
        <v>0</v>
      </c>
      <c r="CO19" s="231">
        <f>('8.Income Tax'!$J19*0.5)*1000</f>
        <v>-5598620.7891189409</v>
      </c>
      <c r="CP19" s="231">
        <v>0</v>
      </c>
      <c r="CQ19" s="231">
        <v>0</v>
      </c>
      <c r="CR19" s="231">
        <v>0</v>
      </c>
      <c r="CS19" s="231">
        <v>0</v>
      </c>
      <c r="CT19" s="231">
        <v>0</v>
      </c>
      <c r="CU19" s="230">
        <f>('8.Income Tax'!$J19*0.5)*1000</f>
        <v>-5598620.7891189409</v>
      </c>
      <c r="CV19" s="229">
        <v>0</v>
      </c>
      <c r="CW19" s="231">
        <v>0</v>
      </c>
      <c r="CX19" s="231">
        <v>0</v>
      </c>
      <c r="CY19" s="231">
        <v>0</v>
      </c>
      <c r="CZ19" s="231">
        <v>0</v>
      </c>
      <c r="DA19" s="231">
        <f>('8.Income Tax'!$K19*0.5)*1000</f>
        <v>-6494000.2679679357</v>
      </c>
      <c r="DB19" s="231">
        <v>0</v>
      </c>
      <c r="DC19" s="231">
        <v>0</v>
      </c>
      <c r="DD19" s="231">
        <v>0</v>
      </c>
      <c r="DE19" s="231">
        <v>0</v>
      </c>
      <c r="DF19" s="231">
        <v>0</v>
      </c>
      <c r="DG19" s="230">
        <f>('8.Income Tax'!$K19*0.5)*1000</f>
        <v>-6494000.2679679357</v>
      </c>
      <c r="DH19" s="229">
        <v>0</v>
      </c>
      <c r="DI19" s="231">
        <v>0</v>
      </c>
      <c r="DJ19" s="231">
        <v>0</v>
      </c>
      <c r="DK19" s="231">
        <v>0</v>
      </c>
      <c r="DL19" s="231">
        <v>0</v>
      </c>
      <c r="DM19" s="231">
        <f>('8.Income Tax'!$L19*0.5)*1000</f>
        <v>-6664862.4820450824</v>
      </c>
      <c r="DN19" s="231">
        <v>0</v>
      </c>
      <c r="DO19" s="231">
        <v>0</v>
      </c>
      <c r="DP19" s="231">
        <v>0</v>
      </c>
      <c r="DQ19" s="231">
        <v>0</v>
      </c>
      <c r="DR19" s="231">
        <v>0</v>
      </c>
      <c r="DS19" s="230">
        <f>('8.Income Tax'!$L19*0.5)*1000</f>
        <v>-6664862.4820450824</v>
      </c>
    </row>
    <row r="20" spans="1:123" ht="23.25" customHeight="1" thickBot="1" x14ac:dyDescent="0.35">
      <c r="A20" s="1424" t="s">
        <v>148</v>
      </c>
      <c r="B20" s="1424"/>
      <c r="C20" s="105"/>
      <c r="D20" s="1147">
        <f t="shared" ref="D20:M20" si="9">SUM(D18:D19)</f>
        <v>-383653.39155628486</v>
      </c>
      <c r="E20" s="1147">
        <f t="shared" si="9"/>
        <v>-383653.39155628486</v>
      </c>
      <c r="F20" s="1147">
        <f t="shared" si="9"/>
        <v>-383653.39155628486</v>
      </c>
      <c r="G20" s="1147">
        <f t="shared" si="9"/>
        <v>-383653.39155628486</v>
      </c>
      <c r="H20" s="1147">
        <f t="shared" si="9"/>
        <v>-383653.39155628486</v>
      </c>
      <c r="I20" s="1147">
        <f t="shared" si="9"/>
        <v>-383653.39155628486</v>
      </c>
      <c r="J20" s="1147">
        <f t="shared" si="9"/>
        <v>-383653.39155628486</v>
      </c>
      <c r="K20" s="1147">
        <f t="shared" si="9"/>
        <v>-383653.39155628486</v>
      </c>
      <c r="L20" s="1147">
        <f t="shared" si="9"/>
        <v>-383653.39155628486</v>
      </c>
      <c r="M20" s="1147">
        <f t="shared" si="9"/>
        <v>-383653.39155628486</v>
      </c>
      <c r="N20" s="1147">
        <f>SUM(N18:N19)</f>
        <v>-383653.39155628486</v>
      </c>
      <c r="O20" s="1148">
        <f>SUM(O18:O19)</f>
        <v>-383653.39155628486</v>
      </c>
      <c r="P20" s="232">
        <f>SUM(P18:P19)</f>
        <v>-709105.64155628486</v>
      </c>
      <c r="Q20" s="308">
        <f>SUM(Q18:Q19)</f>
        <v>-709105.64155628486</v>
      </c>
      <c r="R20" s="308">
        <f>SUM(R18:R19)</f>
        <v>-2351362.2720501446</v>
      </c>
      <c r="S20" s="308">
        <f t="shared" ref="S20:CB20" si="10">SUM(S18:S19)</f>
        <v>-1588723.2720501446</v>
      </c>
      <c r="T20" s="308">
        <f t="shared" si="10"/>
        <v>-1636558.2720501446</v>
      </c>
      <c r="U20" s="308">
        <f t="shared" si="10"/>
        <v>-1592747.37330409</v>
      </c>
      <c r="V20" s="308">
        <f t="shared" si="10"/>
        <v>-1719783.6850960043</v>
      </c>
      <c r="W20" s="308">
        <f t="shared" si="10"/>
        <v>-1791858.6549135749</v>
      </c>
      <c r="X20" s="308">
        <f t="shared" si="10"/>
        <v>-1795887.9034735116</v>
      </c>
      <c r="Y20" s="308">
        <f t="shared" si="10"/>
        <v>-1872979.6269491836</v>
      </c>
      <c r="Z20" s="308">
        <f t="shared" si="10"/>
        <v>-1970925.8762212754</v>
      </c>
      <c r="AA20" s="233">
        <f t="shared" si="10"/>
        <v>-1959875.8462217255</v>
      </c>
      <c r="AB20" s="232">
        <f t="shared" si="10"/>
        <v>-2450376.6003963393</v>
      </c>
      <c r="AC20" s="234">
        <f t="shared" si="10"/>
        <v>-2984191.0854716846</v>
      </c>
      <c r="AD20" s="234">
        <f t="shared" si="10"/>
        <v>-3884336.829619932</v>
      </c>
      <c r="AE20" s="234">
        <f t="shared" si="10"/>
        <v>-3383572.2455705176</v>
      </c>
      <c r="AF20" s="234">
        <f t="shared" si="10"/>
        <v>-4372439.5818286762</v>
      </c>
      <c r="AG20" s="234">
        <f t="shared" si="10"/>
        <v>-5019702.4263646174</v>
      </c>
      <c r="AH20" s="234">
        <f t="shared" si="10"/>
        <v>-5778642.9778406844</v>
      </c>
      <c r="AI20" s="234">
        <f t="shared" si="10"/>
        <v>-6777169.2847582623</v>
      </c>
      <c r="AJ20" s="234">
        <f t="shared" si="10"/>
        <v>-6748115.2553891875</v>
      </c>
      <c r="AK20" s="234">
        <f t="shared" si="10"/>
        <v>-6599116.4401949979</v>
      </c>
      <c r="AL20" s="234">
        <f t="shared" si="10"/>
        <v>-6827903.177946547</v>
      </c>
      <c r="AM20" s="233">
        <f t="shared" si="10"/>
        <v>-5851844.0622442868</v>
      </c>
      <c r="AN20" s="1172">
        <f t="shared" si="10"/>
        <v>-8556208.2897013314</v>
      </c>
      <c r="AO20" s="234">
        <f t="shared" si="10"/>
        <v>-10869318.167352393</v>
      </c>
      <c r="AP20" s="234">
        <f t="shared" si="10"/>
        <v>-9065441.6773614772</v>
      </c>
      <c r="AQ20" s="234">
        <f t="shared" si="10"/>
        <v>-6394127.491830511</v>
      </c>
      <c r="AR20" s="234">
        <f t="shared" si="10"/>
        <v>3772505.4713159115</v>
      </c>
      <c r="AS20" s="234">
        <f t="shared" si="10"/>
        <v>12273736.270477656</v>
      </c>
      <c r="AT20" s="234">
        <f t="shared" si="10"/>
        <v>4628759.19977968</v>
      </c>
      <c r="AU20" s="234">
        <f t="shared" si="10"/>
        <v>-41898.281233969261</v>
      </c>
      <c r="AV20" s="234">
        <f t="shared" si="10"/>
        <v>3310908.3359132344</v>
      </c>
      <c r="AW20" s="234">
        <f t="shared" si="10"/>
        <v>2301815.904937245</v>
      </c>
      <c r="AX20" s="234">
        <f t="shared" si="10"/>
        <v>941947.03613073565</v>
      </c>
      <c r="AY20" s="233">
        <f t="shared" si="10"/>
        <v>8356872.4119711481</v>
      </c>
      <c r="AZ20" s="235">
        <f t="shared" si="10"/>
        <v>6210918.3389714304</v>
      </c>
      <c r="BA20" s="234">
        <f t="shared" si="10"/>
        <v>3090048.4958038828</v>
      </c>
      <c r="BB20" s="234">
        <f t="shared" si="10"/>
        <v>-7290815.6776721533</v>
      </c>
      <c r="BC20" s="234">
        <f t="shared" si="10"/>
        <v>-4582842.5238509178</v>
      </c>
      <c r="BD20" s="234">
        <f t="shared" si="10"/>
        <v>1689727.8572919569</v>
      </c>
      <c r="BE20" s="234">
        <f t="shared" si="10"/>
        <v>12945467.679696713</v>
      </c>
      <c r="BF20" s="234">
        <f t="shared" si="10"/>
        <v>4757759.2508288026</v>
      </c>
      <c r="BG20" s="234">
        <f t="shared" si="10"/>
        <v>3995.6332450448535</v>
      </c>
      <c r="BH20" s="234">
        <f t="shared" si="10"/>
        <v>5583179.0896765441</v>
      </c>
      <c r="BI20" s="234">
        <f t="shared" si="10"/>
        <v>150256.26261451258</v>
      </c>
      <c r="BJ20" s="234">
        <f t="shared" si="10"/>
        <v>3193843.4774107537</v>
      </c>
      <c r="BK20" s="233">
        <f t="shared" si="10"/>
        <v>8924126.2183273658</v>
      </c>
      <c r="BL20" s="235">
        <f t="shared" si="10"/>
        <v>6738890.9718227889</v>
      </c>
      <c r="BM20" s="234">
        <f t="shared" si="10"/>
        <v>1301097.7858198518</v>
      </c>
      <c r="BN20" s="234">
        <f t="shared" si="10"/>
        <v>-5040104.603520913</v>
      </c>
      <c r="BO20" s="234">
        <f t="shared" si="10"/>
        <v>-4578857.1022795159</v>
      </c>
      <c r="BP20" s="234">
        <f t="shared" si="10"/>
        <v>2054550.3979762709</v>
      </c>
      <c r="BQ20" s="234">
        <f t="shared" si="10"/>
        <v>13983790.10226927</v>
      </c>
      <c r="BR20" s="234">
        <f t="shared" si="10"/>
        <v>5333226.7695580721</v>
      </c>
      <c r="BS20" s="234">
        <f t="shared" si="10"/>
        <v>272952.64185498364</v>
      </c>
      <c r="BT20" s="234">
        <f t="shared" si="10"/>
        <v>6297768.1248874525</v>
      </c>
      <c r="BU20" s="234">
        <f t="shared" si="10"/>
        <v>446393.8951449435</v>
      </c>
      <c r="BV20" s="234">
        <f t="shared" si="10"/>
        <v>1154391.0509670172</v>
      </c>
      <c r="BW20" s="233">
        <f t="shared" si="10"/>
        <v>9712249.4393397868</v>
      </c>
      <c r="BX20" s="235">
        <f t="shared" si="10"/>
        <v>11797727.795986043</v>
      </c>
      <c r="BY20" s="234">
        <f t="shared" si="10"/>
        <v>-4778848.2902348209</v>
      </c>
      <c r="BZ20" s="234">
        <f t="shared" si="10"/>
        <v>-5430643.893410258</v>
      </c>
      <c r="CA20" s="234">
        <f t="shared" si="10"/>
        <v>-7421935.220661561</v>
      </c>
      <c r="CB20" s="234">
        <f t="shared" si="10"/>
        <v>7113759.4348810632</v>
      </c>
      <c r="CC20" s="234">
        <f t="shared" ref="CC20:DS20" si="11">SUM(CC18:CC19)</f>
        <v>8106238.503502016</v>
      </c>
      <c r="CD20" s="234">
        <f t="shared" si="11"/>
        <v>5677512.8622375904</v>
      </c>
      <c r="CE20" s="234">
        <f t="shared" si="11"/>
        <v>290166.51202357572</v>
      </c>
      <c r="CF20" s="234">
        <f t="shared" si="11"/>
        <v>6672069.3197632656</v>
      </c>
      <c r="CG20" s="234">
        <f t="shared" si="11"/>
        <v>495003.86904917762</v>
      </c>
      <c r="CH20" s="234">
        <f t="shared" si="11"/>
        <v>1349994.4932255931</v>
      </c>
      <c r="CI20" s="233">
        <f t="shared" si="11"/>
        <v>5845249.2589874426</v>
      </c>
      <c r="CJ20" s="235">
        <f t="shared" si="11"/>
        <v>10090020.19975316</v>
      </c>
      <c r="CK20" s="234">
        <f t="shared" si="11"/>
        <v>1367120.0155754914</v>
      </c>
      <c r="CL20" s="234">
        <f t="shared" si="11"/>
        <v>-8609930.9905674588</v>
      </c>
      <c r="CM20" s="234">
        <f t="shared" si="11"/>
        <v>-5760040.9055432044</v>
      </c>
      <c r="CN20" s="234">
        <f t="shared" si="11"/>
        <v>4143902.342339105</v>
      </c>
      <c r="CO20" s="234">
        <f t="shared" si="11"/>
        <v>8973316.3853226565</v>
      </c>
      <c r="CP20" s="234">
        <f t="shared" si="11"/>
        <v>5145317.3884353656</v>
      </c>
      <c r="CQ20" s="234">
        <f t="shared" si="11"/>
        <v>-444850.63891526067</v>
      </c>
      <c r="CR20" s="234">
        <f t="shared" si="11"/>
        <v>3666162.610782851</v>
      </c>
      <c r="CS20" s="234">
        <f t="shared" si="11"/>
        <v>2420975.0658111386</v>
      </c>
      <c r="CT20" s="234">
        <f t="shared" si="11"/>
        <v>3396588.3449243312</v>
      </c>
      <c r="CU20" s="233">
        <f t="shared" si="11"/>
        <v>4404327.0975506799</v>
      </c>
      <c r="CV20" s="235">
        <f t="shared" si="11"/>
        <v>7345762.4097533533</v>
      </c>
      <c r="CW20" s="234">
        <f t="shared" si="11"/>
        <v>974271.68927339255</v>
      </c>
      <c r="CX20" s="234">
        <f t="shared" si="11"/>
        <v>-8822821.4635746721</v>
      </c>
      <c r="CY20" s="234">
        <f t="shared" si="11"/>
        <v>-2784545.0955477254</v>
      </c>
      <c r="CZ20" s="234">
        <f t="shared" si="11"/>
        <v>2438883.1145751197</v>
      </c>
      <c r="DA20" s="234">
        <f t="shared" si="11"/>
        <v>7460868.7517165579</v>
      </c>
      <c r="DB20" s="234">
        <f t="shared" si="11"/>
        <v>6417292.8235456208</v>
      </c>
      <c r="DC20" s="234">
        <f t="shared" si="11"/>
        <v>308171.6903706172</v>
      </c>
      <c r="DD20" s="234">
        <f t="shared" si="11"/>
        <v>7330065.3439113181</v>
      </c>
      <c r="DE20" s="234">
        <f t="shared" si="11"/>
        <v>550133.4386227529</v>
      </c>
      <c r="DF20" s="234">
        <f t="shared" si="11"/>
        <v>7023460.4650018029</v>
      </c>
      <c r="DG20" s="233">
        <f t="shared" si="11"/>
        <v>5156172.4961869624</v>
      </c>
      <c r="DH20" s="235">
        <f t="shared" si="11"/>
        <v>8521990.0027595703</v>
      </c>
      <c r="DI20" s="234">
        <f t="shared" si="11"/>
        <v>-1010369.7296286449</v>
      </c>
      <c r="DJ20" s="234">
        <f t="shared" si="11"/>
        <v>-6430719.4926137496</v>
      </c>
      <c r="DK20" s="234">
        <f t="shared" si="11"/>
        <v>-6017564.3276770804</v>
      </c>
      <c r="DL20" s="234">
        <f t="shared" si="11"/>
        <v>5606061.6978239827</v>
      </c>
      <c r="DM20" s="234">
        <f t="shared" si="11"/>
        <v>8093622.8644545544</v>
      </c>
      <c r="DN20" s="234">
        <f t="shared" si="11"/>
        <v>6770335.847908942</v>
      </c>
      <c r="DO20" s="234">
        <f t="shared" si="11"/>
        <v>3142024.0250276215</v>
      </c>
      <c r="DP20" s="234">
        <f t="shared" si="11"/>
        <v>5098729.8440374341</v>
      </c>
      <c r="DQ20" s="234">
        <f t="shared" si="11"/>
        <v>593882.7949649822</v>
      </c>
      <c r="DR20" s="234">
        <f t="shared" si="11"/>
        <v>4225124.9106771927</v>
      </c>
      <c r="DS20" s="233">
        <f t="shared" si="11"/>
        <v>5683317.1842113081</v>
      </c>
    </row>
    <row r="21" spans="1:123" ht="27.75" customHeight="1" x14ac:dyDescent="0.2">
      <c r="C21" s="3"/>
      <c r="D21" s="736"/>
      <c r="E21" s="736"/>
      <c r="F21" s="736"/>
      <c r="G21" s="736"/>
      <c r="H21" s="736"/>
      <c r="I21" s="736"/>
      <c r="J21" s="736"/>
      <c r="K21" s="736"/>
      <c r="L21" s="736"/>
      <c r="M21" s="736"/>
      <c r="N21" s="736"/>
      <c r="O21" s="737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500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500"/>
      <c r="AN21" s="788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500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500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500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500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500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500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500"/>
    </row>
    <row r="22" spans="1:123" s="6" customFormat="1" ht="15" customHeight="1" x14ac:dyDescent="0.3">
      <c r="A22" s="1419" t="s">
        <v>149</v>
      </c>
      <c r="B22" s="1419"/>
      <c r="C22" s="237"/>
      <c r="D22" s="1149"/>
      <c r="E22" s="1149"/>
      <c r="F22" s="1149"/>
      <c r="G22" s="1149"/>
      <c r="H22" s="1149"/>
      <c r="I22" s="1149"/>
      <c r="J22" s="1149"/>
      <c r="K22" s="1149"/>
      <c r="L22" s="1149"/>
      <c r="M22" s="1149"/>
      <c r="N22" s="1149"/>
      <c r="O22" s="1150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499"/>
      <c r="AB22" s="57"/>
      <c r="AC22" s="57"/>
      <c r="AD22" s="57"/>
      <c r="AE22" s="91"/>
      <c r="AF22" s="32"/>
      <c r="AG22" s="32"/>
      <c r="AH22" s="32"/>
      <c r="AI22" s="32"/>
      <c r="AJ22" s="32"/>
      <c r="AK22" s="32"/>
      <c r="AL22" s="32"/>
      <c r="AM22" s="805"/>
      <c r="AN22" s="1173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805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805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805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805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805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805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805"/>
    </row>
    <row r="23" spans="1:123" s="6" customFormat="1" ht="15" customHeight="1" x14ac:dyDescent="0.3">
      <c r="A23" s="1419"/>
      <c r="B23" s="1419"/>
      <c r="C23" s="237"/>
      <c r="D23" s="1149"/>
      <c r="E23" s="1149"/>
      <c r="F23" s="1149"/>
      <c r="G23" s="1149"/>
      <c r="H23" s="1149"/>
      <c r="I23" s="1149"/>
      <c r="J23" s="1149"/>
      <c r="K23" s="1149"/>
      <c r="L23" s="1149"/>
      <c r="M23" s="1149"/>
      <c r="N23" s="1149"/>
      <c r="O23" s="1150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499"/>
      <c r="AB23" s="57"/>
      <c r="AC23" s="57"/>
      <c r="AD23" s="57"/>
      <c r="AE23" s="91"/>
      <c r="AF23" s="32"/>
      <c r="AG23" s="32"/>
      <c r="AH23" s="32"/>
      <c r="AI23" s="32"/>
      <c r="AJ23" s="32"/>
      <c r="AK23" s="32"/>
      <c r="AL23" s="32"/>
      <c r="AM23" s="805"/>
      <c r="AN23" s="1173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805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805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805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805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805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805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805"/>
    </row>
    <row r="24" spans="1:123" s="56" customFormat="1" ht="26.25" customHeight="1" x14ac:dyDescent="0.3">
      <c r="A24" s="144" t="s">
        <v>111</v>
      </c>
      <c r="B24" s="152"/>
      <c r="D24" s="1151"/>
      <c r="E24" s="1151"/>
      <c r="F24" s="1151"/>
      <c r="G24" s="1151"/>
      <c r="H24" s="1151"/>
      <c r="I24" s="1151"/>
      <c r="J24" s="1151"/>
      <c r="K24" s="1151"/>
      <c r="L24" s="1151"/>
      <c r="M24" s="1151"/>
      <c r="N24" s="1151"/>
      <c r="O24" s="1152"/>
      <c r="P24" s="121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800"/>
      <c r="AB24" s="121"/>
      <c r="AC24" s="122"/>
      <c r="AD24" s="122"/>
      <c r="AE24" s="806"/>
      <c r="AF24" s="807"/>
      <c r="AG24" s="195"/>
      <c r="AH24" s="195"/>
      <c r="AI24" s="195"/>
      <c r="AJ24" s="195"/>
      <c r="AK24" s="195"/>
      <c r="AL24" s="195"/>
      <c r="AM24" s="808"/>
      <c r="AN24" s="1174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808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808"/>
      <c r="BL24" s="195"/>
      <c r="BM24" s="195"/>
      <c r="BN24" s="195"/>
      <c r="BO24" s="195"/>
      <c r="BP24" s="195"/>
      <c r="BQ24" s="195"/>
      <c r="BR24" s="195"/>
      <c r="BS24" s="195"/>
      <c r="BT24" s="195"/>
      <c r="BU24" s="195"/>
      <c r="BV24" s="195"/>
      <c r="BW24" s="808"/>
      <c r="BX24" s="195"/>
      <c r="BY24" s="195"/>
      <c r="BZ24" s="195"/>
      <c r="CA24" s="195"/>
      <c r="CB24" s="195"/>
      <c r="CC24" s="195"/>
      <c r="CD24" s="195"/>
      <c r="CE24" s="195"/>
      <c r="CF24" s="195"/>
      <c r="CG24" s="195"/>
      <c r="CH24" s="195"/>
      <c r="CI24" s="808"/>
      <c r="CJ24" s="195"/>
      <c r="CK24" s="195"/>
      <c r="CL24" s="195"/>
      <c r="CM24" s="195"/>
      <c r="CN24" s="195"/>
      <c r="CO24" s="195"/>
      <c r="CP24" s="195"/>
      <c r="CQ24" s="195"/>
      <c r="CR24" s="195"/>
      <c r="CS24" s="195"/>
      <c r="CT24" s="195"/>
      <c r="CU24" s="808"/>
      <c r="CV24" s="195"/>
      <c r="CW24" s="195"/>
      <c r="CX24" s="195"/>
      <c r="CY24" s="195"/>
      <c r="CZ24" s="195"/>
      <c r="DA24" s="195"/>
      <c r="DB24" s="195"/>
      <c r="DC24" s="195"/>
      <c r="DD24" s="195"/>
      <c r="DE24" s="195"/>
      <c r="DF24" s="195"/>
      <c r="DG24" s="808"/>
      <c r="DH24" s="195"/>
      <c r="DI24" s="195"/>
      <c r="DJ24" s="195"/>
      <c r="DK24" s="195"/>
      <c r="DL24" s="195"/>
      <c r="DM24" s="195"/>
      <c r="DN24" s="195"/>
      <c r="DO24" s="195"/>
      <c r="DP24" s="195"/>
      <c r="DQ24" s="195"/>
      <c r="DR24" s="195"/>
      <c r="DS24" s="808"/>
    </row>
    <row r="25" spans="1:123" s="6" customFormat="1" ht="18.75" customHeight="1" x14ac:dyDescent="0.25">
      <c r="A25" s="142" t="s">
        <v>157</v>
      </c>
      <c r="B25" s="146"/>
      <c r="D25" s="1153">
        <f>SUM('1.Revenue'!E31:E33)</f>
        <v>0</v>
      </c>
      <c r="E25" s="1153">
        <f>SUM('1.Revenue'!F31:F33)</f>
        <v>0</v>
      </c>
      <c r="F25" s="1153">
        <f>SUM('1.Revenue'!G31:G33)</f>
        <v>0</v>
      </c>
      <c r="G25" s="1153">
        <f>SUM('1.Revenue'!H31:H33)</f>
        <v>0</v>
      </c>
      <c r="H25" s="1153">
        <f>SUM('1.Revenue'!I31:I33)</f>
        <v>0</v>
      </c>
      <c r="I25" s="1153">
        <f>SUM('1.Revenue'!J31:J33)</f>
        <v>0</v>
      </c>
      <c r="J25" s="1153">
        <f>SUM('1.Revenue'!K31:K33)</f>
        <v>0</v>
      </c>
      <c r="K25" s="1153">
        <f>SUM('1.Revenue'!L31:L33)</f>
        <v>0</v>
      </c>
      <c r="L25" s="1153">
        <f>SUM('1.Revenue'!M31:M33)</f>
        <v>0</v>
      </c>
      <c r="M25" s="1153">
        <f>SUM('1.Revenue'!N31:N33)</f>
        <v>0</v>
      </c>
      <c r="N25" s="1153">
        <f>SUM('1.Revenue'!O31:O33)</f>
        <v>0</v>
      </c>
      <c r="O25" s="1154">
        <f>SUM('1.Revenue'!P31:P33)</f>
        <v>0</v>
      </c>
      <c r="P25" s="219">
        <f>SUM('1.Revenue'!Q31:Q33)</f>
        <v>0</v>
      </c>
      <c r="Q25" s="219">
        <f>SUM('1.Revenue'!R31:R33)</f>
        <v>0</v>
      </c>
      <c r="R25" s="219">
        <f>SUM('1.Revenue'!S31:S33)</f>
        <v>0</v>
      </c>
      <c r="S25" s="219">
        <f>SUM('1.Revenue'!T31:T33)</f>
        <v>0</v>
      </c>
      <c r="T25" s="219">
        <f>SUM('1.Revenue'!U31:U33)</f>
        <v>0</v>
      </c>
      <c r="U25" s="219">
        <f>SUM('1.Revenue'!V31:V33)</f>
        <v>0</v>
      </c>
      <c r="V25" s="219">
        <f>SUM('1.Revenue'!W31:W33)</f>
        <v>0</v>
      </c>
      <c r="W25" s="219">
        <f>SUM('1.Revenue'!X31:X33)</f>
        <v>0</v>
      </c>
      <c r="X25" s="219">
        <f>SUM('1.Revenue'!Y31:Y33)</f>
        <v>0</v>
      </c>
      <c r="Y25" s="219">
        <f>SUM('1.Revenue'!Z31:Z33)</f>
        <v>0</v>
      </c>
      <c r="Z25" s="219">
        <f>SUM('1.Revenue'!AA31:AA33)</f>
        <v>0</v>
      </c>
      <c r="AA25" s="801">
        <f>SUM('1.Revenue'!AB31:AB33)</f>
        <v>0</v>
      </c>
      <c r="AB25" s="219">
        <f>SUM('1.Revenue'!AC31:AC33)</f>
        <v>0</v>
      </c>
      <c r="AC25" s="219">
        <f>SUM('1.Revenue'!AD31:AD33)</f>
        <v>0</v>
      </c>
      <c r="AD25" s="219">
        <f>SUM('1.Revenue'!AE31:AE33)</f>
        <v>0</v>
      </c>
      <c r="AE25" s="219">
        <f>SUM('1.Revenue'!AF31:AF33)</f>
        <v>0</v>
      </c>
      <c r="AF25" s="219">
        <f>SUM('1.Revenue'!AG31:AG33)</f>
        <v>0</v>
      </c>
      <c r="AG25" s="219">
        <f>SUM('1.Revenue'!AH31:AH33)</f>
        <v>0</v>
      </c>
      <c r="AH25" s="219">
        <f>SUM('1.Revenue'!AI31:AI33)</f>
        <v>0</v>
      </c>
      <c r="AI25" s="219">
        <f>SUM('1.Revenue'!AJ31:AJ33)</f>
        <v>0</v>
      </c>
      <c r="AJ25" s="219">
        <f>SUM('1.Revenue'!AK31:AK33)</f>
        <v>0</v>
      </c>
      <c r="AK25" s="219">
        <f>SUM('1.Revenue'!AL31:AL33)</f>
        <v>0</v>
      </c>
      <c r="AL25" s="219">
        <f>SUM('1.Revenue'!AM31:AM33)</f>
        <v>0</v>
      </c>
      <c r="AM25" s="801">
        <f>SUM('1.Revenue'!AN31:AN33)</f>
        <v>0</v>
      </c>
      <c r="AN25" s="1175">
        <f>SUM('1.Revenue'!AO31:AO33)</f>
        <v>0</v>
      </c>
      <c r="AO25" s="219">
        <f>SUM('1.Revenue'!AP31:AP33)</f>
        <v>0</v>
      </c>
      <c r="AP25" s="219">
        <f>SUM('1.Revenue'!AQ31:AQ33)</f>
        <v>4237682.0618159985</v>
      </c>
      <c r="AQ25" s="219">
        <f>SUM('1.Revenue'!AR31:AR33)</f>
        <v>6356523.0927239973</v>
      </c>
      <c r="AR25" s="219">
        <f>SUM('1.Revenue'!AS31:AS33)</f>
        <v>16950728.247263994</v>
      </c>
      <c r="AS25" s="219">
        <f>SUM('1.Revenue'!AT31:AT33)</f>
        <v>25426092.370895989</v>
      </c>
      <c r="AT25" s="219">
        <f>SUM('1.Revenue'!AU31:AU33)</f>
        <v>16950728.247263994</v>
      </c>
      <c r="AU25" s="219">
        <f>SUM('1.Revenue'!AV31:AV33)</f>
        <v>12713046.185447995</v>
      </c>
      <c r="AV25" s="219">
        <f>SUM('1.Revenue'!AW31:AW33)</f>
        <v>14831887.216355994</v>
      </c>
      <c r="AW25" s="219">
        <f>SUM('1.Revenue'!AX31:AX33)</f>
        <v>12713046.185447995</v>
      </c>
      <c r="AX25" s="219">
        <f>SUM('1.Revenue'!AY31:AY33)</f>
        <v>10594205.154539997</v>
      </c>
      <c r="AY25" s="801">
        <f>SUM('1.Revenue'!AZ31:AZ33)</f>
        <v>16950728.247263994</v>
      </c>
      <c r="AZ25" s="219">
        <f>SUM('1.Revenue'!BA31:BA33)</f>
        <v>16950728.247263994</v>
      </c>
      <c r="BA25" s="219">
        <f>SUM('1.Revenue'!BB31:BB33)</f>
        <v>15232348.171197606</v>
      </c>
      <c r="BB25" s="219">
        <f>SUM('1.Revenue'!BC31:BC33)</f>
        <v>6756984.0475656101</v>
      </c>
      <c r="BC25" s="219">
        <f>SUM('1.Revenue'!BD31:BD33)</f>
        <v>9009312.0634208135</v>
      </c>
      <c r="BD25" s="219">
        <f>SUM('1.Revenue'!BE31:BE33)</f>
        <v>15766296.110986423</v>
      </c>
      <c r="BE25" s="219">
        <f>SUM('1.Revenue'!BF31:BF33)</f>
        <v>27027936.190262441</v>
      </c>
      <c r="BF25" s="219">
        <f>SUM('1.Revenue'!BG31:BG33)</f>
        <v>18018624.126841627</v>
      </c>
      <c r="BG25" s="219">
        <f>SUM('1.Revenue'!BH31:BH33)</f>
        <v>13513968.09513122</v>
      </c>
      <c r="BH25" s="219">
        <f>SUM('1.Revenue'!BI31:BI33)</f>
        <v>18018624.126841627</v>
      </c>
      <c r="BI25" s="219">
        <f>SUM('1.Revenue'!BJ31:BJ33)</f>
        <v>11261640.079276016</v>
      </c>
      <c r="BJ25" s="219">
        <f>SUM('1.Revenue'!BK31:BK33)</f>
        <v>13513968.09513122</v>
      </c>
      <c r="BK25" s="801">
        <f>SUM('1.Revenue'!BL31:BL33)</f>
        <v>18018624.126841627</v>
      </c>
      <c r="BL25" s="219">
        <f>SUM('1.Revenue'!BM31:BM33)</f>
        <v>18018624.126841627</v>
      </c>
      <c r="BM25" s="219">
        <f>SUM('1.Revenue'!BN31:BN33)</f>
        <v>13939658.090127852</v>
      </c>
      <c r="BN25" s="219">
        <f>SUM('1.Revenue'!BO31:BO33)</f>
        <v>9576898.7234163247</v>
      </c>
      <c r="BO25" s="219">
        <f>SUM('1.Revenue'!BP31:BP33)</f>
        <v>9576898.7234163247</v>
      </c>
      <c r="BP25" s="219">
        <f>SUM('1.Revenue'!BQ31:BQ33)</f>
        <v>16759572.765978567</v>
      </c>
      <c r="BQ25" s="219">
        <f>SUM('1.Revenue'!BR31:BR33)</f>
        <v>28730696.170248974</v>
      </c>
      <c r="BR25" s="219">
        <f>SUM('1.Revenue'!BS31:BS33)</f>
        <v>19153797.446832649</v>
      </c>
      <c r="BS25" s="219">
        <f>SUM('1.Revenue'!BT31:BT33)</f>
        <v>14365348.085124487</v>
      </c>
      <c r="BT25" s="219">
        <f>SUM('1.Revenue'!BU31:BU33)</f>
        <v>19153797.446832649</v>
      </c>
      <c r="BU25" s="219">
        <f>SUM('1.Revenue'!BV31:BV33)</f>
        <v>11971123.404270405</v>
      </c>
      <c r="BV25" s="219">
        <f>SUM('1.Revenue'!BW31:BW33)</f>
        <v>11971123.404270407</v>
      </c>
      <c r="BW25" s="801">
        <f>SUM('1.Revenue'!BX31:BX33)</f>
        <v>19153797.446832649</v>
      </c>
      <c r="BX25" s="219">
        <f>SUM('1.Revenue'!BY31:BY33)</f>
        <v>23942246.80854081</v>
      </c>
      <c r="BY25" s="219">
        <f>SUM('1.Revenue'!BZ31:BZ33)</f>
        <v>12272795.714058019</v>
      </c>
      <c r="BZ25" s="219">
        <f>SUM('1.Revenue'!CA31:CA33)</f>
        <v>10180243.342991551</v>
      </c>
      <c r="CA25" s="219">
        <f>SUM('1.Revenue'!CB31:CB33)</f>
        <v>7635182.5072436631</v>
      </c>
      <c r="CB25" s="219">
        <f>SUM('1.Revenue'!CC31:CC33)</f>
        <v>22905547.521730993</v>
      </c>
      <c r="CC25" s="219">
        <f>SUM('1.Revenue'!CD31:CD33)</f>
        <v>27995669.19322677</v>
      </c>
      <c r="CD25" s="219">
        <f>SUM('1.Revenue'!CE31:CE33)</f>
        <v>20360486.685983103</v>
      </c>
      <c r="CE25" s="219">
        <f>SUM('1.Revenue'!CF31:CF33)</f>
        <v>15270365.014487326</v>
      </c>
      <c r="CF25" s="219">
        <f>SUM('1.Revenue'!CG31:CG33)</f>
        <v>20360486.685983103</v>
      </c>
      <c r="CG25" s="219">
        <f>SUM('1.Revenue'!CH31:CH33)</f>
        <v>12725304.17873944</v>
      </c>
      <c r="CH25" s="219">
        <f>SUM('1.Revenue'!CI31:CI33)</f>
        <v>12725304.17873944</v>
      </c>
      <c r="CI25" s="801">
        <f>SUM('1.Revenue'!CJ31:CJ33)</f>
        <v>20360486.685983103</v>
      </c>
      <c r="CJ25" s="219">
        <f>SUM('1.Revenue'!CK31:CK33)</f>
        <v>22905547.521730993</v>
      </c>
      <c r="CK25" s="219">
        <f>SUM('1.Revenue'!CL31:CL33)</f>
        <v>15430703.847139444</v>
      </c>
      <c r="CL25" s="219">
        <f>SUM('1.Revenue'!CM31:CM33)</f>
        <v>7795521.3398957811</v>
      </c>
      <c r="CM25" s="219">
        <f>SUM('1.Revenue'!CN31:CN33)</f>
        <v>10340582.175643668</v>
      </c>
      <c r="CN25" s="219">
        <f>SUM('1.Revenue'!CO31:CO33)</f>
        <v>20921672.600265514</v>
      </c>
      <c r="CO25" s="219">
        <f>SUM('1.Revenue'!CP31:CP33)</f>
        <v>31101915.943257067</v>
      </c>
      <c r="CP25" s="219">
        <f>SUM('1.Revenue'!CQ31:CQ33)</f>
        <v>20600994.934961282</v>
      </c>
      <c r="CQ25" s="219">
        <f>SUM('1.Revenue'!CR31:CR33)</f>
        <v>15591042.679791562</v>
      </c>
      <c r="CR25" s="219">
        <f>SUM('1.Revenue'!CS31:CS33)</f>
        <v>18216272.93186551</v>
      </c>
      <c r="CS25" s="219">
        <f>SUM('1.Revenue'!CT31:CT33)</f>
        <v>15430703.847139444</v>
      </c>
      <c r="CT25" s="219">
        <f>SUM('1.Revenue'!CU31:CU33)</f>
        <v>15671212.096117621</v>
      </c>
      <c r="CU25" s="801">
        <f>SUM('1.Revenue'!CV31:CV33)</f>
        <v>20761333.767613396</v>
      </c>
      <c r="CV25" s="219">
        <f>SUM('1.Revenue'!CW31:CW33)</f>
        <v>20761333.767613396</v>
      </c>
      <c r="CW25" s="219">
        <f>SUM('1.Revenue'!CX31:CX33)</f>
        <v>15931923.038009962</v>
      </c>
      <c r="CX25" s="219">
        <f>SUM('1.Revenue'!CY31:CY33)</f>
        <v>8627519.542527616</v>
      </c>
      <c r="CY25" s="219">
        <f>SUM('1.Revenue'!CZ31:CZ33)</f>
        <v>14379199.237546027</v>
      </c>
      <c r="CZ25" s="219">
        <f>SUM('1.Revenue'!DA31:DA33)</f>
        <v>20130878.932564437</v>
      </c>
      <c r="DA25" s="219">
        <f>SUM('1.Revenue'!DB31:DB33)</f>
        <v>31634238.322601259</v>
      </c>
      <c r="DB25" s="219">
        <f>SUM('1.Revenue'!DC31:DC33)</f>
        <v>23006718.780073643</v>
      </c>
      <c r="DC25" s="219">
        <f>SUM('1.Revenue'!DD31:DD33)</f>
        <v>17255039.085055232</v>
      </c>
      <c r="DD25" s="219">
        <f>SUM('1.Revenue'!DE31:DE33)</f>
        <v>23006718.780073643</v>
      </c>
      <c r="DE25" s="219">
        <f>SUM('1.Revenue'!DF31:DF33)</f>
        <v>14379199.237546027</v>
      </c>
      <c r="DF25" s="219">
        <f>SUM('1.Revenue'!DG31:DG33)</f>
        <v>20130878.932564437</v>
      </c>
      <c r="DG25" s="801">
        <f>SUM('1.Revenue'!DH31:DH33)</f>
        <v>23006718.780073643</v>
      </c>
      <c r="DH25" s="219">
        <f>SUM('1.Revenue'!DI31:DI33)</f>
        <v>23006718.780073643</v>
      </c>
      <c r="DI25" s="219">
        <f>SUM('1.Revenue'!DJ31:DJ33)</f>
        <v>14741555.058332186</v>
      </c>
      <c r="DJ25" s="219">
        <f>SUM('1.Revenue'!DK31:DK33)</f>
        <v>12228071.03160914</v>
      </c>
      <c r="DK25" s="219">
        <f>SUM('1.Revenue'!DL31:DL33)</f>
        <v>12228071.03160914</v>
      </c>
      <c r="DL25" s="219">
        <f>SUM('1.Revenue'!DM31:DM33)</f>
        <v>24456142.063218281</v>
      </c>
      <c r="DM25" s="219">
        <f>SUM('1.Revenue'!DN31:DN33)</f>
        <v>33627195.336925134</v>
      </c>
      <c r="DN25" s="219">
        <f>SUM('1.Revenue'!DO31:DO33)</f>
        <v>24456142.063218281</v>
      </c>
      <c r="DO25" s="219">
        <f>SUM('1.Revenue'!DP31:DP33)</f>
        <v>21399124.305315994</v>
      </c>
      <c r="DP25" s="219">
        <f>SUM('1.Revenue'!DQ31:DQ33)</f>
        <v>21399124.305315994</v>
      </c>
      <c r="DQ25" s="219">
        <f>SUM('1.Revenue'!DR31:DR33)</f>
        <v>15285088.789511425</v>
      </c>
      <c r="DR25" s="219">
        <f>SUM('1.Revenue'!DS31:DS33)</f>
        <v>18342106.547413711</v>
      </c>
      <c r="DS25" s="801">
        <f>SUM('1.Revenue'!DT31:DT33)</f>
        <v>24456142.063218281</v>
      </c>
    </row>
    <row r="26" spans="1:123" s="6" customFormat="1" ht="18.75" customHeight="1" x14ac:dyDescent="0.25">
      <c r="A26" s="142" t="s">
        <v>112</v>
      </c>
      <c r="B26" s="146"/>
      <c r="D26" s="1153">
        <f t="shared" ref="D26:M26" si="12">SUM(D10:D12)</f>
        <v>0</v>
      </c>
      <c r="E26" s="1153">
        <f t="shared" si="12"/>
        <v>0</v>
      </c>
      <c r="F26" s="1153">
        <f t="shared" si="12"/>
        <v>0</v>
      </c>
      <c r="G26" s="1153">
        <f t="shared" si="12"/>
        <v>0</v>
      </c>
      <c r="H26" s="1153">
        <f t="shared" si="12"/>
        <v>0</v>
      </c>
      <c r="I26" s="1153">
        <f t="shared" si="12"/>
        <v>0</v>
      </c>
      <c r="J26" s="1153">
        <f t="shared" si="12"/>
        <v>0</v>
      </c>
      <c r="K26" s="1153">
        <f t="shared" si="12"/>
        <v>0</v>
      </c>
      <c r="L26" s="1153">
        <f t="shared" si="12"/>
        <v>0</v>
      </c>
      <c r="M26" s="1153">
        <f t="shared" si="12"/>
        <v>0</v>
      </c>
      <c r="N26" s="1153">
        <f>SUM(N10:N12)</f>
        <v>0</v>
      </c>
      <c r="O26" s="1140">
        <f>SUM(O10:O12)</f>
        <v>0</v>
      </c>
      <c r="P26" s="219">
        <f>SUM(P10:P12)</f>
        <v>0</v>
      </c>
      <c r="Q26" s="219">
        <f>SUM(Q10:Q12)</f>
        <v>0</v>
      </c>
      <c r="R26" s="219">
        <f>SUM(R10:R12)</f>
        <v>-1642256.6304938598</v>
      </c>
      <c r="S26" s="219">
        <f t="shared" ref="S26:CB26" si="13">SUM(S10:S12)</f>
        <v>-879617.63049385988</v>
      </c>
      <c r="T26" s="219">
        <f t="shared" si="13"/>
        <v>-927452.63049385988</v>
      </c>
      <c r="U26" s="219">
        <f t="shared" si="13"/>
        <v>-883641.73174780514</v>
      </c>
      <c r="V26" s="219">
        <f t="shared" si="13"/>
        <v>-1010678.0435397194</v>
      </c>
      <c r="W26" s="219">
        <f t="shared" si="13"/>
        <v>-1082753.0133572901</v>
      </c>
      <c r="X26" s="219">
        <f t="shared" si="13"/>
        <v>-1086782.2619172267</v>
      </c>
      <c r="Y26" s="219">
        <f t="shared" si="13"/>
        <v>-1163873.9853928988</v>
      </c>
      <c r="Z26" s="219">
        <f t="shared" si="13"/>
        <v>-1261820.2346649906</v>
      </c>
      <c r="AA26" s="220">
        <f t="shared" si="13"/>
        <v>-1250770.2046654406</v>
      </c>
      <c r="AB26" s="219">
        <f t="shared" si="13"/>
        <v>-1741270.9588400545</v>
      </c>
      <c r="AC26" s="219">
        <f t="shared" si="13"/>
        <v>-2275085.4439153997</v>
      </c>
      <c r="AD26" s="219">
        <f t="shared" si="13"/>
        <v>-3175231.1880636471</v>
      </c>
      <c r="AE26" s="219">
        <f t="shared" si="13"/>
        <v>-2674466.6040142328</v>
      </c>
      <c r="AF26" s="219">
        <f t="shared" si="13"/>
        <v>-3663333.9402723918</v>
      </c>
      <c r="AG26" s="219">
        <f t="shared" si="13"/>
        <v>-4310596.7848083321</v>
      </c>
      <c r="AH26" s="219">
        <f t="shared" si="13"/>
        <v>-5069537.336284399</v>
      </c>
      <c r="AI26" s="219">
        <f t="shared" si="13"/>
        <v>-6068063.6432019779</v>
      </c>
      <c r="AJ26" s="219">
        <f t="shared" si="13"/>
        <v>-6039009.6138329031</v>
      </c>
      <c r="AK26" s="219">
        <f t="shared" si="13"/>
        <v>-5890010.7986387126</v>
      </c>
      <c r="AL26" s="219">
        <f t="shared" si="13"/>
        <v>-6118797.5363902617</v>
      </c>
      <c r="AM26" s="220">
        <f t="shared" si="13"/>
        <v>-5142738.4206880024</v>
      </c>
      <c r="AN26" s="1175">
        <f t="shared" si="13"/>
        <v>-7847102.6481450461</v>
      </c>
      <c r="AO26" s="219">
        <f t="shared" si="13"/>
        <v>-10160212.525796108</v>
      </c>
      <c r="AP26" s="219">
        <f t="shared" si="13"/>
        <v>-12594018.097621191</v>
      </c>
      <c r="AQ26" s="219">
        <f t="shared" si="13"/>
        <v>-12041544.942998225</v>
      </c>
      <c r="AR26" s="219">
        <f t="shared" si="13"/>
        <v>-12469117.134391798</v>
      </c>
      <c r="AS26" s="219">
        <f t="shared" si="13"/>
        <v>-12443250.45886205</v>
      </c>
      <c r="AT26" s="219">
        <f t="shared" si="13"/>
        <v>-11612863.405928031</v>
      </c>
      <c r="AU26" s="219">
        <f t="shared" si="13"/>
        <v>-12045838.825125679</v>
      </c>
      <c r="AV26" s="219">
        <f t="shared" si="13"/>
        <v>-10811873.238886476</v>
      </c>
      <c r="AW26" s="219">
        <f t="shared" si="13"/>
        <v>-9702124.6389544662</v>
      </c>
      <c r="AX26" s="219">
        <f t="shared" si="13"/>
        <v>-8943152.4768529776</v>
      </c>
      <c r="AY26" s="220">
        <f t="shared" si="13"/>
        <v>-7884750.1937365606</v>
      </c>
      <c r="AZ26" s="219">
        <f t="shared" si="13"/>
        <v>-10030704.266736278</v>
      </c>
      <c r="BA26" s="219">
        <f t="shared" si="13"/>
        <v>-11433194.033837438</v>
      </c>
      <c r="BB26" s="219">
        <f t="shared" si="13"/>
        <v>-13338694.083681479</v>
      </c>
      <c r="BC26" s="219">
        <f t="shared" si="13"/>
        <v>-12883048.945715444</v>
      </c>
      <c r="BD26" s="219">
        <f t="shared" si="13"/>
        <v>-13367462.612138182</v>
      </c>
      <c r="BE26" s="219">
        <f t="shared" si="13"/>
        <v>-13373362.869009443</v>
      </c>
      <c r="BF26" s="219">
        <f t="shared" si="13"/>
        <v>-12551759.234456539</v>
      </c>
      <c r="BG26" s="219">
        <f t="shared" si="13"/>
        <v>-12800866.82032989</v>
      </c>
      <c r="BH26" s="219">
        <f t="shared" si="13"/>
        <v>-11726339.395608798</v>
      </c>
      <c r="BI26" s="219">
        <f t="shared" si="13"/>
        <v>-10402278.175105218</v>
      </c>
      <c r="BJ26" s="219">
        <f t="shared" si="13"/>
        <v>-9611018.9761641808</v>
      </c>
      <c r="BK26" s="220">
        <f t="shared" si="13"/>
        <v>-8385392.266957975</v>
      </c>
      <c r="BL26" s="219">
        <f t="shared" si="13"/>
        <v>-10818226.530018838</v>
      </c>
      <c r="BM26" s="219">
        <f t="shared" si="13"/>
        <v>-12177053.679308001</v>
      </c>
      <c r="BN26" s="219">
        <f t="shared" si="13"/>
        <v>-14155496.701937238</v>
      </c>
      <c r="BO26" s="219">
        <f t="shared" si="13"/>
        <v>-13694249.200695841</v>
      </c>
      <c r="BP26" s="219">
        <f t="shared" si="13"/>
        <v>-14243515.743002297</v>
      </c>
      <c r="BQ26" s="219">
        <f t="shared" si="13"/>
        <v>-14285399.442979705</v>
      </c>
      <c r="BR26" s="219">
        <f t="shared" si="13"/>
        <v>-13359064.052274575</v>
      </c>
      <c r="BS26" s="219">
        <f t="shared" si="13"/>
        <v>-13630888.818269504</v>
      </c>
      <c r="BT26" s="219">
        <f t="shared" si="13"/>
        <v>-12394522.696945198</v>
      </c>
      <c r="BU26" s="219">
        <f t="shared" si="13"/>
        <v>-11063222.884125462</v>
      </c>
      <c r="BV26" s="219">
        <f t="shared" si="13"/>
        <v>-10355225.728303391</v>
      </c>
      <c r="BW26" s="220">
        <f t="shared" si="13"/>
        <v>-8980041.3824928626</v>
      </c>
      <c r="BX26" s="219">
        <f t="shared" si="13"/>
        <v>-11683012.387554767</v>
      </c>
      <c r="BY26" s="219">
        <f t="shared" si="13"/>
        <v>-16590137.37929284</v>
      </c>
      <c r="BZ26" s="219">
        <f t="shared" si="13"/>
        <v>-15149380.611401809</v>
      </c>
      <c r="CA26" s="219">
        <f t="shared" si="13"/>
        <v>-14595611.102905223</v>
      </c>
      <c r="CB26" s="219">
        <f t="shared" si="13"/>
        <v>-15330281.46184993</v>
      </c>
      <c r="CC26" s="219">
        <f t="shared" ref="CC26:DS26" si="14">SUM(CC10:CC12)</f>
        <v>-15081792.276375415</v>
      </c>
      <c r="CD26" s="219">
        <f t="shared" si="14"/>
        <v>-14221467.19874551</v>
      </c>
      <c r="CE26" s="219">
        <f t="shared" si="14"/>
        <v>-14518691.877463751</v>
      </c>
      <c r="CF26" s="219">
        <f t="shared" si="14"/>
        <v>-13226910.741219837</v>
      </c>
      <c r="CG26" s="219">
        <f t="shared" si="14"/>
        <v>-11768793.684690261</v>
      </c>
      <c r="CH26" s="219">
        <f t="shared" si="14"/>
        <v>-10913803.060513847</v>
      </c>
      <c r="CI26" s="220">
        <f t="shared" si="14"/>
        <v>-9707599.0136463195</v>
      </c>
      <c r="CJ26" s="219">
        <f t="shared" si="14"/>
        <v>-12354020.696977835</v>
      </c>
      <c r="CK26" s="219">
        <f t="shared" si="14"/>
        <v>-13602077.206563953</v>
      </c>
      <c r="CL26" s="219">
        <f t="shared" si="14"/>
        <v>-15943945.705463242</v>
      </c>
      <c r="CM26" s="219">
        <f t="shared" si="14"/>
        <v>-15639116.456186872</v>
      </c>
      <c r="CN26" s="219">
        <f t="shared" si="14"/>
        <v>-16316263.63292641</v>
      </c>
      <c r="CO26" s="219">
        <f t="shared" si="14"/>
        <v>-16068472.143815471</v>
      </c>
      <c r="CP26" s="219">
        <f t="shared" si="14"/>
        <v>-14994170.921525914</v>
      </c>
      <c r="CQ26" s="219">
        <f t="shared" si="14"/>
        <v>-15574386.693706824</v>
      </c>
      <c r="CR26" s="219">
        <f t="shared" si="14"/>
        <v>-14088603.696082657</v>
      </c>
      <c r="CS26" s="219">
        <f t="shared" si="14"/>
        <v>-12548222.156328306</v>
      </c>
      <c r="CT26" s="219">
        <f t="shared" si="14"/>
        <v>-11813117.126193291</v>
      </c>
      <c r="CU26" s="220">
        <f t="shared" si="14"/>
        <v>-10296879.255943777</v>
      </c>
      <c r="CV26" s="219">
        <f t="shared" si="14"/>
        <v>-12954064.732860044</v>
      </c>
      <c r="CW26" s="219">
        <f t="shared" si="14"/>
        <v>-14496144.723736569</v>
      </c>
      <c r="CX26" s="219">
        <f t="shared" si="14"/>
        <v>-16988834.38110229</v>
      </c>
      <c r="CY26" s="219">
        <f t="shared" si="14"/>
        <v>-16702237.708093753</v>
      </c>
      <c r="CZ26" s="219">
        <f t="shared" si="14"/>
        <v>-17230489.19298932</v>
      </c>
      <c r="DA26" s="219">
        <f t="shared" si="14"/>
        <v>-17217862.677916765</v>
      </c>
      <c r="DB26" s="219">
        <f t="shared" si="14"/>
        <v>-16127919.331528023</v>
      </c>
      <c r="DC26" s="219">
        <f t="shared" si="14"/>
        <v>-16485360.769684615</v>
      </c>
      <c r="DD26" s="219">
        <f t="shared" si="14"/>
        <v>-15215146.811162325</v>
      </c>
      <c r="DE26" s="219">
        <f t="shared" si="14"/>
        <v>-13367559.173923275</v>
      </c>
      <c r="DF26" s="219">
        <f t="shared" si="14"/>
        <v>-12645911.842562636</v>
      </c>
      <c r="DG26" s="220">
        <f t="shared" si="14"/>
        <v>-10895039.390918748</v>
      </c>
      <c r="DH26" s="219">
        <f t="shared" si="14"/>
        <v>-14023222.152314074</v>
      </c>
      <c r="DI26" s="219">
        <f t="shared" si="14"/>
        <v>-15290418.162960831</v>
      </c>
      <c r="DJ26" s="219">
        <f t="shared" si="14"/>
        <v>-18197283.899222892</v>
      </c>
      <c r="DK26" s="219">
        <f t="shared" si="14"/>
        <v>-17784128.734286219</v>
      </c>
      <c r="DL26" s="219">
        <f t="shared" si="14"/>
        <v>-18388573.740394302</v>
      </c>
      <c r="DM26" s="219">
        <f t="shared" si="14"/>
        <v>-18407203.365425497</v>
      </c>
      <c r="DN26" s="219">
        <f t="shared" si="14"/>
        <v>-17224299.590309337</v>
      </c>
      <c r="DO26" s="219">
        <f t="shared" si="14"/>
        <v>-17795593.655288368</v>
      </c>
      <c r="DP26" s="219">
        <f t="shared" si="14"/>
        <v>-15838887.83627856</v>
      </c>
      <c r="DQ26" s="219">
        <f t="shared" si="14"/>
        <v>-14229699.369546443</v>
      </c>
      <c r="DR26" s="219">
        <f t="shared" si="14"/>
        <v>-13655475.011736518</v>
      </c>
      <c r="DS26" s="220">
        <f t="shared" si="14"/>
        <v>-11646455.771961888</v>
      </c>
    </row>
    <row r="27" spans="1:123" s="6" customFormat="1" ht="18.75" customHeight="1" thickBot="1" x14ac:dyDescent="0.3">
      <c r="A27" s="142" t="s">
        <v>113</v>
      </c>
      <c r="B27" s="146"/>
      <c r="D27" s="1153">
        <f t="shared" ref="D27:M27" si="15">D19</f>
        <v>0</v>
      </c>
      <c r="E27" s="1153">
        <f t="shared" si="15"/>
        <v>0</v>
      </c>
      <c r="F27" s="1153">
        <f t="shared" si="15"/>
        <v>0</v>
      </c>
      <c r="G27" s="1153">
        <f t="shared" si="15"/>
        <v>0</v>
      </c>
      <c r="H27" s="1153">
        <f t="shared" si="15"/>
        <v>0</v>
      </c>
      <c r="I27" s="1153">
        <f t="shared" si="15"/>
        <v>0</v>
      </c>
      <c r="J27" s="1153">
        <f t="shared" si="15"/>
        <v>0</v>
      </c>
      <c r="K27" s="1153">
        <f t="shared" si="15"/>
        <v>0</v>
      </c>
      <c r="L27" s="1153">
        <f t="shared" si="15"/>
        <v>0</v>
      </c>
      <c r="M27" s="1153">
        <f t="shared" si="15"/>
        <v>0</v>
      </c>
      <c r="N27" s="1153">
        <f>N19</f>
        <v>0</v>
      </c>
      <c r="O27" s="1140">
        <f>O19</f>
        <v>0</v>
      </c>
      <c r="P27" s="219">
        <f>P19</f>
        <v>0</v>
      </c>
      <c r="Q27" s="219">
        <f>Q19</f>
        <v>0</v>
      </c>
      <c r="R27" s="219">
        <f>R19</f>
        <v>0</v>
      </c>
      <c r="S27" s="219">
        <f t="shared" ref="S27:CB27" si="16">S19</f>
        <v>0</v>
      </c>
      <c r="T27" s="219">
        <f t="shared" si="16"/>
        <v>0</v>
      </c>
      <c r="U27" s="219">
        <f t="shared" si="16"/>
        <v>0</v>
      </c>
      <c r="V27" s="219">
        <f t="shared" si="16"/>
        <v>0</v>
      </c>
      <c r="W27" s="219">
        <f t="shared" si="16"/>
        <v>0</v>
      </c>
      <c r="X27" s="219">
        <f t="shared" si="16"/>
        <v>0</v>
      </c>
      <c r="Y27" s="219">
        <f t="shared" si="16"/>
        <v>0</v>
      </c>
      <c r="Z27" s="219">
        <f t="shared" si="16"/>
        <v>0</v>
      </c>
      <c r="AA27" s="220">
        <f t="shared" si="16"/>
        <v>0</v>
      </c>
      <c r="AB27" s="219">
        <f t="shared" si="16"/>
        <v>0</v>
      </c>
      <c r="AC27" s="219">
        <f t="shared" si="16"/>
        <v>0</v>
      </c>
      <c r="AD27" s="219">
        <f t="shared" si="16"/>
        <v>0</v>
      </c>
      <c r="AE27" s="219">
        <f t="shared" si="16"/>
        <v>0</v>
      </c>
      <c r="AF27" s="219">
        <f t="shared" si="16"/>
        <v>0</v>
      </c>
      <c r="AG27" s="219">
        <f t="shared" si="16"/>
        <v>0</v>
      </c>
      <c r="AH27" s="219">
        <f t="shared" si="16"/>
        <v>0</v>
      </c>
      <c r="AI27" s="219">
        <f t="shared" si="16"/>
        <v>0</v>
      </c>
      <c r="AJ27" s="219">
        <f t="shared" si="16"/>
        <v>0</v>
      </c>
      <c r="AK27" s="219">
        <f t="shared" si="16"/>
        <v>0</v>
      </c>
      <c r="AL27" s="219">
        <f t="shared" si="16"/>
        <v>0</v>
      </c>
      <c r="AM27" s="220">
        <f t="shared" si="16"/>
        <v>0</v>
      </c>
      <c r="AN27" s="1175">
        <f t="shared" si="16"/>
        <v>0</v>
      </c>
      <c r="AO27" s="219">
        <f t="shared" si="16"/>
        <v>0</v>
      </c>
      <c r="AP27" s="219">
        <f t="shared" si="16"/>
        <v>0</v>
      </c>
      <c r="AQ27" s="219">
        <f t="shared" si="16"/>
        <v>0</v>
      </c>
      <c r="AR27" s="219">
        <f t="shared" si="16"/>
        <v>0</v>
      </c>
      <c r="AS27" s="219">
        <f t="shared" si="16"/>
        <v>0</v>
      </c>
      <c r="AT27" s="219">
        <f t="shared" si="16"/>
        <v>0</v>
      </c>
      <c r="AU27" s="219">
        <f t="shared" si="16"/>
        <v>0</v>
      </c>
      <c r="AV27" s="219">
        <f t="shared" si="16"/>
        <v>0</v>
      </c>
      <c r="AW27" s="219">
        <f t="shared" si="16"/>
        <v>0</v>
      </c>
      <c r="AX27" s="219">
        <f t="shared" si="16"/>
        <v>0</v>
      </c>
      <c r="AY27" s="220">
        <f t="shared" si="16"/>
        <v>0</v>
      </c>
      <c r="AZ27" s="219">
        <f t="shared" si="16"/>
        <v>0</v>
      </c>
      <c r="BA27" s="219">
        <f t="shared" si="16"/>
        <v>0</v>
      </c>
      <c r="BB27" s="219">
        <f t="shared" si="16"/>
        <v>0</v>
      </c>
      <c r="BC27" s="219">
        <f t="shared" si="16"/>
        <v>0</v>
      </c>
      <c r="BD27" s="219">
        <f t="shared" si="16"/>
        <v>0</v>
      </c>
      <c r="BE27" s="219">
        <f t="shared" si="16"/>
        <v>0</v>
      </c>
      <c r="BF27" s="219">
        <f t="shared" si="16"/>
        <v>0</v>
      </c>
      <c r="BG27" s="219">
        <f t="shared" si="16"/>
        <v>0</v>
      </c>
      <c r="BH27" s="219">
        <f t="shared" si="16"/>
        <v>0</v>
      </c>
      <c r="BI27" s="219">
        <f t="shared" si="16"/>
        <v>0</v>
      </c>
      <c r="BJ27" s="219">
        <f t="shared" si="16"/>
        <v>0</v>
      </c>
      <c r="BK27" s="220">
        <f t="shared" si="16"/>
        <v>0</v>
      </c>
      <c r="BL27" s="219">
        <f t="shared" si="16"/>
        <v>0</v>
      </c>
      <c r="BM27" s="219">
        <f t="shared" si="16"/>
        <v>0</v>
      </c>
      <c r="BN27" s="219">
        <f t="shared" si="16"/>
        <v>0</v>
      </c>
      <c r="BO27" s="219">
        <f t="shared" si="16"/>
        <v>0</v>
      </c>
      <c r="BP27" s="219">
        <f t="shared" si="16"/>
        <v>0</v>
      </c>
      <c r="BQ27" s="219">
        <f t="shared" si="16"/>
        <v>0</v>
      </c>
      <c r="BR27" s="219">
        <f t="shared" si="16"/>
        <v>0</v>
      </c>
      <c r="BS27" s="219">
        <f t="shared" si="16"/>
        <v>0</v>
      </c>
      <c r="BT27" s="219">
        <f t="shared" si="16"/>
        <v>0</v>
      </c>
      <c r="BU27" s="219">
        <f t="shared" si="16"/>
        <v>0</v>
      </c>
      <c r="BV27" s="219">
        <f t="shared" si="16"/>
        <v>0</v>
      </c>
      <c r="BW27" s="220">
        <f t="shared" si="16"/>
        <v>0</v>
      </c>
      <c r="BX27" s="219">
        <f t="shared" si="16"/>
        <v>0</v>
      </c>
      <c r="BY27" s="219">
        <f t="shared" si="16"/>
        <v>0</v>
      </c>
      <c r="BZ27" s="219">
        <f t="shared" si="16"/>
        <v>0</v>
      </c>
      <c r="CA27" s="219">
        <f t="shared" si="16"/>
        <v>0</v>
      </c>
      <c r="CB27" s="219">
        <f t="shared" si="16"/>
        <v>0</v>
      </c>
      <c r="CC27" s="219">
        <f t="shared" ref="CC27:DS27" si="17">CC19</f>
        <v>-4346131.7883493407</v>
      </c>
      <c r="CD27" s="219">
        <f t="shared" si="17"/>
        <v>0</v>
      </c>
      <c r="CE27" s="219">
        <f t="shared" si="17"/>
        <v>0</v>
      </c>
      <c r="CF27" s="219">
        <f t="shared" si="17"/>
        <v>0</v>
      </c>
      <c r="CG27" s="219">
        <f t="shared" si="17"/>
        <v>0</v>
      </c>
      <c r="CH27" s="219">
        <f t="shared" si="17"/>
        <v>0</v>
      </c>
      <c r="CI27" s="220">
        <f t="shared" si="17"/>
        <v>-4346131.7883493407</v>
      </c>
      <c r="CJ27" s="219">
        <f t="shared" si="17"/>
        <v>0</v>
      </c>
      <c r="CK27" s="219">
        <f t="shared" si="17"/>
        <v>0</v>
      </c>
      <c r="CL27" s="219">
        <f t="shared" si="17"/>
        <v>0</v>
      </c>
      <c r="CM27" s="219">
        <f t="shared" si="17"/>
        <v>0</v>
      </c>
      <c r="CN27" s="219">
        <f t="shared" si="17"/>
        <v>0</v>
      </c>
      <c r="CO27" s="219">
        <f t="shared" si="17"/>
        <v>-5598620.7891189409</v>
      </c>
      <c r="CP27" s="219">
        <f t="shared" si="17"/>
        <v>0</v>
      </c>
      <c r="CQ27" s="219">
        <f t="shared" si="17"/>
        <v>0</v>
      </c>
      <c r="CR27" s="219">
        <f t="shared" si="17"/>
        <v>0</v>
      </c>
      <c r="CS27" s="219">
        <f t="shared" si="17"/>
        <v>0</v>
      </c>
      <c r="CT27" s="219">
        <f t="shared" si="17"/>
        <v>0</v>
      </c>
      <c r="CU27" s="220">
        <f t="shared" si="17"/>
        <v>-5598620.7891189409</v>
      </c>
      <c r="CV27" s="219">
        <f t="shared" si="17"/>
        <v>0</v>
      </c>
      <c r="CW27" s="219">
        <f t="shared" si="17"/>
        <v>0</v>
      </c>
      <c r="CX27" s="219">
        <f t="shared" si="17"/>
        <v>0</v>
      </c>
      <c r="CY27" s="219">
        <f t="shared" si="17"/>
        <v>0</v>
      </c>
      <c r="CZ27" s="219">
        <f t="shared" si="17"/>
        <v>0</v>
      </c>
      <c r="DA27" s="219">
        <f t="shared" si="17"/>
        <v>-6494000.2679679357</v>
      </c>
      <c r="DB27" s="219">
        <f t="shared" si="17"/>
        <v>0</v>
      </c>
      <c r="DC27" s="219">
        <f t="shared" si="17"/>
        <v>0</v>
      </c>
      <c r="DD27" s="219">
        <f t="shared" si="17"/>
        <v>0</v>
      </c>
      <c r="DE27" s="219">
        <f t="shared" si="17"/>
        <v>0</v>
      </c>
      <c r="DF27" s="219">
        <f t="shared" si="17"/>
        <v>0</v>
      </c>
      <c r="DG27" s="220">
        <f t="shared" si="17"/>
        <v>-6494000.2679679357</v>
      </c>
      <c r="DH27" s="219">
        <f t="shared" si="17"/>
        <v>0</v>
      </c>
      <c r="DI27" s="219">
        <f t="shared" si="17"/>
        <v>0</v>
      </c>
      <c r="DJ27" s="219">
        <f t="shared" si="17"/>
        <v>0</v>
      </c>
      <c r="DK27" s="219">
        <f t="shared" si="17"/>
        <v>0</v>
      </c>
      <c r="DL27" s="219">
        <f t="shared" si="17"/>
        <v>0</v>
      </c>
      <c r="DM27" s="219">
        <f t="shared" si="17"/>
        <v>-6664862.4820450824</v>
      </c>
      <c r="DN27" s="219">
        <f t="shared" si="17"/>
        <v>0</v>
      </c>
      <c r="DO27" s="219">
        <f t="shared" si="17"/>
        <v>0</v>
      </c>
      <c r="DP27" s="219">
        <f t="shared" si="17"/>
        <v>0</v>
      </c>
      <c r="DQ27" s="219">
        <f t="shared" si="17"/>
        <v>0</v>
      </c>
      <c r="DR27" s="219">
        <f t="shared" si="17"/>
        <v>0</v>
      </c>
      <c r="DS27" s="220">
        <f t="shared" si="17"/>
        <v>-6664862.4820450824</v>
      </c>
    </row>
    <row r="28" spans="1:123" s="6" customFormat="1" ht="26.25" customHeight="1" thickBot="1" x14ac:dyDescent="0.35">
      <c r="A28" s="1413" t="s">
        <v>114</v>
      </c>
      <c r="B28" s="1414"/>
      <c r="D28" s="1155">
        <f t="shared" ref="D28:M28" si="18">SUM(D25:D27)</f>
        <v>0</v>
      </c>
      <c r="E28" s="1155">
        <f t="shared" si="18"/>
        <v>0</v>
      </c>
      <c r="F28" s="1155">
        <f t="shared" si="18"/>
        <v>0</v>
      </c>
      <c r="G28" s="1155">
        <f t="shared" si="18"/>
        <v>0</v>
      </c>
      <c r="H28" s="1155">
        <f t="shared" si="18"/>
        <v>0</v>
      </c>
      <c r="I28" s="1155">
        <f t="shared" si="18"/>
        <v>0</v>
      </c>
      <c r="J28" s="1155">
        <f t="shared" si="18"/>
        <v>0</v>
      </c>
      <c r="K28" s="1155">
        <f t="shared" si="18"/>
        <v>0</v>
      </c>
      <c r="L28" s="1155">
        <f t="shared" si="18"/>
        <v>0</v>
      </c>
      <c r="M28" s="1155">
        <f t="shared" si="18"/>
        <v>0</v>
      </c>
      <c r="N28" s="1155">
        <f>SUM(N25:N27)</f>
        <v>0</v>
      </c>
      <c r="O28" s="1148">
        <f>SUM(O25:O27)</f>
        <v>0</v>
      </c>
      <c r="P28" s="232">
        <f>SUM(P25:P27)</f>
        <v>0</v>
      </c>
      <c r="Q28" s="232">
        <f>SUM(Q25:Q27)</f>
        <v>0</v>
      </c>
      <c r="R28" s="232">
        <f>SUM(R25:R27)</f>
        <v>-1642256.6304938598</v>
      </c>
      <c r="S28" s="232">
        <f t="shared" ref="S28:CB28" si="19">SUM(S25:S27)</f>
        <v>-879617.63049385988</v>
      </c>
      <c r="T28" s="232">
        <f t="shared" si="19"/>
        <v>-927452.63049385988</v>
      </c>
      <c r="U28" s="232">
        <f t="shared" si="19"/>
        <v>-883641.73174780514</v>
      </c>
      <c r="V28" s="232">
        <f t="shared" si="19"/>
        <v>-1010678.0435397194</v>
      </c>
      <c r="W28" s="232">
        <f t="shared" si="19"/>
        <v>-1082753.0133572901</v>
      </c>
      <c r="X28" s="232">
        <f t="shared" si="19"/>
        <v>-1086782.2619172267</v>
      </c>
      <c r="Y28" s="232">
        <f t="shared" si="19"/>
        <v>-1163873.9853928988</v>
      </c>
      <c r="Z28" s="232">
        <f t="shared" si="19"/>
        <v>-1261820.2346649906</v>
      </c>
      <c r="AA28" s="233">
        <f t="shared" si="19"/>
        <v>-1250770.2046654406</v>
      </c>
      <c r="AB28" s="232">
        <f t="shared" si="19"/>
        <v>-1741270.9588400545</v>
      </c>
      <c r="AC28" s="232">
        <f t="shared" si="19"/>
        <v>-2275085.4439153997</v>
      </c>
      <c r="AD28" s="232">
        <f t="shared" si="19"/>
        <v>-3175231.1880636471</v>
      </c>
      <c r="AE28" s="232">
        <f t="shared" si="19"/>
        <v>-2674466.6040142328</v>
      </c>
      <c r="AF28" s="232">
        <f t="shared" si="19"/>
        <v>-3663333.9402723918</v>
      </c>
      <c r="AG28" s="232">
        <f t="shared" si="19"/>
        <v>-4310596.7848083321</v>
      </c>
      <c r="AH28" s="232">
        <f t="shared" si="19"/>
        <v>-5069537.336284399</v>
      </c>
      <c r="AI28" s="232">
        <f t="shared" si="19"/>
        <v>-6068063.6432019779</v>
      </c>
      <c r="AJ28" s="232">
        <f t="shared" si="19"/>
        <v>-6039009.6138329031</v>
      </c>
      <c r="AK28" s="232">
        <f t="shared" si="19"/>
        <v>-5890010.7986387126</v>
      </c>
      <c r="AL28" s="232">
        <f t="shared" si="19"/>
        <v>-6118797.5363902617</v>
      </c>
      <c r="AM28" s="233">
        <f t="shared" si="19"/>
        <v>-5142738.4206880024</v>
      </c>
      <c r="AN28" s="1176">
        <f t="shared" si="19"/>
        <v>-7847102.6481450461</v>
      </c>
      <c r="AO28" s="232">
        <f t="shared" si="19"/>
        <v>-10160212.525796108</v>
      </c>
      <c r="AP28" s="232">
        <f t="shared" si="19"/>
        <v>-8356336.0358051928</v>
      </c>
      <c r="AQ28" s="232">
        <f t="shared" si="19"/>
        <v>-5685021.8502742276</v>
      </c>
      <c r="AR28" s="232">
        <f t="shared" si="19"/>
        <v>4481611.1128721964</v>
      </c>
      <c r="AS28" s="232">
        <f t="shared" si="19"/>
        <v>12982841.91203394</v>
      </c>
      <c r="AT28" s="232">
        <f t="shared" si="19"/>
        <v>5337864.8413359635</v>
      </c>
      <c r="AU28" s="232">
        <f t="shared" si="19"/>
        <v>667207.36032231525</v>
      </c>
      <c r="AV28" s="232">
        <f t="shared" si="19"/>
        <v>4020013.9774695188</v>
      </c>
      <c r="AW28" s="232">
        <f t="shared" si="19"/>
        <v>3010921.5464935284</v>
      </c>
      <c r="AX28" s="232">
        <f t="shared" si="19"/>
        <v>1651052.6776870191</v>
      </c>
      <c r="AY28" s="233">
        <f t="shared" si="19"/>
        <v>9065978.0535274334</v>
      </c>
      <c r="AZ28" s="232">
        <f t="shared" si="19"/>
        <v>6920023.9805277158</v>
      </c>
      <c r="BA28" s="232">
        <f t="shared" si="19"/>
        <v>3799154.1373601686</v>
      </c>
      <c r="BB28" s="232">
        <f t="shared" si="19"/>
        <v>-6581710.0361158689</v>
      </c>
      <c r="BC28" s="232">
        <f t="shared" si="19"/>
        <v>-3873736.8822946306</v>
      </c>
      <c r="BD28" s="232">
        <f t="shared" si="19"/>
        <v>2398833.4988482408</v>
      </c>
      <c r="BE28" s="232">
        <f t="shared" si="19"/>
        <v>13654573.321252998</v>
      </c>
      <c r="BF28" s="232">
        <f t="shared" si="19"/>
        <v>5466864.8923850879</v>
      </c>
      <c r="BG28" s="232">
        <f t="shared" si="19"/>
        <v>713101.27480133064</v>
      </c>
      <c r="BH28" s="232">
        <f t="shared" si="19"/>
        <v>6292284.7312328294</v>
      </c>
      <c r="BI28" s="232">
        <f t="shared" si="19"/>
        <v>859361.90417079814</v>
      </c>
      <c r="BJ28" s="232">
        <f t="shared" si="19"/>
        <v>3902949.1189670395</v>
      </c>
      <c r="BK28" s="233">
        <f t="shared" si="19"/>
        <v>9633231.8598836511</v>
      </c>
      <c r="BL28" s="232">
        <f t="shared" si="19"/>
        <v>7200397.5968227889</v>
      </c>
      <c r="BM28" s="232">
        <f t="shared" si="19"/>
        <v>1762604.4108198509</v>
      </c>
      <c r="BN28" s="232">
        <f t="shared" si="19"/>
        <v>-4578597.978520913</v>
      </c>
      <c r="BO28" s="232">
        <f t="shared" si="19"/>
        <v>-4117350.4772795159</v>
      </c>
      <c r="BP28" s="232">
        <f t="shared" si="19"/>
        <v>2516057.0229762699</v>
      </c>
      <c r="BQ28" s="232">
        <f t="shared" si="19"/>
        <v>14445296.72726927</v>
      </c>
      <c r="BR28" s="232">
        <f t="shared" si="19"/>
        <v>5794733.394558074</v>
      </c>
      <c r="BS28" s="232">
        <f t="shared" si="19"/>
        <v>734459.26685498282</v>
      </c>
      <c r="BT28" s="232">
        <f t="shared" si="19"/>
        <v>6759274.7498874515</v>
      </c>
      <c r="BU28" s="232">
        <f t="shared" si="19"/>
        <v>907900.52014494315</v>
      </c>
      <c r="BV28" s="232">
        <f t="shared" si="19"/>
        <v>1615897.6759670153</v>
      </c>
      <c r="BW28" s="233">
        <f t="shared" si="19"/>
        <v>10173756.064339787</v>
      </c>
      <c r="BX28" s="232">
        <f t="shared" si="19"/>
        <v>12259234.420986043</v>
      </c>
      <c r="BY28" s="232">
        <f t="shared" si="19"/>
        <v>-4317341.6652348209</v>
      </c>
      <c r="BZ28" s="232">
        <f t="shared" si="19"/>
        <v>-4969137.268410258</v>
      </c>
      <c r="CA28" s="232">
        <f t="shared" si="19"/>
        <v>-6960428.5956615601</v>
      </c>
      <c r="CB28" s="232">
        <f t="shared" si="19"/>
        <v>7575266.0598810632</v>
      </c>
      <c r="CC28" s="232">
        <f t="shared" ref="CC28:DS28" si="20">SUM(CC25:CC27)</f>
        <v>8567745.128502015</v>
      </c>
      <c r="CD28" s="232">
        <f t="shared" si="20"/>
        <v>6139019.4872375932</v>
      </c>
      <c r="CE28" s="232">
        <f t="shared" si="20"/>
        <v>751673.1370235756</v>
      </c>
      <c r="CF28" s="232">
        <f t="shared" si="20"/>
        <v>7133575.9447632656</v>
      </c>
      <c r="CG28" s="232">
        <f t="shared" si="20"/>
        <v>956510.49404917844</v>
      </c>
      <c r="CH28" s="232">
        <f t="shared" si="20"/>
        <v>1811501.1182255931</v>
      </c>
      <c r="CI28" s="233">
        <f t="shared" si="20"/>
        <v>6306755.8839874426</v>
      </c>
      <c r="CJ28" s="232">
        <f t="shared" si="20"/>
        <v>10551526.824753158</v>
      </c>
      <c r="CK28" s="232">
        <f t="shared" si="20"/>
        <v>1828626.6405754909</v>
      </c>
      <c r="CL28" s="232">
        <f t="shared" si="20"/>
        <v>-8148424.3655674607</v>
      </c>
      <c r="CM28" s="232">
        <f t="shared" si="20"/>
        <v>-5298534.2805432044</v>
      </c>
      <c r="CN28" s="232">
        <f t="shared" si="20"/>
        <v>4605408.967339104</v>
      </c>
      <c r="CO28" s="232">
        <f t="shared" si="20"/>
        <v>9434823.0103226565</v>
      </c>
      <c r="CP28" s="232">
        <f t="shared" si="20"/>
        <v>5606824.0134353675</v>
      </c>
      <c r="CQ28" s="232">
        <f t="shared" si="20"/>
        <v>16655.986084738746</v>
      </c>
      <c r="CR28" s="232">
        <f t="shared" si="20"/>
        <v>4127669.2357828524</v>
      </c>
      <c r="CS28" s="232">
        <f t="shared" si="20"/>
        <v>2882481.6908111386</v>
      </c>
      <c r="CT28" s="232">
        <f t="shared" si="20"/>
        <v>3858094.9699243307</v>
      </c>
      <c r="CU28" s="233">
        <f t="shared" si="20"/>
        <v>4865833.7225506781</v>
      </c>
      <c r="CV28" s="232">
        <f t="shared" si="20"/>
        <v>7807269.0347533524</v>
      </c>
      <c r="CW28" s="232">
        <f t="shared" si="20"/>
        <v>1435778.3142733928</v>
      </c>
      <c r="CX28" s="232">
        <f t="shared" si="20"/>
        <v>-8361314.838574674</v>
      </c>
      <c r="CY28" s="232">
        <f t="shared" si="20"/>
        <v>-2323038.4705477264</v>
      </c>
      <c r="CZ28" s="232">
        <f t="shared" si="20"/>
        <v>2900389.7395751178</v>
      </c>
      <c r="DA28" s="232">
        <f t="shared" si="20"/>
        <v>7922375.3767165579</v>
      </c>
      <c r="DB28" s="232">
        <f t="shared" si="20"/>
        <v>6878799.4485456198</v>
      </c>
      <c r="DC28" s="232">
        <f t="shared" si="20"/>
        <v>769678.31537061743</v>
      </c>
      <c r="DD28" s="232">
        <f t="shared" si="20"/>
        <v>7791571.9689113181</v>
      </c>
      <c r="DE28" s="232">
        <f t="shared" si="20"/>
        <v>1011640.0636227522</v>
      </c>
      <c r="DF28" s="232">
        <f t="shared" si="20"/>
        <v>7484967.090001801</v>
      </c>
      <c r="DG28" s="233">
        <f t="shared" si="20"/>
        <v>5617679.1211869586</v>
      </c>
      <c r="DH28" s="232">
        <f t="shared" si="20"/>
        <v>8983496.6277595684</v>
      </c>
      <c r="DI28" s="232">
        <f t="shared" si="20"/>
        <v>-548863.10462864488</v>
      </c>
      <c r="DJ28" s="232">
        <f t="shared" si="20"/>
        <v>-5969212.8676137514</v>
      </c>
      <c r="DK28" s="232">
        <f t="shared" si="20"/>
        <v>-5556057.7026770785</v>
      </c>
      <c r="DL28" s="232">
        <f t="shared" si="20"/>
        <v>6067568.322823979</v>
      </c>
      <c r="DM28" s="232">
        <f t="shared" si="20"/>
        <v>8555129.4894545544</v>
      </c>
      <c r="DN28" s="232">
        <f t="shared" si="20"/>
        <v>7231842.4729089439</v>
      </c>
      <c r="DO28" s="232">
        <f t="shared" si="20"/>
        <v>3603530.6500276253</v>
      </c>
      <c r="DP28" s="232">
        <f t="shared" si="20"/>
        <v>5560236.4690374341</v>
      </c>
      <c r="DQ28" s="232">
        <f t="shared" si="20"/>
        <v>1055389.4199649822</v>
      </c>
      <c r="DR28" s="232">
        <f t="shared" si="20"/>
        <v>4686631.5356771927</v>
      </c>
      <c r="DS28" s="233">
        <f t="shared" si="20"/>
        <v>6144823.80921131</v>
      </c>
    </row>
    <row r="29" spans="1:123" s="32" customFormat="1" ht="26.25" customHeight="1" x14ac:dyDescent="0.25">
      <c r="A29" s="241"/>
      <c r="B29" s="242"/>
      <c r="D29" s="1156"/>
      <c r="E29" s="1156"/>
      <c r="F29" s="1156"/>
      <c r="G29" s="1156"/>
      <c r="H29" s="1156"/>
      <c r="I29" s="1156"/>
      <c r="J29" s="1156"/>
      <c r="K29" s="1156"/>
      <c r="L29" s="1156"/>
      <c r="M29" s="1156"/>
      <c r="N29" s="1156"/>
      <c r="O29" s="1157"/>
      <c r="P29" s="244"/>
      <c r="Q29" s="243"/>
      <c r="R29" s="243"/>
      <c r="S29" s="243"/>
      <c r="T29" s="243"/>
      <c r="U29" s="243"/>
      <c r="V29" s="243"/>
      <c r="W29" s="243"/>
      <c r="X29" s="243"/>
      <c r="Y29" s="243"/>
      <c r="Z29" s="243"/>
      <c r="AA29" s="802"/>
      <c r="AB29" s="803"/>
      <c r="AC29" s="244"/>
      <c r="AD29" s="243"/>
      <c r="AE29" s="243"/>
      <c r="AF29" s="243"/>
      <c r="AG29" s="243"/>
      <c r="AH29" s="243"/>
      <c r="AI29" s="243"/>
      <c r="AJ29" s="243"/>
      <c r="AK29" s="243"/>
      <c r="AL29" s="243"/>
      <c r="AM29" s="802"/>
      <c r="AN29" s="1177"/>
      <c r="AO29" s="244"/>
      <c r="AP29" s="243"/>
      <c r="AQ29" s="243"/>
      <c r="AR29" s="243"/>
      <c r="AS29" s="243"/>
      <c r="AT29" s="243"/>
      <c r="AU29" s="243"/>
      <c r="AV29" s="243"/>
      <c r="AW29" s="243"/>
      <c r="AX29" s="243"/>
      <c r="AY29" s="802"/>
      <c r="AZ29" s="803"/>
      <c r="BA29" s="244"/>
      <c r="BB29" s="243"/>
      <c r="BC29" s="243"/>
      <c r="BD29" s="243"/>
      <c r="BE29" s="243"/>
      <c r="BF29" s="243"/>
      <c r="BG29" s="243"/>
      <c r="BH29" s="243"/>
      <c r="BI29" s="243"/>
      <c r="BJ29" s="243"/>
      <c r="BK29" s="802"/>
      <c r="BL29" s="803"/>
      <c r="BM29" s="244"/>
      <c r="BN29" s="243"/>
      <c r="BO29" s="243"/>
      <c r="BP29" s="243"/>
      <c r="BQ29" s="243"/>
      <c r="BR29" s="243"/>
      <c r="BS29" s="243"/>
      <c r="BT29" s="243"/>
      <c r="BU29" s="243"/>
      <c r="BV29" s="243"/>
      <c r="BW29" s="802"/>
      <c r="BX29" s="803"/>
      <c r="BY29" s="244"/>
      <c r="BZ29" s="243"/>
      <c r="CA29" s="243"/>
      <c r="CB29" s="243"/>
      <c r="CC29" s="243"/>
      <c r="CD29" s="243"/>
      <c r="CE29" s="243"/>
      <c r="CF29" s="243"/>
      <c r="CG29" s="243"/>
      <c r="CH29" s="243"/>
      <c r="CI29" s="802"/>
      <c r="CJ29" s="803"/>
      <c r="CK29" s="244"/>
      <c r="CL29" s="243"/>
      <c r="CM29" s="243"/>
      <c r="CN29" s="243"/>
      <c r="CO29" s="243"/>
      <c r="CP29" s="243"/>
      <c r="CQ29" s="243"/>
      <c r="CR29" s="243"/>
      <c r="CS29" s="243"/>
      <c r="CT29" s="243"/>
      <c r="CU29" s="802"/>
      <c r="CV29" s="803"/>
      <c r="CW29" s="244"/>
      <c r="CX29" s="243"/>
      <c r="CY29" s="243"/>
      <c r="CZ29" s="243"/>
      <c r="DA29" s="243"/>
      <c r="DB29" s="243"/>
      <c r="DC29" s="243"/>
      <c r="DD29" s="243"/>
      <c r="DE29" s="243"/>
      <c r="DF29" s="243"/>
      <c r="DG29" s="802"/>
      <c r="DH29" s="803"/>
      <c r="DI29" s="244"/>
      <c r="DJ29" s="243"/>
      <c r="DK29" s="243"/>
      <c r="DL29" s="243"/>
      <c r="DM29" s="243"/>
      <c r="DN29" s="243"/>
      <c r="DO29" s="243"/>
      <c r="DP29" s="243"/>
      <c r="DQ29" s="243"/>
      <c r="DR29" s="243"/>
      <c r="DS29" s="802"/>
    </row>
    <row r="30" spans="1:123" s="6" customFormat="1" ht="26.25" customHeight="1" x14ac:dyDescent="0.3">
      <c r="A30" s="144" t="s">
        <v>115</v>
      </c>
      <c r="B30" s="240"/>
      <c r="D30" s="1151"/>
      <c r="E30" s="1151"/>
      <c r="F30" s="1151"/>
      <c r="G30" s="1151"/>
      <c r="H30" s="1151"/>
      <c r="I30" s="1151"/>
      <c r="J30" s="1151"/>
      <c r="K30" s="1151"/>
      <c r="L30" s="1151"/>
      <c r="M30" s="1151"/>
      <c r="N30" s="1151"/>
      <c r="O30" s="1152"/>
      <c r="P30" s="121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800"/>
      <c r="AB30" s="121"/>
      <c r="AC30" s="122"/>
      <c r="AD30" s="122"/>
      <c r="AE30" s="806"/>
      <c r="AF30" s="807"/>
      <c r="AG30" s="195"/>
      <c r="AH30" s="195"/>
      <c r="AI30" s="195"/>
      <c r="AJ30" s="195"/>
      <c r="AK30" s="195"/>
      <c r="AL30" s="195"/>
      <c r="AM30" s="808"/>
      <c r="AN30" s="1174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808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808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808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808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808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808"/>
      <c r="DH30" s="195"/>
      <c r="DI30" s="195"/>
      <c r="DJ30" s="195"/>
      <c r="DK30" s="195"/>
      <c r="DL30" s="195"/>
      <c r="DM30" s="195"/>
      <c r="DN30" s="195"/>
      <c r="DO30" s="195"/>
      <c r="DP30" s="195"/>
      <c r="DQ30" s="195"/>
      <c r="DR30" s="195"/>
      <c r="DS30" s="808"/>
    </row>
    <row r="31" spans="1:123" s="6" customFormat="1" ht="18.75" customHeight="1" x14ac:dyDescent="0.25">
      <c r="A31" s="142" t="s">
        <v>116</v>
      </c>
      <c r="B31" s="154"/>
      <c r="D31" s="1153">
        <f>'9.CAPEX'!E23</f>
        <v>-6434602.4703545738</v>
      </c>
      <c r="E31" s="1153">
        <f>'9.CAPEX'!F23</f>
        <v>-5536084.4847088838</v>
      </c>
      <c r="F31" s="1153">
        <f>'9.CAPEX'!G23</f>
        <v>-2264218.8597088838</v>
      </c>
      <c r="G31" s="1153">
        <f>'9.CAPEX'!H23</f>
        <v>-7978502.6097088838</v>
      </c>
      <c r="H31" s="1153">
        <f>'9.CAPEX'!I23</f>
        <v>-7978502.6097088838</v>
      </c>
      <c r="I31" s="1153">
        <f>'9.CAPEX'!J23</f>
        <v>-7092302.6097088838</v>
      </c>
      <c r="J31" s="1153">
        <f>'9.CAPEX'!K23</f>
        <v>-6000368.2347088838</v>
      </c>
      <c r="K31" s="1153">
        <f>'9.CAPEX'!L23</f>
        <v>-6000368.2347088838</v>
      </c>
      <c r="L31" s="1153">
        <f>'9.CAPEX'!M23</f>
        <v>-7429101.658549875</v>
      </c>
      <c r="M31" s="1153">
        <f>'9.CAPEX'!N23</f>
        <v>-1714817.9085498743</v>
      </c>
      <c r="N31" s="1153">
        <f>'9.CAPEX'!O23</f>
        <v>-1714817.9085498743</v>
      </c>
      <c r="O31" s="1140">
        <f>'9.CAPEX'!P23</f>
        <v>-1714817.9085498743</v>
      </c>
      <c r="P31" s="219">
        <f>'9.CAPEX'!Q23</f>
        <v>-3738505.4085498746</v>
      </c>
      <c r="Q31" s="219">
        <f>'9.CAPEX'!R23</f>
        <v>-3738505.4085498746</v>
      </c>
      <c r="R31" s="219">
        <f>'9.CAPEX'!S23</f>
        <v>-2309771.9847088843</v>
      </c>
      <c r="S31" s="219">
        <f>'9.CAPEX'!T23</f>
        <v>-2309771.9847088843</v>
      </c>
      <c r="T31" s="219">
        <f>'9.CAPEX'!U23</f>
        <v>-2309771.9847088843</v>
      </c>
      <c r="U31" s="219">
        <f>'9.CAPEX'!V23</f>
        <v>-2309771.9847088843</v>
      </c>
      <c r="V31" s="219">
        <f>'9.CAPEX'!W23</f>
        <v>-2309771.9847088843</v>
      </c>
      <c r="W31" s="219">
        <f>'9.CAPEX'!X23</f>
        <v>-2309771.9847088843</v>
      </c>
      <c r="X31" s="219">
        <f>'9.CAPEX'!Y23</f>
        <v>-2309771.9847088843</v>
      </c>
      <c r="Y31" s="219">
        <f>'9.CAPEX'!Z23</f>
        <v>-2309771.9847088843</v>
      </c>
      <c r="Z31" s="219">
        <f>'9.CAPEX'!AA23</f>
        <v>-3013958.5680422178</v>
      </c>
      <c r="AA31" s="220">
        <f>'9.CAPEX'!AB23</f>
        <v>-3013958.5680422178</v>
      </c>
      <c r="AB31" s="219">
        <f>'9.CAPEX'!AC23</f>
        <v>-3013958.5680422178</v>
      </c>
      <c r="AC31" s="219">
        <f>'9.CAPEX'!AD23</f>
        <v>-3013958.5680422178</v>
      </c>
      <c r="AD31" s="219">
        <f>'9.CAPEX'!AE23</f>
        <v>-990271.06804221729</v>
      </c>
      <c r="AE31" s="219">
        <f>'9.CAPEX'!AF23</f>
        <v>-990271.06804221729</v>
      </c>
      <c r="AF31" s="219">
        <f>'9.CAPEX'!AG23</f>
        <v>-990271.06804221729</v>
      </c>
      <c r="AG31" s="219">
        <f>'9.CAPEX'!AH23</f>
        <v>-990271.06804221729</v>
      </c>
      <c r="AH31" s="219">
        <f>'9.CAPEX'!AI23</f>
        <v>-990271.06804221729</v>
      </c>
      <c r="AI31" s="219">
        <f>'9.CAPEX'!AJ23</f>
        <v>-990271.06804221729</v>
      </c>
      <c r="AJ31" s="219">
        <f>'9.CAPEX'!AK23</f>
        <v>-990271.06804221729</v>
      </c>
      <c r="AK31" s="219">
        <f>'9.CAPEX'!AL23</f>
        <v>-990271.06804221729</v>
      </c>
      <c r="AL31" s="219">
        <f>'9.CAPEX'!AM23</f>
        <v>-990271.06804221729</v>
      </c>
      <c r="AM31" s="220">
        <f>'9.CAPEX'!AN23</f>
        <v>-990271.06804221729</v>
      </c>
      <c r="AN31" s="1175">
        <f>'9.CAPEX'!AO23</f>
        <v>-704186.58333333337</v>
      </c>
      <c r="AO31" s="219">
        <f>'9.CAPEX'!AP23</f>
        <v>-704186.58333333337</v>
      </c>
      <c r="AP31" s="219">
        <f>'9.CAPEX'!AQ23</f>
        <v>-704186.58333333337</v>
      </c>
      <c r="AQ31" s="219">
        <f>'9.CAPEX'!AR23</f>
        <v>-704186.58333333337</v>
      </c>
      <c r="AR31" s="219">
        <f>'9.CAPEX'!AS23</f>
        <v>0</v>
      </c>
      <c r="AS31" s="219">
        <f>'9.CAPEX'!AT23</f>
        <v>0</v>
      </c>
      <c r="AT31" s="219">
        <f>'9.CAPEX'!AU23</f>
        <v>0</v>
      </c>
      <c r="AU31" s="219">
        <f>'9.CAPEX'!AV23</f>
        <v>0</v>
      </c>
      <c r="AV31" s="219">
        <f>'9.CAPEX'!AW23</f>
        <v>0</v>
      </c>
      <c r="AW31" s="219">
        <f>'9.CAPEX'!AX23</f>
        <v>0</v>
      </c>
      <c r="AX31" s="219">
        <f>'9.CAPEX'!AY23</f>
        <v>0</v>
      </c>
      <c r="AY31" s="220">
        <f>'9.CAPEX'!AZ23</f>
        <v>0</v>
      </c>
      <c r="AZ31" s="219">
        <f>'9.CAPEX'!BA23</f>
        <v>0</v>
      </c>
      <c r="BA31" s="219">
        <f>'9.CAPEX'!BB23</f>
        <v>0</v>
      </c>
      <c r="BB31" s="219">
        <f>'9.CAPEX'!BC23</f>
        <v>0</v>
      </c>
      <c r="BC31" s="219">
        <f>'9.CAPEX'!BD23</f>
        <v>0</v>
      </c>
      <c r="BD31" s="219">
        <f>'9.CAPEX'!BE23</f>
        <v>0</v>
      </c>
      <c r="BE31" s="219">
        <f>'9.CAPEX'!BF23</f>
        <v>0</v>
      </c>
      <c r="BF31" s="219">
        <f>'9.CAPEX'!BG23</f>
        <v>0</v>
      </c>
      <c r="BG31" s="219">
        <f>'9.CAPEX'!BH23</f>
        <v>0</v>
      </c>
      <c r="BH31" s="219">
        <f>'9.CAPEX'!BI23</f>
        <v>0</v>
      </c>
      <c r="BI31" s="219">
        <f>'9.CAPEX'!BJ23</f>
        <v>0</v>
      </c>
      <c r="BJ31" s="219">
        <f>'9.CAPEX'!BK23</f>
        <v>0</v>
      </c>
      <c r="BK31" s="220">
        <f>'9.CAPEX'!BL23</f>
        <v>0</v>
      </c>
      <c r="BL31" s="219">
        <f>'9.CAPEX'!BM23</f>
        <v>0</v>
      </c>
      <c r="BM31" s="219">
        <f>'9.CAPEX'!BN23</f>
        <v>0</v>
      </c>
      <c r="BN31" s="219">
        <f>'9.CAPEX'!BO23</f>
        <v>0</v>
      </c>
      <c r="BO31" s="219">
        <f>'9.CAPEX'!BP23</f>
        <v>0</v>
      </c>
      <c r="BP31" s="219">
        <f>'9.CAPEX'!BQ23</f>
        <v>0</v>
      </c>
      <c r="BQ31" s="219">
        <f>'9.CAPEX'!BR23</f>
        <v>0</v>
      </c>
      <c r="BR31" s="219">
        <f>'9.CAPEX'!BS23</f>
        <v>0</v>
      </c>
      <c r="BS31" s="219">
        <f>'9.CAPEX'!BT23</f>
        <v>0</v>
      </c>
      <c r="BT31" s="219">
        <f>'9.CAPEX'!BU23</f>
        <v>0</v>
      </c>
      <c r="BU31" s="219">
        <f>'9.CAPEX'!BV23</f>
        <v>0</v>
      </c>
      <c r="BV31" s="219">
        <f>'9.CAPEX'!BW23</f>
        <v>0</v>
      </c>
      <c r="BW31" s="220">
        <f>'9.CAPEX'!BX23</f>
        <v>0</v>
      </c>
      <c r="BX31" s="219">
        <f>'9.CAPEX'!BY23</f>
        <v>0</v>
      </c>
      <c r="BY31" s="219">
        <f>'9.CAPEX'!BZ23</f>
        <v>0</v>
      </c>
      <c r="BZ31" s="219">
        <f>'9.CAPEX'!CA23</f>
        <v>0</v>
      </c>
      <c r="CA31" s="219">
        <f>'9.CAPEX'!CB23</f>
        <v>0</v>
      </c>
      <c r="CB31" s="219">
        <f>'9.CAPEX'!CC23</f>
        <v>0</v>
      </c>
      <c r="CC31" s="219">
        <f>'9.CAPEX'!CD23</f>
        <v>0</v>
      </c>
      <c r="CD31" s="219">
        <f>'9.CAPEX'!CE23</f>
        <v>0</v>
      </c>
      <c r="CE31" s="219">
        <f>'9.CAPEX'!CF23</f>
        <v>0</v>
      </c>
      <c r="CF31" s="219">
        <f>'9.CAPEX'!CG23</f>
        <v>0</v>
      </c>
      <c r="CG31" s="219">
        <f>'9.CAPEX'!CH23</f>
        <v>0</v>
      </c>
      <c r="CH31" s="219">
        <f>'9.CAPEX'!CI23</f>
        <v>0</v>
      </c>
      <c r="CI31" s="220">
        <f>'9.CAPEX'!CJ23</f>
        <v>0</v>
      </c>
      <c r="CJ31" s="219">
        <f>'9.CAPEX'!CK23</f>
        <v>0</v>
      </c>
      <c r="CK31" s="219">
        <f>'9.CAPEX'!CL23</f>
        <v>0</v>
      </c>
      <c r="CL31" s="219">
        <f>'9.CAPEX'!CM23</f>
        <v>0</v>
      </c>
      <c r="CM31" s="219">
        <f>'9.CAPEX'!CN23</f>
        <v>0</v>
      </c>
      <c r="CN31" s="219">
        <f>'9.CAPEX'!CO23</f>
        <v>0</v>
      </c>
      <c r="CO31" s="219">
        <f>'9.CAPEX'!CP23</f>
        <v>0</v>
      </c>
      <c r="CP31" s="219">
        <f>'9.CAPEX'!CQ23</f>
        <v>0</v>
      </c>
      <c r="CQ31" s="219">
        <f>'9.CAPEX'!CR23</f>
        <v>0</v>
      </c>
      <c r="CR31" s="219">
        <f>'9.CAPEX'!CS23</f>
        <v>0</v>
      </c>
      <c r="CS31" s="219">
        <f>'9.CAPEX'!CT23</f>
        <v>0</v>
      </c>
      <c r="CT31" s="219">
        <f>'9.CAPEX'!CU23</f>
        <v>0</v>
      </c>
      <c r="CU31" s="220">
        <f>'9.CAPEX'!CV23</f>
        <v>0</v>
      </c>
      <c r="CV31" s="219">
        <f>'9.CAPEX'!CW23</f>
        <v>0</v>
      </c>
      <c r="CW31" s="219">
        <f>'9.CAPEX'!CX23</f>
        <v>0</v>
      </c>
      <c r="CX31" s="219">
        <f>'9.CAPEX'!CY23</f>
        <v>0</v>
      </c>
      <c r="CY31" s="219">
        <f>'9.CAPEX'!CZ23</f>
        <v>0</v>
      </c>
      <c r="CZ31" s="219">
        <f>'9.CAPEX'!DA23</f>
        <v>0</v>
      </c>
      <c r="DA31" s="219">
        <f>'9.CAPEX'!DB23</f>
        <v>0</v>
      </c>
      <c r="DB31" s="219">
        <f>'9.CAPEX'!DC23</f>
        <v>0</v>
      </c>
      <c r="DC31" s="219">
        <f>'9.CAPEX'!DD23</f>
        <v>0</v>
      </c>
      <c r="DD31" s="219">
        <f>'9.CAPEX'!DE23</f>
        <v>0</v>
      </c>
      <c r="DE31" s="219">
        <f>'9.CAPEX'!DF23</f>
        <v>0</v>
      </c>
      <c r="DF31" s="219">
        <f>'9.CAPEX'!DG23</f>
        <v>0</v>
      </c>
      <c r="DG31" s="220">
        <f>'9.CAPEX'!DH23</f>
        <v>0</v>
      </c>
      <c r="DH31" s="219">
        <f>'9.CAPEX'!DI23</f>
        <v>0</v>
      </c>
      <c r="DI31" s="219">
        <f>'9.CAPEX'!DJ23</f>
        <v>0</v>
      </c>
      <c r="DJ31" s="219">
        <f>'9.CAPEX'!DK23</f>
        <v>0</v>
      </c>
      <c r="DK31" s="219">
        <f>'9.CAPEX'!DL23</f>
        <v>0</v>
      </c>
      <c r="DL31" s="219">
        <f>'9.CAPEX'!DM23</f>
        <v>0</v>
      </c>
      <c r="DM31" s="219">
        <f>'9.CAPEX'!DN23</f>
        <v>0</v>
      </c>
      <c r="DN31" s="219">
        <f>'9.CAPEX'!DO23</f>
        <v>0</v>
      </c>
      <c r="DO31" s="219">
        <f>'9.CAPEX'!DP23</f>
        <v>0</v>
      </c>
      <c r="DP31" s="219">
        <f>'9.CAPEX'!DQ23</f>
        <v>0</v>
      </c>
      <c r="DQ31" s="219">
        <f>'9.CAPEX'!DR23</f>
        <v>0</v>
      </c>
      <c r="DR31" s="219">
        <f>'9.CAPEX'!DS23</f>
        <v>0</v>
      </c>
      <c r="DS31" s="220">
        <f>'9.CAPEX'!DT23</f>
        <v>0</v>
      </c>
    </row>
    <row r="32" spans="1:123" s="6" customFormat="1" ht="18.75" customHeight="1" thickBot="1" x14ac:dyDescent="0.3">
      <c r="A32" s="142" t="s">
        <v>117</v>
      </c>
      <c r="B32" s="154"/>
      <c r="D32" s="1153">
        <f>'1.Revenue'!E25</f>
        <v>0</v>
      </c>
      <c r="E32" s="1153">
        <f>'1.Revenue'!F25</f>
        <v>0</v>
      </c>
      <c r="F32" s="1153">
        <f>'1.Revenue'!G25</f>
        <v>0</v>
      </c>
      <c r="G32" s="1153">
        <f>'1.Revenue'!H25</f>
        <v>0</v>
      </c>
      <c r="H32" s="1153">
        <f>'1.Revenue'!I25</f>
        <v>0</v>
      </c>
      <c r="I32" s="1153">
        <f>'1.Revenue'!J25</f>
        <v>0</v>
      </c>
      <c r="J32" s="1153">
        <f>'1.Revenue'!K25</f>
        <v>0</v>
      </c>
      <c r="K32" s="1153">
        <f>'1.Revenue'!L25</f>
        <v>0</v>
      </c>
      <c r="L32" s="1153">
        <f>'1.Revenue'!M25</f>
        <v>0</v>
      </c>
      <c r="M32" s="1153">
        <f>'1.Revenue'!N25</f>
        <v>0</v>
      </c>
      <c r="N32" s="1153">
        <f>'1.Revenue'!O25</f>
        <v>0</v>
      </c>
      <c r="O32" s="1140">
        <f>'1.Revenue'!P25</f>
        <v>0</v>
      </c>
      <c r="P32" s="219">
        <f>'1.Revenue'!Q25</f>
        <v>0</v>
      </c>
      <c r="Q32" s="219">
        <f>'1.Revenue'!R25</f>
        <v>0</v>
      </c>
      <c r="R32" s="219">
        <f>'1.Revenue'!S25</f>
        <v>0</v>
      </c>
      <c r="S32" s="219">
        <f>'1.Revenue'!T25</f>
        <v>0</v>
      </c>
      <c r="T32" s="219">
        <f>'1.Revenue'!U25</f>
        <v>0</v>
      </c>
      <c r="U32" s="219">
        <f>'1.Revenue'!V25</f>
        <v>0</v>
      </c>
      <c r="V32" s="219">
        <f>'1.Revenue'!W25</f>
        <v>0</v>
      </c>
      <c r="W32" s="219">
        <f>'1.Revenue'!X25</f>
        <v>0</v>
      </c>
      <c r="X32" s="219">
        <f>'1.Revenue'!Y25</f>
        <v>0</v>
      </c>
      <c r="Y32" s="219">
        <f>'1.Revenue'!Z25</f>
        <v>0</v>
      </c>
      <c r="Z32" s="219">
        <f>'1.Revenue'!AA25</f>
        <v>0</v>
      </c>
      <c r="AA32" s="220">
        <f>'1.Revenue'!AB25</f>
        <v>0</v>
      </c>
      <c r="AB32" s="219">
        <f>'1.Revenue'!AC25</f>
        <v>0</v>
      </c>
      <c r="AC32" s="219">
        <f>'1.Revenue'!AD25</f>
        <v>0</v>
      </c>
      <c r="AD32" s="219">
        <f>'1.Revenue'!AE25</f>
        <v>0</v>
      </c>
      <c r="AE32" s="219">
        <f>'1.Revenue'!AF25</f>
        <v>0</v>
      </c>
      <c r="AF32" s="219">
        <f>'1.Revenue'!AG25</f>
        <v>0</v>
      </c>
      <c r="AG32" s="219">
        <f>'1.Revenue'!AH25</f>
        <v>0</v>
      </c>
      <c r="AH32" s="219">
        <f>'1.Revenue'!AI25</f>
        <v>0</v>
      </c>
      <c r="AI32" s="219">
        <f>'1.Revenue'!AJ25</f>
        <v>0</v>
      </c>
      <c r="AJ32" s="219">
        <f>'1.Revenue'!AK25</f>
        <v>0</v>
      </c>
      <c r="AK32" s="219">
        <f>'1.Revenue'!AL25</f>
        <v>0</v>
      </c>
      <c r="AL32" s="219">
        <f>'1.Revenue'!AM25</f>
        <v>0</v>
      </c>
      <c r="AM32" s="220">
        <f>'1.Revenue'!AN25</f>
        <v>0</v>
      </c>
      <c r="AN32" s="1175">
        <f>'1.Revenue'!AO25</f>
        <v>0</v>
      </c>
      <c r="AO32" s="219">
        <f>'1.Revenue'!AP25</f>
        <v>0</v>
      </c>
      <c r="AP32" s="219">
        <f>'1.Revenue'!AQ25</f>
        <v>0</v>
      </c>
      <c r="AQ32" s="219">
        <f>'1.Revenue'!AR25</f>
        <v>0</v>
      </c>
      <c r="AR32" s="219">
        <f>'1.Revenue'!AS25</f>
        <v>0</v>
      </c>
      <c r="AS32" s="219">
        <f>'1.Revenue'!AT25</f>
        <v>0</v>
      </c>
      <c r="AT32" s="219">
        <f>'1.Revenue'!AU25</f>
        <v>0</v>
      </c>
      <c r="AU32" s="219">
        <f>'1.Revenue'!AV25</f>
        <v>0</v>
      </c>
      <c r="AV32" s="219">
        <f>'1.Revenue'!AW25</f>
        <v>0</v>
      </c>
      <c r="AW32" s="219">
        <f>'1.Revenue'!AX25</f>
        <v>0</v>
      </c>
      <c r="AX32" s="219">
        <f>'1.Revenue'!AY25</f>
        <v>0</v>
      </c>
      <c r="AY32" s="220">
        <f>'1.Revenue'!AZ25</f>
        <v>0</v>
      </c>
      <c r="AZ32" s="219">
        <f>'1.Revenue'!BA25</f>
        <v>0</v>
      </c>
      <c r="BA32" s="219">
        <f>'1.Revenue'!BB25</f>
        <v>0</v>
      </c>
      <c r="BB32" s="219">
        <f>'1.Revenue'!BC25</f>
        <v>0</v>
      </c>
      <c r="BC32" s="219">
        <f>'1.Revenue'!BD25</f>
        <v>0</v>
      </c>
      <c r="BD32" s="219">
        <f>'1.Revenue'!BE25</f>
        <v>0</v>
      </c>
      <c r="BE32" s="219">
        <f>'1.Revenue'!BF25</f>
        <v>0</v>
      </c>
      <c r="BF32" s="219">
        <f>'1.Revenue'!BG25</f>
        <v>0</v>
      </c>
      <c r="BG32" s="219">
        <f>'1.Revenue'!BH25</f>
        <v>0</v>
      </c>
      <c r="BH32" s="219">
        <f>'1.Revenue'!BI25</f>
        <v>0</v>
      </c>
      <c r="BI32" s="219">
        <f>'1.Revenue'!BJ25</f>
        <v>0</v>
      </c>
      <c r="BJ32" s="219">
        <f>'1.Revenue'!BK25</f>
        <v>0</v>
      </c>
      <c r="BK32" s="220">
        <f>'1.Revenue'!BL25</f>
        <v>0</v>
      </c>
      <c r="BL32" s="219">
        <f>'1.Revenue'!BM25</f>
        <v>0</v>
      </c>
      <c r="BM32" s="219">
        <f>'1.Revenue'!BN25</f>
        <v>0</v>
      </c>
      <c r="BN32" s="219">
        <f>'1.Revenue'!BO25</f>
        <v>0</v>
      </c>
      <c r="BO32" s="219">
        <f>'1.Revenue'!BP25</f>
        <v>0</v>
      </c>
      <c r="BP32" s="219">
        <f>'1.Revenue'!BQ25</f>
        <v>0</v>
      </c>
      <c r="BQ32" s="219">
        <f>'1.Revenue'!BR25</f>
        <v>0</v>
      </c>
      <c r="BR32" s="219">
        <f>'1.Revenue'!BS25</f>
        <v>0</v>
      </c>
      <c r="BS32" s="219">
        <f>'1.Revenue'!BT25</f>
        <v>0</v>
      </c>
      <c r="BT32" s="219">
        <f>'1.Revenue'!BU25</f>
        <v>0</v>
      </c>
      <c r="BU32" s="219">
        <f>'1.Revenue'!BV25</f>
        <v>0</v>
      </c>
      <c r="BV32" s="219">
        <f>'1.Revenue'!BW25</f>
        <v>0</v>
      </c>
      <c r="BW32" s="220">
        <f>'1.Revenue'!BX25</f>
        <v>0</v>
      </c>
      <c r="BX32" s="219">
        <f>'1.Revenue'!BY25</f>
        <v>0</v>
      </c>
      <c r="BY32" s="219">
        <f>'1.Revenue'!BZ25</f>
        <v>0</v>
      </c>
      <c r="BZ32" s="219">
        <f>'1.Revenue'!CA25</f>
        <v>0</v>
      </c>
      <c r="CA32" s="219">
        <f>'1.Revenue'!CB25</f>
        <v>0</v>
      </c>
      <c r="CB32" s="219">
        <f>'1.Revenue'!CC25</f>
        <v>0</v>
      </c>
      <c r="CC32" s="219">
        <f>'1.Revenue'!CD25</f>
        <v>0</v>
      </c>
      <c r="CD32" s="219">
        <f>'1.Revenue'!CE25</f>
        <v>0</v>
      </c>
      <c r="CE32" s="219">
        <f>'1.Revenue'!CF25</f>
        <v>0</v>
      </c>
      <c r="CF32" s="219">
        <f>'1.Revenue'!CG25</f>
        <v>0</v>
      </c>
      <c r="CG32" s="219">
        <f>'1.Revenue'!CH25</f>
        <v>0</v>
      </c>
      <c r="CH32" s="219">
        <f>'1.Revenue'!CI25</f>
        <v>0</v>
      </c>
      <c r="CI32" s="220">
        <f>'1.Revenue'!CJ25</f>
        <v>0</v>
      </c>
      <c r="CJ32" s="219">
        <f>'1.Revenue'!CK25</f>
        <v>0</v>
      </c>
      <c r="CK32" s="219">
        <f>'1.Revenue'!CL25</f>
        <v>0</v>
      </c>
      <c r="CL32" s="219">
        <f>'1.Revenue'!CM25</f>
        <v>0</v>
      </c>
      <c r="CM32" s="219">
        <f>'1.Revenue'!CN25</f>
        <v>0</v>
      </c>
      <c r="CN32" s="219">
        <f>'1.Revenue'!CO25</f>
        <v>0</v>
      </c>
      <c r="CO32" s="219">
        <f>'1.Revenue'!CP25</f>
        <v>0</v>
      </c>
      <c r="CP32" s="219">
        <f>'1.Revenue'!CQ25</f>
        <v>0</v>
      </c>
      <c r="CQ32" s="219">
        <f>'1.Revenue'!CR25</f>
        <v>0</v>
      </c>
      <c r="CR32" s="219">
        <f>'1.Revenue'!CS25</f>
        <v>0</v>
      </c>
      <c r="CS32" s="219">
        <f>'1.Revenue'!CT25</f>
        <v>0</v>
      </c>
      <c r="CT32" s="219">
        <f>'1.Revenue'!CU25</f>
        <v>0</v>
      </c>
      <c r="CU32" s="220">
        <f>'1.Revenue'!CV25</f>
        <v>0</v>
      </c>
      <c r="CV32" s="219">
        <f>'1.Revenue'!CW25</f>
        <v>0</v>
      </c>
      <c r="CW32" s="219">
        <f>'1.Revenue'!CX25</f>
        <v>0</v>
      </c>
      <c r="CX32" s="219">
        <f>'1.Revenue'!CY25</f>
        <v>0</v>
      </c>
      <c r="CY32" s="219">
        <f>'1.Revenue'!CZ25</f>
        <v>0</v>
      </c>
      <c r="CZ32" s="219">
        <f>'1.Revenue'!DA25</f>
        <v>0</v>
      </c>
      <c r="DA32" s="219">
        <f>'1.Revenue'!DB25</f>
        <v>0</v>
      </c>
      <c r="DB32" s="219">
        <f>'1.Revenue'!DC25</f>
        <v>0</v>
      </c>
      <c r="DC32" s="219">
        <f>'1.Revenue'!DD25</f>
        <v>0</v>
      </c>
      <c r="DD32" s="219">
        <f>'1.Revenue'!DE25</f>
        <v>0</v>
      </c>
      <c r="DE32" s="219">
        <f>'1.Revenue'!DF25</f>
        <v>0</v>
      </c>
      <c r="DF32" s="219">
        <f>'1.Revenue'!DG25</f>
        <v>0</v>
      </c>
      <c r="DG32" s="220">
        <f>'1.Revenue'!DH25</f>
        <v>0</v>
      </c>
      <c r="DH32" s="219">
        <f>'1.Revenue'!DI25</f>
        <v>0</v>
      </c>
      <c r="DI32" s="219">
        <f>'1.Revenue'!DJ25</f>
        <v>0</v>
      </c>
      <c r="DJ32" s="219">
        <f>'1.Revenue'!DK25</f>
        <v>0</v>
      </c>
      <c r="DK32" s="219">
        <f>'1.Revenue'!DL25</f>
        <v>0</v>
      </c>
      <c r="DL32" s="219">
        <f>'1.Revenue'!DM25</f>
        <v>0</v>
      </c>
      <c r="DM32" s="219">
        <f>'1.Revenue'!DN25</f>
        <v>0</v>
      </c>
      <c r="DN32" s="219">
        <f>'1.Revenue'!DO25</f>
        <v>0</v>
      </c>
      <c r="DO32" s="219">
        <f>'1.Revenue'!DP25</f>
        <v>0</v>
      </c>
      <c r="DP32" s="219">
        <f>'1.Revenue'!DQ25</f>
        <v>0</v>
      </c>
      <c r="DQ32" s="219">
        <f>'1.Revenue'!DR25</f>
        <v>0</v>
      </c>
      <c r="DR32" s="219">
        <f>'1.Revenue'!DS25</f>
        <v>0</v>
      </c>
      <c r="DS32" s="220">
        <f>'1.Revenue'!DT25</f>
        <v>0</v>
      </c>
    </row>
    <row r="33" spans="1:134" s="6" customFormat="1" ht="26.25" customHeight="1" thickBot="1" x14ac:dyDescent="0.35">
      <c r="A33" s="1413" t="s">
        <v>118</v>
      </c>
      <c r="B33" s="1414"/>
      <c r="D33" s="1155">
        <f t="shared" ref="D33:M33" si="21">SUM(D31:D32)</f>
        <v>-6434602.4703545738</v>
      </c>
      <c r="E33" s="1155">
        <f t="shared" si="21"/>
        <v>-5536084.4847088838</v>
      </c>
      <c r="F33" s="1155">
        <f t="shared" si="21"/>
        <v>-2264218.8597088838</v>
      </c>
      <c r="G33" s="1155">
        <f t="shared" si="21"/>
        <v>-7978502.6097088838</v>
      </c>
      <c r="H33" s="1155">
        <f t="shared" si="21"/>
        <v>-7978502.6097088838</v>
      </c>
      <c r="I33" s="1155">
        <f t="shared" si="21"/>
        <v>-7092302.6097088838</v>
      </c>
      <c r="J33" s="1155">
        <f t="shared" si="21"/>
        <v>-6000368.2347088838</v>
      </c>
      <c r="K33" s="1155">
        <f t="shared" si="21"/>
        <v>-6000368.2347088838</v>
      </c>
      <c r="L33" s="1155">
        <f t="shared" si="21"/>
        <v>-7429101.658549875</v>
      </c>
      <c r="M33" s="1155">
        <f t="shared" si="21"/>
        <v>-1714817.9085498743</v>
      </c>
      <c r="N33" s="1155">
        <f>SUM(N31:N32)</f>
        <v>-1714817.9085498743</v>
      </c>
      <c r="O33" s="1148">
        <f>SUM(O31:O32)</f>
        <v>-1714817.9085498743</v>
      </c>
      <c r="P33" s="232">
        <f>SUM(P31:P32)</f>
        <v>-3738505.4085498746</v>
      </c>
      <c r="Q33" s="232">
        <f>SUM(Q31:Q32)</f>
        <v>-3738505.4085498746</v>
      </c>
      <c r="R33" s="232">
        <f>SUM(R31:R32)</f>
        <v>-2309771.9847088843</v>
      </c>
      <c r="S33" s="232">
        <f t="shared" ref="S33:CB33" si="22">SUM(S31:S32)</f>
        <v>-2309771.9847088843</v>
      </c>
      <c r="T33" s="232">
        <f t="shared" si="22"/>
        <v>-2309771.9847088843</v>
      </c>
      <c r="U33" s="232">
        <f t="shared" si="22"/>
        <v>-2309771.9847088843</v>
      </c>
      <c r="V33" s="232">
        <f t="shared" si="22"/>
        <v>-2309771.9847088843</v>
      </c>
      <c r="W33" s="232">
        <f t="shared" si="22"/>
        <v>-2309771.9847088843</v>
      </c>
      <c r="X33" s="232">
        <f t="shared" si="22"/>
        <v>-2309771.9847088843</v>
      </c>
      <c r="Y33" s="232">
        <f t="shared" si="22"/>
        <v>-2309771.9847088843</v>
      </c>
      <c r="Z33" s="232">
        <f t="shared" si="22"/>
        <v>-3013958.5680422178</v>
      </c>
      <c r="AA33" s="233">
        <f t="shared" si="22"/>
        <v>-3013958.5680422178</v>
      </c>
      <c r="AB33" s="232">
        <f t="shared" si="22"/>
        <v>-3013958.5680422178</v>
      </c>
      <c r="AC33" s="232">
        <f t="shared" si="22"/>
        <v>-3013958.5680422178</v>
      </c>
      <c r="AD33" s="232">
        <f t="shared" si="22"/>
        <v>-990271.06804221729</v>
      </c>
      <c r="AE33" s="232">
        <f t="shared" si="22"/>
        <v>-990271.06804221729</v>
      </c>
      <c r="AF33" s="232">
        <f t="shared" si="22"/>
        <v>-990271.06804221729</v>
      </c>
      <c r="AG33" s="232">
        <f t="shared" si="22"/>
        <v>-990271.06804221729</v>
      </c>
      <c r="AH33" s="232">
        <f t="shared" si="22"/>
        <v>-990271.06804221729</v>
      </c>
      <c r="AI33" s="232">
        <f t="shared" si="22"/>
        <v>-990271.06804221729</v>
      </c>
      <c r="AJ33" s="232">
        <f t="shared" si="22"/>
        <v>-990271.06804221729</v>
      </c>
      <c r="AK33" s="232">
        <f t="shared" si="22"/>
        <v>-990271.06804221729</v>
      </c>
      <c r="AL33" s="232">
        <f t="shared" si="22"/>
        <v>-990271.06804221729</v>
      </c>
      <c r="AM33" s="233">
        <f t="shared" si="22"/>
        <v>-990271.06804221729</v>
      </c>
      <c r="AN33" s="1176">
        <f t="shared" si="22"/>
        <v>-704186.58333333337</v>
      </c>
      <c r="AO33" s="232">
        <f t="shared" si="22"/>
        <v>-704186.58333333337</v>
      </c>
      <c r="AP33" s="232">
        <f t="shared" si="22"/>
        <v>-704186.58333333337</v>
      </c>
      <c r="AQ33" s="232">
        <f t="shared" si="22"/>
        <v>-704186.58333333337</v>
      </c>
      <c r="AR33" s="232">
        <f t="shared" si="22"/>
        <v>0</v>
      </c>
      <c r="AS33" s="232">
        <f t="shared" si="22"/>
        <v>0</v>
      </c>
      <c r="AT33" s="232">
        <f t="shared" si="22"/>
        <v>0</v>
      </c>
      <c r="AU33" s="232">
        <f t="shared" si="22"/>
        <v>0</v>
      </c>
      <c r="AV33" s="232">
        <f t="shared" si="22"/>
        <v>0</v>
      </c>
      <c r="AW33" s="232">
        <f t="shared" si="22"/>
        <v>0</v>
      </c>
      <c r="AX33" s="232">
        <f t="shared" si="22"/>
        <v>0</v>
      </c>
      <c r="AY33" s="233">
        <f t="shared" si="22"/>
        <v>0</v>
      </c>
      <c r="AZ33" s="232">
        <f t="shared" si="22"/>
        <v>0</v>
      </c>
      <c r="BA33" s="232">
        <f t="shared" si="22"/>
        <v>0</v>
      </c>
      <c r="BB33" s="232">
        <f t="shared" si="22"/>
        <v>0</v>
      </c>
      <c r="BC33" s="232">
        <f t="shared" si="22"/>
        <v>0</v>
      </c>
      <c r="BD33" s="232">
        <f t="shared" si="22"/>
        <v>0</v>
      </c>
      <c r="BE33" s="232">
        <f t="shared" si="22"/>
        <v>0</v>
      </c>
      <c r="BF33" s="232">
        <f t="shared" si="22"/>
        <v>0</v>
      </c>
      <c r="BG33" s="232">
        <f t="shared" si="22"/>
        <v>0</v>
      </c>
      <c r="BH33" s="232">
        <f t="shared" si="22"/>
        <v>0</v>
      </c>
      <c r="BI33" s="232">
        <f t="shared" si="22"/>
        <v>0</v>
      </c>
      <c r="BJ33" s="232">
        <f t="shared" si="22"/>
        <v>0</v>
      </c>
      <c r="BK33" s="233">
        <f t="shared" si="22"/>
        <v>0</v>
      </c>
      <c r="BL33" s="232">
        <f t="shared" si="22"/>
        <v>0</v>
      </c>
      <c r="BM33" s="232">
        <f t="shared" si="22"/>
        <v>0</v>
      </c>
      <c r="BN33" s="232">
        <f t="shared" si="22"/>
        <v>0</v>
      </c>
      <c r="BO33" s="232">
        <f t="shared" si="22"/>
        <v>0</v>
      </c>
      <c r="BP33" s="232">
        <f t="shared" si="22"/>
        <v>0</v>
      </c>
      <c r="BQ33" s="232">
        <f t="shared" si="22"/>
        <v>0</v>
      </c>
      <c r="BR33" s="232">
        <f t="shared" si="22"/>
        <v>0</v>
      </c>
      <c r="BS33" s="232">
        <f t="shared" si="22"/>
        <v>0</v>
      </c>
      <c r="BT33" s="232">
        <f t="shared" si="22"/>
        <v>0</v>
      </c>
      <c r="BU33" s="232">
        <f t="shared" si="22"/>
        <v>0</v>
      </c>
      <c r="BV33" s="232">
        <f t="shared" si="22"/>
        <v>0</v>
      </c>
      <c r="BW33" s="233">
        <f t="shared" si="22"/>
        <v>0</v>
      </c>
      <c r="BX33" s="232">
        <f t="shared" si="22"/>
        <v>0</v>
      </c>
      <c r="BY33" s="232">
        <f t="shared" si="22"/>
        <v>0</v>
      </c>
      <c r="BZ33" s="232">
        <f t="shared" si="22"/>
        <v>0</v>
      </c>
      <c r="CA33" s="232">
        <f t="shared" si="22"/>
        <v>0</v>
      </c>
      <c r="CB33" s="232">
        <f t="shared" si="22"/>
        <v>0</v>
      </c>
      <c r="CC33" s="232">
        <f t="shared" ref="CC33:DS33" si="23">SUM(CC31:CC32)</f>
        <v>0</v>
      </c>
      <c r="CD33" s="232">
        <f t="shared" si="23"/>
        <v>0</v>
      </c>
      <c r="CE33" s="232">
        <f t="shared" si="23"/>
        <v>0</v>
      </c>
      <c r="CF33" s="232">
        <f t="shared" si="23"/>
        <v>0</v>
      </c>
      <c r="CG33" s="232">
        <f t="shared" si="23"/>
        <v>0</v>
      </c>
      <c r="CH33" s="232">
        <f t="shared" si="23"/>
        <v>0</v>
      </c>
      <c r="CI33" s="233">
        <f t="shared" si="23"/>
        <v>0</v>
      </c>
      <c r="CJ33" s="232">
        <f t="shared" si="23"/>
        <v>0</v>
      </c>
      <c r="CK33" s="232">
        <f t="shared" si="23"/>
        <v>0</v>
      </c>
      <c r="CL33" s="232">
        <f t="shared" si="23"/>
        <v>0</v>
      </c>
      <c r="CM33" s="232">
        <f t="shared" si="23"/>
        <v>0</v>
      </c>
      <c r="CN33" s="232">
        <f t="shared" si="23"/>
        <v>0</v>
      </c>
      <c r="CO33" s="232">
        <f t="shared" si="23"/>
        <v>0</v>
      </c>
      <c r="CP33" s="232">
        <f t="shared" si="23"/>
        <v>0</v>
      </c>
      <c r="CQ33" s="232">
        <f t="shared" si="23"/>
        <v>0</v>
      </c>
      <c r="CR33" s="232">
        <f t="shared" si="23"/>
        <v>0</v>
      </c>
      <c r="CS33" s="232">
        <f t="shared" si="23"/>
        <v>0</v>
      </c>
      <c r="CT33" s="232">
        <f t="shared" si="23"/>
        <v>0</v>
      </c>
      <c r="CU33" s="233">
        <f t="shared" si="23"/>
        <v>0</v>
      </c>
      <c r="CV33" s="232">
        <f t="shared" si="23"/>
        <v>0</v>
      </c>
      <c r="CW33" s="232">
        <f t="shared" si="23"/>
        <v>0</v>
      </c>
      <c r="CX33" s="232">
        <f t="shared" si="23"/>
        <v>0</v>
      </c>
      <c r="CY33" s="232">
        <f t="shared" si="23"/>
        <v>0</v>
      </c>
      <c r="CZ33" s="232">
        <f t="shared" si="23"/>
        <v>0</v>
      </c>
      <c r="DA33" s="232">
        <f t="shared" si="23"/>
        <v>0</v>
      </c>
      <c r="DB33" s="232">
        <f t="shared" si="23"/>
        <v>0</v>
      </c>
      <c r="DC33" s="232">
        <f t="shared" si="23"/>
        <v>0</v>
      </c>
      <c r="DD33" s="232">
        <f t="shared" si="23"/>
        <v>0</v>
      </c>
      <c r="DE33" s="232">
        <f t="shared" si="23"/>
        <v>0</v>
      </c>
      <c r="DF33" s="232">
        <f t="shared" si="23"/>
        <v>0</v>
      </c>
      <c r="DG33" s="233">
        <f t="shared" si="23"/>
        <v>0</v>
      </c>
      <c r="DH33" s="232">
        <f t="shared" si="23"/>
        <v>0</v>
      </c>
      <c r="DI33" s="232">
        <f t="shared" si="23"/>
        <v>0</v>
      </c>
      <c r="DJ33" s="232">
        <f t="shared" si="23"/>
        <v>0</v>
      </c>
      <c r="DK33" s="232">
        <f t="shared" si="23"/>
        <v>0</v>
      </c>
      <c r="DL33" s="232">
        <f t="shared" si="23"/>
        <v>0</v>
      </c>
      <c r="DM33" s="232">
        <f t="shared" si="23"/>
        <v>0</v>
      </c>
      <c r="DN33" s="232">
        <f t="shared" si="23"/>
        <v>0</v>
      </c>
      <c r="DO33" s="232">
        <f t="shared" si="23"/>
        <v>0</v>
      </c>
      <c r="DP33" s="232">
        <f t="shared" si="23"/>
        <v>0</v>
      </c>
      <c r="DQ33" s="232">
        <f t="shared" si="23"/>
        <v>0</v>
      </c>
      <c r="DR33" s="232">
        <f t="shared" si="23"/>
        <v>0</v>
      </c>
      <c r="DS33" s="233">
        <f t="shared" si="23"/>
        <v>0</v>
      </c>
    </row>
    <row r="34" spans="1:134" s="32" customFormat="1" ht="26.25" customHeight="1" x14ac:dyDescent="0.25">
      <c r="A34" s="241"/>
      <c r="B34" s="242"/>
      <c r="D34" s="1156"/>
      <c r="E34" s="1156"/>
      <c r="F34" s="1156"/>
      <c r="G34" s="1156"/>
      <c r="H34" s="1156"/>
      <c r="I34" s="1156"/>
      <c r="J34" s="1156"/>
      <c r="K34" s="1156"/>
      <c r="L34" s="1156"/>
      <c r="M34" s="1156"/>
      <c r="N34" s="1156"/>
      <c r="O34" s="1157"/>
      <c r="P34" s="244"/>
      <c r="Q34" s="243"/>
      <c r="R34" s="243"/>
      <c r="S34" s="243"/>
      <c r="T34" s="243"/>
      <c r="U34" s="243"/>
      <c r="V34" s="243"/>
      <c r="W34" s="243"/>
      <c r="X34" s="243"/>
      <c r="Y34" s="243"/>
      <c r="Z34" s="243"/>
      <c r="AA34" s="802"/>
      <c r="AB34" s="803"/>
      <c r="AC34" s="244"/>
      <c r="AD34" s="243"/>
      <c r="AE34" s="243"/>
      <c r="AF34" s="243"/>
      <c r="AG34" s="243"/>
      <c r="AH34" s="243"/>
      <c r="AI34" s="243"/>
      <c r="AJ34" s="243"/>
      <c r="AK34" s="243"/>
      <c r="AL34" s="243"/>
      <c r="AM34" s="802"/>
      <c r="AN34" s="1177"/>
      <c r="AO34" s="244"/>
      <c r="AP34" s="243"/>
      <c r="AQ34" s="243"/>
      <c r="AR34" s="243"/>
      <c r="AS34" s="243"/>
      <c r="AT34" s="243"/>
      <c r="AU34" s="243"/>
      <c r="AV34" s="243"/>
      <c r="AW34" s="243"/>
      <c r="AX34" s="243"/>
      <c r="AY34" s="802"/>
      <c r="AZ34" s="803"/>
      <c r="BA34" s="244"/>
      <c r="BB34" s="243"/>
      <c r="BC34" s="243"/>
      <c r="BD34" s="243"/>
      <c r="BE34" s="243"/>
      <c r="BF34" s="243"/>
      <c r="BG34" s="243"/>
      <c r="BH34" s="243"/>
      <c r="BI34" s="243"/>
      <c r="BJ34" s="243"/>
      <c r="BK34" s="802"/>
      <c r="BL34" s="803"/>
      <c r="BM34" s="244"/>
      <c r="BN34" s="243"/>
      <c r="BO34" s="243"/>
      <c r="BP34" s="243"/>
      <c r="BQ34" s="243"/>
      <c r="BR34" s="243"/>
      <c r="BS34" s="243"/>
      <c r="BT34" s="243"/>
      <c r="BU34" s="243"/>
      <c r="BV34" s="243"/>
      <c r="BW34" s="802"/>
      <c r="BX34" s="803"/>
      <c r="BY34" s="244"/>
      <c r="BZ34" s="243"/>
      <c r="CA34" s="243"/>
      <c r="CB34" s="243"/>
      <c r="CC34" s="243"/>
      <c r="CD34" s="243"/>
      <c r="CE34" s="243"/>
      <c r="CF34" s="243"/>
      <c r="CG34" s="243"/>
      <c r="CH34" s="243"/>
      <c r="CI34" s="802"/>
      <c r="CJ34" s="803"/>
      <c r="CK34" s="244"/>
      <c r="CL34" s="243"/>
      <c r="CM34" s="243"/>
      <c r="CN34" s="243"/>
      <c r="CO34" s="243"/>
      <c r="CP34" s="243"/>
      <c r="CQ34" s="243"/>
      <c r="CR34" s="243"/>
      <c r="CS34" s="243"/>
      <c r="CT34" s="243"/>
      <c r="CU34" s="802"/>
      <c r="CV34" s="803"/>
      <c r="CW34" s="244"/>
      <c r="CX34" s="243"/>
      <c r="CY34" s="243"/>
      <c r="CZ34" s="243"/>
      <c r="DA34" s="243"/>
      <c r="DB34" s="243"/>
      <c r="DC34" s="243"/>
      <c r="DD34" s="243"/>
      <c r="DE34" s="243"/>
      <c r="DF34" s="243"/>
      <c r="DG34" s="802"/>
      <c r="DH34" s="803"/>
      <c r="DI34" s="244"/>
      <c r="DJ34" s="243"/>
      <c r="DK34" s="243"/>
      <c r="DL34" s="243"/>
      <c r="DM34" s="243"/>
      <c r="DN34" s="243"/>
      <c r="DO34" s="243"/>
      <c r="DP34" s="243"/>
      <c r="DQ34" s="243"/>
      <c r="DR34" s="243"/>
      <c r="DS34" s="802"/>
    </row>
    <row r="35" spans="1:134" s="6" customFormat="1" ht="26.25" customHeight="1" x14ac:dyDescent="0.3">
      <c r="A35" s="144" t="s">
        <v>119</v>
      </c>
      <c r="B35" s="240"/>
      <c r="D35" s="1151"/>
      <c r="E35" s="1151"/>
      <c r="F35" s="1151"/>
      <c r="G35" s="1151"/>
      <c r="H35" s="1151"/>
      <c r="I35" s="1151"/>
      <c r="J35" s="1151"/>
      <c r="K35" s="1151"/>
      <c r="L35" s="1151"/>
      <c r="M35" s="1151"/>
      <c r="N35" s="1151"/>
      <c r="O35" s="1152"/>
      <c r="P35" s="121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800"/>
      <c r="AB35" s="121"/>
      <c r="AC35" s="122"/>
      <c r="AD35" s="122"/>
      <c r="AE35" s="806"/>
      <c r="AF35" s="807"/>
      <c r="AG35" s="195"/>
      <c r="AH35" s="195"/>
      <c r="AI35" s="195"/>
      <c r="AJ35" s="195"/>
      <c r="AK35" s="195"/>
      <c r="AL35" s="195"/>
      <c r="AM35" s="808"/>
      <c r="AN35" s="1174"/>
      <c r="AO35" s="195"/>
      <c r="AP35" s="195"/>
      <c r="AQ35" s="195"/>
      <c r="AR35" s="195"/>
      <c r="AS35" s="195"/>
      <c r="AT35" s="195"/>
      <c r="AU35" s="195"/>
      <c r="AV35" s="195"/>
      <c r="AW35" s="195"/>
      <c r="AX35" s="195"/>
      <c r="AY35" s="808"/>
      <c r="AZ35" s="195"/>
      <c r="BA35" s="195"/>
      <c r="BB35" s="195"/>
      <c r="BC35" s="195"/>
      <c r="BD35" s="195"/>
      <c r="BE35" s="195"/>
      <c r="BF35" s="195"/>
      <c r="BG35" s="195"/>
      <c r="BH35" s="195"/>
      <c r="BI35" s="195"/>
      <c r="BJ35" s="195"/>
      <c r="BK35" s="808"/>
      <c r="BL35" s="195"/>
      <c r="BM35" s="195"/>
      <c r="BN35" s="195"/>
      <c r="BO35" s="195"/>
      <c r="BP35" s="195"/>
      <c r="BQ35" s="195"/>
      <c r="BR35" s="195"/>
      <c r="BS35" s="195"/>
      <c r="BT35" s="195"/>
      <c r="BU35" s="195"/>
      <c r="BV35" s="195"/>
      <c r="BW35" s="808"/>
      <c r="BX35" s="195"/>
      <c r="BY35" s="195"/>
      <c r="BZ35" s="195"/>
      <c r="CA35" s="195"/>
      <c r="CB35" s="195"/>
      <c r="CC35" s="195"/>
      <c r="CD35" s="195"/>
      <c r="CE35" s="195"/>
      <c r="CF35" s="195"/>
      <c r="CG35" s="195"/>
      <c r="CH35" s="195"/>
      <c r="CI35" s="808"/>
      <c r="CJ35" s="195"/>
      <c r="CK35" s="195"/>
      <c r="CL35" s="195"/>
      <c r="CM35" s="195"/>
      <c r="CN35" s="195"/>
      <c r="CO35" s="195"/>
      <c r="CP35" s="195"/>
      <c r="CQ35" s="195"/>
      <c r="CR35" s="195"/>
      <c r="CS35" s="195"/>
      <c r="CT35" s="195"/>
      <c r="CU35" s="808"/>
      <c r="CV35" s="195"/>
      <c r="CW35" s="195"/>
      <c r="CX35" s="195"/>
      <c r="CY35" s="195"/>
      <c r="CZ35" s="195"/>
      <c r="DA35" s="195"/>
      <c r="DB35" s="195"/>
      <c r="DC35" s="195"/>
      <c r="DD35" s="195"/>
      <c r="DE35" s="195"/>
      <c r="DF35" s="195"/>
      <c r="DG35" s="808"/>
      <c r="DH35" s="195"/>
      <c r="DI35" s="195"/>
      <c r="DJ35" s="195"/>
      <c r="DK35" s="195"/>
      <c r="DL35" s="195"/>
      <c r="DM35" s="195"/>
      <c r="DN35" s="195"/>
      <c r="DO35" s="195"/>
      <c r="DP35" s="195"/>
      <c r="DQ35" s="195"/>
      <c r="DR35" s="195"/>
      <c r="DS35" s="808"/>
    </row>
    <row r="36" spans="1:134" s="6" customFormat="1" ht="18.75" customHeight="1" x14ac:dyDescent="0.25">
      <c r="A36" s="142" t="s">
        <v>121</v>
      </c>
      <c r="B36" s="154"/>
      <c r="D36" s="1153">
        <f>'7.Finance Costs'!C6</f>
        <v>0</v>
      </c>
      <c r="E36" s="1153">
        <f>'7.Finance Costs'!D6</f>
        <v>0</v>
      </c>
      <c r="F36" s="1153">
        <f>'7.Finance Costs'!E6</f>
        <v>0</v>
      </c>
      <c r="G36" s="1153">
        <f>'7.Finance Costs'!F6</f>
        <v>0</v>
      </c>
      <c r="H36" s="1153">
        <f>'7.Finance Costs'!G6</f>
        <v>0</v>
      </c>
      <c r="I36" s="1153">
        <f>'7.Finance Costs'!H6</f>
        <v>0</v>
      </c>
      <c r="J36" s="1153">
        <f>'7.Finance Costs'!I6</f>
        <v>0</v>
      </c>
      <c r="K36" s="1153">
        <f>'7.Finance Costs'!J6</f>
        <v>0</v>
      </c>
      <c r="L36" s="1153">
        <f>'7.Finance Costs'!K6</f>
        <v>0</v>
      </c>
      <c r="M36" s="1153">
        <f>'7.Finance Costs'!L6</f>
        <v>0</v>
      </c>
      <c r="N36" s="1153">
        <f>'7.Finance Costs'!M6</f>
        <v>0</v>
      </c>
      <c r="O36" s="1140">
        <f>'7.Finance Costs'!N6</f>
        <v>0</v>
      </c>
      <c r="P36" s="219">
        <f>'7.Finance Costs'!O6</f>
        <v>0</v>
      </c>
      <c r="Q36" s="219">
        <f>'7.Finance Costs'!P6</f>
        <v>0</v>
      </c>
      <c r="R36" s="219">
        <f>'7.Finance Costs'!Q6</f>
        <v>0</v>
      </c>
      <c r="S36" s="219">
        <f>'7.Finance Costs'!R6</f>
        <v>0</v>
      </c>
      <c r="T36" s="219">
        <f>'7.Finance Costs'!S6</f>
        <v>0</v>
      </c>
      <c r="U36" s="219">
        <f>'7.Finance Costs'!T6</f>
        <v>0</v>
      </c>
      <c r="V36" s="219">
        <f>'7.Finance Costs'!U6</f>
        <v>0</v>
      </c>
      <c r="W36" s="219">
        <f>'7.Finance Costs'!V6</f>
        <v>0</v>
      </c>
      <c r="X36" s="219">
        <f>'7.Finance Costs'!W6</f>
        <v>0</v>
      </c>
      <c r="Y36" s="219">
        <f>'7.Finance Costs'!X6</f>
        <v>0</v>
      </c>
      <c r="Z36" s="219">
        <f>'7.Finance Costs'!Y6</f>
        <v>0</v>
      </c>
      <c r="AA36" s="220">
        <f>'7.Finance Costs'!Z6</f>
        <v>0</v>
      </c>
      <c r="AB36" s="219">
        <f>'7.Finance Costs'!AA6</f>
        <v>0</v>
      </c>
      <c r="AC36" s="219">
        <f>'7.Finance Costs'!AB6</f>
        <v>0</v>
      </c>
      <c r="AD36" s="219">
        <f>'7.Finance Costs'!AC6</f>
        <v>0</v>
      </c>
      <c r="AE36" s="219">
        <f>'7.Finance Costs'!AD6</f>
        <v>0</v>
      </c>
      <c r="AF36" s="219">
        <f>'7.Finance Costs'!AE6</f>
        <v>0</v>
      </c>
      <c r="AG36" s="219">
        <f>'7.Finance Costs'!AF6</f>
        <v>0</v>
      </c>
      <c r="AH36" s="219">
        <f>'7.Finance Costs'!AG6</f>
        <v>0</v>
      </c>
      <c r="AI36" s="219">
        <f>'7.Finance Costs'!AH6</f>
        <v>0</v>
      </c>
      <c r="AJ36" s="219">
        <f>'7.Finance Costs'!AI6</f>
        <v>0</v>
      </c>
      <c r="AK36" s="219">
        <f>'7.Finance Costs'!AJ6</f>
        <v>0</v>
      </c>
      <c r="AL36" s="219">
        <f>'7.Finance Costs'!AK6</f>
        <v>0</v>
      </c>
      <c r="AM36" s="220">
        <f>'7.Finance Costs'!AL6</f>
        <v>0</v>
      </c>
      <c r="AN36" s="1175">
        <f>'7.Finance Costs'!AM6</f>
        <v>0</v>
      </c>
      <c r="AO36" s="219">
        <f>'7.Finance Costs'!AN6</f>
        <v>0</v>
      </c>
      <c r="AP36" s="219">
        <f>'7.Finance Costs'!AO6</f>
        <v>0</v>
      </c>
      <c r="AQ36" s="219">
        <f>'7.Finance Costs'!AP6</f>
        <v>0</v>
      </c>
      <c r="AR36" s="219">
        <f>'7.Finance Costs'!AQ6</f>
        <v>0</v>
      </c>
      <c r="AS36" s="219">
        <f>'7.Finance Costs'!AR6</f>
        <v>0</v>
      </c>
      <c r="AT36" s="219">
        <f>'7.Finance Costs'!AS6</f>
        <v>0</v>
      </c>
      <c r="AU36" s="219">
        <f>'7.Finance Costs'!AT6</f>
        <v>0</v>
      </c>
      <c r="AV36" s="219">
        <f>'7.Finance Costs'!AU6</f>
        <v>0</v>
      </c>
      <c r="AW36" s="219">
        <f>'7.Finance Costs'!AV6</f>
        <v>0</v>
      </c>
      <c r="AX36" s="219">
        <f>'7.Finance Costs'!AW6</f>
        <v>0</v>
      </c>
      <c r="AY36" s="220">
        <f>'7.Finance Costs'!AX6</f>
        <v>0</v>
      </c>
      <c r="AZ36" s="219">
        <f>'7.Finance Costs'!AY6</f>
        <v>0</v>
      </c>
      <c r="BA36" s="219">
        <f>'7.Finance Costs'!AZ6</f>
        <v>0</v>
      </c>
      <c r="BB36" s="219">
        <f>'7.Finance Costs'!BA6</f>
        <v>0</v>
      </c>
      <c r="BC36" s="219">
        <f>'7.Finance Costs'!BB6</f>
        <v>0</v>
      </c>
      <c r="BD36" s="219">
        <f>'7.Finance Costs'!BC6</f>
        <v>0</v>
      </c>
      <c r="BE36" s="219">
        <f>'7.Finance Costs'!BD6</f>
        <v>0</v>
      </c>
      <c r="BF36" s="219">
        <f>'7.Finance Costs'!BE6</f>
        <v>0</v>
      </c>
      <c r="BG36" s="219">
        <f>'7.Finance Costs'!BF6</f>
        <v>0</v>
      </c>
      <c r="BH36" s="219">
        <f>'7.Finance Costs'!BG6</f>
        <v>0</v>
      </c>
      <c r="BI36" s="219">
        <f>'7.Finance Costs'!BH6</f>
        <v>0</v>
      </c>
      <c r="BJ36" s="219">
        <f>'7.Finance Costs'!BI6</f>
        <v>0</v>
      </c>
      <c r="BK36" s="220">
        <f>'7.Finance Costs'!BJ6</f>
        <v>0</v>
      </c>
      <c r="BL36" s="219">
        <f>'7.Finance Costs'!BK6</f>
        <v>0</v>
      </c>
      <c r="BM36" s="219">
        <f>'7.Finance Costs'!BL6</f>
        <v>0</v>
      </c>
      <c r="BN36" s="219">
        <f>'7.Finance Costs'!BM6</f>
        <v>0</v>
      </c>
      <c r="BO36" s="219">
        <f>'7.Finance Costs'!BN6</f>
        <v>0</v>
      </c>
      <c r="BP36" s="219">
        <f>'7.Finance Costs'!BO6</f>
        <v>0</v>
      </c>
      <c r="BQ36" s="219">
        <f>'7.Finance Costs'!BP6</f>
        <v>0</v>
      </c>
      <c r="BR36" s="219">
        <f>'7.Finance Costs'!BQ6</f>
        <v>0</v>
      </c>
      <c r="BS36" s="219">
        <f>'7.Finance Costs'!BR6</f>
        <v>0</v>
      </c>
      <c r="BT36" s="219">
        <f>'7.Finance Costs'!BS6</f>
        <v>0</v>
      </c>
      <c r="BU36" s="219">
        <f>'7.Finance Costs'!BT6</f>
        <v>0</v>
      </c>
      <c r="BV36" s="219">
        <f>'7.Finance Costs'!BU6</f>
        <v>0</v>
      </c>
      <c r="BW36" s="220">
        <f>'7.Finance Costs'!BV6</f>
        <v>0</v>
      </c>
      <c r="BX36" s="219">
        <f>'7.Finance Costs'!BW6</f>
        <v>0</v>
      </c>
      <c r="BY36" s="219">
        <f>'7.Finance Costs'!BX6</f>
        <v>0</v>
      </c>
      <c r="BZ36" s="219">
        <f>'7.Finance Costs'!BY6</f>
        <v>0</v>
      </c>
      <c r="CA36" s="219">
        <f>'7.Finance Costs'!BZ6</f>
        <v>0</v>
      </c>
      <c r="CB36" s="219">
        <f>'7.Finance Costs'!CA6</f>
        <v>0</v>
      </c>
      <c r="CC36" s="219">
        <f>'7.Finance Costs'!CB6</f>
        <v>0</v>
      </c>
      <c r="CD36" s="219">
        <f>'7.Finance Costs'!CC6</f>
        <v>0</v>
      </c>
      <c r="CE36" s="219">
        <f>'7.Finance Costs'!CD6</f>
        <v>0</v>
      </c>
      <c r="CF36" s="219">
        <f>'7.Finance Costs'!CE6</f>
        <v>0</v>
      </c>
      <c r="CG36" s="219">
        <f>'7.Finance Costs'!CF6</f>
        <v>0</v>
      </c>
      <c r="CH36" s="219">
        <f>'7.Finance Costs'!CG6</f>
        <v>0</v>
      </c>
      <c r="CI36" s="220">
        <f>'7.Finance Costs'!CH6</f>
        <v>0</v>
      </c>
      <c r="CJ36" s="219">
        <f>'7.Finance Costs'!CI6</f>
        <v>0</v>
      </c>
      <c r="CK36" s="219">
        <f>'7.Finance Costs'!CJ6</f>
        <v>0</v>
      </c>
      <c r="CL36" s="219">
        <f>'7.Finance Costs'!CK6</f>
        <v>0</v>
      </c>
      <c r="CM36" s="219">
        <f>'7.Finance Costs'!CL6</f>
        <v>0</v>
      </c>
      <c r="CN36" s="219">
        <f>'7.Finance Costs'!CM6</f>
        <v>0</v>
      </c>
      <c r="CO36" s="219">
        <f>'7.Finance Costs'!CN6</f>
        <v>0</v>
      </c>
      <c r="CP36" s="219">
        <f>'7.Finance Costs'!CO6</f>
        <v>0</v>
      </c>
      <c r="CQ36" s="219">
        <f>'7.Finance Costs'!CP6</f>
        <v>0</v>
      </c>
      <c r="CR36" s="219">
        <f>'7.Finance Costs'!CQ6</f>
        <v>0</v>
      </c>
      <c r="CS36" s="219">
        <f>'7.Finance Costs'!CR6</f>
        <v>0</v>
      </c>
      <c r="CT36" s="219">
        <f>'7.Finance Costs'!CS6</f>
        <v>0</v>
      </c>
      <c r="CU36" s="220">
        <f>'7.Finance Costs'!CT6</f>
        <v>0</v>
      </c>
      <c r="CV36" s="219">
        <f>'7.Finance Costs'!CU6</f>
        <v>0</v>
      </c>
      <c r="CW36" s="219">
        <f>'7.Finance Costs'!CV6</f>
        <v>0</v>
      </c>
      <c r="CX36" s="219">
        <f>'7.Finance Costs'!CW6</f>
        <v>0</v>
      </c>
      <c r="CY36" s="219">
        <f>'7.Finance Costs'!CX6</f>
        <v>0</v>
      </c>
      <c r="CZ36" s="219">
        <f>'7.Finance Costs'!CY6</f>
        <v>0</v>
      </c>
      <c r="DA36" s="219">
        <f>'7.Finance Costs'!CZ6</f>
        <v>0</v>
      </c>
      <c r="DB36" s="219">
        <f>'7.Finance Costs'!DA6</f>
        <v>0</v>
      </c>
      <c r="DC36" s="219">
        <f>'7.Finance Costs'!DB6</f>
        <v>0</v>
      </c>
      <c r="DD36" s="219">
        <f>'7.Finance Costs'!DC6</f>
        <v>0</v>
      </c>
      <c r="DE36" s="219">
        <f>'7.Finance Costs'!DD6</f>
        <v>0</v>
      </c>
      <c r="DF36" s="219">
        <f>'7.Finance Costs'!DE6</f>
        <v>0</v>
      </c>
      <c r="DG36" s="220">
        <f>'7.Finance Costs'!DF6</f>
        <v>0</v>
      </c>
      <c r="DH36" s="219">
        <f>'7.Finance Costs'!DG6</f>
        <v>0</v>
      </c>
      <c r="DI36" s="219">
        <f>'7.Finance Costs'!DH6</f>
        <v>0</v>
      </c>
      <c r="DJ36" s="219">
        <f>'7.Finance Costs'!DI6</f>
        <v>0</v>
      </c>
      <c r="DK36" s="219">
        <f>'7.Finance Costs'!DJ6</f>
        <v>0</v>
      </c>
      <c r="DL36" s="219">
        <f>'7.Finance Costs'!DK6</f>
        <v>0</v>
      </c>
      <c r="DM36" s="219">
        <f>'7.Finance Costs'!DL6</f>
        <v>0</v>
      </c>
      <c r="DN36" s="219">
        <f>'7.Finance Costs'!DM6</f>
        <v>0</v>
      </c>
      <c r="DO36" s="219">
        <f>'7.Finance Costs'!DN6</f>
        <v>0</v>
      </c>
      <c r="DP36" s="219">
        <f>'7.Finance Costs'!DO6</f>
        <v>0</v>
      </c>
      <c r="DQ36" s="219">
        <f>'7.Finance Costs'!DP6</f>
        <v>0</v>
      </c>
      <c r="DR36" s="219">
        <f>'7.Finance Costs'!DQ6</f>
        <v>0</v>
      </c>
      <c r="DS36" s="220">
        <f>'7.Finance Costs'!DR6</f>
        <v>0</v>
      </c>
    </row>
    <row r="37" spans="1:134" s="6" customFormat="1" ht="18.75" customHeight="1" x14ac:dyDescent="0.25">
      <c r="A37" s="142" t="s">
        <v>122</v>
      </c>
      <c r="B37" s="154"/>
      <c r="D37" s="1153">
        <f>'7.Finance Costs'!C8</f>
        <v>0</v>
      </c>
      <c r="E37" s="1153">
        <f>'7.Finance Costs'!D8</f>
        <v>0</v>
      </c>
      <c r="F37" s="1153">
        <f>'7.Finance Costs'!E8</f>
        <v>0</v>
      </c>
      <c r="G37" s="1153">
        <f>'7.Finance Costs'!F8</f>
        <v>0</v>
      </c>
      <c r="H37" s="1153">
        <f>'7.Finance Costs'!G8</f>
        <v>0</v>
      </c>
      <c r="I37" s="1153">
        <f>'7.Finance Costs'!H8</f>
        <v>0</v>
      </c>
      <c r="J37" s="1153">
        <f>'7.Finance Costs'!I8</f>
        <v>0</v>
      </c>
      <c r="K37" s="1153">
        <f>'7.Finance Costs'!J8</f>
        <v>0</v>
      </c>
      <c r="L37" s="1153">
        <f>'7.Finance Costs'!K8</f>
        <v>0</v>
      </c>
      <c r="M37" s="1153">
        <f>'7.Finance Costs'!L8</f>
        <v>0</v>
      </c>
      <c r="N37" s="1153">
        <f>'7.Finance Costs'!M8</f>
        <v>0</v>
      </c>
      <c r="O37" s="1140">
        <f>'7.Finance Costs'!N8</f>
        <v>0</v>
      </c>
      <c r="P37" s="219">
        <f>'7.Finance Costs'!O8</f>
        <v>0</v>
      </c>
      <c r="Q37" s="219">
        <f>'7.Finance Costs'!P8</f>
        <v>0</v>
      </c>
      <c r="R37" s="219">
        <f>'7.Finance Costs'!Q8</f>
        <v>0</v>
      </c>
      <c r="S37" s="219">
        <f>'7.Finance Costs'!R8</f>
        <v>0</v>
      </c>
      <c r="T37" s="219">
        <f>'7.Finance Costs'!S8</f>
        <v>0</v>
      </c>
      <c r="U37" s="219">
        <f>'7.Finance Costs'!T8</f>
        <v>0</v>
      </c>
      <c r="V37" s="219">
        <f>'7.Finance Costs'!U8</f>
        <v>0</v>
      </c>
      <c r="W37" s="219">
        <f>'7.Finance Costs'!V8</f>
        <v>0</v>
      </c>
      <c r="X37" s="219">
        <f>'7.Finance Costs'!W8</f>
        <v>0</v>
      </c>
      <c r="Y37" s="219">
        <f>'7.Finance Costs'!X8</f>
        <v>0</v>
      </c>
      <c r="Z37" s="219">
        <f>'7.Finance Costs'!Y8</f>
        <v>0</v>
      </c>
      <c r="AA37" s="220">
        <f>'7.Finance Costs'!Z8</f>
        <v>0</v>
      </c>
      <c r="AB37" s="219">
        <f>'7.Finance Costs'!AA8</f>
        <v>0</v>
      </c>
      <c r="AC37" s="219">
        <f>'7.Finance Costs'!AB8</f>
        <v>0</v>
      </c>
      <c r="AD37" s="219">
        <f>'7.Finance Costs'!AC8</f>
        <v>0</v>
      </c>
      <c r="AE37" s="219">
        <f>'7.Finance Costs'!AD8</f>
        <v>0</v>
      </c>
      <c r="AF37" s="219">
        <f>'7.Finance Costs'!AE8</f>
        <v>0</v>
      </c>
      <c r="AG37" s="219">
        <f>'7.Finance Costs'!AF8</f>
        <v>0</v>
      </c>
      <c r="AH37" s="219">
        <f>'7.Finance Costs'!AG8</f>
        <v>0</v>
      </c>
      <c r="AI37" s="219">
        <f>'7.Finance Costs'!AH8</f>
        <v>0</v>
      </c>
      <c r="AJ37" s="219">
        <f>'7.Finance Costs'!AI8</f>
        <v>0</v>
      </c>
      <c r="AK37" s="219">
        <f>'7.Finance Costs'!AJ8</f>
        <v>0</v>
      </c>
      <c r="AL37" s="219">
        <f>'7.Finance Costs'!AK8</f>
        <v>0</v>
      </c>
      <c r="AM37" s="220">
        <f>'7.Finance Costs'!AL8</f>
        <v>0</v>
      </c>
      <c r="AN37" s="1175">
        <f>'7.Finance Costs'!AM8</f>
        <v>0</v>
      </c>
      <c r="AO37" s="219">
        <f>'7.Finance Costs'!AN8</f>
        <v>0</v>
      </c>
      <c r="AP37" s="219">
        <f>'7.Finance Costs'!AO8</f>
        <v>0</v>
      </c>
      <c r="AQ37" s="219">
        <f>'7.Finance Costs'!AP8</f>
        <v>0</v>
      </c>
      <c r="AR37" s="219">
        <f>'7.Finance Costs'!AQ8</f>
        <v>0</v>
      </c>
      <c r="AS37" s="219">
        <f>'7.Finance Costs'!AR8</f>
        <v>0</v>
      </c>
      <c r="AT37" s="219">
        <f>'7.Finance Costs'!AS8</f>
        <v>0</v>
      </c>
      <c r="AU37" s="219">
        <f>'7.Finance Costs'!AT8</f>
        <v>0</v>
      </c>
      <c r="AV37" s="219">
        <f>'7.Finance Costs'!AU8</f>
        <v>0</v>
      </c>
      <c r="AW37" s="219">
        <f>'7.Finance Costs'!AV8</f>
        <v>0</v>
      </c>
      <c r="AX37" s="219">
        <f>'7.Finance Costs'!AW8</f>
        <v>0</v>
      </c>
      <c r="AY37" s="220">
        <f>'7.Finance Costs'!AX8</f>
        <v>0</v>
      </c>
      <c r="AZ37" s="219">
        <f>'7.Finance Costs'!AY8</f>
        <v>0</v>
      </c>
      <c r="BA37" s="219">
        <f>'7.Finance Costs'!AZ8</f>
        <v>0</v>
      </c>
      <c r="BB37" s="219">
        <f>'7.Finance Costs'!BA8</f>
        <v>0</v>
      </c>
      <c r="BC37" s="219">
        <f>'7.Finance Costs'!BB8</f>
        <v>0</v>
      </c>
      <c r="BD37" s="219">
        <f>'7.Finance Costs'!BC8</f>
        <v>0</v>
      </c>
      <c r="BE37" s="219">
        <f>'7.Finance Costs'!BD8</f>
        <v>0</v>
      </c>
      <c r="BF37" s="219">
        <f>'7.Finance Costs'!BE8</f>
        <v>0</v>
      </c>
      <c r="BG37" s="219">
        <f>'7.Finance Costs'!BF8</f>
        <v>0</v>
      </c>
      <c r="BH37" s="219">
        <f>'7.Finance Costs'!BG8</f>
        <v>0</v>
      </c>
      <c r="BI37" s="219">
        <f>'7.Finance Costs'!BH8</f>
        <v>0</v>
      </c>
      <c r="BJ37" s="219">
        <f>'7.Finance Costs'!BI8</f>
        <v>0</v>
      </c>
      <c r="BK37" s="220">
        <f>'7.Finance Costs'!BJ8</f>
        <v>0</v>
      </c>
      <c r="BL37" s="219">
        <f>'7.Finance Costs'!BK8</f>
        <v>0</v>
      </c>
      <c r="BM37" s="219">
        <f>'7.Finance Costs'!BL8</f>
        <v>0</v>
      </c>
      <c r="BN37" s="219">
        <f>'7.Finance Costs'!BM8</f>
        <v>0</v>
      </c>
      <c r="BO37" s="219">
        <f>'7.Finance Costs'!BN8</f>
        <v>0</v>
      </c>
      <c r="BP37" s="219">
        <f>'7.Finance Costs'!BO8</f>
        <v>0</v>
      </c>
      <c r="BQ37" s="219">
        <f>'7.Finance Costs'!BP8</f>
        <v>0</v>
      </c>
      <c r="BR37" s="219">
        <f>'7.Finance Costs'!BQ8</f>
        <v>0</v>
      </c>
      <c r="BS37" s="219">
        <f>'7.Finance Costs'!BR8</f>
        <v>0</v>
      </c>
      <c r="BT37" s="219">
        <f>'7.Finance Costs'!BS8</f>
        <v>0</v>
      </c>
      <c r="BU37" s="219">
        <f>'7.Finance Costs'!BT8</f>
        <v>0</v>
      </c>
      <c r="BV37" s="219">
        <f>'7.Finance Costs'!BU8</f>
        <v>0</v>
      </c>
      <c r="BW37" s="220">
        <f>'7.Finance Costs'!BV8</f>
        <v>0</v>
      </c>
      <c r="BX37" s="219">
        <f>'7.Finance Costs'!BW8</f>
        <v>0</v>
      </c>
      <c r="BY37" s="219">
        <f>'7.Finance Costs'!BX8</f>
        <v>0</v>
      </c>
      <c r="BZ37" s="219">
        <f>'7.Finance Costs'!BY8</f>
        <v>0</v>
      </c>
      <c r="CA37" s="219">
        <f>'7.Finance Costs'!BZ8</f>
        <v>0</v>
      </c>
      <c r="CB37" s="219">
        <f>'7.Finance Costs'!CA8</f>
        <v>0</v>
      </c>
      <c r="CC37" s="219">
        <f>'7.Finance Costs'!CB8</f>
        <v>0</v>
      </c>
      <c r="CD37" s="219">
        <f>'7.Finance Costs'!CC8</f>
        <v>0</v>
      </c>
      <c r="CE37" s="219">
        <f>'7.Finance Costs'!CD8</f>
        <v>0</v>
      </c>
      <c r="CF37" s="219">
        <f>'7.Finance Costs'!CE8</f>
        <v>0</v>
      </c>
      <c r="CG37" s="219">
        <f>'7.Finance Costs'!CF8</f>
        <v>0</v>
      </c>
      <c r="CH37" s="219">
        <f>'7.Finance Costs'!CG8</f>
        <v>0</v>
      </c>
      <c r="CI37" s="220">
        <f>'7.Finance Costs'!CH8</f>
        <v>0</v>
      </c>
      <c r="CJ37" s="219">
        <f>'7.Finance Costs'!CI8</f>
        <v>0</v>
      </c>
      <c r="CK37" s="219">
        <f>'7.Finance Costs'!CJ8</f>
        <v>0</v>
      </c>
      <c r="CL37" s="219">
        <f>'7.Finance Costs'!CK8</f>
        <v>0</v>
      </c>
      <c r="CM37" s="219">
        <f>'7.Finance Costs'!CL8</f>
        <v>0</v>
      </c>
      <c r="CN37" s="219">
        <f>'7.Finance Costs'!CM8</f>
        <v>0</v>
      </c>
      <c r="CO37" s="219">
        <f>'7.Finance Costs'!CN8</f>
        <v>0</v>
      </c>
      <c r="CP37" s="219">
        <f>'7.Finance Costs'!CO8</f>
        <v>0</v>
      </c>
      <c r="CQ37" s="219">
        <f>'7.Finance Costs'!CP8</f>
        <v>0</v>
      </c>
      <c r="CR37" s="219">
        <f>'7.Finance Costs'!CQ8</f>
        <v>0</v>
      </c>
      <c r="CS37" s="219">
        <f>'7.Finance Costs'!CR8</f>
        <v>0</v>
      </c>
      <c r="CT37" s="219">
        <f>'7.Finance Costs'!CS8</f>
        <v>0</v>
      </c>
      <c r="CU37" s="220">
        <f>'7.Finance Costs'!CT8</f>
        <v>0</v>
      </c>
      <c r="CV37" s="219">
        <f>'7.Finance Costs'!CU8</f>
        <v>0</v>
      </c>
      <c r="CW37" s="219">
        <f>'7.Finance Costs'!CV8</f>
        <v>0</v>
      </c>
      <c r="CX37" s="219">
        <f>'7.Finance Costs'!CW8</f>
        <v>0</v>
      </c>
      <c r="CY37" s="219">
        <f>'7.Finance Costs'!CX8</f>
        <v>0</v>
      </c>
      <c r="CZ37" s="219">
        <f>'7.Finance Costs'!CY8</f>
        <v>0</v>
      </c>
      <c r="DA37" s="219">
        <f>'7.Finance Costs'!CZ8</f>
        <v>0</v>
      </c>
      <c r="DB37" s="219">
        <f>'7.Finance Costs'!DA8</f>
        <v>0</v>
      </c>
      <c r="DC37" s="219">
        <f>'7.Finance Costs'!DB8</f>
        <v>0</v>
      </c>
      <c r="DD37" s="219">
        <f>'7.Finance Costs'!DC8</f>
        <v>0</v>
      </c>
      <c r="DE37" s="219">
        <f>'7.Finance Costs'!DD8</f>
        <v>0</v>
      </c>
      <c r="DF37" s="219">
        <f>'7.Finance Costs'!DE8</f>
        <v>0</v>
      </c>
      <c r="DG37" s="220">
        <f>'7.Finance Costs'!DF8</f>
        <v>0</v>
      </c>
      <c r="DH37" s="219">
        <f>'7.Finance Costs'!DG8</f>
        <v>0</v>
      </c>
      <c r="DI37" s="219">
        <f>'7.Finance Costs'!DH8</f>
        <v>0</v>
      </c>
      <c r="DJ37" s="219">
        <f>'7.Finance Costs'!DI8</f>
        <v>0</v>
      </c>
      <c r="DK37" s="219">
        <f>'7.Finance Costs'!DJ8</f>
        <v>0</v>
      </c>
      <c r="DL37" s="219">
        <f>'7.Finance Costs'!DK8</f>
        <v>0</v>
      </c>
      <c r="DM37" s="219">
        <f>'7.Finance Costs'!DL8</f>
        <v>0</v>
      </c>
      <c r="DN37" s="219">
        <f>'7.Finance Costs'!DM8</f>
        <v>0</v>
      </c>
      <c r="DO37" s="219">
        <f>'7.Finance Costs'!DN8</f>
        <v>0</v>
      </c>
      <c r="DP37" s="219">
        <f>'7.Finance Costs'!DO8</f>
        <v>0</v>
      </c>
      <c r="DQ37" s="219">
        <f>'7.Finance Costs'!DP8</f>
        <v>0</v>
      </c>
      <c r="DR37" s="219">
        <f>'7.Finance Costs'!DQ8</f>
        <v>0</v>
      </c>
      <c r="DS37" s="220">
        <f>'7.Finance Costs'!DR8</f>
        <v>0</v>
      </c>
    </row>
    <row r="38" spans="1:134" s="6" customFormat="1" ht="18.75" customHeight="1" x14ac:dyDescent="0.25">
      <c r="A38" s="142" t="s">
        <v>125</v>
      </c>
      <c r="B38" s="154"/>
      <c r="D38" s="1153">
        <v>0</v>
      </c>
      <c r="E38" s="1153">
        <v>0</v>
      </c>
      <c r="F38" s="1153">
        <v>0</v>
      </c>
      <c r="G38" s="1153">
        <v>0</v>
      </c>
      <c r="H38" s="1153">
        <v>0</v>
      </c>
      <c r="I38" s="1153">
        <v>0</v>
      </c>
      <c r="J38" s="1153">
        <v>0</v>
      </c>
      <c r="K38" s="1153">
        <v>0</v>
      </c>
      <c r="L38" s="1153">
        <v>0</v>
      </c>
      <c r="M38" s="1153">
        <v>0</v>
      </c>
      <c r="N38" s="1153">
        <v>0</v>
      </c>
      <c r="O38" s="1140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20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</v>
      </c>
      <c r="AL38" s="219">
        <v>0</v>
      </c>
      <c r="AM38" s="220">
        <v>0</v>
      </c>
      <c r="AN38" s="1175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  <c r="AU38" s="219">
        <v>0</v>
      </c>
      <c r="AV38" s="219">
        <v>0</v>
      </c>
      <c r="AW38" s="219">
        <v>0</v>
      </c>
      <c r="AX38" s="219">
        <v>0</v>
      </c>
      <c r="AY38" s="220">
        <v>0</v>
      </c>
      <c r="AZ38" s="219">
        <v>0</v>
      </c>
      <c r="BA38" s="219">
        <v>0</v>
      </c>
      <c r="BB38" s="219">
        <v>0</v>
      </c>
      <c r="BC38" s="219">
        <v>0</v>
      </c>
      <c r="BD38" s="219">
        <v>0</v>
      </c>
      <c r="BE38" s="219">
        <v>0</v>
      </c>
      <c r="BF38" s="219">
        <v>0</v>
      </c>
      <c r="BG38" s="219">
        <v>0</v>
      </c>
      <c r="BH38" s="219">
        <v>0</v>
      </c>
      <c r="BI38" s="219">
        <v>0</v>
      </c>
      <c r="BJ38" s="219">
        <v>0</v>
      </c>
      <c r="BK38" s="220">
        <v>0</v>
      </c>
      <c r="BL38" s="219">
        <v>0</v>
      </c>
      <c r="BM38" s="219">
        <v>0</v>
      </c>
      <c r="BN38" s="219">
        <v>0</v>
      </c>
      <c r="BO38" s="219">
        <v>0</v>
      </c>
      <c r="BP38" s="219">
        <v>0</v>
      </c>
      <c r="BQ38" s="219">
        <v>0</v>
      </c>
      <c r="BR38" s="219">
        <v>0</v>
      </c>
      <c r="BS38" s="219">
        <v>0</v>
      </c>
      <c r="BT38" s="219">
        <v>0</v>
      </c>
      <c r="BU38" s="219">
        <v>0</v>
      </c>
      <c r="BV38" s="219">
        <v>0</v>
      </c>
      <c r="BW38" s="220">
        <v>0</v>
      </c>
      <c r="BX38" s="219">
        <v>0</v>
      </c>
      <c r="BY38" s="219">
        <v>0</v>
      </c>
      <c r="BZ38" s="219">
        <v>0</v>
      </c>
      <c r="CA38" s="219">
        <v>0</v>
      </c>
      <c r="CB38" s="219">
        <v>0</v>
      </c>
      <c r="CC38" s="219">
        <v>0</v>
      </c>
      <c r="CD38" s="219">
        <v>0</v>
      </c>
      <c r="CE38" s="219">
        <v>0</v>
      </c>
      <c r="CF38" s="219">
        <v>0</v>
      </c>
      <c r="CG38" s="219">
        <v>0</v>
      </c>
      <c r="CH38" s="219">
        <v>0</v>
      </c>
      <c r="CI38" s="220">
        <v>0</v>
      </c>
      <c r="CJ38" s="219">
        <v>0</v>
      </c>
      <c r="CK38" s="219">
        <v>0</v>
      </c>
      <c r="CL38" s="219">
        <v>0</v>
      </c>
      <c r="CM38" s="219">
        <v>0</v>
      </c>
      <c r="CN38" s="219">
        <v>0</v>
      </c>
      <c r="CO38" s="219">
        <v>0</v>
      </c>
      <c r="CP38" s="219">
        <v>0</v>
      </c>
      <c r="CQ38" s="219">
        <v>0</v>
      </c>
      <c r="CR38" s="219">
        <v>0</v>
      </c>
      <c r="CS38" s="219">
        <v>0</v>
      </c>
      <c r="CT38" s="219">
        <v>0</v>
      </c>
      <c r="CU38" s="220">
        <v>0</v>
      </c>
      <c r="CV38" s="219">
        <v>0</v>
      </c>
      <c r="CW38" s="219">
        <v>0</v>
      </c>
      <c r="CX38" s="219">
        <v>0</v>
      </c>
      <c r="CY38" s="219">
        <v>0</v>
      </c>
      <c r="CZ38" s="219">
        <v>0</v>
      </c>
      <c r="DA38" s="219">
        <v>0</v>
      </c>
      <c r="DB38" s="219">
        <v>0</v>
      </c>
      <c r="DC38" s="219">
        <v>0</v>
      </c>
      <c r="DD38" s="219">
        <v>0</v>
      </c>
      <c r="DE38" s="219">
        <v>0</v>
      </c>
      <c r="DF38" s="219">
        <v>0</v>
      </c>
      <c r="DG38" s="220">
        <v>0</v>
      </c>
      <c r="DH38" s="219">
        <v>0</v>
      </c>
      <c r="DI38" s="219">
        <v>0</v>
      </c>
      <c r="DJ38" s="219">
        <v>0</v>
      </c>
      <c r="DK38" s="219">
        <v>0</v>
      </c>
      <c r="DL38" s="219">
        <v>0</v>
      </c>
      <c r="DM38" s="219">
        <v>0</v>
      </c>
      <c r="DN38" s="219">
        <v>0</v>
      </c>
      <c r="DO38" s="219">
        <v>0</v>
      </c>
      <c r="DP38" s="219">
        <v>0</v>
      </c>
      <c r="DQ38" s="219">
        <v>0</v>
      </c>
      <c r="DR38" s="219">
        <v>0</v>
      </c>
      <c r="DS38" s="220">
        <v>0</v>
      </c>
    </row>
    <row r="39" spans="1:134" s="6" customFormat="1" ht="18.75" customHeight="1" x14ac:dyDescent="0.25">
      <c r="A39" s="142" t="s">
        <v>123</v>
      </c>
      <c r="B39" s="154"/>
      <c r="D39" s="1153">
        <f>'7.Finance Costs'!C7</f>
        <v>0</v>
      </c>
      <c r="E39" s="1153">
        <f>'7.Finance Costs'!D7</f>
        <v>0</v>
      </c>
      <c r="F39" s="1153">
        <f>'7.Finance Costs'!E7</f>
        <v>0</v>
      </c>
      <c r="G39" s="1153">
        <f>'7.Finance Costs'!F7</f>
        <v>0</v>
      </c>
      <c r="H39" s="1153">
        <f>'7.Finance Costs'!G7</f>
        <v>0</v>
      </c>
      <c r="I39" s="1153">
        <f>'7.Finance Costs'!H7</f>
        <v>0</v>
      </c>
      <c r="J39" s="1153">
        <f>'7.Finance Costs'!I7</f>
        <v>0</v>
      </c>
      <c r="K39" s="1153">
        <f>'7.Finance Costs'!J7</f>
        <v>0</v>
      </c>
      <c r="L39" s="1153">
        <f>'7.Finance Costs'!K7</f>
        <v>0</v>
      </c>
      <c r="M39" s="1153">
        <f>'7.Finance Costs'!L7</f>
        <v>0</v>
      </c>
      <c r="N39" s="1153">
        <f>'7.Finance Costs'!M7</f>
        <v>0</v>
      </c>
      <c r="O39" s="1140">
        <f>'7.Finance Costs'!N7</f>
        <v>0</v>
      </c>
      <c r="P39" s="219">
        <f>'7.Finance Costs'!O7</f>
        <v>0</v>
      </c>
      <c r="Q39" s="219">
        <f>'7.Finance Costs'!P7</f>
        <v>0</v>
      </c>
      <c r="R39" s="219">
        <f>'7.Finance Costs'!Q7</f>
        <v>0</v>
      </c>
      <c r="S39" s="219">
        <f>'7.Finance Costs'!R7</f>
        <v>0</v>
      </c>
      <c r="T39" s="219">
        <f>'7.Finance Costs'!S7</f>
        <v>0</v>
      </c>
      <c r="U39" s="219">
        <f>'7.Finance Costs'!T7</f>
        <v>0</v>
      </c>
      <c r="V39" s="219">
        <f>'7.Finance Costs'!U7</f>
        <v>0</v>
      </c>
      <c r="W39" s="219">
        <f>'7.Finance Costs'!V7</f>
        <v>0</v>
      </c>
      <c r="X39" s="219">
        <f>'7.Finance Costs'!W7</f>
        <v>0</v>
      </c>
      <c r="Y39" s="219">
        <f>'7.Finance Costs'!X7</f>
        <v>0</v>
      </c>
      <c r="Z39" s="219">
        <f>'7.Finance Costs'!Y7</f>
        <v>0</v>
      </c>
      <c r="AA39" s="220">
        <f>'7.Finance Costs'!Z7</f>
        <v>0</v>
      </c>
      <c r="AB39" s="219">
        <f>'7.Finance Costs'!AA7</f>
        <v>0</v>
      </c>
      <c r="AC39" s="219">
        <f>'7.Finance Costs'!AB7</f>
        <v>0</v>
      </c>
      <c r="AD39" s="219">
        <f>'7.Finance Costs'!AC7</f>
        <v>0</v>
      </c>
      <c r="AE39" s="219">
        <f>'7.Finance Costs'!AD7</f>
        <v>0</v>
      </c>
      <c r="AF39" s="219">
        <f>'7.Finance Costs'!AE7</f>
        <v>0</v>
      </c>
      <c r="AG39" s="219">
        <f>'7.Finance Costs'!AF7</f>
        <v>0</v>
      </c>
      <c r="AH39" s="219">
        <f>'7.Finance Costs'!AG7</f>
        <v>0</v>
      </c>
      <c r="AI39" s="219">
        <f>'7.Finance Costs'!AH7</f>
        <v>0</v>
      </c>
      <c r="AJ39" s="219">
        <f>'7.Finance Costs'!AI7</f>
        <v>0</v>
      </c>
      <c r="AK39" s="219">
        <f>'7.Finance Costs'!AJ7</f>
        <v>0</v>
      </c>
      <c r="AL39" s="219">
        <f>'7.Finance Costs'!AK7</f>
        <v>0</v>
      </c>
      <c r="AM39" s="220">
        <f>'7.Finance Costs'!AL7</f>
        <v>0</v>
      </c>
      <c r="AN39" s="1175">
        <f>'7.Finance Costs'!AM7</f>
        <v>0</v>
      </c>
      <c r="AO39" s="219">
        <f>'7.Finance Costs'!AN7</f>
        <v>0</v>
      </c>
      <c r="AP39" s="219">
        <f>'7.Finance Costs'!AO7</f>
        <v>0</v>
      </c>
      <c r="AQ39" s="219">
        <f>'7.Finance Costs'!AP7</f>
        <v>0</v>
      </c>
      <c r="AR39" s="219">
        <f>'7.Finance Costs'!AQ7</f>
        <v>0</v>
      </c>
      <c r="AS39" s="219">
        <f>'7.Finance Costs'!AR7</f>
        <v>0</v>
      </c>
      <c r="AT39" s="219">
        <f>'7.Finance Costs'!AS7</f>
        <v>0</v>
      </c>
      <c r="AU39" s="219">
        <f>'7.Finance Costs'!AT7</f>
        <v>0</v>
      </c>
      <c r="AV39" s="219">
        <f>'7.Finance Costs'!AU7</f>
        <v>0</v>
      </c>
      <c r="AW39" s="219">
        <f>'7.Finance Costs'!AV7</f>
        <v>0</v>
      </c>
      <c r="AX39" s="219">
        <f>'7.Finance Costs'!AW7</f>
        <v>0</v>
      </c>
      <c r="AY39" s="220">
        <f>'7.Finance Costs'!AX7</f>
        <v>0</v>
      </c>
      <c r="AZ39" s="219">
        <f>'7.Finance Costs'!AY7</f>
        <v>0</v>
      </c>
      <c r="BA39" s="219">
        <f>'7.Finance Costs'!AZ7</f>
        <v>0</v>
      </c>
      <c r="BB39" s="219">
        <f>'7.Finance Costs'!BA7</f>
        <v>0</v>
      </c>
      <c r="BC39" s="219">
        <f>'7.Finance Costs'!BB7</f>
        <v>0</v>
      </c>
      <c r="BD39" s="219">
        <f>'7.Finance Costs'!BC7</f>
        <v>0</v>
      </c>
      <c r="BE39" s="219">
        <f>'7.Finance Costs'!BD7</f>
        <v>0</v>
      </c>
      <c r="BF39" s="219">
        <f>'7.Finance Costs'!BE7</f>
        <v>0</v>
      </c>
      <c r="BG39" s="219">
        <f>'7.Finance Costs'!BF7</f>
        <v>0</v>
      </c>
      <c r="BH39" s="219">
        <f>'7.Finance Costs'!BG7</f>
        <v>0</v>
      </c>
      <c r="BI39" s="219">
        <f>'7.Finance Costs'!BH7</f>
        <v>0</v>
      </c>
      <c r="BJ39" s="219">
        <f>'7.Finance Costs'!BI7</f>
        <v>0</v>
      </c>
      <c r="BK39" s="220">
        <f>'7.Finance Costs'!BJ7</f>
        <v>0</v>
      </c>
      <c r="BL39" s="219">
        <f>'7.Finance Costs'!BK7</f>
        <v>0</v>
      </c>
      <c r="BM39" s="219">
        <f>'7.Finance Costs'!BL7</f>
        <v>0</v>
      </c>
      <c r="BN39" s="219">
        <f>'7.Finance Costs'!BM7</f>
        <v>0</v>
      </c>
      <c r="BO39" s="219">
        <f>'7.Finance Costs'!BN7</f>
        <v>0</v>
      </c>
      <c r="BP39" s="219">
        <f>'7.Finance Costs'!BO7</f>
        <v>0</v>
      </c>
      <c r="BQ39" s="219">
        <f>'7.Finance Costs'!BP7</f>
        <v>0</v>
      </c>
      <c r="BR39" s="219">
        <f>'7.Finance Costs'!BQ7</f>
        <v>0</v>
      </c>
      <c r="BS39" s="219">
        <f>'7.Finance Costs'!BR7</f>
        <v>0</v>
      </c>
      <c r="BT39" s="219">
        <f>'7.Finance Costs'!BS7</f>
        <v>0</v>
      </c>
      <c r="BU39" s="219">
        <f>'7.Finance Costs'!BT7</f>
        <v>0</v>
      </c>
      <c r="BV39" s="219">
        <f>'7.Finance Costs'!BU7</f>
        <v>0</v>
      </c>
      <c r="BW39" s="220">
        <f>'7.Finance Costs'!BV7</f>
        <v>0</v>
      </c>
      <c r="BX39" s="219">
        <f>'7.Finance Costs'!BW7</f>
        <v>0</v>
      </c>
      <c r="BY39" s="219">
        <f>'7.Finance Costs'!BX7</f>
        <v>0</v>
      </c>
      <c r="BZ39" s="219">
        <f>'7.Finance Costs'!BY7</f>
        <v>0</v>
      </c>
      <c r="CA39" s="219">
        <f>'7.Finance Costs'!BZ7</f>
        <v>0</v>
      </c>
      <c r="CB39" s="219">
        <f>'7.Finance Costs'!CA7</f>
        <v>0</v>
      </c>
      <c r="CC39" s="219">
        <f>'7.Finance Costs'!CB7</f>
        <v>0</v>
      </c>
      <c r="CD39" s="219">
        <f>'7.Finance Costs'!CC7</f>
        <v>0</v>
      </c>
      <c r="CE39" s="219">
        <f>'7.Finance Costs'!CD7</f>
        <v>0</v>
      </c>
      <c r="CF39" s="219">
        <f>'7.Finance Costs'!CE7</f>
        <v>0</v>
      </c>
      <c r="CG39" s="219">
        <f>'7.Finance Costs'!CF7</f>
        <v>0</v>
      </c>
      <c r="CH39" s="219">
        <f>'7.Finance Costs'!CG7</f>
        <v>0</v>
      </c>
      <c r="CI39" s="220">
        <f>'7.Finance Costs'!CH7</f>
        <v>0</v>
      </c>
      <c r="CJ39" s="219">
        <f>'7.Finance Costs'!CI7</f>
        <v>0</v>
      </c>
      <c r="CK39" s="219">
        <f>'7.Finance Costs'!CJ7</f>
        <v>0</v>
      </c>
      <c r="CL39" s="219">
        <f>'7.Finance Costs'!CK7</f>
        <v>0</v>
      </c>
      <c r="CM39" s="219">
        <f>'7.Finance Costs'!CL7</f>
        <v>0</v>
      </c>
      <c r="CN39" s="219">
        <f>'7.Finance Costs'!CM7</f>
        <v>0</v>
      </c>
      <c r="CO39" s="219">
        <f>'7.Finance Costs'!CN7</f>
        <v>0</v>
      </c>
      <c r="CP39" s="219">
        <f>'7.Finance Costs'!CO7</f>
        <v>0</v>
      </c>
      <c r="CQ39" s="219">
        <f>'7.Finance Costs'!CP7</f>
        <v>0</v>
      </c>
      <c r="CR39" s="219">
        <f>'7.Finance Costs'!CQ7</f>
        <v>0</v>
      </c>
      <c r="CS39" s="219">
        <f>'7.Finance Costs'!CR7</f>
        <v>0</v>
      </c>
      <c r="CT39" s="219">
        <f>'7.Finance Costs'!CS7</f>
        <v>0</v>
      </c>
      <c r="CU39" s="220">
        <f>'7.Finance Costs'!CT7</f>
        <v>0</v>
      </c>
      <c r="CV39" s="219">
        <f>'7.Finance Costs'!CU7</f>
        <v>0</v>
      </c>
      <c r="CW39" s="219">
        <f>'7.Finance Costs'!CV7</f>
        <v>0</v>
      </c>
      <c r="CX39" s="219">
        <f>'7.Finance Costs'!CW7</f>
        <v>0</v>
      </c>
      <c r="CY39" s="219">
        <f>'7.Finance Costs'!CX7</f>
        <v>0</v>
      </c>
      <c r="CZ39" s="219">
        <f>'7.Finance Costs'!CY7</f>
        <v>0</v>
      </c>
      <c r="DA39" s="219">
        <f>'7.Finance Costs'!CZ7</f>
        <v>0</v>
      </c>
      <c r="DB39" s="219">
        <f>'7.Finance Costs'!DA7</f>
        <v>0</v>
      </c>
      <c r="DC39" s="219">
        <f>'7.Finance Costs'!DB7</f>
        <v>0</v>
      </c>
      <c r="DD39" s="219">
        <f>'7.Finance Costs'!DC7</f>
        <v>0</v>
      </c>
      <c r="DE39" s="219">
        <f>'7.Finance Costs'!DD7</f>
        <v>0</v>
      </c>
      <c r="DF39" s="219">
        <f>'7.Finance Costs'!DE7</f>
        <v>0</v>
      </c>
      <c r="DG39" s="220">
        <f>'7.Finance Costs'!DF7</f>
        <v>0</v>
      </c>
      <c r="DH39" s="219">
        <f>'7.Finance Costs'!DG7</f>
        <v>0</v>
      </c>
      <c r="DI39" s="219">
        <f>'7.Finance Costs'!DH7</f>
        <v>0</v>
      </c>
      <c r="DJ39" s="219">
        <f>'7.Finance Costs'!DI7</f>
        <v>0</v>
      </c>
      <c r="DK39" s="219">
        <f>'7.Finance Costs'!DJ7</f>
        <v>0</v>
      </c>
      <c r="DL39" s="219">
        <f>'7.Finance Costs'!DK7</f>
        <v>0</v>
      </c>
      <c r="DM39" s="219">
        <f>'7.Finance Costs'!DL7</f>
        <v>0</v>
      </c>
      <c r="DN39" s="219">
        <f>'7.Finance Costs'!DM7</f>
        <v>0</v>
      </c>
      <c r="DO39" s="219">
        <f>'7.Finance Costs'!DN7</f>
        <v>0</v>
      </c>
      <c r="DP39" s="219">
        <f>'7.Finance Costs'!DO7</f>
        <v>0</v>
      </c>
      <c r="DQ39" s="219">
        <f>'7.Finance Costs'!DP7</f>
        <v>0</v>
      </c>
      <c r="DR39" s="219">
        <f>'7.Finance Costs'!DQ7</f>
        <v>0</v>
      </c>
      <c r="DS39" s="220">
        <f>'7.Finance Costs'!DR7</f>
        <v>0</v>
      </c>
    </row>
    <row r="40" spans="1:134" s="6" customFormat="1" ht="18.75" customHeight="1" thickBot="1" x14ac:dyDescent="0.3">
      <c r="A40" s="142" t="s">
        <v>124</v>
      </c>
      <c r="B40" s="154"/>
      <c r="D40" s="1153">
        <f>'6. Finance Income'!C10</f>
        <v>0</v>
      </c>
      <c r="E40" s="1153">
        <f>'6. Finance Income'!D10</f>
        <v>0</v>
      </c>
      <c r="F40" s="1153">
        <f>'6. Finance Income'!E10</f>
        <v>0</v>
      </c>
      <c r="G40" s="1153">
        <f>'6. Finance Income'!F10</f>
        <v>0</v>
      </c>
      <c r="H40" s="1153">
        <f>'6. Finance Income'!G10</f>
        <v>0</v>
      </c>
      <c r="I40" s="1153">
        <f>'6. Finance Income'!H10</f>
        <v>0</v>
      </c>
      <c r="J40" s="1153">
        <f>'6. Finance Income'!I10</f>
        <v>0</v>
      </c>
      <c r="K40" s="1153">
        <f>'6. Finance Income'!J10</f>
        <v>0</v>
      </c>
      <c r="L40" s="1153">
        <f>'6. Finance Income'!K10</f>
        <v>0</v>
      </c>
      <c r="M40" s="1153">
        <f>'6. Finance Income'!L10</f>
        <v>0</v>
      </c>
      <c r="N40" s="1153">
        <f>'6. Finance Income'!M10</f>
        <v>0</v>
      </c>
      <c r="O40" s="1140">
        <f>'6. Finance Income'!N10</f>
        <v>0</v>
      </c>
      <c r="P40" s="219">
        <f>'6. Finance Income'!O10</f>
        <v>0</v>
      </c>
      <c r="Q40" s="219">
        <f>'6. Finance Income'!P10</f>
        <v>0</v>
      </c>
      <c r="R40" s="219">
        <f>'6. Finance Income'!Q10</f>
        <v>0</v>
      </c>
      <c r="S40" s="219">
        <f>'6. Finance Income'!R10</f>
        <v>0</v>
      </c>
      <c r="T40" s="219">
        <f>'6. Finance Income'!S10</f>
        <v>0</v>
      </c>
      <c r="U40" s="219">
        <f>'6. Finance Income'!T10</f>
        <v>0</v>
      </c>
      <c r="V40" s="219">
        <f>'6. Finance Income'!U10</f>
        <v>0</v>
      </c>
      <c r="W40" s="219">
        <f>'6. Finance Income'!V10</f>
        <v>0</v>
      </c>
      <c r="X40" s="219">
        <f>'6. Finance Income'!W10</f>
        <v>0</v>
      </c>
      <c r="Y40" s="219">
        <f>'6. Finance Income'!X10</f>
        <v>0</v>
      </c>
      <c r="Z40" s="219">
        <f>'6. Finance Income'!Y10</f>
        <v>0</v>
      </c>
      <c r="AA40" s="220">
        <f>'6. Finance Income'!Z10</f>
        <v>0</v>
      </c>
      <c r="AB40" s="219">
        <f>'6. Finance Income'!AA10</f>
        <v>0</v>
      </c>
      <c r="AC40" s="219">
        <f>'6. Finance Income'!AB10</f>
        <v>0</v>
      </c>
      <c r="AD40" s="219">
        <f>'6. Finance Income'!AC10</f>
        <v>0</v>
      </c>
      <c r="AE40" s="219">
        <f>'6. Finance Income'!AD10</f>
        <v>0</v>
      </c>
      <c r="AF40" s="219">
        <f>'6. Finance Income'!AE10</f>
        <v>0</v>
      </c>
      <c r="AG40" s="219">
        <f>'6. Finance Income'!AF10</f>
        <v>0</v>
      </c>
      <c r="AH40" s="219">
        <f>'6. Finance Income'!AG10</f>
        <v>0</v>
      </c>
      <c r="AI40" s="219">
        <f>'6. Finance Income'!AH10</f>
        <v>0</v>
      </c>
      <c r="AJ40" s="219">
        <f>'6. Finance Income'!AI10</f>
        <v>0</v>
      </c>
      <c r="AK40" s="219">
        <f>'6. Finance Income'!AJ10</f>
        <v>0</v>
      </c>
      <c r="AL40" s="219">
        <f>'6. Finance Income'!AK10</f>
        <v>0</v>
      </c>
      <c r="AM40" s="220">
        <f>'6. Finance Income'!AL10</f>
        <v>0</v>
      </c>
      <c r="AN40" s="1175">
        <f>'6. Finance Income'!AM10</f>
        <v>0</v>
      </c>
      <c r="AO40" s="219">
        <f>'6. Finance Income'!AN10</f>
        <v>0</v>
      </c>
      <c r="AP40" s="219">
        <f>'6. Finance Income'!AO10</f>
        <v>0</v>
      </c>
      <c r="AQ40" s="219">
        <f>'6. Finance Income'!AP10</f>
        <v>0</v>
      </c>
      <c r="AR40" s="219">
        <f>'6. Finance Income'!AQ10</f>
        <v>0</v>
      </c>
      <c r="AS40" s="219">
        <f>'6. Finance Income'!AR10</f>
        <v>0</v>
      </c>
      <c r="AT40" s="219">
        <f>'6. Finance Income'!AS10</f>
        <v>0</v>
      </c>
      <c r="AU40" s="219">
        <f>'6. Finance Income'!AT10</f>
        <v>0</v>
      </c>
      <c r="AV40" s="219">
        <f>'6. Finance Income'!AU10</f>
        <v>0</v>
      </c>
      <c r="AW40" s="219">
        <f>'6. Finance Income'!AV10</f>
        <v>0</v>
      </c>
      <c r="AX40" s="219">
        <f>'6. Finance Income'!AW10</f>
        <v>0</v>
      </c>
      <c r="AY40" s="220">
        <f>'6. Finance Income'!AX10</f>
        <v>0</v>
      </c>
      <c r="AZ40" s="219">
        <f>'6. Finance Income'!AY10</f>
        <v>0</v>
      </c>
      <c r="BA40" s="219">
        <f>'6. Finance Income'!AZ10</f>
        <v>0</v>
      </c>
      <c r="BB40" s="219">
        <f>'6. Finance Income'!BA10</f>
        <v>0</v>
      </c>
      <c r="BC40" s="219">
        <f>'6. Finance Income'!BB10</f>
        <v>0</v>
      </c>
      <c r="BD40" s="219">
        <f>'6. Finance Income'!BC10</f>
        <v>0</v>
      </c>
      <c r="BE40" s="219">
        <f>'6. Finance Income'!BD10</f>
        <v>0</v>
      </c>
      <c r="BF40" s="219">
        <f>'6. Finance Income'!BE10</f>
        <v>0</v>
      </c>
      <c r="BG40" s="219">
        <f>'6. Finance Income'!BF10</f>
        <v>0</v>
      </c>
      <c r="BH40" s="219">
        <f>'6. Finance Income'!BG10</f>
        <v>0</v>
      </c>
      <c r="BI40" s="219">
        <f>'6. Finance Income'!BH10</f>
        <v>0</v>
      </c>
      <c r="BJ40" s="219">
        <f>'6. Finance Income'!BI10</f>
        <v>0</v>
      </c>
      <c r="BK40" s="220">
        <f>'6. Finance Income'!BJ10</f>
        <v>0</v>
      </c>
      <c r="BL40" s="219">
        <f>'6. Finance Income'!BK10</f>
        <v>0</v>
      </c>
      <c r="BM40" s="219">
        <f>'6. Finance Income'!BL10</f>
        <v>0</v>
      </c>
      <c r="BN40" s="219">
        <f>'6. Finance Income'!BM10</f>
        <v>0</v>
      </c>
      <c r="BO40" s="219">
        <f>'6. Finance Income'!BN10</f>
        <v>0</v>
      </c>
      <c r="BP40" s="219">
        <f>'6. Finance Income'!BO10</f>
        <v>0</v>
      </c>
      <c r="BQ40" s="219">
        <f>'6. Finance Income'!BP10</f>
        <v>0</v>
      </c>
      <c r="BR40" s="219">
        <f>'6. Finance Income'!BQ10</f>
        <v>0</v>
      </c>
      <c r="BS40" s="219">
        <f>'6. Finance Income'!BR10</f>
        <v>0</v>
      </c>
      <c r="BT40" s="219">
        <f>'6. Finance Income'!BS10</f>
        <v>0</v>
      </c>
      <c r="BU40" s="219">
        <f>'6. Finance Income'!BT10</f>
        <v>0</v>
      </c>
      <c r="BV40" s="219">
        <f>'6. Finance Income'!BU10</f>
        <v>0</v>
      </c>
      <c r="BW40" s="220">
        <f>'6. Finance Income'!BV10</f>
        <v>0</v>
      </c>
      <c r="BX40" s="219">
        <f>'6. Finance Income'!BW10</f>
        <v>0</v>
      </c>
      <c r="BY40" s="219">
        <f>'6. Finance Income'!BX10</f>
        <v>0</v>
      </c>
      <c r="BZ40" s="219">
        <f>'6. Finance Income'!BY10</f>
        <v>0</v>
      </c>
      <c r="CA40" s="219">
        <f>'6. Finance Income'!BZ10</f>
        <v>0</v>
      </c>
      <c r="CB40" s="219">
        <f>'6. Finance Income'!CA10</f>
        <v>0</v>
      </c>
      <c r="CC40" s="219">
        <f>'6. Finance Income'!CB10</f>
        <v>0</v>
      </c>
      <c r="CD40" s="219">
        <f>'6. Finance Income'!CC10</f>
        <v>0</v>
      </c>
      <c r="CE40" s="219">
        <f>'6. Finance Income'!CD10</f>
        <v>0</v>
      </c>
      <c r="CF40" s="219">
        <f>'6. Finance Income'!CE10</f>
        <v>0</v>
      </c>
      <c r="CG40" s="219">
        <f>'6. Finance Income'!CF10</f>
        <v>0</v>
      </c>
      <c r="CH40" s="219">
        <f>'6. Finance Income'!CG10</f>
        <v>0</v>
      </c>
      <c r="CI40" s="220">
        <f>'6. Finance Income'!CH10</f>
        <v>0</v>
      </c>
      <c r="CJ40" s="219">
        <f>'6. Finance Income'!CI10</f>
        <v>0</v>
      </c>
      <c r="CK40" s="219">
        <f>'6. Finance Income'!CJ10</f>
        <v>0</v>
      </c>
      <c r="CL40" s="219">
        <f>'6. Finance Income'!CK10</f>
        <v>0</v>
      </c>
      <c r="CM40" s="219">
        <f>'6. Finance Income'!CL10</f>
        <v>0</v>
      </c>
      <c r="CN40" s="219">
        <f>'6. Finance Income'!CM10</f>
        <v>0</v>
      </c>
      <c r="CO40" s="219">
        <f>'6. Finance Income'!CN10</f>
        <v>0</v>
      </c>
      <c r="CP40" s="219">
        <f>'6. Finance Income'!CO10</f>
        <v>0</v>
      </c>
      <c r="CQ40" s="219">
        <f>'6. Finance Income'!CP10</f>
        <v>0</v>
      </c>
      <c r="CR40" s="219">
        <f>'6. Finance Income'!CQ10</f>
        <v>0</v>
      </c>
      <c r="CS40" s="219">
        <f>'6. Finance Income'!CR10</f>
        <v>0</v>
      </c>
      <c r="CT40" s="219">
        <f>'6. Finance Income'!CS10</f>
        <v>0</v>
      </c>
      <c r="CU40" s="220">
        <f>'6. Finance Income'!CT10</f>
        <v>0</v>
      </c>
      <c r="CV40" s="219">
        <f>'6. Finance Income'!CU10</f>
        <v>0</v>
      </c>
      <c r="CW40" s="219">
        <f>'6. Finance Income'!CV10</f>
        <v>0</v>
      </c>
      <c r="CX40" s="219">
        <f>'6. Finance Income'!CW10</f>
        <v>0</v>
      </c>
      <c r="CY40" s="219">
        <f>'6. Finance Income'!CX10</f>
        <v>0</v>
      </c>
      <c r="CZ40" s="219">
        <f>'6. Finance Income'!CY10</f>
        <v>0</v>
      </c>
      <c r="DA40" s="219">
        <f>'6. Finance Income'!CZ10</f>
        <v>0</v>
      </c>
      <c r="DB40" s="219">
        <f>'6. Finance Income'!DA10</f>
        <v>0</v>
      </c>
      <c r="DC40" s="219">
        <f>'6. Finance Income'!DB10</f>
        <v>0</v>
      </c>
      <c r="DD40" s="219">
        <f>'6. Finance Income'!DC10</f>
        <v>0</v>
      </c>
      <c r="DE40" s="219">
        <f>'6. Finance Income'!DD10</f>
        <v>0</v>
      </c>
      <c r="DF40" s="219">
        <f>'6. Finance Income'!DE10</f>
        <v>0</v>
      </c>
      <c r="DG40" s="220">
        <f>'6. Finance Income'!DF10</f>
        <v>0</v>
      </c>
      <c r="DH40" s="219">
        <f>'6. Finance Income'!DG10</f>
        <v>0</v>
      </c>
      <c r="DI40" s="219">
        <f>'6. Finance Income'!DH10</f>
        <v>0</v>
      </c>
      <c r="DJ40" s="219">
        <f>'6. Finance Income'!DI10</f>
        <v>0</v>
      </c>
      <c r="DK40" s="219">
        <f>'6. Finance Income'!DJ10</f>
        <v>0</v>
      </c>
      <c r="DL40" s="219">
        <f>'6. Finance Income'!DK10</f>
        <v>0</v>
      </c>
      <c r="DM40" s="219">
        <f>'6. Finance Income'!DL10</f>
        <v>0</v>
      </c>
      <c r="DN40" s="219">
        <f>'6. Finance Income'!DM10</f>
        <v>0</v>
      </c>
      <c r="DO40" s="219">
        <f>'6. Finance Income'!DN10</f>
        <v>0</v>
      </c>
      <c r="DP40" s="219">
        <f>'6. Finance Income'!DO10</f>
        <v>0</v>
      </c>
      <c r="DQ40" s="219">
        <f>'6. Finance Income'!DP10</f>
        <v>0</v>
      </c>
      <c r="DR40" s="219">
        <f>'6. Finance Income'!DQ10</f>
        <v>0</v>
      </c>
      <c r="DS40" s="220">
        <f>'6. Finance Income'!DR10</f>
        <v>0</v>
      </c>
    </row>
    <row r="41" spans="1:134" s="6" customFormat="1" ht="26.25" customHeight="1" thickBot="1" x14ac:dyDescent="0.35">
      <c r="A41" s="1413" t="s">
        <v>120</v>
      </c>
      <c r="B41" s="1414"/>
      <c r="D41" s="1155">
        <f t="shared" ref="D41:M41" si="24">SUM(D36:D40)</f>
        <v>0</v>
      </c>
      <c r="E41" s="1155">
        <f t="shared" si="24"/>
        <v>0</v>
      </c>
      <c r="F41" s="1155">
        <f t="shared" si="24"/>
        <v>0</v>
      </c>
      <c r="G41" s="1155">
        <f t="shared" si="24"/>
        <v>0</v>
      </c>
      <c r="H41" s="1155">
        <f t="shared" si="24"/>
        <v>0</v>
      </c>
      <c r="I41" s="1155">
        <f t="shared" si="24"/>
        <v>0</v>
      </c>
      <c r="J41" s="1155">
        <f t="shared" si="24"/>
        <v>0</v>
      </c>
      <c r="K41" s="1155">
        <f t="shared" si="24"/>
        <v>0</v>
      </c>
      <c r="L41" s="1155">
        <f t="shared" si="24"/>
        <v>0</v>
      </c>
      <c r="M41" s="1155">
        <f t="shared" si="24"/>
        <v>0</v>
      </c>
      <c r="N41" s="1155">
        <f>SUM(N36:N40)</f>
        <v>0</v>
      </c>
      <c r="O41" s="1148">
        <f>SUM(O36:O40)</f>
        <v>0</v>
      </c>
      <c r="P41" s="232">
        <f>SUM(P36:P40)</f>
        <v>0</v>
      </c>
      <c r="Q41" s="232">
        <f>SUM(Q36:Q40)</f>
        <v>0</v>
      </c>
      <c r="R41" s="232">
        <f>SUM(R36:R40)</f>
        <v>0</v>
      </c>
      <c r="S41" s="232">
        <f t="shared" ref="S41:CB41" si="25">SUM(S36:S40)</f>
        <v>0</v>
      </c>
      <c r="T41" s="232">
        <f t="shared" si="25"/>
        <v>0</v>
      </c>
      <c r="U41" s="232">
        <f t="shared" si="25"/>
        <v>0</v>
      </c>
      <c r="V41" s="232">
        <f t="shared" si="25"/>
        <v>0</v>
      </c>
      <c r="W41" s="232">
        <f t="shared" si="25"/>
        <v>0</v>
      </c>
      <c r="X41" s="232">
        <f t="shared" si="25"/>
        <v>0</v>
      </c>
      <c r="Y41" s="232">
        <f t="shared" si="25"/>
        <v>0</v>
      </c>
      <c r="Z41" s="232">
        <f t="shared" si="25"/>
        <v>0</v>
      </c>
      <c r="AA41" s="233">
        <f t="shared" si="25"/>
        <v>0</v>
      </c>
      <c r="AB41" s="232">
        <f t="shared" si="25"/>
        <v>0</v>
      </c>
      <c r="AC41" s="232">
        <f t="shared" si="25"/>
        <v>0</v>
      </c>
      <c r="AD41" s="232">
        <f t="shared" si="25"/>
        <v>0</v>
      </c>
      <c r="AE41" s="232">
        <f t="shared" si="25"/>
        <v>0</v>
      </c>
      <c r="AF41" s="232">
        <f t="shared" si="25"/>
        <v>0</v>
      </c>
      <c r="AG41" s="232">
        <f t="shared" si="25"/>
        <v>0</v>
      </c>
      <c r="AH41" s="232">
        <f t="shared" si="25"/>
        <v>0</v>
      </c>
      <c r="AI41" s="232">
        <f t="shared" si="25"/>
        <v>0</v>
      </c>
      <c r="AJ41" s="232">
        <f t="shared" si="25"/>
        <v>0</v>
      </c>
      <c r="AK41" s="232">
        <f t="shared" si="25"/>
        <v>0</v>
      </c>
      <c r="AL41" s="232">
        <f t="shared" si="25"/>
        <v>0</v>
      </c>
      <c r="AM41" s="233">
        <f t="shared" si="25"/>
        <v>0</v>
      </c>
      <c r="AN41" s="1176">
        <f t="shared" si="25"/>
        <v>0</v>
      </c>
      <c r="AO41" s="232">
        <f t="shared" si="25"/>
        <v>0</v>
      </c>
      <c r="AP41" s="232">
        <f t="shared" si="25"/>
        <v>0</v>
      </c>
      <c r="AQ41" s="232">
        <f t="shared" si="25"/>
        <v>0</v>
      </c>
      <c r="AR41" s="232">
        <f t="shared" si="25"/>
        <v>0</v>
      </c>
      <c r="AS41" s="232">
        <f t="shared" si="25"/>
        <v>0</v>
      </c>
      <c r="AT41" s="232">
        <f t="shared" si="25"/>
        <v>0</v>
      </c>
      <c r="AU41" s="232">
        <f t="shared" si="25"/>
        <v>0</v>
      </c>
      <c r="AV41" s="232">
        <f t="shared" si="25"/>
        <v>0</v>
      </c>
      <c r="AW41" s="232">
        <f t="shared" si="25"/>
        <v>0</v>
      </c>
      <c r="AX41" s="232">
        <f t="shared" si="25"/>
        <v>0</v>
      </c>
      <c r="AY41" s="233">
        <f t="shared" si="25"/>
        <v>0</v>
      </c>
      <c r="AZ41" s="232">
        <f t="shared" si="25"/>
        <v>0</v>
      </c>
      <c r="BA41" s="232">
        <f t="shared" si="25"/>
        <v>0</v>
      </c>
      <c r="BB41" s="232">
        <f t="shared" si="25"/>
        <v>0</v>
      </c>
      <c r="BC41" s="232">
        <f t="shared" si="25"/>
        <v>0</v>
      </c>
      <c r="BD41" s="232">
        <f t="shared" si="25"/>
        <v>0</v>
      </c>
      <c r="BE41" s="232">
        <f t="shared" si="25"/>
        <v>0</v>
      </c>
      <c r="BF41" s="232">
        <f t="shared" si="25"/>
        <v>0</v>
      </c>
      <c r="BG41" s="232">
        <f t="shared" si="25"/>
        <v>0</v>
      </c>
      <c r="BH41" s="232">
        <f t="shared" si="25"/>
        <v>0</v>
      </c>
      <c r="BI41" s="232">
        <f t="shared" si="25"/>
        <v>0</v>
      </c>
      <c r="BJ41" s="232">
        <f t="shared" si="25"/>
        <v>0</v>
      </c>
      <c r="BK41" s="233">
        <f t="shared" si="25"/>
        <v>0</v>
      </c>
      <c r="BL41" s="232">
        <f t="shared" si="25"/>
        <v>0</v>
      </c>
      <c r="BM41" s="232">
        <f t="shared" si="25"/>
        <v>0</v>
      </c>
      <c r="BN41" s="232">
        <f t="shared" si="25"/>
        <v>0</v>
      </c>
      <c r="BO41" s="232">
        <f t="shared" si="25"/>
        <v>0</v>
      </c>
      <c r="BP41" s="232">
        <f t="shared" si="25"/>
        <v>0</v>
      </c>
      <c r="BQ41" s="232">
        <f t="shared" si="25"/>
        <v>0</v>
      </c>
      <c r="BR41" s="232">
        <f t="shared" si="25"/>
        <v>0</v>
      </c>
      <c r="BS41" s="232">
        <f t="shared" si="25"/>
        <v>0</v>
      </c>
      <c r="BT41" s="232">
        <f t="shared" si="25"/>
        <v>0</v>
      </c>
      <c r="BU41" s="232">
        <f t="shared" si="25"/>
        <v>0</v>
      </c>
      <c r="BV41" s="232">
        <f t="shared" si="25"/>
        <v>0</v>
      </c>
      <c r="BW41" s="233">
        <f t="shared" si="25"/>
        <v>0</v>
      </c>
      <c r="BX41" s="232">
        <f t="shared" si="25"/>
        <v>0</v>
      </c>
      <c r="BY41" s="232">
        <f t="shared" si="25"/>
        <v>0</v>
      </c>
      <c r="BZ41" s="232">
        <f t="shared" si="25"/>
        <v>0</v>
      </c>
      <c r="CA41" s="232">
        <f t="shared" si="25"/>
        <v>0</v>
      </c>
      <c r="CB41" s="232">
        <f t="shared" si="25"/>
        <v>0</v>
      </c>
      <c r="CC41" s="232">
        <f t="shared" ref="CC41:DS41" si="26">SUM(CC36:CC40)</f>
        <v>0</v>
      </c>
      <c r="CD41" s="232">
        <f t="shared" si="26"/>
        <v>0</v>
      </c>
      <c r="CE41" s="232">
        <f t="shared" si="26"/>
        <v>0</v>
      </c>
      <c r="CF41" s="232">
        <f t="shared" si="26"/>
        <v>0</v>
      </c>
      <c r="CG41" s="232">
        <f t="shared" si="26"/>
        <v>0</v>
      </c>
      <c r="CH41" s="232">
        <f t="shared" si="26"/>
        <v>0</v>
      </c>
      <c r="CI41" s="233">
        <f t="shared" si="26"/>
        <v>0</v>
      </c>
      <c r="CJ41" s="232">
        <f t="shared" si="26"/>
        <v>0</v>
      </c>
      <c r="CK41" s="232">
        <f t="shared" si="26"/>
        <v>0</v>
      </c>
      <c r="CL41" s="232">
        <f t="shared" si="26"/>
        <v>0</v>
      </c>
      <c r="CM41" s="232">
        <f t="shared" si="26"/>
        <v>0</v>
      </c>
      <c r="CN41" s="232">
        <f t="shared" si="26"/>
        <v>0</v>
      </c>
      <c r="CO41" s="232">
        <f t="shared" si="26"/>
        <v>0</v>
      </c>
      <c r="CP41" s="232">
        <f t="shared" si="26"/>
        <v>0</v>
      </c>
      <c r="CQ41" s="232">
        <f t="shared" si="26"/>
        <v>0</v>
      </c>
      <c r="CR41" s="232">
        <f t="shared" si="26"/>
        <v>0</v>
      </c>
      <c r="CS41" s="232">
        <f t="shared" si="26"/>
        <v>0</v>
      </c>
      <c r="CT41" s="232">
        <f t="shared" si="26"/>
        <v>0</v>
      </c>
      <c r="CU41" s="233">
        <f t="shared" si="26"/>
        <v>0</v>
      </c>
      <c r="CV41" s="232">
        <f t="shared" si="26"/>
        <v>0</v>
      </c>
      <c r="CW41" s="232">
        <f t="shared" si="26"/>
        <v>0</v>
      </c>
      <c r="CX41" s="232">
        <f t="shared" si="26"/>
        <v>0</v>
      </c>
      <c r="CY41" s="232">
        <f t="shared" si="26"/>
        <v>0</v>
      </c>
      <c r="CZ41" s="232">
        <f t="shared" si="26"/>
        <v>0</v>
      </c>
      <c r="DA41" s="232">
        <f t="shared" si="26"/>
        <v>0</v>
      </c>
      <c r="DB41" s="232">
        <f t="shared" si="26"/>
        <v>0</v>
      </c>
      <c r="DC41" s="232">
        <f t="shared" si="26"/>
        <v>0</v>
      </c>
      <c r="DD41" s="232">
        <f t="shared" si="26"/>
        <v>0</v>
      </c>
      <c r="DE41" s="232">
        <f t="shared" si="26"/>
        <v>0</v>
      </c>
      <c r="DF41" s="232">
        <f t="shared" si="26"/>
        <v>0</v>
      </c>
      <c r="DG41" s="233">
        <f t="shared" si="26"/>
        <v>0</v>
      </c>
      <c r="DH41" s="232">
        <f t="shared" si="26"/>
        <v>0</v>
      </c>
      <c r="DI41" s="232">
        <f t="shared" si="26"/>
        <v>0</v>
      </c>
      <c r="DJ41" s="232">
        <f t="shared" si="26"/>
        <v>0</v>
      </c>
      <c r="DK41" s="232">
        <f t="shared" si="26"/>
        <v>0</v>
      </c>
      <c r="DL41" s="232">
        <f t="shared" si="26"/>
        <v>0</v>
      </c>
      <c r="DM41" s="232">
        <f t="shared" si="26"/>
        <v>0</v>
      </c>
      <c r="DN41" s="232">
        <f t="shared" si="26"/>
        <v>0</v>
      </c>
      <c r="DO41" s="232">
        <f t="shared" si="26"/>
        <v>0</v>
      </c>
      <c r="DP41" s="232">
        <f t="shared" si="26"/>
        <v>0</v>
      </c>
      <c r="DQ41" s="232">
        <f t="shared" si="26"/>
        <v>0</v>
      </c>
      <c r="DR41" s="232">
        <f t="shared" si="26"/>
        <v>0</v>
      </c>
      <c r="DS41" s="233">
        <f t="shared" si="26"/>
        <v>0</v>
      </c>
    </row>
    <row r="42" spans="1:134" s="6" customFormat="1" ht="26.25" customHeight="1" x14ac:dyDescent="0.3">
      <c r="A42" s="87"/>
      <c r="B42" s="87"/>
      <c r="D42" s="1156"/>
      <c r="E42" s="1156"/>
      <c r="F42" s="1156"/>
      <c r="G42" s="1156"/>
      <c r="H42" s="1156"/>
      <c r="I42" s="1156"/>
      <c r="J42" s="1156"/>
      <c r="K42" s="1156"/>
      <c r="L42" s="1156"/>
      <c r="M42" s="1156"/>
      <c r="N42" s="1156"/>
      <c r="O42" s="1157"/>
      <c r="P42" s="244"/>
      <c r="Q42" s="243"/>
      <c r="R42" s="243"/>
      <c r="S42" s="243"/>
      <c r="T42" s="243"/>
      <c r="U42" s="243"/>
      <c r="V42" s="243"/>
      <c r="W42" s="243"/>
      <c r="X42" s="243"/>
      <c r="Y42" s="243"/>
      <c r="Z42" s="243"/>
      <c r="AA42" s="802"/>
      <c r="AB42" s="803"/>
      <c r="AC42" s="244"/>
      <c r="AD42" s="243"/>
      <c r="AE42" s="243"/>
      <c r="AF42" s="243"/>
      <c r="AG42" s="243"/>
      <c r="AH42" s="243"/>
      <c r="AI42" s="243"/>
      <c r="AJ42" s="243"/>
      <c r="AK42" s="243"/>
      <c r="AL42" s="243"/>
      <c r="AM42" s="802"/>
      <c r="AN42" s="1177"/>
      <c r="AO42" s="244"/>
      <c r="AP42" s="243"/>
      <c r="AQ42" s="243"/>
      <c r="AR42" s="243"/>
      <c r="AS42" s="243"/>
      <c r="AT42" s="243"/>
      <c r="AU42" s="243"/>
      <c r="AV42" s="243"/>
      <c r="AW42" s="243"/>
      <c r="AX42" s="243"/>
      <c r="AY42" s="802"/>
      <c r="AZ42" s="803"/>
      <c r="BA42" s="244"/>
      <c r="BB42" s="243"/>
      <c r="BC42" s="243"/>
      <c r="BD42" s="243"/>
      <c r="BE42" s="243"/>
      <c r="BF42" s="243"/>
      <c r="BG42" s="243"/>
      <c r="BH42" s="243"/>
      <c r="BI42" s="243"/>
      <c r="BJ42" s="243"/>
      <c r="BK42" s="802"/>
      <c r="BL42" s="803"/>
      <c r="BM42" s="244"/>
      <c r="BN42" s="243"/>
      <c r="BO42" s="243"/>
      <c r="BP42" s="243"/>
      <c r="BQ42" s="243"/>
      <c r="BR42" s="243"/>
      <c r="BS42" s="243"/>
      <c r="BT42" s="243"/>
      <c r="BU42" s="243"/>
      <c r="BV42" s="243"/>
      <c r="BW42" s="802"/>
      <c r="BX42" s="803"/>
      <c r="BY42" s="244"/>
      <c r="BZ42" s="243"/>
      <c r="CA42" s="243"/>
      <c r="CB42" s="243"/>
      <c r="CC42" s="243"/>
      <c r="CD42" s="243"/>
      <c r="CE42" s="243"/>
      <c r="CF42" s="243"/>
      <c r="CG42" s="243"/>
      <c r="CH42" s="243"/>
      <c r="CI42" s="802"/>
      <c r="CJ42" s="803"/>
      <c r="CK42" s="244"/>
      <c r="CL42" s="243"/>
      <c r="CM42" s="243"/>
      <c r="CN42" s="243"/>
      <c r="CO42" s="243"/>
      <c r="CP42" s="243"/>
      <c r="CQ42" s="243"/>
      <c r="CR42" s="243"/>
      <c r="CS42" s="243"/>
      <c r="CT42" s="243"/>
      <c r="CU42" s="802"/>
      <c r="CV42" s="803"/>
      <c r="CW42" s="244"/>
      <c r="CX42" s="243"/>
      <c r="CY42" s="243"/>
      <c r="CZ42" s="243"/>
      <c r="DA42" s="243"/>
      <c r="DB42" s="243"/>
      <c r="DC42" s="243"/>
      <c r="DD42" s="243"/>
      <c r="DE42" s="243"/>
      <c r="DF42" s="243"/>
      <c r="DG42" s="802"/>
      <c r="DH42" s="803"/>
      <c r="DI42" s="244"/>
      <c r="DJ42" s="243"/>
      <c r="DK42" s="243"/>
      <c r="DL42" s="243"/>
      <c r="DM42" s="243"/>
      <c r="DN42" s="243"/>
      <c r="DO42" s="243"/>
      <c r="DP42" s="243"/>
      <c r="DQ42" s="243"/>
      <c r="DR42" s="243"/>
      <c r="DS42" s="80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</row>
    <row r="43" spans="1:134" s="6" customFormat="1" ht="26.25" customHeight="1" x14ac:dyDescent="0.3">
      <c r="A43" s="144" t="s">
        <v>126</v>
      </c>
      <c r="B43" s="240"/>
      <c r="D43" s="1128">
        <f t="shared" ref="D43:M43" si="27">D28+D33+D41</f>
        <v>-6434602.4703545738</v>
      </c>
      <c r="E43" s="1128">
        <f t="shared" si="27"/>
        <v>-5536084.4847088838</v>
      </c>
      <c r="F43" s="1128">
        <f t="shared" si="27"/>
        <v>-2264218.8597088838</v>
      </c>
      <c r="G43" s="1128">
        <f t="shared" si="27"/>
        <v>-7978502.6097088838</v>
      </c>
      <c r="H43" s="1128">
        <f t="shared" si="27"/>
        <v>-7978502.6097088838</v>
      </c>
      <c r="I43" s="1128">
        <f t="shared" si="27"/>
        <v>-7092302.6097088838</v>
      </c>
      <c r="J43" s="1128">
        <f t="shared" si="27"/>
        <v>-6000368.2347088838</v>
      </c>
      <c r="K43" s="1128">
        <f t="shared" si="27"/>
        <v>-6000368.2347088838</v>
      </c>
      <c r="L43" s="1128">
        <f t="shared" si="27"/>
        <v>-7429101.658549875</v>
      </c>
      <c r="M43" s="1128">
        <f t="shared" si="27"/>
        <v>-1714817.9085498743</v>
      </c>
      <c r="N43" s="1128">
        <f>N28+N33+N41</f>
        <v>-1714817.9085498743</v>
      </c>
      <c r="O43" s="1129">
        <f>O28+O33+O41</f>
        <v>-1714817.9085498743</v>
      </c>
      <c r="P43" s="297">
        <f>P28+P33+P41</f>
        <v>-3738505.4085498746</v>
      </c>
      <c r="Q43" s="298">
        <f>Q28+Q33+Q41</f>
        <v>-3738505.4085498746</v>
      </c>
      <c r="R43" s="298">
        <f>R28+R33+R41</f>
        <v>-3952028.615202744</v>
      </c>
      <c r="S43" s="298">
        <f t="shared" ref="S43:CB43" si="28">S28+S33+S41</f>
        <v>-3189389.615202744</v>
      </c>
      <c r="T43" s="298">
        <f t="shared" si="28"/>
        <v>-3237224.615202744</v>
      </c>
      <c r="U43" s="298">
        <f t="shared" si="28"/>
        <v>-3193413.7164566894</v>
      </c>
      <c r="V43" s="298">
        <f t="shared" si="28"/>
        <v>-3320450.0282486035</v>
      </c>
      <c r="W43" s="298">
        <f t="shared" si="28"/>
        <v>-3392524.9980661743</v>
      </c>
      <c r="X43" s="298">
        <f t="shared" si="28"/>
        <v>-3396554.2466261107</v>
      </c>
      <c r="Y43" s="298">
        <f t="shared" si="28"/>
        <v>-3473645.9701017831</v>
      </c>
      <c r="Z43" s="298">
        <f t="shared" si="28"/>
        <v>-4275778.8027072083</v>
      </c>
      <c r="AA43" s="208">
        <f t="shared" si="28"/>
        <v>-4264728.7727076579</v>
      </c>
      <c r="AB43" s="297">
        <f t="shared" si="28"/>
        <v>-4755229.5268822722</v>
      </c>
      <c r="AC43" s="209">
        <f t="shared" si="28"/>
        <v>-5289044.0119576175</v>
      </c>
      <c r="AD43" s="209">
        <f t="shared" si="28"/>
        <v>-4165502.2561058644</v>
      </c>
      <c r="AE43" s="209">
        <f t="shared" si="28"/>
        <v>-3664737.67205645</v>
      </c>
      <c r="AF43" s="209">
        <f t="shared" si="28"/>
        <v>-4653605.0083146095</v>
      </c>
      <c r="AG43" s="209">
        <f t="shared" si="28"/>
        <v>-5300867.8528505489</v>
      </c>
      <c r="AH43" s="209">
        <f t="shared" si="28"/>
        <v>-6059808.4043266159</v>
      </c>
      <c r="AI43" s="209">
        <f t="shared" si="28"/>
        <v>-7058334.7112441957</v>
      </c>
      <c r="AJ43" s="209">
        <f t="shared" si="28"/>
        <v>-7029280.6818751208</v>
      </c>
      <c r="AK43" s="209">
        <f t="shared" si="28"/>
        <v>-6880281.8666809294</v>
      </c>
      <c r="AL43" s="209">
        <f t="shared" si="28"/>
        <v>-7109068.6044324785</v>
      </c>
      <c r="AM43" s="208">
        <f t="shared" si="28"/>
        <v>-6133009.4887302201</v>
      </c>
      <c r="AN43" s="1166">
        <f t="shared" si="28"/>
        <v>-8551289.23147838</v>
      </c>
      <c r="AO43" s="209">
        <f t="shared" si="28"/>
        <v>-10864399.109129442</v>
      </c>
      <c r="AP43" s="209">
        <f t="shared" si="28"/>
        <v>-9060522.6191385258</v>
      </c>
      <c r="AQ43" s="209">
        <f t="shared" si="28"/>
        <v>-6389208.4336075606</v>
      </c>
      <c r="AR43" s="209">
        <f t="shared" si="28"/>
        <v>4481611.1128721964</v>
      </c>
      <c r="AS43" s="209">
        <f t="shared" si="28"/>
        <v>12982841.91203394</v>
      </c>
      <c r="AT43" s="209">
        <f t="shared" si="28"/>
        <v>5337864.8413359635</v>
      </c>
      <c r="AU43" s="209">
        <f t="shared" si="28"/>
        <v>667207.36032231525</v>
      </c>
      <c r="AV43" s="209">
        <f t="shared" si="28"/>
        <v>4020013.9774695188</v>
      </c>
      <c r="AW43" s="209">
        <f t="shared" si="28"/>
        <v>3010921.5464935284</v>
      </c>
      <c r="AX43" s="209">
        <f t="shared" si="28"/>
        <v>1651052.6776870191</v>
      </c>
      <c r="AY43" s="208">
        <f t="shared" si="28"/>
        <v>9065978.0535274334</v>
      </c>
      <c r="AZ43" s="210">
        <f t="shared" si="28"/>
        <v>6920023.9805277158</v>
      </c>
      <c r="BA43" s="209">
        <f t="shared" si="28"/>
        <v>3799154.1373601686</v>
      </c>
      <c r="BB43" s="209">
        <f t="shared" si="28"/>
        <v>-6581710.0361158689</v>
      </c>
      <c r="BC43" s="209">
        <f t="shared" si="28"/>
        <v>-3873736.8822946306</v>
      </c>
      <c r="BD43" s="209">
        <f t="shared" si="28"/>
        <v>2398833.4988482408</v>
      </c>
      <c r="BE43" s="209">
        <f t="shared" si="28"/>
        <v>13654573.321252998</v>
      </c>
      <c r="BF43" s="209">
        <f t="shared" si="28"/>
        <v>5466864.8923850879</v>
      </c>
      <c r="BG43" s="209">
        <f t="shared" si="28"/>
        <v>713101.27480133064</v>
      </c>
      <c r="BH43" s="209">
        <f t="shared" si="28"/>
        <v>6292284.7312328294</v>
      </c>
      <c r="BI43" s="209">
        <f t="shared" si="28"/>
        <v>859361.90417079814</v>
      </c>
      <c r="BJ43" s="209">
        <f t="shared" si="28"/>
        <v>3902949.1189670395</v>
      </c>
      <c r="BK43" s="208">
        <f t="shared" si="28"/>
        <v>9633231.8598836511</v>
      </c>
      <c r="BL43" s="210">
        <f t="shared" si="28"/>
        <v>7200397.5968227889</v>
      </c>
      <c r="BM43" s="209">
        <f t="shared" si="28"/>
        <v>1762604.4108198509</v>
      </c>
      <c r="BN43" s="209">
        <f t="shared" si="28"/>
        <v>-4578597.978520913</v>
      </c>
      <c r="BO43" s="209">
        <f t="shared" si="28"/>
        <v>-4117350.4772795159</v>
      </c>
      <c r="BP43" s="209">
        <f t="shared" si="28"/>
        <v>2516057.0229762699</v>
      </c>
      <c r="BQ43" s="209">
        <f t="shared" si="28"/>
        <v>14445296.72726927</v>
      </c>
      <c r="BR43" s="209">
        <f t="shared" si="28"/>
        <v>5794733.394558074</v>
      </c>
      <c r="BS43" s="209">
        <f t="shared" si="28"/>
        <v>734459.26685498282</v>
      </c>
      <c r="BT43" s="209">
        <f t="shared" si="28"/>
        <v>6759274.7498874515</v>
      </c>
      <c r="BU43" s="209">
        <f t="shared" si="28"/>
        <v>907900.52014494315</v>
      </c>
      <c r="BV43" s="209">
        <f t="shared" si="28"/>
        <v>1615897.6759670153</v>
      </c>
      <c r="BW43" s="208">
        <f t="shared" si="28"/>
        <v>10173756.064339787</v>
      </c>
      <c r="BX43" s="210">
        <f t="shared" si="28"/>
        <v>12259234.420986043</v>
      </c>
      <c r="BY43" s="209">
        <f t="shared" si="28"/>
        <v>-4317341.6652348209</v>
      </c>
      <c r="BZ43" s="209">
        <f t="shared" si="28"/>
        <v>-4969137.268410258</v>
      </c>
      <c r="CA43" s="209">
        <f t="shared" si="28"/>
        <v>-6960428.5956615601</v>
      </c>
      <c r="CB43" s="209">
        <f t="shared" si="28"/>
        <v>7575266.0598810632</v>
      </c>
      <c r="CC43" s="209">
        <f t="shared" ref="CC43:DS43" si="29">CC28+CC33+CC41</f>
        <v>8567745.128502015</v>
      </c>
      <c r="CD43" s="209">
        <f t="shared" si="29"/>
        <v>6139019.4872375932</v>
      </c>
      <c r="CE43" s="209">
        <f t="shared" si="29"/>
        <v>751673.1370235756</v>
      </c>
      <c r="CF43" s="209">
        <f t="shared" si="29"/>
        <v>7133575.9447632656</v>
      </c>
      <c r="CG43" s="209">
        <f t="shared" si="29"/>
        <v>956510.49404917844</v>
      </c>
      <c r="CH43" s="209">
        <f t="shared" si="29"/>
        <v>1811501.1182255931</v>
      </c>
      <c r="CI43" s="208">
        <f t="shared" si="29"/>
        <v>6306755.8839874426</v>
      </c>
      <c r="CJ43" s="210">
        <f t="shared" si="29"/>
        <v>10551526.824753158</v>
      </c>
      <c r="CK43" s="209">
        <f t="shared" si="29"/>
        <v>1828626.6405754909</v>
      </c>
      <c r="CL43" s="209">
        <f t="shared" si="29"/>
        <v>-8148424.3655674607</v>
      </c>
      <c r="CM43" s="209">
        <f t="shared" si="29"/>
        <v>-5298534.2805432044</v>
      </c>
      <c r="CN43" s="209">
        <f t="shared" si="29"/>
        <v>4605408.967339104</v>
      </c>
      <c r="CO43" s="209">
        <f t="shared" si="29"/>
        <v>9434823.0103226565</v>
      </c>
      <c r="CP43" s="209">
        <f t="shared" si="29"/>
        <v>5606824.0134353675</v>
      </c>
      <c r="CQ43" s="209">
        <f t="shared" si="29"/>
        <v>16655.986084738746</v>
      </c>
      <c r="CR43" s="209">
        <f t="shared" si="29"/>
        <v>4127669.2357828524</v>
      </c>
      <c r="CS43" s="209">
        <f t="shared" si="29"/>
        <v>2882481.6908111386</v>
      </c>
      <c r="CT43" s="209">
        <f t="shared" si="29"/>
        <v>3858094.9699243307</v>
      </c>
      <c r="CU43" s="208">
        <f t="shared" si="29"/>
        <v>4865833.7225506781</v>
      </c>
      <c r="CV43" s="210">
        <f t="shared" si="29"/>
        <v>7807269.0347533524</v>
      </c>
      <c r="CW43" s="209">
        <f t="shared" si="29"/>
        <v>1435778.3142733928</v>
      </c>
      <c r="CX43" s="209">
        <f t="shared" si="29"/>
        <v>-8361314.838574674</v>
      </c>
      <c r="CY43" s="209">
        <f t="shared" si="29"/>
        <v>-2323038.4705477264</v>
      </c>
      <c r="CZ43" s="209">
        <f t="shared" si="29"/>
        <v>2900389.7395751178</v>
      </c>
      <c r="DA43" s="209">
        <f t="shared" si="29"/>
        <v>7922375.3767165579</v>
      </c>
      <c r="DB43" s="209">
        <f t="shared" si="29"/>
        <v>6878799.4485456198</v>
      </c>
      <c r="DC43" s="209">
        <f t="shared" si="29"/>
        <v>769678.31537061743</v>
      </c>
      <c r="DD43" s="209">
        <f t="shared" si="29"/>
        <v>7791571.9689113181</v>
      </c>
      <c r="DE43" s="209">
        <f t="shared" si="29"/>
        <v>1011640.0636227522</v>
      </c>
      <c r="DF43" s="209">
        <f t="shared" si="29"/>
        <v>7484967.090001801</v>
      </c>
      <c r="DG43" s="208">
        <f t="shared" si="29"/>
        <v>5617679.1211869586</v>
      </c>
      <c r="DH43" s="210">
        <f t="shared" si="29"/>
        <v>8983496.6277595684</v>
      </c>
      <c r="DI43" s="209">
        <f t="shared" si="29"/>
        <v>-548863.10462864488</v>
      </c>
      <c r="DJ43" s="209">
        <f t="shared" si="29"/>
        <v>-5969212.8676137514</v>
      </c>
      <c r="DK43" s="209">
        <f t="shared" si="29"/>
        <v>-5556057.7026770785</v>
      </c>
      <c r="DL43" s="209">
        <f t="shared" si="29"/>
        <v>6067568.322823979</v>
      </c>
      <c r="DM43" s="209">
        <f t="shared" si="29"/>
        <v>8555129.4894545544</v>
      </c>
      <c r="DN43" s="209">
        <f t="shared" si="29"/>
        <v>7231842.4729089439</v>
      </c>
      <c r="DO43" s="209">
        <f t="shared" si="29"/>
        <v>3603530.6500276253</v>
      </c>
      <c r="DP43" s="209">
        <f t="shared" si="29"/>
        <v>5560236.4690374341</v>
      </c>
      <c r="DQ43" s="209">
        <f t="shared" si="29"/>
        <v>1055389.4199649822</v>
      </c>
      <c r="DR43" s="209">
        <f t="shared" si="29"/>
        <v>4686631.5356771927</v>
      </c>
      <c r="DS43" s="208">
        <f t="shared" si="29"/>
        <v>6144823.80921131</v>
      </c>
    </row>
    <row r="44" spans="1:134" s="6" customFormat="1" ht="18.75" customHeight="1" x14ac:dyDescent="0.25">
      <c r="A44" s="142" t="s">
        <v>152</v>
      </c>
      <c r="B44" s="143"/>
      <c r="D44" s="1153">
        <f t="shared" ref="D44:M44" si="30">C46</f>
        <v>0</v>
      </c>
      <c r="E44" s="1153">
        <f t="shared" si="30"/>
        <v>-6434602.4703545738</v>
      </c>
      <c r="F44" s="1153">
        <f t="shared" si="30"/>
        <v>-11970686.955063459</v>
      </c>
      <c r="G44" s="1153">
        <f t="shared" si="30"/>
        <v>-14234905.814772341</v>
      </c>
      <c r="H44" s="1153">
        <f t="shared" si="30"/>
        <v>-22213408.424481224</v>
      </c>
      <c r="I44" s="1153">
        <f t="shared" si="30"/>
        <v>-30191911.034190107</v>
      </c>
      <c r="J44" s="1153">
        <f t="shared" si="30"/>
        <v>-37284213.643898994</v>
      </c>
      <c r="K44" s="1153">
        <f t="shared" si="30"/>
        <v>-43284581.878607877</v>
      </c>
      <c r="L44" s="1153">
        <f t="shared" si="30"/>
        <v>-49284950.113316759</v>
      </c>
      <c r="M44" s="1153">
        <f t="shared" si="30"/>
        <v>-56714051.771866634</v>
      </c>
      <c r="N44" s="1153">
        <f>M46</f>
        <v>-58428869.68041651</v>
      </c>
      <c r="O44" s="1154">
        <f>N46</f>
        <v>-60143687.588966385</v>
      </c>
      <c r="P44" s="219">
        <f>O46</f>
        <v>-61858505.49751626</v>
      </c>
      <c r="Q44" s="219">
        <f>P46</f>
        <v>-65597010.906066135</v>
      </c>
      <c r="R44" s="219">
        <f>Q46</f>
        <v>-69335516.31461601</v>
      </c>
      <c r="S44" s="219">
        <f t="shared" ref="S44:CC44" si="31">R46</f>
        <v>-73287544.929818749</v>
      </c>
      <c r="T44" s="219">
        <f t="shared" si="31"/>
        <v>-76476934.545021489</v>
      </c>
      <c r="U44" s="219">
        <f t="shared" si="31"/>
        <v>-79714159.160224229</v>
      </c>
      <c r="V44" s="219">
        <f t="shared" si="31"/>
        <v>-82907572.876680925</v>
      </c>
      <c r="W44" s="219">
        <f t="shared" si="31"/>
        <v>-86228022.904929534</v>
      </c>
      <c r="X44" s="219">
        <f t="shared" si="31"/>
        <v>-89620547.902995706</v>
      </c>
      <c r="Y44" s="219">
        <f t="shared" si="31"/>
        <v>-93017102.149621814</v>
      </c>
      <c r="Z44" s="219">
        <f t="shared" si="31"/>
        <v>-96490748.119723603</v>
      </c>
      <c r="AA44" s="801">
        <f t="shared" si="31"/>
        <v>-100766526.92243081</v>
      </c>
      <c r="AB44" s="219">
        <f t="shared" si="31"/>
        <v>-105031255.69513847</v>
      </c>
      <c r="AC44" s="219">
        <f t="shared" si="31"/>
        <v>-109786485.22202075</v>
      </c>
      <c r="AD44" s="219">
        <f t="shared" si="31"/>
        <v>-115075529.23397836</v>
      </c>
      <c r="AE44" s="219">
        <f t="shared" si="31"/>
        <v>-119241031.49008423</v>
      </c>
      <c r="AF44" s="219">
        <f t="shared" si="31"/>
        <v>-122905769.16214068</v>
      </c>
      <c r="AG44" s="219">
        <f t="shared" si="31"/>
        <v>-127559374.17045529</v>
      </c>
      <c r="AH44" s="219">
        <f t="shared" si="31"/>
        <v>-132860242.02330583</v>
      </c>
      <c r="AI44" s="219">
        <f t="shared" si="31"/>
        <v>-138920050.42763245</v>
      </c>
      <c r="AJ44" s="219">
        <f t="shared" si="31"/>
        <v>-145978385.13887665</v>
      </c>
      <c r="AK44" s="219">
        <f t="shared" si="31"/>
        <v>-153007665.82075176</v>
      </c>
      <c r="AL44" s="219">
        <f t="shared" si="31"/>
        <v>-159887947.68743268</v>
      </c>
      <c r="AM44" s="220">
        <f t="shared" si="31"/>
        <v>-166997016.29186517</v>
      </c>
      <c r="AN44" s="1175">
        <f t="shared" si="31"/>
        <v>-173130025.78059539</v>
      </c>
      <c r="AO44" s="219">
        <f t="shared" si="31"/>
        <v>-181681315.01207379</v>
      </c>
      <c r="AP44" s="219">
        <f t="shared" si="31"/>
        <v>-192545714.12120321</v>
      </c>
      <c r="AQ44" s="219">
        <f t="shared" si="31"/>
        <v>-201606236.74034175</v>
      </c>
      <c r="AR44" s="219">
        <f t="shared" si="31"/>
        <v>-207995445.1739493</v>
      </c>
      <c r="AS44" s="219">
        <f t="shared" si="31"/>
        <v>-203513834.06107712</v>
      </c>
      <c r="AT44" s="219">
        <f t="shared" si="31"/>
        <v>-190530992.14904317</v>
      </c>
      <c r="AU44" s="219">
        <f t="shared" si="31"/>
        <v>-185193127.30770722</v>
      </c>
      <c r="AV44" s="219">
        <f t="shared" si="31"/>
        <v>-184525919.94738489</v>
      </c>
      <c r="AW44" s="219">
        <f t="shared" si="31"/>
        <v>-180505905.96991539</v>
      </c>
      <c r="AX44" s="219">
        <f t="shared" si="31"/>
        <v>-177494984.42342186</v>
      </c>
      <c r="AY44" s="220">
        <f t="shared" si="31"/>
        <v>-175843931.74573484</v>
      </c>
      <c r="AZ44" s="219">
        <f t="shared" si="31"/>
        <v>-166777953.6922074</v>
      </c>
      <c r="BA44" s="219">
        <f t="shared" si="31"/>
        <v>-159857929.71167967</v>
      </c>
      <c r="BB44" s="219">
        <f t="shared" si="31"/>
        <v>-156058775.57431951</v>
      </c>
      <c r="BC44" s="219">
        <f t="shared" si="31"/>
        <v>-162640485.61043537</v>
      </c>
      <c r="BD44" s="219">
        <f t="shared" si="31"/>
        <v>-166514222.49272999</v>
      </c>
      <c r="BE44" s="219">
        <f t="shared" si="31"/>
        <v>-164115388.99388176</v>
      </c>
      <c r="BF44" s="219">
        <f t="shared" si="31"/>
        <v>-150460815.67262876</v>
      </c>
      <c r="BG44" s="219">
        <f t="shared" si="31"/>
        <v>-144993950.78024366</v>
      </c>
      <c r="BH44" s="219">
        <f t="shared" si="31"/>
        <v>-144280849.50544232</v>
      </c>
      <c r="BI44" s="219">
        <f t="shared" si="31"/>
        <v>-137988564.7742095</v>
      </c>
      <c r="BJ44" s="219">
        <f t="shared" si="31"/>
        <v>-137129202.87003869</v>
      </c>
      <c r="BK44" s="220">
        <f t="shared" si="31"/>
        <v>-133226253.75107165</v>
      </c>
      <c r="BL44" s="219">
        <f t="shared" si="31"/>
        <v>-123593021.891188</v>
      </c>
      <c r="BM44" s="219">
        <f t="shared" si="31"/>
        <v>-116392624.29436521</v>
      </c>
      <c r="BN44" s="219">
        <f t="shared" si="31"/>
        <v>-114630019.88354537</v>
      </c>
      <c r="BO44" s="219">
        <f t="shared" si="31"/>
        <v>-119208617.86206628</v>
      </c>
      <c r="BP44" s="219">
        <f t="shared" si="31"/>
        <v>-123325968.3393458</v>
      </c>
      <c r="BQ44" s="219">
        <f t="shared" si="31"/>
        <v>-120809911.31636953</v>
      </c>
      <c r="BR44" s="219">
        <f t="shared" si="31"/>
        <v>-106364614.58910027</v>
      </c>
      <c r="BS44" s="219">
        <f t="shared" si="31"/>
        <v>-100569881.1945422</v>
      </c>
      <c r="BT44" s="219">
        <f t="shared" si="31"/>
        <v>-99835421.927687213</v>
      </c>
      <c r="BU44" s="219">
        <f t="shared" si="31"/>
        <v>-93076147.177799761</v>
      </c>
      <c r="BV44" s="219">
        <f t="shared" si="31"/>
        <v>-92168246.657654822</v>
      </c>
      <c r="BW44" s="220">
        <f t="shared" si="31"/>
        <v>-90552348.981687814</v>
      </c>
      <c r="BX44" s="219">
        <f t="shared" si="31"/>
        <v>-80378592.917348027</v>
      </c>
      <c r="BY44" s="219">
        <f t="shared" si="31"/>
        <v>-68119358.496361986</v>
      </c>
      <c r="BZ44" s="219">
        <f t="shared" si="31"/>
        <v>-72436700.161596805</v>
      </c>
      <c r="CA44" s="219">
        <f t="shared" si="31"/>
        <v>-77405837.43000707</v>
      </c>
      <c r="CB44" s="219">
        <f t="shared" si="31"/>
        <v>-84366266.025668636</v>
      </c>
      <c r="CC44" s="219">
        <f t="shared" si="31"/>
        <v>-76790999.965787575</v>
      </c>
      <c r="CD44" s="219">
        <f t="shared" ref="CD44:DS44" si="32">CC46</f>
        <v>-68223254.837285563</v>
      </c>
      <c r="CE44" s="219">
        <f t="shared" si="32"/>
        <v>-62084235.350047968</v>
      </c>
      <c r="CF44" s="219">
        <f t="shared" si="32"/>
        <v>-61332562.213024393</v>
      </c>
      <c r="CG44" s="219">
        <f t="shared" si="32"/>
        <v>-54198986.268261127</v>
      </c>
      <c r="CH44" s="219">
        <f t="shared" si="32"/>
        <v>-53242475.774211951</v>
      </c>
      <c r="CI44" s="220">
        <f t="shared" si="32"/>
        <v>-51430974.655986354</v>
      </c>
      <c r="CJ44" s="219">
        <f t="shared" si="32"/>
        <v>-45124218.771998912</v>
      </c>
      <c r="CK44" s="219">
        <f t="shared" si="32"/>
        <v>-34572691.947245754</v>
      </c>
      <c r="CL44" s="219">
        <f t="shared" si="32"/>
        <v>-32744065.306670263</v>
      </c>
      <c r="CM44" s="219">
        <f t="shared" si="32"/>
        <v>-40892489.672237724</v>
      </c>
      <c r="CN44" s="219">
        <f t="shared" si="32"/>
        <v>-46191023.952780932</v>
      </c>
      <c r="CO44" s="219">
        <f t="shared" si="32"/>
        <v>-41585614.985441826</v>
      </c>
      <c r="CP44" s="219">
        <f t="shared" si="32"/>
        <v>-32150791.97511917</v>
      </c>
      <c r="CQ44" s="219">
        <f t="shared" si="32"/>
        <v>-26543967.961683802</v>
      </c>
      <c r="CR44" s="219">
        <f t="shared" si="32"/>
        <v>-26527311.975599065</v>
      </c>
      <c r="CS44" s="219">
        <f t="shared" si="32"/>
        <v>-22399642.739816211</v>
      </c>
      <c r="CT44" s="219">
        <f t="shared" si="32"/>
        <v>-19517161.049005073</v>
      </c>
      <c r="CU44" s="220">
        <f t="shared" si="32"/>
        <v>-15659066.079080742</v>
      </c>
      <c r="CV44" s="219">
        <f t="shared" si="32"/>
        <v>-10793232.356530063</v>
      </c>
      <c r="CW44" s="219">
        <f t="shared" si="32"/>
        <v>-2985963.3217767105</v>
      </c>
      <c r="CX44" s="219">
        <f t="shared" si="32"/>
        <v>-1550185.0075033177</v>
      </c>
      <c r="CY44" s="219">
        <f t="shared" si="32"/>
        <v>-9911499.8460779916</v>
      </c>
      <c r="CZ44" s="219">
        <f t="shared" si="32"/>
        <v>-12234538.316625718</v>
      </c>
      <c r="DA44" s="219">
        <f t="shared" si="32"/>
        <v>-9334148.5770506002</v>
      </c>
      <c r="DB44" s="219">
        <f t="shared" si="32"/>
        <v>-1411773.2003340423</v>
      </c>
      <c r="DC44" s="219">
        <f t="shared" si="32"/>
        <v>5467026.2482115775</v>
      </c>
      <c r="DD44" s="219">
        <f t="shared" si="32"/>
        <v>6236704.563582195</v>
      </c>
      <c r="DE44" s="219">
        <f t="shared" si="32"/>
        <v>14028276.532493513</v>
      </c>
      <c r="DF44" s="219">
        <f t="shared" si="32"/>
        <v>15039916.596116265</v>
      </c>
      <c r="DG44" s="220">
        <f t="shared" si="32"/>
        <v>22524883.686118066</v>
      </c>
      <c r="DH44" s="219">
        <f t="shared" si="32"/>
        <v>28142562.807305023</v>
      </c>
      <c r="DI44" s="219">
        <f t="shared" si="32"/>
        <v>37126059.435064591</v>
      </c>
      <c r="DJ44" s="219">
        <f t="shared" si="32"/>
        <v>36577196.330435947</v>
      </c>
      <c r="DK44" s="219">
        <f t="shared" si="32"/>
        <v>30607983.462822195</v>
      </c>
      <c r="DL44" s="219">
        <f t="shared" si="32"/>
        <v>25051925.760145117</v>
      </c>
      <c r="DM44" s="219">
        <f t="shared" si="32"/>
        <v>31119494.082969096</v>
      </c>
      <c r="DN44" s="219">
        <f t="shared" si="32"/>
        <v>39674623.572423652</v>
      </c>
      <c r="DO44" s="219">
        <f t="shared" si="32"/>
        <v>46906466.045332596</v>
      </c>
      <c r="DP44" s="219">
        <f t="shared" si="32"/>
        <v>50509996.695360221</v>
      </c>
      <c r="DQ44" s="219">
        <f t="shared" si="32"/>
        <v>56070233.164397657</v>
      </c>
      <c r="DR44" s="219">
        <f t="shared" si="32"/>
        <v>57125622.584362641</v>
      </c>
      <c r="DS44" s="220">
        <f t="shared" si="32"/>
        <v>61812254.120039836</v>
      </c>
    </row>
    <row r="45" spans="1:134" s="6" customFormat="1" ht="18.75" customHeight="1" thickBot="1" x14ac:dyDescent="0.3">
      <c r="A45" s="142" t="s">
        <v>129</v>
      </c>
      <c r="B45" s="143"/>
      <c r="D45" s="1153">
        <v>0</v>
      </c>
      <c r="E45" s="1153">
        <v>0</v>
      </c>
      <c r="F45" s="1153">
        <v>0</v>
      </c>
      <c r="G45" s="1153">
        <v>0</v>
      </c>
      <c r="H45" s="1153">
        <v>0</v>
      </c>
      <c r="I45" s="1153">
        <v>0</v>
      </c>
      <c r="J45" s="1153">
        <v>0</v>
      </c>
      <c r="K45" s="1153">
        <v>0</v>
      </c>
      <c r="L45" s="1153">
        <v>0</v>
      </c>
      <c r="M45" s="1153">
        <v>0</v>
      </c>
      <c r="N45" s="1153">
        <v>0</v>
      </c>
      <c r="O45" s="1140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20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</v>
      </c>
      <c r="AL45" s="219">
        <v>0</v>
      </c>
      <c r="AM45" s="220">
        <v>0</v>
      </c>
      <c r="AN45" s="1175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  <c r="AU45" s="219">
        <v>0</v>
      </c>
      <c r="AV45" s="219">
        <v>0</v>
      </c>
      <c r="AW45" s="219">
        <v>0</v>
      </c>
      <c r="AX45" s="219">
        <v>0</v>
      </c>
      <c r="AY45" s="220">
        <v>0</v>
      </c>
      <c r="AZ45" s="219">
        <v>0</v>
      </c>
      <c r="BA45" s="219">
        <v>0</v>
      </c>
      <c r="BB45" s="219">
        <v>0</v>
      </c>
      <c r="BC45" s="219">
        <v>0</v>
      </c>
      <c r="BD45" s="219">
        <v>0</v>
      </c>
      <c r="BE45" s="219">
        <v>0</v>
      </c>
      <c r="BF45" s="219">
        <v>0</v>
      </c>
      <c r="BG45" s="219">
        <v>0</v>
      </c>
      <c r="BH45" s="219">
        <v>0</v>
      </c>
      <c r="BI45" s="219">
        <v>0</v>
      </c>
      <c r="BJ45" s="219">
        <v>0</v>
      </c>
      <c r="BK45" s="220">
        <v>0</v>
      </c>
      <c r="BL45" s="219">
        <v>0</v>
      </c>
      <c r="BM45" s="219">
        <v>0</v>
      </c>
      <c r="BN45" s="219">
        <v>0</v>
      </c>
      <c r="BO45" s="219">
        <v>0</v>
      </c>
      <c r="BP45" s="219">
        <v>0</v>
      </c>
      <c r="BQ45" s="219">
        <v>0</v>
      </c>
      <c r="BR45" s="219">
        <v>0</v>
      </c>
      <c r="BS45" s="219">
        <v>0</v>
      </c>
      <c r="BT45" s="219">
        <v>0</v>
      </c>
      <c r="BU45" s="219">
        <v>0</v>
      </c>
      <c r="BV45" s="219">
        <v>0</v>
      </c>
      <c r="BW45" s="220">
        <v>0</v>
      </c>
      <c r="BX45" s="219">
        <v>0</v>
      </c>
      <c r="BY45" s="219">
        <v>0</v>
      </c>
      <c r="BZ45" s="219">
        <v>0</v>
      </c>
      <c r="CA45" s="219">
        <v>0</v>
      </c>
      <c r="CB45" s="219">
        <v>0</v>
      </c>
      <c r="CC45" s="219">
        <v>0</v>
      </c>
      <c r="CD45" s="219">
        <v>0</v>
      </c>
      <c r="CE45" s="219">
        <v>0</v>
      </c>
      <c r="CF45" s="219">
        <v>0</v>
      </c>
      <c r="CG45" s="219">
        <v>0</v>
      </c>
      <c r="CH45" s="219">
        <v>0</v>
      </c>
      <c r="CI45" s="220">
        <v>0</v>
      </c>
      <c r="CJ45" s="219">
        <v>0</v>
      </c>
      <c r="CK45" s="219">
        <v>0</v>
      </c>
      <c r="CL45" s="219">
        <v>0</v>
      </c>
      <c r="CM45" s="219">
        <v>0</v>
      </c>
      <c r="CN45" s="219">
        <v>0</v>
      </c>
      <c r="CO45" s="219">
        <v>0</v>
      </c>
      <c r="CP45" s="219">
        <v>0</v>
      </c>
      <c r="CQ45" s="219">
        <v>0</v>
      </c>
      <c r="CR45" s="219">
        <v>0</v>
      </c>
      <c r="CS45" s="219">
        <v>0</v>
      </c>
      <c r="CT45" s="219">
        <v>0</v>
      </c>
      <c r="CU45" s="220">
        <v>0</v>
      </c>
      <c r="CV45" s="219">
        <v>0</v>
      </c>
      <c r="CW45" s="219">
        <v>0</v>
      </c>
      <c r="CX45" s="219">
        <v>0</v>
      </c>
      <c r="CY45" s="219">
        <v>0</v>
      </c>
      <c r="CZ45" s="219">
        <v>0</v>
      </c>
      <c r="DA45" s="219">
        <v>0</v>
      </c>
      <c r="DB45" s="219">
        <v>0</v>
      </c>
      <c r="DC45" s="219">
        <v>0</v>
      </c>
      <c r="DD45" s="219">
        <v>0</v>
      </c>
      <c r="DE45" s="219">
        <v>0</v>
      </c>
      <c r="DF45" s="219">
        <v>0</v>
      </c>
      <c r="DG45" s="220">
        <v>0</v>
      </c>
      <c r="DH45" s="219">
        <v>0</v>
      </c>
      <c r="DI45" s="219">
        <v>0</v>
      </c>
      <c r="DJ45" s="219">
        <v>0</v>
      </c>
      <c r="DK45" s="219">
        <v>0</v>
      </c>
      <c r="DL45" s="219">
        <v>0</v>
      </c>
      <c r="DM45" s="219">
        <v>0</v>
      </c>
      <c r="DN45" s="219">
        <v>0</v>
      </c>
      <c r="DO45" s="219">
        <v>0</v>
      </c>
      <c r="DP45" s="219">
        <v>0</v>
      </c>
      <c r="DQ45" s="219">
        <v>0</v>
      </c>
      <c r="DR45" s="219">
        <v>0</v>
      </c>
      <c r="DS45" s="220">
        <v>0</v>
      </c>
    </row>
    <row r="46" spans="1:134" s="6" customFormat="1" ht="26.25" customHeight="1" thickBot="1" x14ac:dyDescent="0.35">
      <c r="A46" s="1413" t="s">
        <v>150</v>
      </c>
      <c r="B46" s="1414"/>
      <c r="D46" s="1155">
        <f t="shared" ref="D46:M46" si="33">SUM(D43:D45)</f>
        <v>-6434602.4703545738</v>
      </c>
      <c r="E46" s="1155">
        <f t="shared" si="33"/>
        <v>-11970686.955063459</v>
      </c>
      <c r="F46" s="1155">
        <f t="shared" si="33"/>
        <v>-14234905.814772341</v>
      </c>
      <c r="G46" s="1155">
        <f t="shared" si="33"/>
        <v>-22213408.424481224</v>
      </c>
      <c r="H46" s="1155">
        <f t="shared" si="33"/>
        <v>-30191911.034190107</v>
      </c>
      <c r="I46" s="1155">
        <f t="shared" si="33"/>
        <v>-37284213.643898994</v>
      </c>
      <c r="J46" s="1155">
        <f t="shared" si="33"/>
        <v>-43284581.878607877</v>
      </c>
      <c r="K46" s="1155">
        <f t="shared" si="33"/>
        <v>-49284950.113316759</v>
      </c>
      <c r="L46" s="1155">
        <f t="shared" si="33"/>
        <v>-56714051.771866634</v>
      </c>
      <c r="M46" s="1155">
        <f t="shared" si="33"/>
        <v>-58428869.68041651</v>
      </c>
      <c r="N46" s="1155">
        <f>SUM(N43:N45)</f>
        <v>-60143687.588966385</v>
      </c>
      <c r="O46" s="1158">
        <f>SUM(O43:O45)</f>
        <v>-61858505.49751626</v>
      </c>
      <c r="P46" s="232">
        <f>SUM(P43:P45)</f>
        <v>-65597010.906066135</v>
      </c>
      <c r="Q46" s="232">
        <f>SUM(Q43:Q45)</f>
        <v>-69335516.31461601</v>
      </c>
      <c r="R46" s="232">
        <f>SUM(R43:R45)</f>
        <v>-73287544.929818749</v>
      </c>
      <c r="S46" s="232">
        <f t="shared" ref="S46:CB46" si="34">SUM(S43:S45)</f>
        <v>-76476934.545021489</v>
      </c>
      <c r="T46" s="232">
        <f t="shared" si="34"/>
        <v>-79714159.160224229</v>
      </c>
      <c r="U46" s="232">
        <f t="shared" si="34"/>
        <v>-82907572.876680925</v>
      </c>
      <c r="V46" s="232">
        <f t="shared" si="34"/>
        <v>-86228022.904929534</v>
      </c>
      <c r="W46" s="232">
        <f t="shared" si="34"/>
        <v>-89620547.902995706</v>
      </c>
      <c r="X46" s="232">
        <f t="shared" si="34"/>
        <v>-93017102.149621814</v>
      </c>
      <c r="Y46" s="232">
        <f t="shared" si="34"/>
        <v>-96490748.119723603</v>
      </c>
      <c r="Z46" s="232">
        <f t="shared" si="34"/>
        <v>-100766526.92243081</v>
      </c>
      <c r="AA46" s="233">
        <f t="shared" si="34"/>
        <v>-105031255.69513847</v>
      </c>
      <c r="AB46" s="232">
        <f t="shared" si="34"/>
        <v>-109786485.22202075</v>
      </c>
      <c r="AC46" s="232">
        <f t="shared" si="34"/>
        <v>-115075529.23397836</v>
      </c>
      <c r="AD46" s="232">
        <f t="shared" si="34"/>
        <v>-119241031.49008423</v>
      </c>
      <c r="AE46" s="232">
        <f t="shared" si="34"/>
        <v>-122905769.16214068</v>
      </c>
      <c r="AF46" s="232">
        <f t="shared" si="34"/>
        <v>-127559374.17045529</v>
      </c>
      <c r="AG46" s="232">
        <f t="shared" si="34"/>
        <v>-132860242.02330583</v>
      </c>
      <c r="AH46" s="232">
        <f t="shared" si="34"/>
        <v>-138920050.42763245</v>
      </c>
      <c r="AI46" s="232">
        <f t="shared" si="34"/>
        <v>-145978385.13887665</v>
      </c>
      <c r="AJ46" s="232">
        <f t="shared" si="34"/>
        <v>-153007665.82075176</v>
      </c>
      <c r="AK46" s="232">
        <f t="shared" si="34"/>
        <v>-159887947.68743268</v>
      </c>
      <c r="AL46" s="232">
        <f t="shared" si="34"/>
        <v>-166997016.29186517</v>
      </c>
      <c r="AM46" s="233">
        <f t="shared" si="34"/>
        <v>-173130025.78059539</v>
      </c>
      <c r="AN46" s="1176">
        <f t="shared" si="34"/>
        <v>-181681315.01207379</v>
      </c>
      <c r="AO46" s="232">
        <f t="shared" si="34"/>
        <v>-192545714.12120321</v>
      </c>
      <c r="AP46" s="232">
        <f t="shared" si="34"/>
        <v>-201606236.74034175</v>
      </c>
      <c r="AQ46" s="232">
        <f t="shared" si="34"/>
        <v>-207995445.1739493</v>
      </c>
      <c r="AR46" s="232">
        <f t="shared" si="34"/>
        <v>-203513834.06107712</v>
      </c>
      <c r="AS46" s="232">
        <f t="shared" si="34"/>
        <v>-190530992.14904317</v>
      </c>
      <c r="AT46" s="232">
        <f t="shared" si="34"/>
        <v>-185193127.30770722</v>
      </c>
      <c r="AU46" s="232">
        <f t="shared" si="34"/>
        <v>-184525919.94738489</v>
      </c>
      <c r="AV46" s="232">
        <f t="shared" si="34"/>
        <v>-180505905.96991539</v>
      </c>
      <c r="AW46" s="232">
        <f t="shared" si="34"/>
        <v>-177494984.42342186</v>
      </c>
      <c r="AX46" s="232">
        <f t="shared" si="34"/>
        <v>-175843931.74573484</v>
      </c>
      <c r="AY46" s="233">
        <f t="shared" si="34"/>
        <v>-166777953.6922074</v>
      </c>
      <c r="AZ46" s="232">
        <f t="shared" si="34"/>
        <v>-159857929.71167967</v>
      </c>
      <c r="BA46" s="232">
        <f t="shared" si="34"/>
        <v>-156058775.57431951</v>
      </c>
      <c r="BB46" s="232">
        <f t="shared" si="34"/>
        <v>-162640485.61043537</v>
      </c>
      <c r="BC46" s="232">
        <f t="shared" si="34"/>
        <v>-166514222.49272999</v>
      </c>
      <c r="BD46" s="232">
        <f t="shared" si="34"/>
        <v>-164115388.99388176</v>
      </c>
      <c r="BE46" s="232">
        <f t="shared" si="34"/>
        <v>-150460815.67262876</v>
      </c>
      <c r="BF46" s="232">
        <f t="shared" si="34"/>
        <v>-144993950.78024366</v>
      </c>
      <c r="BG46" s="232">
        <f t="shared" si="34"/>
        <v>-144280849.50544232</v>
      </c>
      <c r="BH46" s="232">
        <f t="shared" si="34"/>
        <v>-137988564.7742095</v>
      </c>
      <c r="BI46" s="232">
        <f t="shared" si="34"/>
        <v>-137129202.87003869</v>
      </c>
      <c r="BJ46" s="232">
        <f t="shared" si="34"/>
        <v>-133226253.75107165</v>
      </c>
      <c r="BK46" s="233">
        <f t="shared" si="34"/>
        <v>-123593021.891188</v>
      </c>
      <c r="BL46" s="232">
        <f t="shared" si="34"/>
        <v>-116392624.29436521</v>
      </c>
      <c r="BM46" s="232">
        <f t="shared" si="34"/>
        <v>-114630019.88354537</v>
      </c>
      <c r="BN46" s="232">
        <f t="shared" si="34"/>
        <v>-119208617.86206628</v>
      </c>
      <c r="BO46" s="232">
        <f t="shared" si="34"/>
        <v>-123325968.3393458</v>
      </c>
      <c r="BP46" s="232">
        <f t="shared" si="34"/>
        <v>-120809911.31636953</v>
      </c>
      <c r="BQ46" s="232">
        <f t="shared" si="34"/>
        <v>-106364614.58910027</v>
      </c>
      <c r="BR46" s="232">
        <f t="shared" si="34"/>
        <v>-100569881.1945422</v>
      </c>
      <c r="BS46" s="232">
        <f t="shared" si="34"/>
        <v>-99835421.927687213</v>
      </c>
      <c r="BT46" s="232">
        <f t="shared" si="34"/>
        <v>-93076147.177799761</v>
      </c>
      <c r="BU46" s="232">
        <f t="shared" si="34"/>
        <v>-92168246.657654822</v>
      </c>
      <c r="BV46" s="232">
        <f t="shared" si="34"/>
        <v>-90552348.981687814</v>
      </c>
      <c r="BW46" s="233">
        <f t="shared" si="34"/>
        <v>-80378592.917348027</v>
      </c>
      <c r="BX46" s="232">
        <f t="shared" si="34"/>
        <v>-68119358.496361986</v>
      </c>
      <c r="BY46" s="232">
        <f t="shared" si="34"/>
        <v>-72436700.161596805</v>
      </c>
      <c r="BZ46" s="232">
        <f t="shared" si="34"/>
        <v>-77405837.43000707</v>
      </c>
      <c r="CA46" s="232">
        <f t="shared" si="34"/>
        <v>-84366266.025668636</v>
      </c>
      <c r="CB46" s="232">
        <f t="shared" si="34"/>
        <v>-76790999.965787575</v>
      </c>
      <c r="CC46" s="232">
        <f t="shared" ref="CC46:DS46" si="35">SUM(CC43:CC45)</f>
        <v>-68223254.837285563</v>
      </c>
      <c r="CD46" s="232">
        <f t="shared" si="35"/>
        <v>-62084235.350047968</v>
      </c>
      <c r="CE46" s="232">
        <f t="shared" si="35"/>
        <v>-61332562.213024393</v>
      </c>
      <c r="CF46" s="232">
        <f t="shared" si="35"/>
        <v>-54198986.268261127</v>
      </c>
      <c r="CG46" s="232">
        <f t="shared" si="35"/>
        <v>-53242475.774211951</v>
      </c>
      <c r="CH46" s="232">
        <f t="shared" si="35"/>
        <v>-51430974.655986354</v>
      </c>
      <c r="CI46" s="233">
        <f t="shared" si="35"/>
        <v>-45124218.771998912</v>
      </c>
      <c r="CJ46" s="232">
        <f t="shared" si="35"/>
        <v>-34572691.947245754</v>
      </c>
      <c r="CK46" s="232">
        <f t="shared" si="35"/>
        <v>-32744065.306670263</v>
      </c>
      <c r="CL46" s="232">
        <f t="shared" si="35"/>
        <v>-40892489.672237724</v>
      </c>
      <c r="CM46" s="232">
        <f t="shared" si="35"/>
        <v>-46191023.952780932</v>
      </c>
      <c r="CN46" s="232">
        <f t="shared" si="35"/>
        <v>-41585614.985441826</v>
      </c>
      <c r="CO46" s="232">
        <f t="shared" si="35"/>
        <v>-32150791.97511917</v>
      </c>
      <c r="CP46" s="232">
        <f t="shared" si="35"/>
        <v>-26543967.961683802</v>
      </c>
      <c r="CQ46" s="232">
        <f t="shared" si="35"/>
        <v>-26527311.975599065</v>
      </c>
      <c r="CR46" s="232">
        <f t="shared" si="35"/>
        <v>-22399642.739816211</v>
      </c>
      <c r="CS46" s="232">
        <f t="shared" si="35"/>
        <v>-19517161.049005073</v>
      </c>
      <c r="CT46" s="232">
        <f t="shared" si="35"/>
        <v>-15659066.079080742</v>
      </c>
      <c r="CU46" s="233">
        <f t="shared" si="35"/>
        <v>-10793232.356530063</v>
      </c>
      <c r="CV46" s="232">
        <f t="shared" si="35"/>
        <v>-2985963.3217767105</v>
      </c>
      <c r="CW46" s="232">
        <f t="shared" si="35"/>
        <v>-1550185.0075033177</v>
      </c>
      <c r="CX46" s="232">
        <f t="shared" si="35"/>
        <v>-9911499.8460779916</v>
      </c>
      <c r="CY46" s="232">
        <f t="shared" si="35"/>
        <v>-12234538.316625718</v>
      </c>
      <c r="CZ46" s="232">
        <f t="shared" si="35"/>
        <v>-9334148.5770506002</v>
      </c>
      <c r="DA46" s="232">
        <f t="shared" si="35"/>
        <v>-1411773.2003340423</v>
      </c>
      <c r="DB46" s="232">
        <f t="shared" si="35"/>
        <v>5467026.2482115775</v>
      </c>
      <c r="DC46" s="232">
        <f t="shared" si="35"/>
        <v>6236704.563582195</v>
      </c>
      <c r="DD46" s="232">
        <f t="shared" si="35"/>
        <v>14028276.532493513</v>
      </c>
      <c r="DE46" s="232">
        <f t="shared" si="35"/>
        <v>15039916.596116265</v>
      </c>
      <c r="DF46" s="232">
        <f t="shared" si="35"/>
        <v>22524883.686118066</v>
      </c>
      <c r="DG46" s="233">
        <f t="shared" si="35"/>
        <v>28142562.807305023</v>
      </c>
      <c r="DH46" s="232">
        <f t="shared" si="35"/>
        <v>37126059.435064591</v>
      </c>
      <c r="DI46" s="232">
        <f t="shared" si="35"/>
        <v>36577196.330435947</v>
      </c>
      <c r="DJ46" s="232">
        <f t="shared" si="35"/>
        <v>30607983.462822195</v>
      </c>
      <c r="DK46" s="232">
        <f t="shared" si="35"/>
        <v>25051925.760145117</v>
      </c>
      <c r="DL46" s="232">
        <f t="shared" si="35"/>
        <v>31119494.082969096</v>
      </c>
      <c r="DM46" s="232">
        <f t="shared" si="35"/>
        <v>39674623.572423652</v>
      </c>
      <c r="DN46" s="232">
        <f t="shared" si="35"/>
        <v>46906466.045332596</v>
      </c>
      <c r="DO46" s="232">
        <f t="shared" si="35"/>
        <v>50509996.695360221</v>
      </c>
      <c r="DP46" s="232">
        <f t="shared" si="35"/>
        <v>56070233.164397657</v>
      </c>
      <c r="DQ46" s="232">
        <f t="shared" si="35"/>
        <v>57125622.584362641</v>
      </c>
      <c r="DR46" s="232">
        <f t="shared" si="35"/>
        <v>61812254.120039836</v>
      </c>
      <c r="DS46" s="233">
        <f t="shared" si="35"/>
        <v>67957077.929251149</v>
      </c>
    </row>
  </sheetData>
  <mergeCells count="23">
    <mergeCell ref="A33:B33"/>
    <mergeCell ref="A41:B41"/>
    <mergeCell ref="A46:B46"/>
    <mergeCell ref="A15:B15"/>
    <mergeCell ref="A18:B18"/>
    <mergeCell ref="A20:B20"/>
    <mergeCell ref="A22:B23"/>
    <mergeCell ref="A28:B28"/>
    <mergeCell ref="A8:B8"/>
    <mergeCell ref="A6:B7"/>
    <mergeCell ref="D3:O3"/>
    <mergeCell ref="A13:B13"/>
    <mergeCell ref="A14:B14"/>
    <mergeCell ref="BX3:CI3"/>
    <mergeCell ref="CJ3:CU3"/>
    <mergeCell ref="CV3:DG3"/>
    <mergeCell ref="DH3:DS3"/>
    <mergeCell ref="A1:B4"/>
    <mergeCell ref="P3:AA3"/>
    <mergeCell ref="AB3:AM3"/>
    <mergeCell ref="AN3:AY3"/>
    <mergeCell ref="AZ3:BK3"/>
    <mergeCell ref="BL3:BW3"/>
  </mergeCells>
  <pageMargins left="0.25" right="0.25" top="0.75" bottom="0.75" header="0.3" footer="0.3"/>
  <pageSetup paperSize="8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T40"/>
  <sheetViews>
    <sheetView zoomScale="89" zoomScaleNormal="89" zoomScalePageLayoutView="85" workbookViewId="0">
      <pane xSplit="3" ySplit="3" topLeftCell="CA18" activePane="bottomRight" state="frozen"/>
      <selection pane="topRight" activeCell="C1" sqref="C1"/>
      <selection pane="bottomLeft" activeCell="A4" sqref="A4"/>
      <selection pane="bottomRight" activeCell="CL27" sqref="CL27"/>
    </sheetView>
  </sheetViews>
  <sheetFormatPr defaultColWidth="8.85546875" defaultRowHeight="12.75" x14ac:dyDescent="0.2"/>
  <cols>
    <col min="1" max="1" width="1.85546875" style="2" customWidth="1"/>
    <col min="2" max="2" width="26.140625" style="2" customWidth="1"/>
    <col min="3" max="3" width="9.28515625" style="2" customWidth="1"/>
    <col min="4" max="4" width="1.5703125" style="2" customWidth="1"/>
    <col min="5" max="28" width="11.7109375" style="2" customWidth="1"/>
    <col min="29" max="30" width="11.7109375" style="268" customWidth="1"/>
    <col min="31" max="123" width="11.7109375" style="2" customWidth="1"/>
    <col min="124" max="124" width="12" style="2" customWidth="1"/>
    <col min="125" max="16384" width="8.85546875" style="2"/>
  </cols>
  <sheetData>
    <row r="1" spans="1:124" ht="12.75" customHeight="1" x14ac:dyDescent="0.2">
      <c r="A1" s="1425" t="s">
        <v>132</v>
      </c>
      <c r="B1" s="1425"/>
      <c r="C1" s="1425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500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500"/>
      <c r="AC1" s="200"/>
      <c r="AD1" s="200"/>
      <c r="AE1" s="3"/>
      <c r="AF1" s="3"/>
      <c r="AG1" s="3"/>
      <c r="AH1" s="3"/>
      <c r="AI1" s="3"/>
      <c r="AJ1" s="3"/>
      <c r="AK1" s="3"/>
      <c r="AL1" s="3"/>
      <c r="AM1" s="3"/>
      <c r="AN1" s="500"/>
      <c r="AO1" s="788"/>
      <c r="AP1" s="3"/>
      <c r="AQ1" s="3"/>
      <c r="AR1" s="3"/>
      <c r="AS1" s="3"/>
      <c r="AT1" s="3"/>
      <c r="AU1" s="3"/>
      <c r="AV1" s="3"/>
      <c r="AW1" s="3"/>
      <c r="AX1" s="3"/>
      <c r="AY1" s="3"/>
      <c r="AZ1" s="500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0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500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00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500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500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500"/>
    </row>
    <row r="2" spans="1:124" s="165" customFormat="1" ht="39" customHeight="1" x14ac:dyDescent="0.2">
      <c r="A2" s="1425"/>
      <c r="B2" s="1425"/>
      <c r="C2" s="1425"/>
      <c r="D2" s="164"/>
      <c r="E2" s="1420" t="s">
        <v>507</v>
      </c>
      <c r="F2" s="1420"/>
      <c r="G2" s="1420"/>
      <c r="H2" s="1420"/>
      <c r="I2" s="1420"/>
      <c r="J2" s="1420"/>
      <c r="K2" s="1420"/>
      <c r="L2" s="1420"/>
      <c r="M2" s="1420"/>
      <c r="N2" s="1420"/>
      <c r="O2" s="1420"/>
      <c r="P2" s="1421"/>
      <c r="Q2" s="1415" t="s">
        <v>508</v>
      </c>
      <c r="R2" s="1415"/>
      <c r="S2" s="1415"/>
      <c r="T2" s="1415"/>
      <c r="U2" s="1415"/>
      <c r="V2" s="1415"/>
      <c r="W2" s="1415"/>
      <c r="X2" s="1415"/>
      <c r="Y2" s="1415"/>
      <c r="Z2" s="1415"/>
      <c r="AA2" s="1415"/>
      <c r="AB2" s="1416"/>
      <c r="AC2" s="1415" t="s">
        <v>509</v>
      </c>
      <c r="AD2" s="1415"/>
      <c r="AE2" s="1415"/>
      <c r="AF2" s="1415"/>
      <c r="AG2" s="1415"/>
      <c r="AH2" s="1415"/>
      <c r="AI2" s="1415"/>
      <c r="AJ2" s="1415"/>
      <c r="AK2" s="1415"/>
      <c r="AL2" s="1415"/>
      <c r="AM2" s="1415"/>
      <c r="AN2" s="1416"/>
      <c r="AO2" s="1418" t="s">
        <v>510</v>
      </c>
      <c r="AP2" s="1415"/>
      <c r="AQ2" s="1415"/>
      <c r="AR2" s="1415"/>
      <c r="AS2" s="1415"/>
      <c r="AT2" s="1415"/>
      <c r="AU2" s="1415"/>
      <c r="AV2" s="1415"/>
      <c r="AW2" s="1415"/>
      <c r="AX2" s="1415"/>
      <c r="AY2" s="1415"/>
      <c r="AZ2" s="1416"/>
      <c r="BA2" s="1415" t="s">
        <v>511</v>
      </c>
      <c r="BB2" s="1415"/>
      <c r="BC2" s="1415"/>
      <c r="BD2" s="1415"/>
      <c r="BE2" s="1415"/>
      <c r="BF2" s="1415"/>
      <c r="BG2" s="1415"/>
      <c r="BH2" s="1415"/>
      <c r="BI2" s="1415"/>
      <c r="BJ2" s="1415"/>
      <c r="BK2" s="1415"/>
      <c r="BL2" s="1416"/>
      <c r="BM2" s="1415" t="s">
        <v>512</v>
      </c>
      <c r="BN2" s="1415"/>
      <c r="BO2" s="1415"/>
      <c r="BP2" s="1415"/>
      <c r="BQ2" s="1415"/>
      <c r="BR2" s="1415"/>
      <c r="BS2" s="1415"/>
      <c r="BT2" s="1415"/>
      <c r="BU2" s="1415"/>
      <c r="BV2" s="1415"/>
      <c r="BW2" s="1415"/>
      <c r="BX2" s="1416"/>
      <c r="BY2" s="1415" t="s">
        <v>513</v>
      </c>
      <c r="BZ2" s="1415"/>
      <c r="CA2" s="1415"/>
      <c r="CB2" s="1415"/>
      <c r="CC2" s="1415"/>
      <c r="CD2" s="1415"/>
      <c r="CE2" s="1415"/>
      <c r="CF2" s="1415"/>
      <c r="CG2" s="1415"/>
      <c r="CH2" s="1415"/>
      <c r="CI2" s="1415"/>
      <c r="CJ2" s="1416"/>
      <c r="CK2" s="1415" t="s">
        <v>514</v>
      </c>
      <c r="CL2" s="1415"/>
      <c r="CM2" s="1415"/>
      <c r="CN2" s="1415"/>
      <c r="CO2" s="1415"/>
      <c r="CP2" s="1415"/>
      <c r="CQ2" s="1415"/>
      <c r="CR2" s="1415"/>
      <c r="CS2" s="1415"/>
      <c r="CT2" s="1415"/>
      <c r="CU2" s="1415"/>
      <c r="CV2" s="1416"/>
      <c r="CW2" s="1415" t="s">
        <v>515</v>
      </c>
      <c r="CX2" s="1415"/>
      <c r="CY2" s="1415"/>
      <c r="CZ2" s="1415"/>
      <c r="DA2" s="1415"/>
      <c r="DB2" s="1415"/>
      <c r="DC2" s="1415"/>
      <c r="DD2" s="1415"/>
      <c r="DE2" s="1415"/>
      <c r="DF2" s="1415"/>
      <c r="DG2" s="1415"/>
      <c r="DH2" s="1416"/>
      <c r="DI2" s="1415" t="s">
        <v>516</v>
      </c>
      <c r="DJ2" s="1415"/>
      <c r="DK2" s="1415"/>
      <c r="DL2" s="1415"/>
      <c r="DM2" s="1415"/>
      <c r="DN2" s="1415"/>
      <c r="DO2" s="1415"/>
      <c r="DP2" s="1415"/>
      <c r="DQ2" s="1415"/>
      <c r="DR2" s="1415"/>
      <c r="DS2" s="1415"/>
      <c r="DT2" s="1416"/>
    </row>
    <row r="3" spans="1:124" ht="12.75" customHeight="1" x14ac:dyDescent="0.25">
      <c r="A3" s="1425"/>
      <c r="B3" s="1425"/>
      <c r="C3" s="1425"/>
      <c r="D3" s="7"/>
      <c r="E3" s="484" t="s">
        <v>175</v>
      </c>
      <c r="F3" s="484" t="s">
        <v>176</v>
      </c>
      <c r="G3" s="484" t="s">
        <v>177</v>
      </c>
      <c r="H3" s="484" t="s">
        <v>178</v>
      </c>
      <c r="I3" s="484" t="s">
        <v>167</v>
      </c>
      <c r="J3" s="484" t="s">
        <v>168</v>
      </c>
      <c r="K3" s="484" t="s">
        <v>169</v>
      </c>
      <c r="L3" s="484" t="s">
        <v>170</v>
      </c>
      <c r="M3" s="484" t="s">
        <v>171</v>
      </c>
      <c r="N3" s="484" t="s">
        <v>172</v>
      </c>
      <c r="O3" s="484" t="s">
        <v>173</v>
      </c>
      <c r="P3" s="694" t="s">
        <v>174</v>
      </c>
      <c r="Q3" s="272" t="s">
        <v>175</v>
      </c>
      <c r="R3" s="272" t="s">
        <v>176</v>
      </c>
      <c r="S3" s="272" t="s">
        <v>177</v>
      </c>
      <c r="T3" s="272" t="s">
        <v>178</v>
      </c>
      <c r="U3" s="272" t="s">
        <v>167</v>
      </c>
      <c r="V3" s="272" t="s">
        <v>168</v>
      </c>
      <c r="W3" s="272" t="s">
        <v>169</v>
      </c>
      <c r="X3" s="272" t="s">
        <v>170</v>
      </c>
      <c r="Y3" s="272" t="s">
        <v>171</v>
      </c>
      <c r="Z3" s="272" t="s">
        <v>172</v>
      </c>
      <c r="AA3" s="272" t="s">
        <v>173</v>
      </c>
      <c r="AB3" s="603" t="s">
        <v>174</v>
      </c>
      <c r="AC3" s="272" t="s">
        <v>175</v>
      </c>
      <c r="AD3" s="272" t="s">
        <v>176</v>
      </c>
      <c r="AE3" s="272" t="s">
        <v>177</v>
      </c>
      <c r="AF3" s="272" t="s">
        <v>178</v>
      </c>
      <c r="AG3" s="272" t="s">
        <v>167</v>
      </c>
      <c r="AH3" s="272" t="s">
        <v>168</v>
      </c>
      <c r="AI3" s="272" t="s">
        <v>169</v>
      </c>
      <c r="AJ3" s="272" t="s">
        <v>170</v>
      </c>
      <c r="AK3" s="272" t="s">
        <v>171</v>
      </c>
      <c r="AL3" s="272" t="s">
        <v>172</v>
      </c>
      <c r="AM3" s="272" t="s">
        <v>173</v>
      </c>
      <c r="AN3" s="603" t="s">
        <v>174</v>
      </c>
      <c r="AO3" s="541" t="s">
        <v>175</v>
      </c>
      <c r="AP3" s="272" t="s">
        <v>176</v>
      </c>
      <c r="AQ3" s="272" t="s">
        <v>177</v>
      </c>
      <c r="AR3" s="272" t="s">
        <v>178</v>
      </c>
      <c r="AS3" s="272" t="s">
        <v>167</v>
      </c>
      <c r="AT3" s="272" t="s">
        <v>168</v>
      </c>
      <c r="AU3" s="272" t="s">
        <v>169</v>
      </c>
      <c r="AV3" s="272" t="s">
        <v>170</v>
      </c>
      <c r="AW3" s="272" t="s">
        <v>171</v>
      </c>
      <c r="AX3" s="272" t="s">
        <v>172</v>
      </c>
      <c r="AY3" s="272" t="s">
        <v>173</v>
      </c>
      <c r="AZ3" s="603" t="s">
        <v>174</v>
      </c>
      <c r="BA3" s="272" t="s">
        <v>175</v>
      </c>
      <c r="BB3" s="272" t="s">
        <v>176</v>
      </c>
      <c r="BC3" s="272" t="s">
        <v>177</v>
      </c>
      <c r="BD3" s="272" t="s">
        <v>178</v>
      </c>
      <c r="BE3" s="272" t="s">
        <v>167</v>
      </c>
      <c r="BF3" s="272" t="s">
        <v>168</v>
      </c>
      <c r="BG3" s="272" t="s">
        <v>169</v>
      </c>
      <c r="BH3" s="272" t="s">
        <v>170</v>
      </c>
      <c r="BI3" s="272" t="s">
        <v>171</v>
      </c>
      <c r="BJ3" s="272" t="s">
        <v>172</v>
      </c>
      <c r="BK3" s="272" t="s">
        <v>173</v>
      </c>
      <c r="BL3" s="603" t="s">
        <v>174</v>
      </c>
      <c r="BM3" s="272" t="s">
        <v>175</v>
      </c>
      <c r="BN3" s="272" t="s">
        <v>176</v>
      </c>
      <c r="BO3" s="272" t="s">
        <v>177</v>
      </c>
      <c r="BP3" s="272" t="s">
        <v>178</v>
      </c>
      <c r="BQ3" s="272" t="s">
        <v>167</v>
      </c>
      <c r="BR3" s="272" t="s">
        <v>168</v>
      </c>
      <c r="BS3" s="272" t="s">
        <v>169</v>
      </c>
      <c r="BT3" s="272" t="s">
        <v>170</v>
      </c>
      <c r="BU3" s="272" t="s">
        <v>171</v>
      </c>
      <c r="BV3" s="272" t="s">
        <v>172</v>
      </c>
      <c r="BW3" s="272" t="s">
        <v>173</v>
      </c>
      <c r="BX3" s="603" t="s">
        <v>174</v>
      </c>
      <c r="BY3" s="272" t="s">
        <v>175</v>
      </c>
      <c r="BZ3" s="272" t="s">
        <v>176</v>
      </c>
      <c r="CA3" s="272" t="s">
        <v>177</v>
      </c>
      <c r="CB3" s="272" t="s">
        <v>178</v>
      </c>
      <c r="CC3" s="272" t="s">
        <v>167</v>
      </c>
      <c r="CD3" s="272" t="s">
        <v>168</v>
      </c>
      <c r="CE3" s="272" t="s">
        <v>169</v>
      </c>
      <c r="CF3" s="272" t="s">
        <v>170</v>
      </c>
      <c r="CG3" s="272" t="s">
        <v>171</v>
      </c>
      <c r="CH3" s="272" t="s">
        <v>172</v>
      </c>
      <c r="CI3" s="272" t="s">
        <v>173</v>
      </c>
      <c r="CJ3" s="603" t="s">
        <v>174</v>
      </c>
      <c r="CK3" s="272" t="s">
        <v>175</v>
      </c>
      <c r="CL3" s="272" t="s">
        <v>176</v>
      </c>
      <c r="CM3" s="272" t="s">
        <v>177</v>
      </c>
      <c r="CN3" s="272" t="s">
        <v>178</v>
      </c>
      <c r="CO3" s="272" t="s">
        <v>167</v>
      </c>
      <c r="CP3" s="272" t="s">
        <v>168</v>
      </c>
      <c r="CQ3" s="272" t="s">
        <v>169</v>
      </c>
      <c r="CR3" s="272" t="s">
        <v>170</v>
      </c>
      <c r="CS3" s="272" t="s">
        <v>171</v>
      </c>
      <c r="CT3" s="272" t="s">
        <v>172</v>
      </c>
      <c r="CU3" s="272" t="s">
        <v>173</v>
      </c>
      <c r="CV3" s="603" t="s">
        <v>174</v>
      </c>
      <c r="CW3" s="272" t="s">
        <v>175</v>
      </c>
      <c r="CX3" s="272" t="s">
        <v>176</v>
      </c>
      <c r="CY3" s="272" t="s">
        <v>177</v>
      </c>
      <c r="CZ3" s="272" t="s">
        <v>178</v>
      </c>
      <c r="DA3" s="272" t="s">
        <v>167</v>
      </c>
      <c r="DB3" s="272" t="s">
        <v>168</v>
      </c>
      <c r="DC3" s="272" t="s">
        <v>169</v>
      </c>
      <c r="DD3" s="272" t="s">
        <v>170</v>
      </c>
      <c r="DE3" s="272" t="s">
        <v>171</v>
      </c>
      <c r="DF3" s="272" t="s">
        <v>172</v>
      </c>
      <c r="DG3" s="272" t="s">
        <v>173</v>
      </c>
      <c r="DH3" s="603" t="s">
        <v>174</v>
      </c>
      <c r="DI3" s="272" t="s">
        <v>175</v>
      </c>
      <c r="DJ3" s="272" t="s">
        <v>176</v>
      </c>
      <c r="DK3" s="272" t="s">
        <v>177</v>
      </c>
      <c r="DL3" s="272" t="s">
        <v>178</v>
      </c>
      <c r="DM3" s="272" t="s">
        <v>167</v>
      </c>
      <c r="DN3" s="272" t="s">
        <v>168</v>
      </c>
      <c r="DO3" s="272" t="s">
        <v>169</v>
      </c>
      <c r="DP3" s="272" t="s">
        <v>170</v>
      </c>
      <c r="DQ3" s="272" t="s">
        <v>171</v>
      </c>
      <c r="DR3" s="272" t="s">
        <v>172</v>
      </c>
      <c r="DS3" s="272" t="s">
        <v>173</v>
      </c>
      <c r="DT3" s="603" t="s">
        <v>174</v>
      </c>
    </row>
    <row r="4" spans="1:124" hidden="1" x14ac:dyDescent="0.2">
      <c r="B4" s="21" t="s">
        <v>88</v>
      </c>
      <c r="C4" s="20"/>
      <c r="D4" s="22" t="e">
        <f>#REF!</f>
        <v>#REF!</v>
      </c>
      <c r="E4" s="22">
        <f>Assumptions!$E5</f>
        <v>14</v>
      </c>
      <c r="F4" s="22">
        <f>Assumptions!$E5</f>
        <v>14</v>
      </c>
      <c r="G4" s="22">
        <f>Assumptions!$E5</f>
        <v>14</v>
      </c>
      <c r="H4" s="22">
        <f>Assumptions!$E5</f>
        <v>14</v>
      </c>
      <c r="I4" s="22">
        <f>Assumptions!$E5</f>
        <v>14</v>
      </c>
      <c r="J4" s="22">
        <f>Assumptions!$E5</f>
        <v>14</v>
      </c>
      <c r="K4" s="22">
        <f>Assumptions!$E5</f>
        <v>14</v>
      </c>
      <c r="L4" s="22">
        <f>Assumptions!$E5</f>
        <v>14</v>
      </c>
      <c r="M4" s="22">
        <f>Assumptions!$E5</f>
        <v>14</v>
      </c>
      <c r="N4" s="22">
        <f>Assumptions!$E5</f>
        <v>14</v>
      </c>
      <c r="O4" s="22">
        <f>Assumptions!$E5</f>
        <v>14</v>
      </c>
      <c r="P4" s="604">
        <f>Assumptions!$E5</f>
        <v>14</v>
      </c>
      <c r="Q4" s="686">
        <f>Assumptions!$F5</f>
        <v>14.84</v>
      </c>
      <c r="R4" s="22">
        <f>Assumptions!$F5</f>
        <v>14.84</v>
      </c>
      <c r="S4" s="22">
        <f>Assumptions!$F5</f>
        <v>14.84</v>
      </c>
      <c r="T4" s="22">
        <f>Assumptions!$F5</f>
        <v>14.84</v>
      </c>
      <c r="U4" s="22">
        <f>Assumptions!$F5</f>
        <v>14.84</v>
      </c>
      <c r="V4" s="22">
        <f>Assumptions!$F5</f>
        <v>14.84</v>
      </c>
      <c r="W4" s="22">
        <f>Assumptions!$F5</f>
        <v>14.84</v>
      </c>
      <c r="X4" s="22">
        <f>Assumptions!$F5</f>
        <v>14.84</v>
      </c>
      <c r="Y4" s="22">
        <f>Assumptions!$F5</f>
        <v>14.84</v>
      </c>
      <c r="Z4" s="22">
        <f>Assumptions!$F5</f>
        <v>14.84</v>
      </c>
      <c r="AA4" s="22">
        <f>Assumptions!$F5</f>
        <v>14.84</v>
      </c>
      <c r="AB4" s="604">
        <f>Assumptions!$F5</f>
        <v>14.84</v>
      </c>
      <c r="AC4" s="686">
        <f>Assumptions!$G5</f>
        <v>15.730400000000001</v>
      </c>
      <c r="AD4" s="22">
        <f>Assumptions!$G5</f>
        <v>15.730400000000001</v>
      </c>
      <c r="AE4" s="22">
        <f>Assumptions!$G5</f>
        <v>15.730400000000001</v>
      </c>
      <c r="AF4" s="22">
        <f>Assumptions!$G5</f>
        <v>15.730400000000001</v>
      </c>
      <c r="AG4" s="22">
        <f>Assumptions!$G5</f>
        <v>15.730400000000001</v>
      </c>
      <c r="AH4" s="22">
        <f>Assumptions!$G5</f>
        <v>15.730400000000001</v>
      </c>
      <c r="AI4" s="22">
        <f>Assumptions!$G5</f>
        <v>15.730400000000001</v>
      </c>
      <c r="AJ4" s="22">
        <f>Assumptions!$G5</f>
        <v>15.730400000000001</v>
      </c>
      <c r="AK4" s="22">
        <f>Assumptions!$G5</f>
        <v>15.730400000000001</v>
      </c>
      <c r="AL4" s="22">
        <f>Assumptions!$G5</f>
        <v>15.730400000000001</v>
      </c>
      <c r="AM4" s="22">
        <f>Assumptions!$G5</f>
        <v>15.730400000000001</v>
      </c>
      <c r="AN4" s="604">
        <f>Assumptions!$G5</f>
        <v>15.730400000000001</v>
      </c>
      <c r="AO4" s="1185">
        <f>Assumptions!$H5</f>
        <v>16.674224000000002</v>
      </c>
      <c r="AP4" s="22">
        <f>Assumptions!$H5</f>
        <v>16.674224000000002</v>
      </c>
      <c r="AQ4" s="22">
        <f>Assumptions!$H5</f>
        <v>16.674224000000002</v>
      </c>
      <c r="AR4" s="22">
        <f>Assumptions!$H5</f>
        <v>16.674224000000002</v>
      </c>
      <c r="AS4" s="22">
        <f>Assumptions!$H5</f>
        <v>16.674224000000002</v>
      </c>
      <c r="AT4" s="22">
        <f>Assumptions!$H5</f>
        <v>16.674224000000002</v>
      </c>
      <c r="AU4" s="22">
        <f>Assumptions!$H5</f>
        <v>16.674224000000002</v>
      </c>
      <c r="AV4" s="22">
        <f>Assumptions!$H5</f>
        <v>16.674224000000002</v>
      </c>
      <c r="AW4" s="22">
        <f>Assumptions!$H5</f>
        <v>16.674224000000002</v>
      </c>
      <c r="AX4" s="22">
        <f>Assumptions!$H5</f>
        <v>16.674224000000002</v>
      </c>
      <c r="AY4" s="22">
        <f>Assumptions!$H5</f>
        <v>16.674224000000002</v>
      </c>
      <c r="AZ4" s="604">
        <f>Assumptions!$H5</f>
        <v>16.674224000000002</v>
      </c>
      <c r="BA4" s="686">
        <f>Assumptions!$I5</f>
        <v>17.674677440000004</v>
      </c>
      <c r="BB4" s="22">
        <f>Assumptions!$I5</f>
        <v>17.674677440000004</v>
      </c>
      <c r="BC4" s="22">
        <f>Assumptions!$I5</f>
        <v>17.674677440000004</v>
      </c>
      <c r="BD4" s="22">
        <f>Assumptions!$I5</f>
        <v>17.674677440000004</v>
      </c>
      <c r="BE4" s="22">
        <f>Assumptions!$I5</f>
        <v>17.674677440000004</v>
      </c>
      <c r="BF4" s="22">
        <f>Assumptions!$I5</f>
        <v>17.674677440000004</v>
      </c>
      <c r="BG4" s="22">
        <f>Assumptions!$I5</f>
        <v>17.674677440000004</v>
      </c>
      <c r="BH4" s="22">
        <f>Assumptions!$I5</f>
        <v>17.674677440000004</v>
      </c>
      <c r="BI4" s="22">
        <f>Assumptions!$I5</f>
        <v>17.674677440000004</v>
      </c>
      <c r="BJ4" s="22">
        <f>Assumptions!$I5</f>
        <v>17.674677440000004</v>
      </c>
      <c r="BK4" s="22">
        <f>Assumptions!$I5</f>
        <v>17.674677440000004</v>
      </c>
      <c r="BL4" s="604">
        <f>Assumptions!$I5</f>
        <v>17.674677440000004</v>
      </c>
      <c r="BM4" s="686">
        <f>Assumptions!$J5</f>
        <v>18.735158086400006</v>
      </c>
      <c r="BN4" s="22">
        <f>Assumptions!$J5</f>
        <v>18.735158086400006</v>
      </c>
      <c r="BO4" s="22">
        <f>Assumptions!$J5</f>
        <v>18.735158086400006</v>
      </c>
      <c r="BP4" s="22">
        <f>Assumptions!$J5</f>
        <v>18.735158086400006</v>
      </c>
      <c r="BQ4" s="22">
        <f>Assumptions!$J5</f>
        <v>18.735158086400006</v>
      </c>
      <c r="BR4" s="22">
        <f>Assumptions!$J5</f>
        <v>18.735158086400006</v>
      </c>
      <c r="BS4" s="22">
        <f>Assumptions!$J5</f>
        <v>18.735158086400006</v>
      </c>
      <c r="BT4" s="22">
        <f>Assumptions!$J5</f>
        <v>18.735158086400006</v>
      </c>
      <c r="BU4" s="22">
        <f>Assumptions!$J5</f>
        <v>18.735158086400006</v>
      </c>
      <c r="BV4" s="22">
        <f>Assumptions!$J5</f>
        <v>18.735158086400006</v>
      </c>
      <c r="BW4" s="22">
        <f>Assumptions!$J5</f>
        <v>18.735158086400006</v>
      </c>
      <c r="BX4" s="604">
        <f>Assumptions!$J5</f>
        <v>18.735158086400006</v>
      </c>
      <c r="BY4" s="686">
        <f>Assumptions!$K5</f>
        <v>19.859267571584006</v>
      </c>
      <c r="BZ4" s="22">
        <f>Assumptions!$K5</f>
        <v>19.859267571584006</v>
      </c>
      <c r="CA4" s="22">
        <f>Assumptions!$K5</f>
        <v>19.859267571584006</v>
      </c>
      <c r="CB4" s="22">
        <f>Assumptions!$K5</f>
        <v>19.859267571584006</v>
      </c>
      <c r="CC4" s="22">
        <f>Assumptions!$K5</f>
        <v>19.859267571584006</v>
      </c>
      <c r="CD4" s="22">
        <f>Assumptions!$K5</f>
        <v>19.859267571584006</v>
      </c>
      <c r="CE4" s="22">
        <f>Assumptions!$K5</f>
        <v>19.859267571584006</v>
      </c>
      <c r="CF4" s="22">
        <f>Assumptions!$K5</f>
        <v>19.859267571584006</v>
      </c>
      <c r="CG4" s="22">
        <f>Assumptions!$K5</f>
        <v>19.859267571584006</v>
      </c>
      <c r="CH4" s="22">
        <f>Assumptions!$K5</f>
        <v>19.859267571584006</v>
      </c>
      <c r="CI4" s="22">
        <f>Assumptions!$K5</f>
        <v>19.859267571584006</v>
      </c>
      <c r="CJ4" s="604">
        <f>Assumptions!$K5</f>
        <v>19.859267571584006</v>
      </c>
      <c r="CK4" s="686">
        <f>Assumptions!$L5</f>
        <v>21.050823625879048</v>
      </c>
      <c r="CL4" s="22">
        <f>Assumptions!$L5</f>
        <v>21.050823625879048</v>
      </c>
      <c r="CM4" s="22">
        <f>Assumptions!$L5</f>
        <v>21.050823625879048</v>
      </c>
      <c r="CN4" s="22">
        <f>Assumptions!$L5</f>
        <v>21.050823625879048</v>
      </c>
      <c r="CO4" s="22">
        <f>Assumptions!$L5</f>
        <v>21.050823625879048</v>
      </c>
      <c r="CP4" s="22">
        <f>Assumptions!$L5</f>
        <v>21.050823625879048</v>
      </c>
      <c r="CQ4" s="22">
        <f>Assumptions!$L5</f>
        <v>21.050823625879048</v>
      </c>
      <c r="CR4" s="22">
        <f>Assumptions!$L5</f>
        <v>21.050823625879048</v>
      </c>
      <c r="CS4" s="22">
        <f>Assumptions!$L5</f>
        <v>21.050823625879048</v>
      </c>
      <c r="CT4" s="22">
        <f>Assumptions!$L5</f>
        <v>21.050823625879048</v>
      </c>
      <c r="CU4" s="22">
        <f>Assumptions!$L5</f>
        <v>21.050823625879048</v>
      </c>
      <c r="CV4" s="604">
        <f>Assumptions!$L5</f>
        <v>21.050823625879048</v>
      </c>
      <c r="CW4" s="686">
        <f>Assumptions!$M5</f>
        <v>22.313873043431791</v>
      </c>
      <c r="CX4" s="22">
        <f>Assumptions!$M5</f>
        <v>22.313873043431791</v>
      </c>
      <c r="CY4" s="22">
        <f>Assumptions!$M5</f>
        <v>22.313873043431791</v>
      </c>
      <c r="CZ4" s="22">
        <f>Assumptions!$M5</f>
        <v>22.313873043431791</v>
      </c>
      <c r="DA4" s="22">
        <f>Assumptions!$M5</f>
        <v>22.313873043431791</v>
      </c>
      <c r="DB4" s="22">
        <f>Assumptions!$M5</f>
        <v>22.313873043431791</v>
      </c>
      <c r="DC4" s="22">
        <f>Assumptions!$M5</f>
        <v>22.313873043431791</v>
      </c>
      <c r="DD4" s="22">
        <f>Assumptions!$M5</f>
        <v>22.313873043431791</v>
      </c>
      <c r="DE4" s="22">
        <f>Assumptions!$M5</f>
        <v>22.313873043431791</v>
      </c>
      <c r="DF4" s="22">
        <f>Assumptions!$M5</f>
        <v>22.313873043431791</v>
      </c>
      <c r="DG4" s="22">
        <f>Assumptions!$M5</f>
        <v>22.313873043431791</v>
      </c>
      <c r="DH4" s="604">
        <f>Assumptions!$M5</f>
        <v>22.313873043431791</v>
      </c>
      <c r="DI4" s="686">
        <f>Assumptions!$N5</f>
        <v>23.652705426037699</v>
      </c>
      <c r="DJ4" s="22">
        <f>Assumptions!$N5</f>
        <v>23.652705426037699</v>
      </c>
      <c r="DK4" s="22">
        <f>Assumptions!$N5</f>
        <v>23.652705426037699</v>
      </c>
      <c r="DL4" s="22">
        <f>Assumptions!$N5</f>
        <v>23.652705426037699</v>
      </c>
      <c r="DM4" s="22">
        <f>Assumptions!$N5</f>
        <v>23.652705426037699</v>
      </c>
      <c r="DN4" s="22">
        <f>Assumptions!$N5</f>
        <v>23.652705426037699</v>
      </c>
      <c r="DO4" s="22">
        <f>Assumptions!$N5</f>
        <v>23.652705426037699</v>
      </c>
      <c r="DP4" s="22">
        <f>Assumptions!$N5</f>
        <v>23.652705426037699</v>
      </c>
      <c r="DQ4" s="22">
        <f>Assumptions!$N5</f>
        <v>23.652705426037699</v>
      </c>
      <c r="DR4" s="22">
        <f>Assumptions!$N5</f>
        <v>23.652705426037699</v>
      </c>
      <c r="DS4" s="22">
        <f>Assumptions!$N5</f>
        <v>23.652705426037699</v>
      </c>
      <c r="DT4" s="604">
        <f>Assumptions!$N5</f>
        <v>23.652705426037699</v>
      </c>
    </row>
    <row r="5" spans="1:124" hidden="1" x14ac:dyDescent="0.2">
      <c r="B5" s="21" t="s">
        <v>89</v>
      </c>
      <c r="C5" s="20"/>
      <c r="D5" s="22" t="e">
        <f>#REF!</f>
        <v>#REF!</v>
      </c>
      <c r="E5" s="22">
        <f>Assumptions!$E6</f>
        <v>16</v>
      </c>
      <c r="F5" s="22">
        <f>Assumptions!$E6</f>
        <v>16</v>
      </c>
      <c r="G5" s="22">
        <f>Assumptions!$E6</f>
        <v>16</v>
      </c>
      <c r="H5" s="22">
        <f>Assumptions!$E6</f>
        <v>16</v>
      </c>
      <c r="I5" s="22">
        <f>Assumptions!$E6</f>
        <v>16</v>
      </c>
      <c r="J5" s="22">
        <f>Assumptions!$E6</f>
        <v>16</v>
      </c>
      <c r="K5" s="22">
        <f>Assumptions!$E6</f>
        <v>16</v>
      </c>
      <c r="L5" s="22">
        <f>Assumptions!$E6</f>
        <v>16</v>
      </c>
      <c r="M5" s="22">
        <f>Assumptions!$E6</f>
        <v>16</v>
      </c>
      <c r="N5" s="22">
        <f>Assumptions!$E6</f>
        <v>16</v>
      </c>
      <c r="O5" s="22">
        <f>Assumptions!$E6</f>
        <v>16</v>
      </c>
      <c r="P5" s="604">
        <f>Assumptions!$E6</f>
        <v>16</v>
      </c>
      <c r="Q5" s="686">
        <f>Assumptions!$F6</f>
        <v>16.96</v>
      </c>
      <c r="R5" s="22">
        <f>Assumptions!$F6</f>
        <v>16.96</v>
      </c>
      <c r="S5" s="22">
        <f>Assumptions!$F6</f>
        <v>16.96</v>
      </c>
      <c r="T5" s="22">
        <f>Assumptions!$F6</f>
        <v>16.96</v>
      </c>
      <c r="U5" s="22">
        <f>Assumptions!$F6</f>
        <v>16.96</v>
      </c>
      <c r="V5" s="22">
        <f>Assumptions!$F6</f>
        <v>16.96</v>
      </c>
      <c r="W5" s="22">
        <f>Assumptions!$F6</f>
        <v>16.96</v>
      </c>
      <c r="X5" s="22">
        <f>Assumptions!$F6</f>
        <v>16.96</v>
      </c>
      <c r="Y5" s="22">
        <f>Assumptions!$F6</f>
        <v>16.96</v>
      </c>
      <c r="Z5" s="22">
        <f>Assumptions!$F6</f>
        <v>16.96</v>
      </c>
      <c r="AA5" s="22">
        <f>Assumptions!$F6</f>
        <v>16.96</v>
      </c>
      <c r="AB5" s="604">
        <f>Assumptions!$F6</f>
        <v>16.96</v>
      </c>
      <c r="AC5" s="686">
        <f>Assumptions!$G6</f>
        <v>17.977600000000002</v>
      </c>
      <c r="AD5" s="22">
        <f>Assumptions!$G6</f>
        <v>17.977600000000002</v>
      </c>
      <c r="AE5" s="22">
        <f>Assumptions!$G6</f>
        <v>17.977600000000002</v>
      </c>
      <c r="AF5" s="22">
        <f>Assumptions!$G6</f>
        <v>17.977600000000002</v>
      </c>
      <c r="AG5" s="22">
        <f>Assumptions!$G6</f>
        <v>17.977600000000002</v>
      </c>
      <c r="AH5" s="22">
        <f>Assumptions!$G6</f>
        <v>17.977600000000002</v>
      </c>
      <c r="AI5" s="22">
        <f>Assumptions!$G6</f>
        <v>17.977600000000002</v>
      </c>
      <c r="AJ5" s="22">
        <f>Assumptions!$G6</f>
        <v>17.977600000000002</v>
      </c>
      <c r="AK5" s="22">
        <f>Assumptions!$G6</f>
        <v>17.977600000000002</v>
      </c>
      <c r="AL5" s="22">
        <f>Assumptions!$G6</f>
        <v>17.977600000000002</v>
      </c>
      <c r="AM5" s="22">
        <f>Assumptions!$G6</f>
        <v>17.977600000000002</v>
      </c>
      <c r="AN5" s="604">
        <f>Assumptions!$G6</f>
        <v>17.977600000000002</v>
      </c>
      <c r="AO5" s="1185">
        <f>Assumptions!$H6</f>
        <v>19.056256000000005</v>
      </c>
      <c r="AP5" s="22">
        <f>Assumptions!$H6</f>
        <v>19.056256000000005</v>
      </c>
      <c r="AQ5" s="22">
        <f>Assumptions!$H6</f>
        <v>19.056256000000005</v>
      </c>
      <c r="AR5" s="22">
        <f>Assumptions!$H6</f>
        <v>19.056256000000005</v>
      </c>
      <c r="AS5" s="22">
        <f>Assumptions!$H6</f>
        <v>19.056256000000005</v>
      </c>
      <c r="AT5" s="22">
        <f>Assumptions!$H6</f>
        <v>19.056256000000005</v>
      </c>
      <c r="AU5" s="22">
        <f>Assumptions!$H6</f>
        <v>19.056256000000005</v>
      </c>
      <c r="AV5" s="22">
        <f>Assumptions!$H6</f>
        <v>19.056256000000005</v>
      </c>
      <c r="AW5" s="22">
        <f>Assumptions!$H6</f>
        <v>19.056256000000005</v>
      </c>
      <c r="AX5" s="22">
        <f>Assumptions!$H6</f>
        <v>19.056256000000005</v>
      </c>
      <c r="AY5" s="22">
        <f>Assumptions!$H6</f>
        <v>19.056256000000005</v>
      </c>
      <c r="AZ5" s="604">
        <f>Assumptions!$H6</f>
        <v>19.056256000000005</v>
      </c>
      <c r="BA5" s="686">
        <f>Assumptions!$I6</f>
        <v>20.199631360000005</v>
      </c>
      <c r="BB5" s="22">
        <f>Assumptions!$I6</f>
        <v>20.199631360000005</v>
      </c>
      <c r="BC5" s="22">
        <f>Assumptions!$I6</f>
        <v>20.199631360000005</v>
      </c>
      <c r="BD5" s="22">
        <f>Assumptions!$I6</f>
        <v>20.199631360000005</v>
      </c>
      <c r="BE5" s="22">
        <f>Assumptions!$I6</f>
        <v>20.199631360000005</v>
      </c>
      <c r="BF5" s="22">
        <f>Assumptions!$I6</f>
        <v>20.199631360000005</v>
      </c>
      <c r="BG5" s="22">
        <f>Assumptions!$I6</f>
        <v>20.199631360000005</v>
      </c>
      <c r="BH5" s="22">
        <f>Assumptions!$I6</f>
        <v>20.199631360000005</v>
      </c>
      <c r="BI5" s="22">
        <f>Assumptions!$I6</f>
        <v>20.199631360000005</v>
      </c>
      <c r="BJ5" s="22">
        <f>Assumptions!$I6</f>
        <v>20.199631360000005</v>
      </c>
      <c r="BK5" s="22">
        <f>Assumptions!$I6</f>
        <v>20.199631360000005</v>
      </c>
      <c r="BL5" s="604">
        <f>Assumptions!$I6</f>
        <v>20.199631360000005</v>
      </c>
      <c r="BM5" s="686">
        <f>Assumptions!$J6</f>
        <v>21.411609241600008</v>
      </c>
      <c r="BN5" s="22">
        <f>Assumptions!$J6</f>
        <v>21.411609241600008</v>
      </c>
      <c r="BO5" s="22">
        <f>Assumptions!$J6</f>
        <v>21.411609241600008</v>
      </c>
      <c r="BP5" s="22">
        <f>Assumptions!$J6</f>
        <v>21.411609241600008</v>
      </c>
      <c r="BQ5" s="22">
        <f>Assumptions!$J6</f>
        <v>21.411609241600008</v>
      </c>
      <c r="BR5" s="22">
        <f>Assumptions!$J6</f>
        <v>21.411609241600008</v>
      </c>
      <c r="BS5" s="22">
        <f>Assumptions!$J6</f>
        <v>21.411609241600008</v>
      </c>
      <c r="BT5" s="22">
        <f>Assumptions!$J6</f>
        <v>21.411609241600008</v>
      </c>
      <c r="BU5" s="22">
        <f>Assumptions!$J6</f>
        <v>21.411609241600008</v>
      </c>
      <c r="BV5" s="22">
        <f>Assumptions!$J6</f>
        <v>21.411609241600008</v>
      </c>
      <c r="BW5" s="22">
        <f>Assumptions!$J6</f>
        <v>21.411609241600008</v>
      </c>
      <c r="BX5" s="604">
        <f>Assumptions!$J6</f>
        <v>21.411609241600008</v>
      </c>
      <c r="BY5" s="686">
        <f>Assumptions!$K6</f>
        <v>22.696305796096009</v>
      </c>
      <c r="BZ5" s="22">
        <f>Assumptions!$K6</f>
        <v>22.696305796096009</v>
      </c>
      <c r="CA5" s="22">
        <f>Assumptions!$K6</f>
        <v>22.696305796096009</v>
      </c>
      <c r="CB5" s="22">
        <f>Assumptions!$K6</f>
        <v>22.696305796096009</v>
      </c>
      <c r="CC5" s="22">
        <f>Assumptions!$K6</f>
        <v>22.696305796096009</v>
      </c>
      <c r="CD5" s="22">
        <f>Assumptions!$K6</f>
        <v>22.696305796096009</v>
      </c>
      <c r="CE5" s="22">
        <f>Assumptions!$K6</f>
        <v>22.696305796096009</v>
      </c>
      <c r="CF5" s="22">
        <f>Assumptions!$K6</f>
        <v>22.696305796096009</v>
      </c>
      <c r="CG5" s="22">
        <f>Assumptions!$K6</f>
        <v>22.696305796096009</v>
      </c>
      <c r="CH5" s="22">
        <f>Assumptions!$K6</f>
        <v>22.696305796096009</v>
      </c>
      <c r="CI5" s="22">
        <f>Assumptions!$K6</f>
        <v>22.696305796096009</v>
      </c>
      <c r="CJ5" s="604">
        <f>Assumptions!$K6</f>
        <v>22.696305796096009</v>
      </c>
      <c r="CK5" s="686">
        <f>Assumptions!$L6</f>
        <v>24.05808414386177</v>
      </c>
      <c r="CL5" s="22">
        <f>Assumptions!$L6</f>
        <v>24.05808414386177</v>
      </c>
      <c r="CM5" s="22">
        <f>Assumptions!$L6</f>
        <v>24.05808414386177</v>
      </c>
      <c r="CN5" s="22">
        <f>Assumptions!$L6</f>
        <v>24.05808414386177</v>
      </c>
      <c r="CO5" s="22">
        <f>Assumptions!$L6</f>
        <v>24.05808414386177</v>
      </c>
      <c r="CP5" s="22">
        <f>Assumptions!$L6</f>
        <v>24.05808414386177</v>
      </c>
      <c r="CQ5" s="22">
        <f>Assumptions!$L6</f>
        <v>24.05808414386177</v>
      </c>
      <c r="CR5" s="22">
        <f>Assumptions!$L6</f>
        <v>24.05808414386177</v>
      </c>
      <c r="CS5" s="22">
        <f>Assumptions!$L6</f>
        <v>24.05808414386177</v>
      </c>
      <c r="CT5" s="22">
        <f>Assumptions!$L6</f>
        <v>24.05808414386177</v>
      </c>
      <c r="CU5" s="22">
        <f>Assumptions!$L6</f>
        <v>24.05808414386177</v>
      </c>
      <c r="CV5" s="604">
        <f>Assumptions!$L6</f>
        <v>24.05808414386177</v>
      </c>
      <c r="CW5" s="686">
        <f>Assumptions!$M6</f>
        <v>25.501569192493477</v>
      </c>
      <c r="CX5" s="22">
        <f>Assumptions!$M6</f>
        <v>25.501569192493477</v>
      </c>
      <c r="CY5" s="22">
        <f>Assumptions!$M6</f>
        <v>25.501569192493477</v>
      </c>
      <c r="CZ5" s="22">
        <f>Assumptions!$M6</f>
        <v>25.501569192493477</v>
      </c>
      <c r="DA5" s="22">
        <f>Assumptions!$M6</f>
        <v>25.501569192493477</v>
      </c>
      <c r="DB5" s="22">
        <f>Assumptions!$M6</f>
        <v>25.501569192493477</v>
      </c>
      <c r="DC5" s="22">
        <f>Assumptions!$M6</f>
        <v>25.501569192493477</v>
      </c>
      <c r="DD5" s="22">
        <f>Assumptions!$M6</f>
        <v>25.501569192493477</v>
      </c>
      <c r="DE5" s="22">
        <f>Assumptions!$M6</f>
        <v>25.501569192493477</v>
      </c>
      <c r="DF5" s="22">
        <f>Assumptions!$M6</f>
        <v>25.501569192493477</v>
      </c>
      <c r="DG5" s="22">
        <f>Assumptions!$M6</f>
        <v>25.501569192493477</v>
      </c>
      <c r="DH5" s="604">
        <f>Assumptions!$M6</f>
        <v>25.501569192493477</v>
      </c>
      <c r="DI5" s="686">
        <f>Assumptions!$N6</f>
        <v>27.031663344043086</v>
      </c>
      <c r="DJ5" s="22">
        <f>Assumptions!$N6</f>
        <v>27.031663344043086</v>
      </c>
      <c r="DK5" s="22">
        <f>Assumptions!$N6</f>
        <v>27.031663344043086</v>
      </c>
      <c r="DL5" s="22">
        <f>Assumptions!$N6</f>
        <v>27.031663344043086</v>
      </c>
      <c r="DM5" s="22">
        <f>Assumptions!$N6</f>
        <v>27.031663344043086</v>
      </c>
      <c r="DN5" s="22">
        <f>Assumptions!$N6</f>
        <v>27.031663344043086</v>
      </c>
      <c r="DO5" s="22">
        <f>Assumptions!$N6</f>
        <v>27.031663344043086</v>
      </c>
      <c r="DP5" s="22">
        <f>Assumptions!$N6</f>
        <v>27.031663344043086</v>
      </c>
      <c r="DQ5" s="22">
        <f>Assumptions!$N6</f>
        <v>27.031663344043086</v>
      </c>
      <c r="DR5" s="22">
        <f>Assumptions!$N6</f>
        <v>27.031663344043086</v>
      </c>
      <c r="DS5" s="22">
        <f>Assumptions!$N6</f>
        <v>27.031663344043086</v>
      </c>
      <c r="DT5" s="604">
        <f>Assumptions!$N6</f>
        <v>27.031663344043086</v>
      </c>
    </row>
    <row r="6" spans="1:124" ht="0.75" customHeight="1" x14ac:dyDescent="0.2">
      <c r="B6" s="21" t="s">
        <v>311</v>
      </c>
      <c r="C6" s="20"/>
      <c r="D6" s="22" t="e">
        <f>#REF!</f>
        <v>#REF!</v>
      </c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22">
        <f>Assumptions!$E7</f>
        <v>1</v>
      </c>
      <c r="P6" s="604">
        <f>Assumptions!$E7</f>
        <v>1</v>
      </c>
      <c r="Q6" s="686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22">
        <f>Assumptions!$F7</f>
        <v>1.0629999999999999</v>
      </c>
      <c r="AB6" s="604">
        <f>Assumptions!$F7</f>
        <v>1.0629999999999999</v>
      </c>
      <c r="AC6" s="686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22">
        <f>Assumptions!$G7</f>
        <v>1.1299689999999998</v>
      </c>
      <c r="AN6" s="604">
        <f>Assumptions!$G7</f>
        <v>1.1299689999999998</v>
      </c>
      <c r="AO6" s="1185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22">
        <f>Assumptions!$H7</f>
        <v>1.2011570469999997</v>
      </c>
      <c r="AZ6" s="604">
        <f>Assumptions!$H7</f>
        <v>1.2011570469999997</v>
      </c>
      <c r="BA6" s="686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22">
        <f>Assumptions!$I7</f>
        <v>1.2768299409609996</v>
      </c>
      <c r="BL6" s="604">
        <f>Assumptions!$I7</f>
        <v>1.2768299409609996</v>
      </c>
      <c r="BM6" s="686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22">
        <f>Assumptions!$J7</f>
        <v>1.3572702272415424</v>
      </c>
      <c r="BX6" s="604">
        <f>Assumptions!$J7</f>
        <v>1.3572702272415424</v>
      </c>
      <c r="BY6" s="686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22">
        <f>Assumptions!$K7</f>
        <v>1.4427782515577596</v>
      </c>
      <c r="CJ6" s="604">
        <f>Assumptions!$K7</f>
        <v>1.4427782515577596</v>
      </c>
      <c r="CK6" s="686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22">
        <f>Assumptions!$L7</f>
        <v>1.5336732814058984</v>
      </c>
      <c r="CV6" s="604">
        <f>Assumptions!$L7</f>
        <v>1.5336732814058984</v>
      </c>
      <c r="CW6" s="686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22">
        <f>Assumptions!$M7</f>
        <v>1.6302946981344699</v>
      </c>
      <c r="DH6" s="604">
        <f>Assumptions!$M7</f>
        <v>1.6302946981344699</v>
      </c>
      <c r="DI6" s="686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22">
        <f>Assumptions!$N7</f>
        <v>1.7330032641169415</v>
      </c>
      <c r="DT6" s="604">
        <f>Assumptions!$N7</f>
        <v>1.7330032641169415</v>
      </c>
    </row>
    <row r="7" spans="1:124" ht="22.5" customHeight="1" x14ac:dyDescent="0.3">
      <c r="A7" s="125"/>
      <c r="B7" s="161" t="s">
        <v>131</v>
      </c>
      <c r="C7" s="13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53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724"/>
      <c r="AC7" s="407"/>
      <c r="AD7" s="407"/>
      <c r="AE7" s="1"/>
      <c r="AF7" s="1"/>
      <c r="AG7" s="1"/>
      <c r="AH7" s="1"/>
      <c r="AI7" s="1"/>
      <c r="AJ7" s="1"/>
      <c r="AK7" s="1"/>
      <c r="AL7" s="1"/>
      <c r="AM7" s="1"/>
      <c r="AN7" s="724"/>
      <c r="AO7" s="1159"/>
      <c r="AP7" s="1"/>
      <c r="AQ7" s="1"/>
      <c r="AR7" s="1"/>
      <c r="AS7" s="1"/>
      <c r="AT7" s="1"/>
      <c r="AU7" s="1"/>
      <c r="AV7" s="1"/>
      <c r="AW7" s="1"/>
      <c r="AX7" s="1"/>
      <c r="AY7" s="1"/>
      <c r="AZ7" s="724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724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724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724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724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724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724"/>
    </row>
    <row r="8" spans="1:124" ht="17.25" customHeight="1" x14ac:dyDescent="0.25">
      <c r="A8" s="8"/>
      <c r="B8" s="250" t="s">
        <v>398</v>
      </c>
      <c r="C8" s="188"/>
      <c r="E8" s="107">
        <f>Production!E23*Assumptions!$C$48</f>
        <v>0</v>
      </c>
      <c r="F8" s="107">
        <f>Production!F23*Assumptions!$C$48</f>
        <v>0</v>
      </c>
      <c r="G8" s="107">
        <f>Production!G23*Assumptions!$C$48</f>
        <v>0</v>
      </c>
      <c r="H8" s="107">
        <f>Production!H23*Assumptions!$C$48</f>
        <v>0</v>
      </c>
      <c r="I8" s="107">
        <f>Production!I23*Assumptions!$C$48</f>
        <v>0</v>
      </c>
      <c r="J8" s="107">
        <f>Production!J23*Assumptions!$C$48</f>
        <v>0</v>
      </c>
      <c r="K8" s="107">
        <f>Production!K23*Assumptions!$C$48</f>
        <v>0</v>
      </c>
      <c r="L8" s="107">
        <f>Production!L23*Assumptions!$C$48</f>
        <v>0</v>
      </c>
      <c r="M8" s="107">
        <f>Production!M23*Assumptions!$C$48</f>
        <v>0</v>
      </c>
      <c r="N8" s="107">
        <f>Production!N23*Assumptions!$C$48</f>
        <v>0</v>
      </c>
      <c r="O8" s="107">
        <f>Production!O23*Assumptions!$C$48</f>
        <v>0</v>
      </c>
      <c r="P8" s="532">
        <f>Production!P23*Assumptions!$C$48</f>
        <v>0</v>
      </c>
      <c r="Q8" s="695">
        <f>Production!Q23*Assumptions!$C$48</f>
        <v>0</v>
      </c>
      <c r="R8" s="110">
        <f>Production!R23*Assumptions!$C$48</f>
        <v>0</v>
      </c>
      <c r="S8" s="110">
        <f>Production!S23*Assumptions!$C$48</f>
        <v>0</v>
      </c>
      <c r="T8" s="110">
        <f>Production!T23*Assumptions!$C$48</f>
        <v>0</v>
      </c>
      <c r="U8" s="110">
        <f>Production!U23*Assumptions!$C$48</f>
        <v>0</v>
      </c>
      <c r="V8" s="110">
        <f>Production!V23*Assumptions!$C$48</f>
        <v>0</v>
      </c>
      <c r="W8" s="110">
        <f>Production!W23*Assumptions!$C$48</f>
        <v>0</v>
      </c>
      <c r="X8" s="110">
        <f>Production!X23*Assumptions!$C$48</f>
        <v>0</v>
      </c>
      <c r="Y8" s="110">
        <f>Production!Y23*Assumptions!$C$48</f>
        <v>0</v>
      </c>
      <c r="Z8" s="110">
        <f>Production!Z23*Assumptions!$C$48</f>
        <v>0</v>
      </c>
      <c r="AA8" s="110">
        <f>Production!AA23*Assumptions!$C$48</f>
        <v>0</v>
      </c>
      <c r="AB8" s="110">
        <f>Production!AB23*Assumptions!$C$48</f>
        <v>0</v>
      </c>
      <c r="AC8" s="695">
        <f>Production!AC23*Assumptions!$C$48</f>
        <v>0</v>
      </c>
      <c r="AD8" s="110">
        <f>Production!AD23*Assumptions!$C$48</f>
        <v>0</v>
      </c>
      <c r="AE8" s="110">
        <f>Production!AE23*Assumptions!$C$48</f>
        <v>0</v>
      </c>
      <c r="AF8" s="110">
        <f>Production!AF23*Assumptions!$C$48</f>
        <v>0</v>
      </c>
      <c r="AG8" s="110">
        <f>Production!AG23*Assumptions!$C$48</f>
        <v>0</v>
      </c>
      <c r="AH8" s="110">
        <f>Production!AH23*Assumptions!$C$48</f>
        <v>0</v>
      </c>
      <c r="AI8" s="110">
        <f>Production!AI23*Assumptions!$C$48</f>
        <v>0</v>
      </c>
      <c r="AJ8" s="110">
        <f>Production!AJ23*Assumptions!$C$48</f>
        <v>0</v>
      </c>
      <c r="AK8" s="110">
        <f>Production!AK23*Assumptions!$C$48</f>
        <v>0</v>
      </c>
      <c r="AL8" s="110">
        <f>Production!AL23*Assumptions!$C$48</f>
        <v>0</v>
      </c>
      <c r="AM8" s="110">
        <f>Production!AM23*Assumptions!$C$48</f>
        <v>0</v>
      </c>
      <c r="AN8" s="110">
        <f>Production!AN23*Assumptions!$C$48</f>
        <v>0</v>
      </c>
      <c r="AO8" s="687">
        <f>Production!AO23*Assumptions!$C$48</f>
        <v>0</v>
      </c>
      <c r="AP8" s="110">
        <f>Production!AP23*Assumptions!$C$48</f>
        <v>42000</v>
      </c>
      <c r="AQ8" s="110">
        <f>Production!AQ23*Assumptions!$C$48</f>
        <v>42000</v>
      </c>
      <c r="AR8" s="110">
        <f>Production!AR23*Assumptions!$C$48</f>
        <v>126000</v>
      </c>
      <c r="AS8" s="110">
        <f>Production!AS23*Assumptions!$C$48</f>
        <v>168000</v>
      </c>
      <c r="AT8" s="110">
        <f>Production!AT23*Assumptions!$C$48</f>
        <v>63000</v>
      </c>
      <c r="AU8" s="110">
        <f>Production!AU23*Assumptions!$C$48</f>
        <v>84000</v>
      </c>
      <c r="AV8" s="110">
        <f>Production!AV23*Assumptions!$C$48</f>
        <v>105000</v>
      </c>
      <c r="AW8" s="110">
        <f>Production!AW23*Assumptions!$C$48</f>
        <v>42000</v>
      </c>
      <c r="AX8" s="110">
        <f>Production!AX23*Assumptions!$C$48</f>
        <v>84000</v>
      </c>
      <c r="AY8" s="110">
        <f>Production!AY23*Assumptions!$C$48</f>
        <v>105000</v>
      </c>
      <c r="AZ8" s="110">
        <f>Production!AZ23*Assumptions!$C$48</f>
        <v>105000</v>
      </c>
      <c r="BA8" s="695">
        <f>Production!BA23*Assumptions!$C$48</f>
        <v>63000</v>
      </c>
      <c r="BB8" s="110">
        <f>Production!BB23*Assumptions!$C$48</f>
        <v>42000</v>
      </c>
      <c r="BC8" s="110">
        <f>Production!BC23*Assumptions!$C$48</f>
        <v>42000</v>
      </c>
      <c r="BD8" s="110">
        <f>Production!BD23*Assumptions!$C$48</f>
        <v>126000</v>
      </c>
      <c r="BE8" s="110">
        <f>Production!BE23*Assumptions!$C$48</f>
        <v>168000</v>
      </c>
      <c r="BF8" s="110">
        <f>Production!BF23*Assumptions!$C$48</f>
        <v>63000</v>
      </c>
      <c r="BG8" s="110">
        <f>Production!BG23*Assumptions!$C$48</f>
        <v>84000</v>
      </c>
      <c r="BH8" s="110">
        <f>Production!BH23*Assumptions!$C$48</f>
        <v>105000</v>
      </c>
      <c r="BI8" s="110">
        <f>Production!BI23*Assumptions!$C$48</f>
        <v>42000</v>
      </c>
      <c r="BJ8" s="110">
        <f>Production!BJ23*Assumptions!$C$48</f>
        <v>84000</v>
      </c>
      <c r="BK8" s="110">
        <f>Production!BK23*Assumptions!$C$48</f>
        <v>105000</v>
      </c>
      <c r="BL8" s="110">
        <f>Production!BL23*Assumptions!$C$48</f>
        <v>105000</v>
      </c>
      <c r="BM8" s="695">
        <f>Production!BM23*Assumptions!$C$48</f>
        <v>63000</v>
      </c>
      <c r="BN8" s="110">
        <f>Production!BN23*Assumptions!$C$48</f>
        <v>42000</v>
      </c>
      <c r="BO8" s="110">
        <f>Production!BO23*Assumptions!$C$48</f>
        <v>42000</v>
      </c>
      <c r="BP8" s="110">
        <f>Production!BP23*Assumptions!$C$48</f>
        <v>126000</v>
      </c>
      <c r="BQ8" s="110">
        <f>Production!BQ23*Assumptions!$C$48</f>
        <v>168000</v>
      </c>
      <c r="BR8" s="110">
        <f>Production!BR23*Assumptions!$C$48</f>
        <v>63000</v>
      </c>
      <c r="BS8" s="110">
        <f>Production!BS23*Assumptions!$C$48</f>
        <v>84000</v>
      </c>
      <c r="BT8" s="110">
        <f>Production!BT23*Assumptions!$C$48</f>
        <v>105000</v>
      </c>
      <c r="BU8" s="110">
        <f>Production!BU23*Assumptions!$C$48</f>
        <v>42000</v>
      </c>
      <c r="BV8" s="110">
        <f>Production!BV23*Assumptions!$C$48</f>
        <v>84000</v>
      </c>
      <c r="BW8" s="110">
        <f>Production!BW23*Assumptions!$C$48</f>
        <v>105000</v>
      </c>
      <c r="BX8" s="110">
        <f>Production!BX23*Assumptions!$C$48</f>
        <v>126000</v>
      </c>
      <c r="BY8" s="695">
        <f>Production!BY23*Assumptions!$C$48</f>
        <v>42000</v>
      </c>
      <c r="BZ8" s="110">
        <f>Production!BZ23*Assumptions!$C$48</f>
        <v>42000</v>
      </c>
      <c r="CA8" s="110">
        <f>Production!CA23*Assumptions!$C$48</f>
        <v>42000</v>
      </c>
      <c r="CB8" s="110">
        <f>Production!CB23*Assumptions!$C$48</f>
        <v>147000</v>
      </c>
      <c r="CC8" s="110">
        <f>Production!CC23*Assumptions!$C$48</f>
        <v>147000</v>
      </c>
      <c r="CD8" s="110">
        <f>Production!CD23*Assumptions!$C$48</f>
        <v>63000</v>
      </c>
      <c r="CE8" s="110">
        <f>Production!CE23*Assumptions!$C$48</f>
        <v>84000</v>
      </c>
      <c r="CF8" s="110">
        <f>Production!CF23*Assumptions!$C$48</f>
        <v>105000</v>
      </c>
      <c r="CG8" s="110">
        <f>Production!CG23*Assumptions!$C$48</f>
        <v>42000</v>
      </c>
      <c r="CH8" s="110">
        <f>Production!CH23*Assumptions!$C$48</f>
        <v>84000</v>
      </c>
      <c r="CI8" s="110">
        <f>Production!CI23*Assumptions!$C$48</f>
        <v>105000</v>
      </c>
      <c r="CJ8" s="110">
        <f>Production!CJ23*Assumptions!$C$48</f>
        <v>126000</v>
      </c>
      <c r="CK8" s="695">
        <f>Production!CK23*Assumptions!$C$48</f>
        <v>42000</v>
      </c>
      <c r="CL8" s="110">
        <f>Production!CL23*Assumptions!$C$48</f>
        <v>42000</v>
      </c>
      <c r="CM8" s="110">
        <f>Production!CM23*Assumptions!$C$48</f>
        <v>42000</v>
      </c>
      <c r="CN8" s="110">
        <f>Production!CN23*Assumptions!$C$48</f>
        <v>147000</v>
      </c>
      <c r="CO8" s="110">
        <f>Production!CO23*Assumptions!$C$48</f>
        <v>147000</v>
      </c>
      <c r="CP8" s="110">
        <f>Production!CP23*Assumptions!$C$48</f>
        <v>63000</v>
      </c>
      <c r="CQ8" s="110">
        <f>Production!CQ23*Assumptions!$C$48</f>
        <v>84000</v>
      </c>
      <c r="CR8" s="110">
        <f>Production!CR23*Assumptions!$C$48</f>
        <v>105000</v>
      </c>
      <c r="CS8" s="110">
        <f>Production!CS23*Assumptions!$C$48</f>
        <v>42000</v>
      </c>
      <c r="CT8" s="110">
        <f>Production!CT23*Assumptions!$C$48</f>
        <v>105000</v>
      </c>
      <c r="CU8" s="110">
        <f>Production!CU23*Assumptions!$C$48</f>
        <v>105000</v>
      </c>
      <c r="CV8" s="110">
        <f>Production!CV23*Assumptions!$C$48</f>
        <v>105000</v>
      </c>
      <c r="CW8" s="695">
        <f>Production!CW23*Assumptions!$C$48</f>
        <v>42000</v>
      </c>
      <c r="CX8" s="110">
        <f>Production!CX23*Assumptions!$C$48</f>
        <v>42000</v>
      </c>
      <c r="CY8" s="110">
        <f>Production!CY23*Assumptions!$C$48</f>
        <v>63000</v>
      </c>
      <c r="CZ8" s="110">
        <f>Production!CZ23*Assumptions!$C$48</f>
        <v>126000</v>
      </c>
      <c r="DA8" s="110">
        <f>Production!DA23*Assumptions!$C$48</f>
        <v>147000</v>
      </c>
      <c r="DB8" s="110">
        <f>Production!DB23*Assumptions!$C$48</f>
        <v>63000</v>
      </c>
      <c r="DC8" s="110">
        <f>Production!DC23*Assumptions!$C$48</f>
        <v>84000</v>
      </c>
      <c r="DD8" s="110">
        <f>Production!DD23*Assumptions!$C$48</f>
        <v>105000</v>
      </c>
      <c r="DE8" s="110">
        <f>Production!DE23*Assumptions!$C$48</f>
        <v>42000</v>
      </c>
      <c r="DF8" s="110">
        <f>Production!DF23*Assumptions!$C$48</f>
        <v>105000</v>
      </c>
      <c r="DG8" s="110">
        <f>Production!DG23*Assumptions!$C$48</f>
        <v>105000</v>
      </c>
      <c r="DH8" s="110">
        <f>Production!DH23*Assumptions!$C$48</f>
        <v>105000</v>
      </c>
      <c r="DI8" s="695">
        <f>Production!DI23*Assumptions!$C$48</f>
        <v>42000</v>
      </c>
      <c r="DJ8" s="110">
        <f>Production!DJ23*Assumptions!$C$48</f>
        <v>42000</v>
      </c>
      <c r="DK8" s="110">
        <f>Production!DK23*Assumptions!$C$48</f>
        <v>63000</v>
      </c>
      <c r="DL8" s="110">
        <f>Production!DL23*Assumptions!$C$48</f>
        <v>126000</v>
      </c>
      <c r="DM8" s="110">
        <f>Production!DM23*Assumptions!$C$48</f>
        <v>147000</v>
      </c>
      <c r="DN8" s="110">
        <f>Production!DN23*Assumptions!$C$48</f>
        <v>63000</v>
      </c>
      <c r="DO8" s="110">
        <f>Production!DO23*Assumptions!$C$48</f>
        <v>105000</v>
      </c>
      <c r="DP8" s="110">
        <f>Production!DP23*Assumptions!$C$48</f>
        <v>84000</v>
      </c>
      <c r="DQ8" s="110">
        <f>Production!DQ23*Assumptions!$C$48</f>
        <v>42000</v>
      </c>
      <c r="DR8" s="110">
        <f>Production!DR23*Assumptions!$C$48</f>
        <v>105000</v>
      </c>
      <c r="DS8" s="110">
        <f>Production!DS23*Assumptions!$C$48</f>
        <v>105000</v>
      </c>
      <c r="DT8" s="110">
        <f>Production!DT23*Assumptions!$C$48</f>
        <v>105000</v>
      </c>
    </row>
    <row r="9" spans="1:124" ht="17.25" customHeight="1" x14ac:dyDescent="0.25">
      <c r="A9" s="8"/>
      <c r="B9" s="250" t="s">
        <v>399</v>
      </c>
      <c r="C9" s="188"/>
      <c r="E9" s="107">
        <f>Production!E29*Assumptions!$C31*Assumptions!$C$49</f>
        <v>0</v>
      </c>
      <c r="F9" s="107">
        <f>Production!F29*Assumptions!$C31*Assumptions!$C$49</f>
        <v>0</v>
      </c>
      <c r="G9" s="107">
        <f>Production!G29*Assumptions!$C31*Assumptions!$C$49</f>
        <v>0</v>
      </c>
      <c r="H9" s="107">
        <f>Production!H29*Assumptions!$C31*Assumptions!$C$49</f>
        <v>0</v>
      </c>
      <c r="I9" s="107">
        <f>Production!I29*Assumptions!$C31*Assumptions!$C$49</f>
        <v>0</v>
      </c>
      <c r="J9" s="107">
        <f>Production!J29*Assumptions!$C31*Assumptions!$C$49</f>
        <v>0</v>
      </c>
      <c r="K9" s="107">
        <f>Production!K29*Assumptions!$C31*Assumptions!$C$49</f>
        <v>0</v>
      </c>
      <c r="L9" s="107">
        <f>Production!L29*Assumptions!$C31*Assumptions!$C$49</f>
        <v>0</v>
      </c>
      <c r="M9" s="107">
        <f>Production!M29*Assumptions!$C31*Assumptions!$C$49</f>
        <v>0</v>
      </c>
      <c r="N9" s="107">
        <f>Production!N29*Assumptions!$C31*Assumptions!$C$49</f>
        <v>0</v>
      </c>
      <c r="O9" s="107">
        <f>Production!O29*Assumptions!$C31*Assumptions!$C$49</f>
        <v>0</v>
      </c>
      <c r="P9" s="532">
        <f>Production!P29*Assumptions!$C31*Assumptions!$C$49</f>
        <v>0</v>
      </c>
      <c r="Q9" s="695">
        <f>Production!Q29*Assumptions!$C31*Assumptions!$C$49</f>
        <v>0</v>
      </c>
      <c r="R9" s="110">
        <f>Production!R29*Assumptions!$C31*Assumptions!$C$49</f>
        <v>0</v>
      </c>
      <c r="S9" s="110">
        <f>Production!S29*Assumptions!$C31*Assumptions!$C$49</f>
        <v>0</v>
      </c>
      <c r="T9" s="110">
        <f>Production!T29*Assumptions!$C31*Assumptions!$C$49</f>
        <v>0</v>
      </c>
      <c r="U9" s="110">
        <f>Production!U29*Assumptions!$C31*Assumptions!$C$49</f>
        <v>0</v>
      </c>
      <c r="V9" s="110">
        <f>Production!V29*Assumptions!$C31*Assumptions!$C$49</f>
        <v>0</v>
      </c>
      <c r="W9" s="110">
        <f>Production!W29*Assumptions!$C31*Assumptions!$C$49</f>
        <v>0</v>
      </c>
      <c r="X9" s="110">
        <f>Production!X29*Assumptions!$C31*Assumptions!$C$49</f>
        <v>0</v>
      </c>
      <c r="Y9" s="110">
        <f>Production!Y29*Assumptions!$C31*Assumptions!$C$49</f>
        <v>0</v>
      </c>
      <c r="Z9" s="110">
        <f>Production!Z29*Assumptions!$C31*Assumptions!$C$49</f>
        <v>0</v>
      </c>
      <c r="AA9" s="110">
        <f>Production!AA29*Assumptions!$C31*Assumptions!$C$49</f>
        <v>0</v>
      </c>
      <c r="AB9" s="110">
        <f>Production!AB29*Assumptions!$C31*Assumptions!$C$49</f>
        <v>0</v>
      </c>
      <c r="AC9" s="695">
        <f>Production!AC29*Assumptions!$C31*Assumptions!$C$49</f>
        <v>0</v>
      </c>
      <c r="AD9" s="110">
        <f>Production!AD29*Assumptions!$C31*Assumptions!$C$49</f>
        <v>0</v>
      </c>
      <c r="AE9" s="110">
        <f>Production!AE29*Assumptions!$C31*Assumptions!$C$49</f>
        <v>0</v>
      </c>
      <c r="AF9" s="110">
        <f>Production!AF29*Assumptions!$C31*Assumptions!$C$49</f>
        <v>0</v>
      </c>
      <c r="AG9" s="110">
        <f>Production!AG29*Assumptions!$C31*Assumptions!$C$49</f>
        <v>0</v>
      </c>
      <c r="AH9" s="110">
        <f>Production!AH29*Assumptions!$C31*Assumptions!$C$49</f>
        <v>0</v>
      </c>
      <c r="AI9" s="110">
        <f>Production!AI29*Assumptions!$C31*Assumptions!$C$49</f>
        <v>0</v>
      </c>
      <c r="AJ9" s="110">
        <f>Production!AJ29*Assumptions!$C31*Assumptions!$C$49</f>
        <v>0</v>
      </c>
      <c r="AK9" s="110">
        <f>Production!AK29*Assumptions!$C31*Assumptions!$C$49</f>
        <v>0</v>
      </c>
      <c r="AL9" s="110">
        <f>Production!AL29*Assumptions!$C31*Assumptions!$C$49</f>
        <v>0</v>
      </c>
      <c r="AM9" s="110">
        <f>Production!AM29*Assumptions!$C31*Assumptions!$C$49</f>
        <v>0</v>
      </c>
      <c r="AN9" s="110">
        <f>Production!AN29*Assumptions!$C$49</f>
        <v>0</v>
      </c>
      <c r="AO9" s="687">
        <f>Production!AO29*Assumptions!$C$49</f>
        <v>0</v>
      </c>
      <c r="AP9" s="110">
        <f>Production!AP29*Assumptions!$C$49</f>
        <v>21000</v>
      </c>
      <c r="AQ9" s="110">
        <f>Production!AQ29*Assumptions!$C$49</f>
        <v>42000</v>
      </c>
      <c r="AR9" s="110">
        <f>Production!AR29*Assumptions!$C$49</f>
        <v>84000</v>
      </c>
      <c r="AS9" s="110">
        <f>Production!AS29*Assumptions!$C$49</f>
        <v>105000</v>
      </c>
      <c r="AT9" s="110">
        <f>Production!AT29*Assumptions!$C$49</f>
        <v>42000</v>
      </c>
      <c r="AU9" s="110">
        <f>Production!AU29*Assumptions!$C$49</f>
        <v>42000</v>
      </c>
      <c r="AV9" s="110">
        <f>Production!AV29*Assumptions!$C$49</f>
        <v>84000</v>
      </c>
      <c r="AW9" s="110">
        <f>Production!AW29*Assumptions!$C$49</f>
        <v>21000</v>
      </c>
      <c r="AX9" s="110">
        <f>Production!AX29*Assumptions!$C$49</f>
        <v>63000</v>
      </c>
      <c r="AY9" s="110">
        <f>Production!AY29*Assumptions!$C$49</f>
        <v>63000</v>
      </c>
      <c r="AZ9" s="110">
        <f>Production!AZ29*Assumptions!$C$49</f>
        <v>84000</v>
      </c>
      <c r="BA9" s="695">
        <f>Production!BA29*Assumptions!$C$49</f>
        <v>21000</v>
      </c>
      <c r="BB9" s="110">
        <f>Production!BB29*Assumptions!$C$49</f>
        <v>42000</v>
      </c>
      <c r="BC9" s="110">
        <f>Production!BC29*Assumptions!$C$49</f>
        <v>21000</v>
      </c>
      <c r="BD9" s="110">
        <f>Production!BD29*Assumptions!$C$49</f>
        <v>84000</v>
      </c>
      <c r="BE9" s="110">
        <f>Production!BE29*Assumptions!$C$49</f>
        <v>105000</v>
      </c>
      <c r="BF9" s="110">
        <f>Production!BF29*Assumptions!$C$49</f>
        <v>42000</v>
      </c>
      <c r="BG9" s="110">
        <f>Production!BG29*Assumptions!$C$49</f>
        <v>63000</v>
      </c>
      <c r="BH9" s="110">
        <f>Production!BH29*Assumptions!$C$49</f>
        <v>63000</v>
      </c>
      <c r="BI9" s="110">
        <f>Production!BI29*Assumptions!$C$49</f>
        <v>42000</v>
      </c>
      <c r="BJ9" s="110">
        <f>Production!BJ29*Assumptions!$C$49</f>
        <v>63000</v>
      </c>
      <c r="BK9" s="110">
        <f>Production!BK29*Assumptions!$C$49</f>
        <v>63000</v>
      </c>
      <c r="BL9" s="110">
        <f>Production!BL29*Assumptions!$C$49</f>
        <v>63000</v>
      </c>
      <c r="BM9" s="695">
        <f>Production!BM29*Assumptions!$C$49</f>
        <v>42000</v>
      </c>
      <c r="BN9" s="110">
        <f>Production!BN29*Assumptions!$C$49</f>
        <v>42000</v>
      </c>
      <c r="BO9" s="110">
        <f>Production!BO29*Assumptions!$C$49</f>
        <v>21000</v>
      </c>
      <c r="BP9" s="110">
        <f>Production!BP29*Assumptions!$C$49</f>
        <v>84000</v>
      </c>
      <c r="BQ9" s="110">
        <f>Production!BQ29*Assumptions!$C$49</f>
        <v>105000</v>
      </c>
      <c r="BR9" s="110">
        <f>Production!BR29*Assumptions!$C$49</f>
        <v>42000</v>
      </c>
      <c r="BS9" s="110">
        <f>Production!BS29*Assumptions!$C$49</f>
        <v>63000</v>
      </c>
      <c r="BT9" s="110">
        <f>Production!BT29*Assumptions!$C$49</f>
        <v>63000</v>
      </c>
      <c r="BU9" s="110">
        <f>Production!BU29*Assumptions!$C$49</f>
        <v>21000</v>
      </c>
      <c r="BV9" s="110">
        <f>Production!BV29*Assumptions!$C$49</f>
        <v>63000</v>
      </c>
      <c r="BW9" s="110">
        <f>Production!BW29*Assumptions!$C$49</f>
        <v>84000</v>
      </c>
      <c r="BX9" s="110">
        <f>Production!BX29*Assumptions!$C$49</f>
        <v>63000</v>
      </c>
      <c r="BY9" s="695">
        <f>Production!BY29*Assumptions!$C$49</f>
        <v>42000</v>
      </c>
      <c r="BZ9" s="110">
        <f>Production!BZ29*Assumptions!$C$49</f>
        <v>21000</v>
      </c>
      <c r="CA9" s="110">
        <f>Production!CA29*Assumptions!$C$49</f>
        <v>42000</v>
      </c>
      <c r="CB9" s="110">
        <f>Production!CB29*Assumptions!$C$49</f>
        <v>84000</v>
      </c>
      <c r="CC9" s="110">
        <f>Production!CC29*Assumptions!$C$49</f>
        <v>105000</v>
      </c>
      <c r="CD9" s="110">
        <f>Production!CD29*Assumptions!$C$49</f>
        <v>42000</v>
      </c>
      <c r="CE9" s="110">
        <f>Production!CE29*Assumptions!$C$49</f>
        <v>63000</v>
      </c>
      <c r="CF9" s="110">
        <f>Production!CF29*Assumptions!$C$49</f>
        <v>63000</v>
      </c>
      <c r="CG9" s="110">
        <f>Production!CG29*Assumptions!$C$49</f>
        <v>21000</v>
      </c>
      <c r="CH9" s="110">
        <f>Production!CH29*Assumptions!$C$49</f>
        <v>63000</v>
      </c>
      <c r="CI9" s="110">
        <f>Production!CI29*Assumptions!$C$49</f>
        <v>63000</v>
      </c>
      <c r="CJ9" s="110">
        <f>Production!CJ29*Assumptions!$C$49</f>
        <v>84000</v>
      </c>
      <c r="CK9" s="695">
        <f>Production!CK29*Assumptions!$C$49</f>
        <v>21000</v>
      </c>
      <c r="CL9" s="110">
        <f>Production!CL29*Assumptions!$C$49</f>
        <v>42000</v>
      </c>
      <c r="CM9" s="110">
        <f>Production!CM29*Assumptions!$C$49</f>
        <v>21000</v>
      </c>
      <c r="CN9" s="110">
        <f>Production!CN29*Assumptions!$C$49</f>
        <v>105000</v>
      </c>
      <c r="CO9" s="110">
        <f>Production!CO29*Assumptions!$C$49</f>
        <v>105000</v>
      </c>
      <c r="CP9" s="110">
        <f>Production!CP29*Assumptions!$C$49</f>
        <v>42000</v>
      </c>
      <c r="CQ9" s="110">
        <f>Production!CQ29*Assumptions!$C$49</f>
        <v>42000</v>
      </c>
      <c r="CR9" s="110">
        <f>Production!CR29*Assumptions!$C$49</f>
        <v>84000</v>
      </c>
      <c r="CS9" s="110">
        <f>Production!CS29*Assumptions!$C$49</f>
        <v>21000</v>
      </c>
      <c r="CT9" s="110">
        <f>Production!CT29*Assumptions!$C$49</f>
        <v>63000</v>
      </c>
      <c r="CU9" s="110">
        <f>Production!CU29*Assumptions!$C$49</f>
        <v>63000</v>
      </c>
      <c r="CV9" s="110">
        <f>Production!CV29*Assumptions!$C$49</f>
        <v>84000</v>
      </c>
      <c r="CW9" s="695">
        <f>Production!CW29*Assumptions!$C$49</f>
        <v>21000</v>
      </c>
      <c r="CX9" s="110">
        <f>Production!CX29*Assumptions!$C$49</f>
        <v>42000</v>
      </c>
      <c r="CY9" s="110">
        <f>Production!CY29*Assumptions!$C$49</f>
        <v>21000</v>
      </c>
      <c r="CZ9" s="110">
        <f>Production!CZ29*Assumptions!$C$49</f>
        <v>84000</v>
      </c>
      <c r="DA9" s="110">
        <f>Production!DA29*Assumptions!$C$49</f>
        <v>105000</v>
      </c>
      <c r="DB9" s="110">
        <f>Production!DB29*Assumptions!$C$49</f>
        <v>42000</v>
      </c>
      <c r="DC9" s="110">
        <f>Production!DC29*Assumptions!$C$49</f>
        <v>63000</v>
      </c>
      <c r="DD9" s="110">
        <f>Production!DD29*Assumptions!$C$49</f>
        <v>63000</v>
      </c>
      <c r="DE9" s="110">
        <f>Production!DE29*Assumptions!$C$49</f>
        <v>42000</v>
      </c>
      <c r="DF9" s="110">
        <f>Production!DF29*Assumptions!$C$49</f>
        <v>63000</v>
      </c>
      <c r="DG9" s="110">
        <f>Production!DG29*Assumptions!$C$49</f>
        <v>63000</v>
      </c>
      <c r="DH9" s="110">
        <f>Production!DH29*Assumptions!$C$49</f>
        <v>63000</v>
      </c>
      <c r="DI9" s="695">
        <f>Production!DI29*Assumptions!$C$49</f>
        <v>42000</v>
      </c>
      <c r="DJ9" s="110">
        <f>Production!DJ29*Assumptions!$C$49</f>
        <v>21000</v>
      </c>
      <c r="DK9" s="110">
        <f>Production!DK29*Assumptions!$C$49</f>
        <v>42000</v>
      </c>
      <c r="DL9" s="110">
        <f>Production!DL29*Assumptions!$C$49</f>
        <v>84000</v>
      </c>
      <c r="DM9" s="110">
        <f>Production!DM29*Assumptions!$C$49</f>
        <v>105000</v>
      </c>
      <c r="DN9" s="110">
        <f>Production!DN29*Assumptions!$C$49</f>
        <v>42000</v>
      </c>
      <c r="DO9" s="110">
        <f>Production!DO29*Assumptions!$C$49</f>
        <v>63000</v>
      </c>
      <c r="DP9" s="110">
        <f>Production!DP29*Assumptions!$C$49</f>
        <v>63000</v>
      </c>
      <c r="DQ9" s="110">
        <f>Production!DQ29*Assumptions!$C$49</f>
        <v>21000</v>
      </c>
      <c r="DR9" s="110">
        <f>Production!DR29*Assumptions!$C$49</f>
        <v>63000</v>
      </c>
      <c r="DS9" s="110">
        <f>Production!DS29*Assumptions!$C$49</f>
        <v>84000</v>
      </c>
      <c r="DT9" s="110">
        <f>Production!DT29*Assumptions!$C$49</f>
        <v>63000</v>
      </c>
    </row>
    <row r="10" spans="1:124" ht="15" x14ac:dyDescent="0.25">
      <c r="A10" s="8"/>
      <c r="B10" s="167"/>
      <c r="C10" s="9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607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607"/>
      <c r="AC10" s="408"/>
      <c r="AD10" s="408"/>
      <c r="AE10" s="128"/>
      <c r="AF10" s="128"/>
      <c r="AG10" s="128"/>
      <c r="AH10" s="128"/>
      <c r="AI10" s="128"/>
      <c r="AJ10" s="128"/>
      <c r="AK10" s="128"/>
      <c r="AL10" s="128"/>
      <c r="AM10" s="128"/>
      <c r="AN10" s="607"/>
      <c r="AO10" s="1186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607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607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607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607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607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607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607"/>
    </row>
    <row r="11" spans="1:124" ht="22.5" customHeight="1" x14ac:dyDescent="0.3">
      <c r="A11" s="125"/>
      <c r="B11" s="161" t="s">
        <v>134</v>
      </c>
      <c r="C11" s="1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500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500"/>
      <c r="AC11" s="200"/>
      <c r="AD11" s="200"/>
      <c r="AE11" s="3"/>
      <c r="AF11" s="3"/>
      <c r="AG11" s="3"/>
      <c r="AH11" s="3"/>
      <c r="AI11" s="3"/>
      <c r="AJ11" s="3"/>
      <c r="AK11" s="3"/>
      <c r="AL11" s="3"/>
      <c r="AM11" s="3"/>
      <c r="AN11" s="500"/>
      <c r="AO11" s="788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500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500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500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500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500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500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500"/>
    </row>
    <row r="12" spans="1:124" ht="15" hidden="1" customHeight="1" x14ac:dyDescent="0.3">
      <c r="A12" s="125"/>
      <c r="B12" s="250" t="s">
        <v>563</v>
      </c>
      <c r="C12" s="188"/>
      <c r="D12" s="7"/>
      <c r="E12" s="409">
        <f>Assumptions!$E33</f>
        <v>64</v>
      </c>
      <c r="F12" s="409">
        <f>Assumptions!$E33</f>
        <v>64</v>
      </c>
      <c r="G12" s="409">
        <f>Assumptions!$E33</f>
        <v>64</v>
      </c>
      <c r="H12" s="409">
        <f>Assumptions!$E33</f>
        <v>64</v>
      </c>
      <c r="I12" s="409">
        <f>Assumptions!$E33</f>
        <v>64</v>
      </c>
      <c r="J12" s="409">
        <f>Assumptions!$E33</f>
        <v>64</v>
      </c>
      <c r="K12" s="409">
        <f>Assumptions!$E33</f>
        <v>64</v>
      </c>
      <c r="L12" s="409">
        <f>Assumptions!$E33</f>
        <v>64</v>
      </c>
      <c r="M12" s="409">
        <f>Assumptions!$E33</f>
        <v>64</v>
      </c>
      <c r="N12" s="409">
        <f>Assumptions!$E33</f>
        <v>64</v>
      </c>
      <c r="O12" s="409">
        <f>Assumptions!$E33</f>
        <v>64</v>
      </c>
      <c r="P12" s="725">
        <f>Assumptions!$E33</f>
        <v>64</v>
      </c>
      <c r="Q12" s="713">
        <f>Assumptions!$F33</f>
        <v>68.031999999999996</v>
      </c>
      <c r="R12" s="714">
        <f>Assumptions!$F33</f>
        <v>68.031999999999996</v>
      </c>
      <c r="S12" s="714">
        <f>Assumptions!$F33</f>
        <v>68.031999999999996</v>
      </c>
      <c r="T12" s="714">
        <f>Assumptions!$F33</f>
        <v>68.031999999999996</v>
      </c>
      <c r="U12" s="714">
        <f>Assumptions!$F33</f>
        <v>68.031999999999996</v>
      </c>
      <c r="V12" s="714">
        <f>Assumptions!$F33</f>
        <v>68.031999999999996</v>
      </c>
      <c r="W12" s="714">
        <f>Assumptions!$F33</f>
        <v>68.031999999999996</v>
      </c>
      <c r="X12" s="714">
        <f>Assumptions!$F33</f>
        <v>68.031999999999996</v>
      </c>
      <c r="Y12" s="714">
        <f>Assumptions!$F33</f>
        <v>68.031999999999996</v>
      </c>
      <c r="Z12" s="714">
        <f>Assumptions!$F33</f>
        <v>68.031999999999996</v>
      </c>
      <c r="AA12" s="714">
        <f>Assumptions!$F33</f>
        <v>68.031999999999996</v>
      </c>
      <c r="AB12" s="715">
        <f>Assumptions!$F33</f>
        <v>68.031999999999996</v>
      </c>
      <c r="AC12" s="713">
        <f>Assumptions!$G33</f>
        <v>72.318015999999986</v>
      </c>
      <c r="AD12" s="714">
        <f>Assumptions!$G33</f>
        <v>72.318015999999986</v>
      </c>
      <c r="AE12" s="714">
        <f>Assumptions!$G33</f>
        <v>72.318015999999986</v>
      </c>
      <c r="AF12" s="714">
        <f>Assumptions!$G33</f>
        <v>72.318015999999986</v>
      </c>
      <c r="AG12" s="714">
        <f>Assumptions!$G33</f>
        <v>72.318015999999986</v>
      </c>
      <c r="AH12" s="714">
        <f>Assumptions!$G33</f>
        <v>72.318015999999986</v>
      </c>
      <c r="AI12" s="714">
        <f>Assumptions!$G33</f>
        <v>72.318015999999986</v>
      </c>
      <c r="AJ12" s="714">
        <f>Assumptions!$G33</f>
        <v>72.318015999999986</v>
      </c>
      <c r="AK12" s="714">
        <f>Assumptions!$G33</f>
        <v>72.318015999999986</v>
      </c>
      <c r="AL12" s="714">
        <f>Assumptions!$G33</f>
        <v>72.318015999999986</v>
      </c>
      <c r="AM12" s="714">
        <f>Assumptions!$G33</f>
        <v>72.318015999999986</v>
      </c>
      <c r="AN12" s="715">
        <f>Assumptions!$G33</f>
        <v>72.318015999999986</v>
      </c>
      <c r="AO12" s="714">
        <f>Assumptions!$H33</f>
        <v>76.874051007999981</v>
      </c>
      <c r="AP12" s="714">
        <f>Assumptions!$H33</f>
        <v>76.874051007999981</v>
      </c>
      <c r="AQ12" s="714">
        <f>Assumptions!$H33</f>
        <v>76.874051007999981</v>
      </c>
      <c r="AR12" s="714">
        <f>Assumptions!$H33</f>
        <v>76.874051007999981</v>
      </c>
      <c r="AS12" s="714">
        <f>Assumptions!$H33</f>
        <v>76.874051007999981</v>
      </c>
      <c r="AT12" s="714">
        <f>Assumptions!$H33</f>
        <v>76.874051007999981</v>
      </c>
      <c r="AU12" s="714">
        <f>Assumptions!$H33</f>
        <v>76.874051007999981</v>
      </c>
      <c r="AV12" s="714">
        <f>Assumptions!$H33</f>
        <v>76.874051007999981</v>
      </c>
      <c r="AW12" s="714">
        <f>Assumptions!$H33</f>
        <v>76.874051007999981</v>
      </c>
      <c r="AX12" s="714">
        <f>Assumptions!$H33</f>
        <v>76.874051007999981</v>
      </c>
      <c r="AY12" s="714">
        <f>Assumptions!$H33</f>
        <v>76.874051007999981</v>
      </c>
      <c r="AZ12" s="715">
        <f>Assumptions!$H33</f>
        <v>76.874051007999981</v>
      </c>
      <c r="BA12" s="713">
        <f>Assumptions!$I33</f>
        <v>81.717116221503971</v>
      </c>
      <c r="BB12" s="714">
        <f>Assumptions!$I33</f>
        <v>81.717116221503971</v>
      </c>
      <c r="BC12" s="714">
        <f>Assumptions!$I33</f>
        <v>81.717116221503971</v>
      </c>
      <c r="BD12" s="714">
        <f>Assumptions!$I33</f>
        <v>81.717116221503971</v>
      </c>
      <c r="BE12" s="714">
        <f>Assumptions!$I33</f>
        <v>81.717116221503971</v>
      </c>
      <c r="BF12" s="714">
        <f>Assumptions!$I33</f>
        <v>81.717116221503971</v>
      </c>
      <c r="BG12" s="714">
        <f>Assumptions!$I33</f>
        <v>81.717116221503971</v>
      </c>
      <c r="BH12" s="714">
        <f>Assumptions!$I33</f>
        <v>81.717116221503971</v>
      </c>
      <c r="BI12" s="714">
        <f>Assumptions!$I33</f>
        <v>81.717116221503971</v>
      </c>
      <c r="BJ12" s="714">
        <f>Assumptions!$I33</f>
        <v>81.717116221503971</v>
      </c>
      <c r="BK12" s="714">
        <f>Assumptions!$I33</f>
        <v>81.717116221503971</v>
      </c>
      <c r="BL12" s="715">
        <f>Assumptions!$I33</f>
        <v>81.717116221503971</v>
      </c>
      <c r="BM12" s="713">
        <f>Assumptions!$J33</f>
        <v>86.865294543458717</v>
      </c>
      <c r="BN12" s="714">
        <f>Assumptions!$J33</f>
        <v>86.865294543458717</v>
      </c>
      <c r="BO12" s="714">
        <f>Assumptions!$J33</f>
        <v>86.865294543458717</v>
      </c>
      <c r="BP12" s="714">
        <f>Assumptions!$J33</f>
        <v>86.865294543458717</v>
      </c>
      <c r="BQ12" s="714">
        <f>Assumptions!$J33</f>
        <v>86.865294543458717</v>
      </c>
      <c r="BR12" s="714">
        <f>Assumptions!$J33</f>
        <v>86.865294543458717</v>
      </c>
      <c r="BS12" s="714">
        <f>Assumptions!$J33</f>
        <v>86.865294543458717</v>
      </c>
      <c r="BT12" s="713">
        <f>Assumptions!$J33</f>
        <v>86.865294543458717</v>
      </c>
      <c r="BU12" s="713">
        <f>Assumptions!$J33</f>
        <v>86.865294543458717</v>
      </c>
      <c r="BV12" s="713">
        <f>Assumptions!$J33</f>
        <v>86.865294543458717</v>
      </c>
      <c r="BW12" s="713">
        <f>Assumptions!$J33</f>
        <v>86.865294543458717</v>
      </c>
      <c r="BX12" s="727">
        <f>Assumptions!$J33</f>
        <v>86.865294543458717</v>
      </c>
      <c r="BY12" s="713">
        <f>Assumptions!$K33</f>
        <v>92.337808099696616</v>
      </c>
      <c r="BZ12" s="713">
        <f>Assumptions!$K33</f>
        <v>92.337808099696616</v>
      </c>
      <c r="CA12" s="713">
        <f>Assumptions!$K33</f>
        <v>92.337808099696616</v>
      </c>
      <c r="CB12" s="713">
        <f>Assumptions!$K33</f>
        <v>92.337808099696616</v>
      </c>
      <c r="CC12" s="713">
        <f>Assumptions!$K33</f>
        <v>92.337808099696616</v>
      </c>
      <c r="CD12" s="713">
        <f>Assumptions!$K33</f>
        <v>92.337808099696616</v>
      </c>
      <c r="CE12" s="713">
        <f>Assumptions!$K33</f>
        <v>92.337808099696616</v>
      </c>
      <c r="CF12" s="713">
        <f>Assumptions!$K33</f>
        <v>92.337808099696616</v>
      </c>
      <c r="CG12" s="713">
        <f>Assumptions!$K33</f>
        <v>92.337808099696616</v>
      </c>
      <c r="CH12" s="713">
        <f>Assumptions!$K33</f>
        <v>92.337808099696616</v>
      </c>
      <c r="CI12" s="713">
        <f>Assumptions!$K33</f>
        <v>92.337808099696616</v>
      </c>
      <c r="CJ12" s="727">
        <f>Assumptions!$K33</f>
        <v>92.337808099696616</v>
      </c>
      <c r="CK12" s="713">
        <f>Assumptions!$L33</f>
        <v>98.155090009977499</v>
      </c>
      <c r="CL12" s="713">
        <f>Assumptions!$L33</f>
        <v>98.155090009977499</v>
      </c>
      <c r="CM12" s="713">
        <f>Assumptions!$L33</f>
        <v>98.155090009977499</v>
      </c>
      <c r="CN12" s="713">
        <f>Assumptions!$L33</f>
        <v>98.155090009977499</v>
      </c>
      <c r="CO12" s="713">
        <f>Assumptions!$L33</f>
        <v>98.155090009977499</v>
      </c>
      <c r="CP12" s="713">
        <f>Assumptions!$L33</f>
        <v>98.155090009977499</v>
      </c>
      <c r="CQ12" s="713">
        <f>Assumptions!$L33</f>
        <v>98.155090009977499</v>
      </c>
      <c r="CR12" s="713">
        <f>Assumptions!$L33</f>
        <v>98.155090009977499</v>
      </c>
      <c r="CS12" s="713">
        <f>Assumptions!$L33</f>
        <v>98.155090009977499</v>
      </c>
      <c r="CT12" s="713">
        <f>Assumptions!$L33</f>
        <v>98.155090009977499</v>
      </c>
      <c r="CU12" s="713">
        <f>Assumptions!$L33</f>
        <v>98.155090009977499</v>
      </c>
      <c r="CV12" s="727">
        <f>Assumptions!$L33</f>
        <v>98.155090009977499</v>
      </c>
      <c r="CW12" s="713">
        <f>Assumptions!$M33</f>
        <v>104.33886068060607</v>
      </c>
      <c r="CX12" s="713">
        <f>Assumptions!$M33</f>
        <v>104.33886068060607</v>
      </c>
      <c r="CY12" s="713">
        <f>Assumptions!$M33</f>
        <v>104.33886068060607</v>
      </c>
      <c r="CZ12" s="713">
        <f>Assumptions!$M33</f>
        <v>104.33886068060607</v>
      </c>
      <c r="DA12" s="713">
        <f>Assumptions!$M33</f>
        <v>104.33886068060607</v>
      </c>
      <c r="DB12" s="713">
        <f>Assumptions!$M33</f>
        <v>104.33886068060607</v>
      </c>
      <c r="DC12" s="713">
        <f>Assumptions!$M33</f>
        <v>104.33886068060607</v>
      </c>
      <c r="DD12" s="713">
        <f>Assumptions!$M33</f>
        <v>104.33886068060607</v>
      </c>
      <c r="DE12" s="713">
        <f>Assumptions!$M33</f>
        <v>104.33886068060607</v>
      </c>
      <c r="DF12" s="713">
        <f>Assumptions!$M33</f>
        <v>104.33886068060607</v>
      </c>
      <c r="DG12" s="713">
        <f>Assumptions!$M33</f>
        <v>104.33886068060607</v>
      </c>
      <c r="DH12" s="727">
        <f>Assumptions!$M33</f>
        <v>104.33886068060607</v>
      </c>
      <c r="DI12" s="713">
        <f>Assumptions!$N33</f>
        <v>110.91220890348426</v>
      </c>
      <c r="DJ12" s="713">
        <f>Assumptions!$N33</f>
        <v>110.91220890348426</v>
      </c>
      <c r="DK12" s="713">
        <f>Assumptions!$N33</f>
        <v>110.91220890348426</v>
      </c>
      <c r="DL12" s="713">
        <f>Assumptions!$N33</f>
        <v>110.91220890348426</v>
      </c>
      <c r="DM12" s="713">
        <f>Assumptions!$N33</f>
        <v>110.91220890348426</v>
      </c>
      <c r="DN12" s="713">
        <f>Assumptions!$N33</f>
        <v>110.91220890348426</v>
      </c>
      <c r="DO12" s="713">
        <f>Assumptions!$N33</f>
        <v>110.91220890348426</v>
      </c>
      <c r="DP12" s="713">
        <f>Assumptions!$N33</f>
        <v>110.91220890348426</v>
      </c>
      <c r="DQ12" s="713">
        <f>Assumptions!$N33</f>
        <v>110.91220890348426</v>
      </c>
      <c r="DR12" s="713">
        <f>Assumptions!$N33</f>
        <v>110.91220890348426</v>
      </c>
      <c r="DS12" s="713">
        <f>Assumptions!$N33</f>
        <v>110.91220890348426</v>
      </c>
      <c r="DT12" s="727">
        <f>Assumptions!$N33</f>
        <v>110.91220890348426</v>
      </c>
    </row>
    <row r="13" spans="1:124" ht="15" x14ac:dyDescent="0.25">
      <c r="B13" s="250" t="s">
        <v>1294</v>
      </c>
      <c r="C13" s="188"/>
      <c r="D13" s="7"/>
      <c r="E13" s="409">
        <f>Assumptions!$E34</f>
        <v>84</v>
      </c>
      <c r="F13" s="409">
        <f>Assumptions!$E34</f>
        <v>84</v>
      </c>
      <c r="G13" s="409">
        <f>Assumptions!$E34</f>
        <v>84</v>
      </c>
      <c r="H13" s="409">
        <f>Assumptions!$E34</f>
        <v>84</v>
      </c>
      <c r="I13" s="409">
        <f>Assumptions!$E34</f>
        <v>84</v>
      </c>
      <c r="J13" s="409">
        <f>Assumptions!$E34</f>
        <v>84</v>
      </c>
      <c r="K13" s="409">
        <f>Assumptions!$E34</f>
        <v>84</v>
      </c>
      <c r="L13" s="409">
        <f>Assumptions!$E34</f>
        <v>84</v>
      </c>
      <c r="M13" s="409">
        <f>Assumptions!$E34</f>
        <v>84</v>
      </c>
      <c r="N13" s="409">
        <f>Assumptions!$E34</f>
        <v>84</v>
      </c>
      <c r="O13" s="409">
        <f>Assumptions!$E34</f>
        <v>84</v>
      </c>
      <c r="P13" s="725">
        <f>Assumptions!$E34</f>
        <v>84</v>
      </c>
      <c r="Q13" s="713">
        <f>Assumptions!$F34</f>
        <v>89.292000000000002</v>
      </c>
      <c r="R13" s="716">
        <f>Assumptions!$F34</f>
        <v>89.292000000000002</v>
      </c>
      <c r="S13" s="716">
        <f>Assumptions!$F34</f>
        <v>89.292000000000002</v>
      </c>
      <c r="T13" s="716">
        <f>Assumptions!$F34</f>
        <v>89.292000000000002</v>
      </c>
      <c r="U13" s="716">
        <f>Assumptions!$F34</f>
        <v>89.292000000000002</v>
      </c>
      <c r="V13" s="716">
        <f>Assumptions!$F34</f>
        <v>89.292000000000002</v>
      </c>
      <c r="W13" s="716">
        <f>Assumptions!$F34</f>
        <v>89.292000000000002</v>
      </c>
      <c r="X13" s="716">
        <f>Assumptions!$F34</f>
        <v>89.292000000000002</v>
      </c>
      <c r="Y13" s="716">
        <f>Assumptions!$F34</f>
        <v>89.292000000000002</v>
      </c>
      <c r="Z13" s="716">
        <f>Assumptions!$F34</f>
        <v>89.292000000000002</v>
      </c>
      <c r="AA13" s="716">
        <f>Assumptions!$F34</f>
        <v>89.292000000000002</v>
      </c>
      <c r="AB13" s="717">
        <f>Assumptions!$F34</f>
        <v>89.292000000000002</v>
      </c>
      <c r="AC13" s="713">
        <f>Assumptions!$G34</f>
        <v>94.917395999999982</v>
      </c>
      <c r="AD13" s="716">
        <f>Assumptions!$G34</f>
        <v>94.917395999999982</v>
      </c>
      <c r="AE13" s="716">
        <f>Assumptions!$G34</f>
        <v>94.917395999999982</v>
      </c>
      <c r="AF13" s="716">
        <f>Assumptions!$G34</f>
        <v>94.917395999999982</v>
      </c>
      <c r="AG13" s="716">
        <f>Assumptions!$G34</f>
        <v>94.917395999999982</v>
      </c>
      <c r="AH13" s="716">
        <f>Assumptions!$G34</f>
        <v>94.917395999999982</v>
      </c>
      <c r="AI13" s="716">
        <f>Assumptions!$G34</f>
        <v>94.917395999999982</v>
      </c>
      <c r="AJ13" s="716">
        <f>Assumptions!$G34</f>
        <v>94.917395999999982</v>
      </c>
      <c r="AK13" s="716">
        <f>Assumptions!$G34</f>
        <v>94.917395999999982</v>
      </c>
      <c r="AL13" s="716">
        <f>Assumptions!$G34</f>
        <v>94.917395999999982</v>
      </c>
      <c r="AM13" s="716">
        <f>Assumptions!$G34</f>
        <v>94.917395999999982</v>
      </c>
      <c r="AN13" s="717">
        <f>Assumptions!$G34</f>
        <v>94.917395999999982</v>
      </c>
      <c r="AO13" s="714">
        <f>Assumptions!$H34</f>
        <v>100.89719194799997</v>
      </c>
      <c r="AP13" s="716">
        <f>Assumptions!$H34</f>
        <v>100.89719194799997</v>
      </c>
      <c r="AQ13" s="716">
        <f>Assumptions!$H34</f>
        <v>100.89719194799997</v>
      </c>
      <c r="AR13" s="716">
        <f>Assumptions!$H34</f>
        <v>100.89719194799997</v>
      </c>
      <c r="AS13" s="716">
        <f>Assumptions!$H34</f>
        <v>100.89719194799997</v>
      </c>
      <c r="AT13" s="716">
        <f>Assumptions!$H34</f>
        <v>100.89719194799997</v>
      </c>
      <c r="AU13" s="716">
        <f>Assumptions!$H34</f>
        <v>100.89719194799997</v>
      </c>
      <c r="AV13" s="716">
        <f>Assumptions!$H34</f>
        <v>100.89719194799997</v>
      </c>
      <c r="AW13" s="716">
        <f>Assumptions!$H34</f>
        <v>100.89719194799997</v>
      </c>
      <c r="AX13" s="716">
        <f>Assumptions!$H34</f>
        <v>100.89719194799997</v>
      </c>
      <c r="AY13" s="716">
        <f>Assumptions!$H34</f>
        <v>100.89719194799997</v>
      </c>
      <c r="AZ13" s="717">
        <f>Assumptions!$H34</f>
        <v>100.89719194799997</v>
      </c>
      <c r="BA13" s="713">
        <f>Assumptions!$I34</f>
        <v>107.25371504072396</v>
      </c>
      <c r="BB13" s="716">
        <f>Assumptions!$I34</f>
        <v>107.25371504072396</v>
      </c>
      <c r="BC13" s="716">
        <f>Assumptions!$I34</f>
        <v>107.25371504072396</v>
      </c>
      <c r="BD13" s="716">
        <f>Assumptions!$I34</f>
        <v>107.25371504072396</v>
      </c>
      <c r="BE13" s="716">
        <f>Assumptions!$I34</f>
        <v>107.25371504072396</v>
      </c>
      <c r="BF13" s="716">
        <f>Assumptions!$I34</f>
        <v>107.25371504072396</v>
      </c>
      <c r="BG13" s="716">
        <f>Assumptions!$I34</f>
        <v>107.25371504072396</v>
      </c>
      <c r="BH13" s="716">
        <f>Assumptions!$I34</f>
        <v>107.25371504072396</v>
      </c>
      <c r="BI13" s="716">
        <f>Assumptions!$I34</f>
        <v>107.25371504072396</v>
      </c>
      <c r="BJ13" s="716">
        <f>Assumptions!$I34</f>
        <v>107.25371504072396</v>
      </c>
      <c r="BK13" s="716">
        <f>Assumptions!$I34</f>
        <v>107.25371504072396</v>
      </c>
      <c r="BL13" s="717">
        <f>Assumptions!$I34</f>
        <v>107.25371504072396</v>
      </c>
      <c r="BM13" s="713">
        <f>Assumptions!$J34</f>
        <v>114.01069908828957</v>
      </c>
      <c r="BN13" s="716">
        <f>Assumptions!$J34</f>
        <v>114.01069908828957</v>
      </c>
      <c r="BO13" s="716">
        <f>Assumptions!$J34</f>
        <v>114.01069908828957</v>
      </c>
      <c r="BP13" s="716">
        <f>Assumptions!$J34</f>
        <v>114.01069908828957</v>
      </c>
      <c r="BQ13" s="716">
        <f>Assumptions!$J34</f>
        <v>114.01069908828957</v>
      </c>
      <c r="BR13" s="716">
        <f>Assumptions!$J34</f>
        <v>114.01069908828957</v>
      </c>
      <c r="BS13" s="716">
        <f>Assumptions!$J34</f>
        <v>114.01069908828957</v>
      </c>
      <c r="BT13" s="713">
        <f>Assumptions!$J34</f>
        <v>114.01069908828957</v>
      </c>
      <c r="BU13" s="713">
        <f>Assumptions!$J34</f>
        <v>114.01069908828957</v>
      </c>
      <c r="BV13" s="713">
        <f>Assumptions!$J34</f>
        <v>114.01069908828957</v>
      </c>
      <c r="BW13" s="713">
        <f>Assumptions!$J34</f>
        <v>114.01069908828957</v>
      </c>
      <c r="BX13" s="727">
        <f>Assumptions!$J34</f>
        <v>114.01069908828957</v>
      </c>
      <c r="BY13" s="713">
        <f>Assumptions!$K34</f>
        <v>121.19337313085181</v>
      </c>
      <c r="BZ13" s="713">
        <f>Assumptions!$K34</f>
        <v>121.19337313085181</v>
      </c>
      <c r="CA13" s="713">
        <f>Assumptions!$K34</f>
        <v>121.19337313085181</v>
      </c>
      <c r="CB13" s="713">
        <f>Assumptions!$K34</f>
        <v>121.19337313085181</v>
      </c>
      <c r="CC13" s="713">
        <f>Assumptions!$K34</f>
        <v>121.19337313085181</v>
      </c>
      <c r="CD13" s="713">
        <f>Assumptions!$K34</f>
        <v>121.19337313085181</v>
      </c>
      <c r="CE13" s="713">
        <f>Assumptions!$K34</f>
        <v>121.19337313085181</v>
      </c>
      <c r="CF13" s="713">
        <f>Assumptions!$K34</f>
        <v>121.19337313085181</v>
      </c>
      <c r="CG13" s="713">
        <f>Assumptions!$K34</f>
        <v>121.19337313085181</v>
      </c>
      <c r="CH13" s="713">
        <f>Assumptions!$K34</f>
        <v>121.19337313085181</v>
      </c>
      <c r="CI13" s="713">
        <f>Assumptions!$K34</f>
        <v>121.19337313085181</v>
      </c>
      <c r="CJ13" s="727">
        <f>Assumptions!$K34</f>
        <v>121.19337313085181</v>
      </c>
      <c r="CK13" s="713">
        <f>Assumptions!$L34</f>
        <v>128.82855563809548</v>
      </c>
      <c r="CL13" s="713">
        <f>Assumptions!$L34</f>
        <v>128.82855563809548</v>
      </c>
      <c r="CM13" s="713">
        <f>Assumptions!$L34</f>
        <v>128.82855563809548</v>
      </c>
      <c r="CN13" s="713">
        <f>Assumptions!$L34</f>
        <v>128.82855563809548</v>
      </c>
      <c r="CO13" s="713">
        <f>Assumptions!$L34</f>
        <v>128.82855563809548</v>
      </c>
      <c r="CP13" s="713">
        <f>Assumptions!$L34</f>
        <v>128.82855563809548</v>
      </c>
      <c r="CQ13" s="713">
        <f>Assumptions!$L34</f>
        <v>128.82855563809548</v>
      </c>
      <c r="CR13" s="713">
        <f>Assumptions!$L34</f>
        <v>128.82855563809548</v>
      </c>
      <c r="CS13" s="713">
        <f>Assumptions!$L34</f>
        <v>128.82855563809548</v>
      </c>
      <c r="CT13" s="713">
        <f>Assumptions!$L34</f>
        <v>128.82855563809548</v>
      </c>
      <c r="CU13" s="713">
        <f>Assumptions!$L34</f>
        <v>128.82855563809548</v>
      </c>
      <c r="CV13" s="727">
        <f>Assumptions!$L34</f>
        <v>128.82855563809548</v>
      </c>
      <c r="CW13" s="713">
        <f>Assumptions!$M34</f>
        <v>136.94475464329548</v>
      </c>
      <c r="CX13" s="713">
        <f>Assumptions!$M34</f>
        <v>136.94475464329548</v>
      </c>
      <c r="CY13" s="713">
        <f>Assumptions!$M34</f>
        <v>136.94475464329548</v>
      </c>
      <c r="CZ13" s="713">
        <f>Assumptions!$M34</f>
        <v>136.94475464329548</v>
      </c>
      <c r="DA13" s="713">
        <f>Assumptions!$M34</f>
        <v>136.94475464329548</v>
      </c>
      <c r="DB13" s="713">
        <f>Assumptions!$M34</f>
        <v>136.94475464329548</v>
      </c>
      <c r="DC13" s="713">
        <f>Assumptions!$M34</f>
        <v>136.94475464329548</v>
      </c>
      <c r="DD13" s="713">
        <f>Assumptions!$M34</f>
        <v>136.94475464329548</v>
      </c>
      <c r="DE13" s="713">
        <f>Assumptions!$M34</f>
        <v>136.94475464329548</v>
      </c>
      <c r="DF13" s="713">
        <f>Assumptions!$M34</f>
        <v>136.94475464329548</v>
      </c>
      <c r="DG13" s="713">
        <f>Assumptions!$M34</f>
        <v>136.94475464329548</v>
      </c>
      <c r="DH13" s="727">
        <f>Assumptions!$M34</f>
        <v>136.94475464329548</v>
      </c>
      <c r="DI13" s="713">
        <f>Assumptions!$N34</f>
        <v>145.57227418582309</v>
      </c>
      <c r="DJ13" s="713">
        <f>Assumptions!$N34</f>
        <v>145.57227418582309</v>
      </c>
      <c r="DK13" s="713">
        <f>Assumptions!$N34</f>
        <v>145.57227418582309</v>
      </c>
      <c r="DL13" s="713">
        <f>Assumptions!$N34</f>
        <v>145.57227418582309</v>
      </c>
      <c r="DM13" s="713">
        <f>Assumptions!$N34</f>
        <v>145.57227418582309</v>
      </c>
      <c r="DN13" s="713">
        <f>Assumptions!$N34</f>
        <v>145.57227418582309</v>
      </c>
      <c r="DO13" s="713">
        <f>Assumptions!$N34</f>
        <v>145.57227418582309</v>
      </c>
      <c r="DP13" s="713">
        <f>Assumptions!$N34</f>
        <v>145.57227418582309</v>
      </c>
      <c r="DQ13" s="713">
        <f>Assumptions!$N34</f>
        <v>145.57227418582309</v>
      </c>
      <c r="DR13" s="713">
        <f>Assumptions!$N34</f>
        <v>145.57227418582309</v>
      </c>
      <c r="DS13" s="713">
        <f>Assumptions!$N34</f>
        <v>145.57227418582309</v>
      </c>
      <c r="DT13" s="727">
        <f>Assumptions!$N34</f>
        <v>145.57227418582309</v>
      </c>
    </row>
    <row r="14" spans="1:124" ht="15" x14ac:dyDescent="0.25">
      <c r="B14" s="250" t="s">
        <v>1295</v>
      </c>
      <c r="C14" s="188"/>
      <c r="D14" s="7"/>
      <c r="E14" s="409">
        <f>Assumptions!$E35</f>
        <v>84</v>
      </c>
      <c r="F14" s="409">
        <f>Assumptions!$E35</f>
        <v>84</v>
      </c>
      <c r="G14" s="409">
        <f>Assumptions!$E35</f>
        <v>84</v>
      </c>
      <c r="H14" s="409">
        <f>Assumptions!$E35</f>
        <v>84</v>
      </c>
      <c r="I14" s="409">
        <f>Assumptions!$E35</f>
        <v>84</v>
      </c>
      <c r="J14" s="409">
        <f>Assumptions!$E35</f>
        <v>84</v>
      </c>
      <c r="K14" s="409">
        <f>Assumptions!$E35</f>
        <v>84</v>
      </c>
      <c r="L14" s="409">
        <f>Assumptions!$E35</f>
        <v>84</v>
      </c>
      <c r="M14" s="409">
        <f>Assumptions!$E35</f>
        <v>84</v>
      </c>
      <c r="N14" s="409">
        <f>Assumptions!$E35</f>
        <v>84</v>
      </c>
      <c r="O14" s="409">
        <f>Assumptions!$E35</f>
        <v>84</v>
      </c>
      <c r="P14" s="725">
        <f>Assumptions!$E35</f>
        <v>84</v>
      </c>
      <c r="Q14" s="713">
        <f>Assumptions!$F35</f>
        <v>89.292000000000002</v>
      </c>
      <c r="R14" s="716">
        <f>Assumptions!$F35</f>
        <v>89.292000000000002</v>
      </c>
      <c r="S14" s="716">
        <f>Assumptions!$F35</f>
        <v>89.292000000000002</v>
      </c>
      <c r="T14" s="716">
        <f>Assumptions!$F35</f>
        <v>89.292000000000002</v>
      </c>
      <c r="U14" s="716">
        <f>Assumptions!$F35</f>
        <v>89.292000000000002</v>
      </c>
      <c r="V14" s="716">
        <f>Assumptions!$F35</f>
        <v>89.292000000000002</v>
      </c>
      <c r="W14" s="716">
        <f>Assumptions!$F35</f>
        <v>89.292000000000002</v>
      </c>
      <c r="X14" s="716">
        <f>Assumptions!$F35</f>
        <v>89.292000000000002</v>
      </c>
      <c r="Y14" s="716">
        <f>Assumptions!$F35</f>
        <v>89.292000000000002</v>
      </c>
      <c r="Z14" s="716">
        <f>Assumptions!$F35</f>
        <v>89.292000000000002</v>
      </c>
      <c r="AA14" s="716">
        <f>Assumptions!$F35</f>
        <v>89.292000000000002</v>
      </c>
      <c r="AB14" s="717">
        <f>Assumptions!$F35</f>
        <v>89.292000000000002</v>
      </c>
      <c r="AC14" s="713">
        <f>Assumptions!$G35</f>
        <v>94.917395999999982</v>
      </c>
      <c r="AD14" s="716">
        <f>Assumptions!$G35</f>
        <v>94.917395999999982</v>
      </c>
      <c r="AE14" s="716">
        <f>Assumptions!$G35</f>
        <v>94.917395999999982</v>
      </c>
      <c r="AF14" s="716">
        <f>Assumptions!$G35</f>
        <v>94.917395999999982</v>
      </c>
      <c r="AG14" s="716">
        <f>Assumptions!$G35</f>
        <v>94.917395999999982</v>
      </c>
      <c r="AH14" s="716">
        <f>Assumptions!$G35</f>
        <v>94.917395999999982</v>
      </c>
      <c r="AI14" s="716">
        <f>Assumptions!$G35</f>
        <v>94.917395999999982</v>
      </c>
      <c r="AJ14" s="716">
        <f>Assumptions!$G35</f>
        <v>94.917395999999982</v>
      </c>
      <c r="AK14" s="716">
        <f>Assumptions!$G35</f>
        <v>94.917395999999982</v>
      </c>
      <c r="AL14" s="716">
        <f>Assumptions!$G35</f>
        <v>94.917395999999982</v>
      </c>
      <c r="AM14" s="716">
        <f>Assumptions!$G35</f>
        <v>94.917395999999982</v>
      </c>
      <c r="AN14" s="717">
        <f>Assumptions!$G35</f>
        <v>94.917395999999982</v>
      </c>
      <c r="AO14" s="714">
        <f>Assumptions!$H35</f>
        <v>100.89719194799997</v>
      </c>
      <c r="AP14" s="716">
        <f>Assumptions!$H35</f>
        <v>100.89719194799997</v>
      </c>
      <c r="AQ14" s="716">
        <f>Assumptions!$H35</f>
        <v>100.89719194799997</v>
      </c>
      <c r="AR14" s="716">
        <f>Assumptions!$H35</f>
        <v>100.89719194799997</v>
      </c>
      <c r="AS14" s="716">
        <f>Assumptions!$H35</f>
        <v>100.89719194799997</v>
      </c>
      <c r="AT14" s="716">
        <f>Assumptions!$H35</f>
        <v>100.89719194799997</v>
      </c>
      <c r="AU14" s="716">
        <f>Assumptions!$H35</f>
        <v>100.89719194799997</v>
      </c>
      <c r="AV14" s="716">
        <f>Assumptions!$H35</f>
        <v>100.89719194799997</v>
      </c>
      <c r="AW14" s="716">
        <f>Assumptions!$H35</f>
        <v>100.89719194799997</v>
      </c>
      <c r="AX14" s="716">
        <f>Assumptions!$H35</f>
        <v>100.89719194799997</v>
      </c>
      <c r="AY14" s="716">
        <f>Assumptions!$H35</f>
        <v>100.89719194799997</v>
      </c>
      <c r="AZ14" s="717">
        <f>Assumptions!$H35</f>
        <v>100.89719194799997</v>
      </c>
      <c r="BA14" s="713">
        <f>Assumptions!$I35</f>
        <v>107.25371504072396</v>
      </c>
      <c r="BB14" s="716">
        <f>Assumptions!$I35</f>
        <v>107.25371504072396</v>
      </c>
      <c r="BC14" s="716">
        <f>Assumptions!$I35</f>
        <v>107.25371504072396</v>
      </c>
      <c r="BD14" s="716">
        <f>Assumptions!$I35</f>
        <v>107.25371504072396</v>
      </c>
      <c r="BE14" s="716">
        <f>Assumptions!$I35</f>
        <v>107.25371504072396</v>
      </c>
      <c r="BF14" s="716">
        <f>Assumptions!$I35</f>
        <v>107.25371504072396</v>
      </c>
      <c r="BG14" s="716">
        <f>Assumptions!$I35</f>
        <v>107.25371504072396</v>
      </c>
      <c r="BH14" s="716">
        <f>Assumptions!$I35</f>
        <v>107.25371504072396</v>
      </c>
      <c r="BI14" s="716">
        <f>Assumptions!$I35</f>
        <v>107.25371504072396</v>
      </c>
      <c r="BJ14" s="716">
        <f>Assumptions!$I35</f>
        <v>107.25371504072396</v>
      </c>
      <c r="BK14" s="716">
        <f>Assumptions!$I35</f>
        <v>107.25371504072396</v>
      </c>
      <c r="BL14" s="717">
        <f>Assumptions!$I35</f>
        <v>107.25371504072396</v>
      </c>
      <c r="BM14" s="713">
        <f>Assumptions!$J35</f>
        <v>114.01069908828957</v>
      </c>
      <c r="BN14" s="716">
        <f>Assumptions!$J35</f>
        <v>114.01069908828957</v>
      </c>
      <c r="BO14" s="716">
        <f>Assumptions!$J35</f>
        <v>114.01069908828957</v>
      </c>
      <c r="BP14" s="716">
        <f>Assumptions!$J35</f>
        <v>114.01069908828957</v>
      </c>
      <c r="BQ14" s="716">
        <f>Assumptions!$J35</f>
        <v>114.01069908828957</v>
      </c>
      <c r="BR14" s="716">
        <f>Assumptions!$J35</f>
        <v>114.01069908828957</v>
      </c>
      <c r="BS14" s="716">
        <f>Assumptions!$J35</f>
        <v>114.01069908828957</v>
      </c>
      <c r="BT14" s="713">
        <f>Assumptions!$J35</f>
        <v>114.01069908828957</v>
      </c>
      <c r="BU14" s="713">
        <f>Assumptions!$J35</f>
        <v>114.01069908828957</v>
      </c>
      <c r="BV14" s="713">
        <f>Assumptions!$J35</f>
        <v>114.01069908828957</v>
      </c>
      <c r="BW14" s="713">
        <f>Assumptions!$J35</f>
        <v>114.01069908828957</v>
      </c>
      <c r="BX14" s="727">
        <f>Assumptions!$J35</f>
        <v>114.01069908828957</v>
      </c>
      <c r="BY14" s="713">
        <f>Assumptions!$K35</f>
        <v>121.19337313085181</v>
      </c>
      <c r="BZ14" s="713">
        <f>Assumptions!$K35</f>
        <v>121.19337313085181</v>
      </c>
      <c r="CA14" s="713">
        <f>Assumptions!$K35</f>
        <v>121.19337313085181</v>
      </c>
      <c r="CB14" s="713">
        <f>Assumptions!$K35</f>
        <v>121.19337313085181</v>
      </c>
      <c r="CC14" s="713">
        <f>Assumptions!$K35</f>
        <v>121.19337313085181</v>
      </c>
      <c r="CD14" s="713">
        <f>Assumptions!$K35</f>
        <v>121.19337313085181</v>
      </c>
      <c r="CE14" s="713">
        <f>Assumptions!$K35</f>
        <v>121.19337313085181</v>
      </c>
      <c r="CF14" s="713">
        <f>Assumptions!$K35</f>
        <v>121.19337313085181</v>
      </c>
      <c r="CG14" s="713">
        <f>Assumptions!$K35</f>
        <v>121.19337313085181</v>
      </c>
      <c r="CH14" s="713">
        <f>Assumptions!$K35</f>
        <v>121.19337313085181</v>
      </c>
      <c r="CI14" s="713">
        <f>Assumptions!$K35</f>
        <v>121.19337313085181</v>
      </c>
      <c r="CJ14" s="727">
        <f>Assumptions!$K35</f>
        <v>121.19337313085181</v>
      </c>
      <c r="CK14" s="713">
        <f>Assumptions!$K35</f>
        <v>121.19337313085181</v>
      </c>
      <c r="CL14" s="713">
        <f>Assumptions!$K35</f>
        <v>121.19337313085181</v>
      </c>
      <c r="CM14" s="713">
        <f>Assumptions!$K35</f>
        <v>121.19337313085181</v>
      </c>
      <c r="CN14" s="713">
        <f>Assumptions!$K35</f>
        <v>121.19337313085181</v>
      </c>
      <c r="CO14" s="713">
        <f>Assumptions!$K35</f>
        <v>121.19337313085181</v>
      </c>
      <c r="CP14" s="713">
        <f>Assumptions!$K35</f>
        <v>121.19337313085181</v>
      </c>
      <c r="CQ14" s="713">
        <f>Assumptions!$K35</f>
        <v>121.19337313085181</v>
      </c>
      <c r="CR14" s="713">
        <f>Assumptions!$K35</f>
        <v>121.19337313085181</v>
      </c>
      <c r="CS14" s="713">
        <f>Assumptions!$K35</f>
        <v>121.19337313085181</v>
      </c>
      <c r="CT14" s="713">
        <f>Assumptions!$K35</f>
        <v>121.19337313085181</v>
      </c>
      <c r="CU14" s="713">
        <f>Assumptions!$K35</f>
        <v>121.19337313085181</v>
      </c>
      <c r="CV14" s="727">
        <f>Assumptions!$K35</f>
        <v>121.19337313085181</v>
      </c>
      <c r="CW14" s="713">
        <f>Assumptions!$M35</f>
        <v>136.94475464329548</v>
      </c>
      <c r="CX14" s="713">
        <f>Assumptions!$M35</f>
        <v>136.94475464329548</v>
      </c>
      <c r="CY14" s="713">
        <f>Assumptions!$M35</f>
        <v>136.94475464329548</v>
      </c>
      <c r="CZ14" s="713">
        <f>Assumptions!$M35</f>
        <v>136.94475464329548</v>
      </c>
      <c r="DA14" s="713">
        <f>Assumptions!$M35</f>
        <v>136.94475464329548</v>
      </c>
      <c r="DB14" s="713">
        <f>Assumptions!$M35</f>
        <v>136.94475464329548</v>
      </c>
      <c r="DC14" s="713">
        <f>Assumptions!$M35</f>
        <v>136.94475464329548</v>
      </c>
      <c r="DD14" s="713">
        <f>Assumptions!$M35</f>
        <v>136.94475464329548</v>
      </c>
      <c r="DE14" s="713">
        <f>Assumptions!$M35</f>
        <v>136.94475464329548</v>
      </c>
      <c r="DF14" s="713">
        <f>Assumptions!$M35</f>
        <v>136.94475464329548</v>
      </c>
      <c r="DG14" s="713">
        <f>Assumptions!$M35</f>
        <v>136.94475464329548</v>
      </c>
      <c r="DH14" s="727">
        <f>Assumptions!$M35</f>
        <v>136.94475464329548</v>
      </c>
      <c r="DI14" s="713">
        <f>Assumptions!$N35</f>
        <v>145.57227418582309</v>
      </c>
      <c r="DJ14" s="713">
        <f>Assumptions!$N35</f>
        <v>145.57227418582309</v>
      </c>
      <c r="DK14" s="713">
        <f>Assumptions!$N35</f>
        <v>145.57227418582309</v>
      </c>
      <c r="DL14" s="713">
        <f>Assumptions!$N35</f>
        <v>145.57227418582309</v>
      </c>
      <c r="DM14" s="713">
        <f>Assumptions!$N35</f>
        <v>145.57227418582309</v>
      </c>
      <c r="DN14" s="713">
        <f>Assumptions!$N35</f>
        <v>145.57227418582309</v>
      </c>
      <c r="DO14" s="713">
        <f>Assumptions!$N35</f>
        <v>145.57227418582309</v>
      </c>
      <c r="DP14" s="713">
        <f>Assumptions!$N35</f>
        <v>145.57227418582309</v>
      </c>
      <c r="DQ14" s="713">
        <f>Assumptions!$N35</f>
        <v>145.57227418582309</v>
      </c>
      <c r="DR14" s="713">
        <f>Assumptions!$N35</f>
        <v>145.57227418582309</v>
      </c>
      <c r="DS14" s="713">
        <f>Assumptions!$N35</f>
        <v>145.57227418582309</v>
      </c>
      <c r="DT14" s="727">
        <f>Assumptions!$N35</f>
        <v>145.57227418582309</v>
      </c>
    </row>
    <row r="15" spans="1:124" ht="15" x14ac:dyDescent="0.25">
      <c r="B15" s="250" t="s">
        <v>557</v>
      </c>
      <c r="C15" s="188"/>
      <c r="D15" s="7"/>
      <c r="E15" s="409">
        <f>Assumptions!$E36</f>
        <v>84</v>
      </c>
      <c r="F15" s="409">
        <f>Assumptions!$E36</f>
        <v>84</v>
      </c>
      <c r="G15" s="409">
        <f>Assumptions!$E36</f>
        <v>84</v>
      </c>
      <c r="H15" s="409">
        <f>Assumptions!$E36</f>
        <v>84</v>
      </c>
      <c r="I15" s="409">
        <f>Assumptions!$E36</f>
        <v>84</v>
      </c>
      <c r="J15" s="409">
        <f>Assumptions!$E36</f>
        <v>84</v>
      </c>
      <c r="K15" s="409">
        <f>Assumptions!$E36</f>
        <v>84</v>
      </c>
      <c r="L15" s="409">
        <f>Assumptions!$E36</f>
        <v>84</v>
      </c>
      <c r="M15" s="409">
        <f>Assumptions!$E36</f>
        <v>84</v>
      </c>
      <c r="N15" s="409">
        <f>Assumptions!$E36</f>
        <v>84</v>
      </c>
      <c r="O15" s="409">
        <f>Assumptions!$E36</f>
        <v>84</v>
      </c>
      <c r="P15" s="725">
        <f>Assumptions!$E36</f>
        <v>84</v>
      </c>
      <c r="Q15" s="713">
        <f>Assumptions!$F36</f>
        <v>89.292000000000002</v>
      </c>
      <c r="R15" s="716">
        <f>Assumptions!$F36</f>
        <v>89.292000000000002</v>
      </c>
      <c r="S15" s="716">
        <f>Assumptions!$F36</f>
        <v>89.292000000000002</v>
      </c>
      <c r="T15" s="716">
        <f>Assumptions!$F36</f>
        <v>89.292000000000002</v>
      </c>
      <c r="U15" s="716">
        <f>Assumptions!$F36</f>
        <v>89.292000000000002</v>
      </c>
      <c r="V15" s="716">
        <f>Assumptions!$F36</f>
        <v>89.292000000000002</v>
      </c>
      <c r="W15" s="716">
        <f>Assumptions!$F36</f>
        <v>89.292000000000002</v>
      </c>
      <c r="X15" s="716">
        <f>Assumptions!$F36</f>
        <v>89.292000000000002</v>
      </c>
      <c r="Y15" s="716">
        <f>Assumptions!$F36</f>
        <v>89.292000000000002</v>
      </c>
      <c r="Z15" s="716">
        <f>Assumptions!$F36</f>
        <v>89.292000000000002</v>
      </c>
      <c r="AA15" s="716">
        <f>Assumptions!$F36</f>
        <v>89.292000000000002</v>
      </c>
      <c r="AB15" s="717">
        <f>Assumptions!$F36</f>
        <v>89.292000000000002</v>
      </c>
      <c r="AC15" s="713">
        <f>Assumptions!$G36</f>
        <v>94.917395999999982</v>
      </c>
      <c r="AD15" s="716">
        <f>Assumptions!$G36</f>
        <v>94.917395999999982</v>
      </c>
      <c r="AE15" s="716">
        <f>Assumptions!$G36</f>
        <v>94.917395999999982</v>
      </c>
      <c r="AF15" s="716">
        <f>Assumptions!$G36</f>
        <v>94.917395999999982</v>
      </c>
      <c r="AG15" s="716">
        <f>Assumptions!$G36</f>
        <v>94.917395999999982</v>
      </c>
      <c r="AH15" s="716">
        <f>Assumptions!$G36</f>
        <v>94.917395999999982</v>
      </c>
      <c r="AI15" s="716">
        <f>Assumptions!$G36</f>
        <v>94.917395999999982</v>
      </c>
      <c r="AJ15" s="716">
        <f>Assumptions!$G36</f>
        <v>94.917395999999982</v>
      </c>
      <c r="AK15" s="716">
        <f>Assumptions!$G36</f>
        <v>94.917395999999982</v>
      </c>
      <c r="AL15" s="716">
        <f>Assumptions!$G36</f>
        <v>94.917395999999982</v>
      </c>
      <c r="AM15" s="716">
        <f>Assumptions!$G36</f>
        <v>94.917395999999982</v>
      </c>
      <c r="AN15" s="717">
        <f>Assumptions!$G36</f>
        <v>94.917395999999982</v>
      </c>
      <c r="AO15" s="714">
        <f>Assumptions!$H36</f>
        <v>100.89719194799997</v>
      </c>
      <c r="AP15" s="716">
        <f>Assumptions!$H36</f>
        <v>100.89719194799997</v>
      </c>
      <c r="AQ15" s="716">
        <f>Assumptions!$H36</f>
        <v>100.89719194799997</v>
      </c>
      <c r="AR15" s="716">
        <f>Assumptions!$H36</f>
        <v>100.89719194799997</v>
      </c>
      <c r="AS15" s="716">
        <f>Assumptions!$H36</f>
        <v>100.89719194799997</v>
      </c>
      <c r="AT15" s="716">
        <f>Assumptions!$H36</f>
        <v>100.89719194799997</v>
      </c>
      <c r="AU15" s="716">
        <f>Assumptions!$H36</f>
        <v>100.89719194799997</v>
      </c>
      <c r="AV15" s="716">
        <f>Assumptions!$H36</f>
        <v>100.89719194799997</v>
      </c>
      <c r="AW15" s="716">
        <f>Assumptions!$H36</f>
        <v>100.89719194799997</v>
      </c>
      <c r="AX15" s="716">
        <f>Assumptions!$H36</f>
        <v>100.89719194799997</v>
      </c>
      <c r="AY15" s="716">
        <f>Assumptions!$H36</f>
        <v>100.89719194799997</v>
      </c>
      <c r="AZ15" s="717">
        <f>Assumptions!$H36</f>
        <v>100.89719194799997</v>
      </c>
      <c r="BA15" s="713">
        <f>Assumptions!$I36</f>
        <v>107.25371504072396</v>
      </c>
      <c r="BB15" s="716">
        <f>Assumptions!$I36</f>
        <v>107.25371504072396</v>
      </c>
      <c r="BC15" s="716">
        <f>Assumptions!$I36</f>
        <v>107.25371504072396</v>
      </c>
      <c r="BD15" s="716">
        <f>Assumptions!$I36</f>
        <v>107.25371504072396</v>
      </c>
      <c r="BE15" s="716">
        <f>Assumptions!$I36</f>
        <v>107.25371504072396</v>
      </c>
      <c r="BF15" s="716">
        <f>Assumptions!$I36</f>
        <v>107.25371504072396</v>
      </c>
      <c r="BG15" s="716">
        <f>Assumptions!$I36</f>
        <v>107.25371504072396</v>
      </c>
      <c r="BH15" s="716">
        <f>Assumptions!$I36</f>
        <v>107.25371504072396</v>
      </c>
      <c r="BI15" s="716">
        <f>Assumptions!$I36</f>
        <v>107.25371504072396</v>
      </c>
      <c r="BJ15" s="716">
        <f>Assumptions!$I36</f>
        <v>107.25371504072396</v>
      </c>
      <c r="BK15" s="716">
        <f>Assumptions!$I36</f>
        <v>107.25371504072396</v>
      </c>
      <c r="BL15" s="717">
        <f>Assumptions!$I36</f>
        <v>107.25371504072396</v>
      </c>
      <c r="BM15" s="713">
        <f>Assumptions!$J36</f>
        <v>114.01069908828957</v>
      </c>
      <c r="BN15" s="716">
        <f>Assumptions!$J36</f>
        <v>114.01069908828957</v>
      </c>
      <c r="BO15" s="716">
        <f>Assumptions!$J36</f>
        <v>114.01069908828957</v>
      </c>
      <c r="BP15" s="716">
        <f>Assumptions!$J36</f>
        <v>114.01069908828957</v>
      </c>
      <c r="BQ15" s="716">
        <f>Assumptions!$J36</f>
        <v>114.01069908828957</v>
      </c>
      <c r="BR15" s="716">
        <f>Assumptions!$J36</f>
        <v>114.01069908828957</v>
      </c>
      <c r="BS15" s="716">
        <f>Assumptions!$J36</f>
        <v>114.01069908828957</v>
      </c>
      <c r="BT15" s="713">
        <f>Assumptions!$J36</f>
        <v>114.01069908828957</v>
      </c>
      <c r="BU15" s="713">
        <f>Assumptions!$J36</f>
        <v>114.01069908828957</v>
      </c>
      <c r="BV15" s="713">
        <f>Assumptions!$J36</f>
        <v>114.01069908828957</v>
      </c>
      <c r="BW15" s="713">
        <f>Assumptions!$J36</f>
        <v>114.01069908828957</v>
      </c>
      <c r="BX15" s="727">
        <f>Assumptions!$J36</f>
        <v>114.01069908828957</v>
      </c>
      <c r="BY15" s="713">
        <f>Assumptions!$K36</f>
        <v>121.19337313085181</v>
      </c>
      <c r="BZ15" s="713">
        <f>Assumptions!$K36</f>
        <v>121.19337313085181</v>
      </c>
      <c r="CA15" s="713">
        <f>Assumptions!$K36</f>
        <v>121.19337313085181</v>
      </c>
      <c r="CB15" s="713">
        <f>Assumptions!$K36</f>
        <v>121.19337313085181</v>
      </c>
      <c r="CC15" s="713">
        <f>Assumptions!$K36</f>
        <v>121.19337313085181</v>
      </c>
      <c r="CD15" s="713">
        <f>Assumptions!$K36</f>
        <v>121.19337313085181</v>
      </c>
      <c r="CE15" s="713">
        <f>Assumptions!$K36</f>
        <v>121.19337313085181</v>
      </c>
      <c r="CF15" s="713">
        <f>Assumptions!$K36</f>
        <v>121.19337313085181</v>
      </c>
      <c r="CG15" s="713">
        <f>Assumptions!$K36</f>
        <v>121.19337313085181</v>
      </c>
      <c r="CH15" s="713">
        <f>Assumptions!$K36</f>
        <v>121.19337313085181</v>
      </c>
      <c r="CI15" s="713">
        <f>Assumptions!$K36</f>
        <v>121.19337313085181</v>
      </c>
      <c r="CJ15" s="727">
        <f>Assumptions!$K36</f>
        <v>121.19337313085181</v>
      </c>
      <c r="CK15" s="713">
        <f>Assumptions!$K36</f>
        <v>121.19337313085181</v>
      </c>
      <c r="CL15" s="713">
        <f>Assumptions!$K36</f>
        <v>121.19337313085181</v>
      </c>
      <c r="CM15" s="713">
        <f>Assumptions!$K36</f>
        <v>121.19337313085181</v>
      </c>
      <c r="CN15" s="713">
        <f>Assumptions!$K36</f>
        <v>121.19337313085181</v>
      </c>
      <c r="CO15" s="713">
        <f>Assumptions!$K36</f>
        <v>121.19337313085181</v>
      </c>
      <c r="CP15" s="713">
        <f>Assumptions!$K36</f>
        <v>121.19337313085181</v>
      </c>
      <c r="CQ15" s="713">
        <f>Assumptions!$K36</f>
        <v>121.19337313085181</v>
      </c>
      <c r="CR15" s="713">
        <f>Assumptions!$K36</f>
        <v>121.19337313085181</v>
      </c>
      <c r="CS15" s="713">
        <f>Assumptions!$K36</f>
        <v>121.19337313085181</v>
      </c>
      <c r="CT15" s="713">
        <f>Assumptions!$K36</f>
        <v>121.19337313085181</v>
      </c>
      <c r="CU15" s="713">
        <f>Assumptions!$K36</f>
        <v>121.19337313085181</v>
      </c>
      <c r="CV15" s="727">
        <f>Assumptions!$K36</f>
        <v>121.19337313085181</v>
      </c>
      <c r="CW15" s="713">
        <f>Assumptions!$M36</f>
        <v>136.94475464329548</v>
      </c>
      <c r="CX15" s="713">
        <f>Assumptions!$M36</f>
        <v>136.94475464329548</v>
      </c>
      <c r="CY15" s="713">
        <f>Assumptions!$M36</f>
        <v>136.94475464329548</v>
      </c>
      <c r="CZ15" s="713">
        <f>Assumptions!$M36</f>
        <v>136.94475464329548</v>
      </c>
      <c r="DA15" s="713">
        <f>Assumptions!$M36</f>
        <v>136.94475464329548</v>
      </c>
      <c r="DB15" s="713">
        <f>Assumptions!$M36</f>
        <v>136.94475464329548</v>
      </c>
      <c r="DC15" s="713">
        <f>Assumptions!$M36</f>
        <v>136.94475464329548</v>
      </c>
      <c r="DD15" s="713">
        <f>Assumptions!$M36</f>
        <v>136.94475464329548</v>
      </c>
      <c r="DE15" s="713">
        <f>Assumptions!$M36</f>
        <v>136.94475464329548</v>
      </c>
      <c r="DF15" s="713">
        <f>Assumptions!$M36</f>
        <v>136.94475464329548</v>
      </c>
      <c r="DG15" s="713">
        <f>Assumptions!$M36</f>
        <v>136.94475464329548</v>
      </c>
      <c r="DH15" s="727">
        <f>Assumptions!$M36</f>
        <v>136.94475464329548</v>
      </c>
      <c r="DI15" s="713">
        <f>Assumptions!$N36</f>
        <v>145.57227418582309</v>
      </c>
      <c r="DJ15" s="713">
        <f>Assumptions!$N36</f>
        <v>145.57227418582309</v>
      </c>
      <c r="DK15" s="713">
        <f>Assumptions!$N36</f>
        <v>145.57227418582309</v>
      </c>
      <c r="DL15" s="713">
        <f>Assumptions!$N36</f>
        <v>145.57227418582309</v>
      </c>
      <c r="DM15" s="713">
        <f>Assumptions!$N36</f>
        <v>145.57227418582309</v>
      </c>
      <c r="DN15" s="713">
        <f>Assumptions!$N36</f>
        <v>145.57227418582309</v>
      </c>
      <c r="DO15" s="713">
        <f>Assumptions!$N36</f>
        <v>145.57227418582309</v>
      </c>
      <c r="DP15" s="713">
        <f>Assumptions!$N36</f>
        <v>145.57227418582309</v>
      </c>
      <c r="DQ15" s="713">
        <f>Assumptions!$N36</f>
        <v>145.57227418582309</v>
      </c>
      <c r="DR15" s="713">
        <f>Assumptions!$N36</f>
        <v>145.57227418582309</v>
      </c>
      <c r="DS15" s="713">
        <f>Assumptions!$N36</f>
        <v>145.57227418582309</v>
      </c>
      <c r="DT15" s="727">
        <f>Assumptions!$N36</f>
        <v>145.57227418582309</v>
      </c>
    </row>
    <row r="16" spans="1:124" ht="15" x14ac:dyDescent="0.25">
      <c r="B16" s="250" t="s">
        <v>556</v>
      </c>
      <c r="C16" s="9"/>
      <c r="D16" s="7"/>
      <c r="E16" s="409">
        <f>Assumptions!$E37</f>
        <v>84</v>
      </c>
      <c r="F16" s="409">
        <f>Assumptions!$E37</f>
        <v>84</v>
      </c>
      <c r="G16" s="409">
        <f>Assumptions!$E37</f>
        <v>84</v>
      </c>
      <c r="H16" s="409">
        <f>Assumptions!$E37</f>
        <v>84</v>
      </c>
      <c r="I16" s="409">
        <f>Assumptions!$E37</f>
        <v>84</v>
      </c>
      <c r="J16" s="409">
        <f>Assumptions!$E37</f>
        <v>84</v>
      </c>
      <c r="K16" s="409">
        <f>Assumptions!$E37</f>
        <v>84</v>
      </c>
      <c r="L16" s="409">
        <f>Assumptions!$E37</f>
        <v>84</v>
      </c>
      <c r="M16" s="409">
        <f>Assumptions!$E37</f>
        <v>84</v>
      </c>
      <c r="N16" s="409">
        <f>Assumptions!$E37</f>
        <v>84</v>
      </c>
      <c r="O16" s="409">
        <f>Assumptions!$E37</f>
        <v>84</v>
      </c>
      <c r="P16" s="725">
        <f>Assumptions!$E37</f>
        <v>84</v>
      </c>
      <c r="Q16" s="713">
        <f>Assumptions!$F37</f>
        <v>89.292000000000002</v>
      </c>
      <c r="R16" s="716">
        <f>Assumptions!$F37</f>
        <v>89.292000000000002</v>
      </c>
      <c r="S16" s="716">
        <f>Assumptions!$F37</f>
        <v>89.292000000000002</v>
      </c>
      <c r="T16" s="716">
        <f>Assumptions!$F37</f>
        <v>89.292000000000002</v>
      </c>
      <c r="U16" s="716">
        <f>Assumptions!$F37</f>
        <v>89.292000000000002</v>
      </c>
      <c r="V16" s="716">
        <f>Assumptions!$F37</f>
        <v>89.292000000000002</v>
      </c>
      <c r="W16" s="716">
        <f>Assumptions!$F37</f>
        <v>89.292000000000002</v>
      </c>
      <c r="X16" s="716">
        <f>Assumptions!$F37</f>
        <v>89.292000000000002</v>
      </c>
      <c r="Y16" s="716">
        <f>Assumptions!$F37</f>
        <v>89.292000000000002</v>
      </c>
      <c r="Z16" s="716">
        <f>Assumptions!$F37</f>
        <v>89.292000000000002</v>
      </c>
      <c r="AA16" s="716">
        <f>Assumptions!$F37</f>
        <v>89.292000000000002</v>
      </c>
      <c r="AB16" s="717">
        <f>Assumptions!$F37</f>
        <v>89.292000000000002</v>
      </c>
      <c r="AC16" s="713">
        <f>Assumptions!$G37</f>
        <v>94.917395999999982</v>
      </c>
      <c r="AD16" s="716">
        <f>Assumptions!$G37</f>
        <v>94.917395999999982</v>
      </c>
      <c r="AE16" s="716">
        <f>Assumptions!$G37</f>
        <v>94.917395999999982</v>
      </c>
      <c r="AF16" s="716">
        <f>Assumptions!$G37</f>
        <v>94.917395999999982</v>
      </c>
      <c r="AG16" s="716">
        <f>Assumptions!$G37</f>
        <v>94.917395999999982</v>
      </c>
      <c r="AH16" s="716">
        <f>Assumptions!$G37</f>
        <v>94.917395999999982</v>
      </c>
      <c r="AI16" s="716">
        <f>Assumptions!$G37</f>
        <v>94.917395999999982</v>
      </c>
      <c r="AJ16" s="716">
        <f>Assumptions!$G37</f>
        <v>94.917395999999982</v>
      </c>
      <c r="AK16" s="716">
        <f>Assumptions!$G37</f>
        <v>94.917395999999982</v>
      </c>
      <c r="AL16" s="716">
        <f>Assumptions!$G37</f>
        <v>94.917395999999982</v>
      </c>
      <c r="AM16" s="716">
        <f>Assumptions!$G37</f>
        <v>94.917395999999982</v>
      </c>
      <c r="AN16" s="717">
        <f>Assumptions!$G37</f>
        <v>94.917395999999982</v>
      </c>
      <c r="AO16" s="714">
        <f>Assumptions!$H37</f>
        <v>100.89719194799997</v>
      </c>
      <c r="AP16" s="716">
        <f>Assumptions!$H37</f>
        <v>100.89719194799997</v>
      </c>
      <c r="AQ16" s="716">
        <f>Assumptions!$H37</f>
        <v>100.89719194799997</v>
      </c>
      <c r="AR16" s="716">
        <f>Assumptions!$H37</f>
        <v>100.89719194799997</v>
      </c>
      <c r="AS16" s="716">
        <f>Assumptions!$H37</f>
        <v>100.89719194799997</v>
      </c>
      <c r="AT16" s="716">
        <f>Assumptions!$H37</f>
        <v>100.89719194799997</v>
      </c>
      <c r="AU16" s="716">
        <f>Assumptions!$H37</f>
        <v>100.89719194799997</v>
      </c>
      <c r="AV16" s="716">
        <f>Assumptions!$H37</f>
        <v>100.89719194799997</v>
      </c>
      <c r="AW16" s="716">
        <f>Assumptions!$H37</f>
        <v>100.89719194799997</v>
      </c>
      <c r="AX16" s="716">
        <f>Assumptions!$H37</f>
        <v>100.89719194799997</v>
      </c>
      <c r="AY16" s="716">
        <f>Assumptions!$H37</f>
        <v>100.89719194799997</v>
      </c>
      <c r="AZ16" s="717">
        <f>Assumptions!$H37</f>
        <v>100.89719194799997</v>
      </c>
      <c r="BA16" s="713">
        <f>Assumptions!$I37</f>
        <v>107.25371504072396</v>
      </c>
      <c r="BB16" s="716">
        <f>Assumptions!$I37</f>
        <v>107.25371504072396</v>
      </c>
      <c r="BC16" s="716">
        <f>Assumptions!$I37</f>
        <v>107.25371504072396</v>
      </c>
      <c r="BD16" s="716">
        <f>Assumptions!$I37</f>
        <v>107.25371504072396</v>
      </c>
      <c r="BE16" s="716">
        <f>Assumptions!$I37</f>
        <v>107.25371504072396</v>
      </c>
      <c r="BF16" s="716">
        <f>Assumptions!$I37</f>
        <v>107.25371504072396</v>
      </c>
      <c r="BG16" s="716">
        <f>Assumptions!$I37</f>
        <v>107.25371504072396</v>
      </c>
      <c r="BH16" s="716">
        <f>Assumptions!$I37</f>
        <v>107.25371504072396</v>
      </c>
      <c r="BI16" s="716">
        <f>Assumptions!$I37</f>
        <v>107.25371504072396</v>
      </c>
      <c r="BJ16" s="716">
        <f>Assumptions!$I37</f>
        <v>107.25371504072396</v>
      </c>
      <c r="BK16" s="716">
        <f>Assumptions!$I37</f>
        <v>107.25371504072396</v>
      </c>
      <c r="BL16" s="717">
        <f>Assumptions!$I37</f>
        <v>107.25371504072396</v>
      </c>
      <c r="BM16" s="713">
        <f>Assumptions!$J37</f>
        <v>114.01069908828957</v>
      </c>
      <c r="BN16" s="716">
        <f>Assumptions!$J37</f>
        <v>114.01069908828957</v>
      </c>
      <c r="BO16" s="716">
        <f>Assumptions!$J37</f>
        <v>114.01069908828957</v>
      </c>
      <c r="BP16" s="716">
        <f>Assumptions!$J37</f>
        <v>114.01069908828957</v>
      </c>
      <c r="BQ16" s="716">
        <f>Assumptions!$J37</f>
        <v>114.01069908828957</v>
      </c>
      <c r="BR16" s="716">
        <f>Assumptions!$J37</f>
        <v>114.01069908828957</v>
      </c>
      <c r="BS16" s="716">
        <f>Assumptions!$J37</f>
        <v>114.01069908828957</v>
      </c>
      <c r="BT16" s="713">
        <f>Assumptions!$J37</f>
        <v>114.01069908828957</v>
      </c>
      <c r="BU16" s="713">
        <f>Assumptions!$J37</f>
        <v>114.01069908828957</v>
      </c>
      <c r="BV16" s="713">
        <f>Assumptions!$J37</f>
        <v>114.01069908828957</v>
      </c>
      <c r="BW16" s="713">
        <f>Assumptions!$J37</f>
        <v>114.01069908828957</v>
      </c>
      <c r="BX16" s="727">
        <f>Assumptions!$J37</f>
        <v>114.01069908828957</v>
      </c>
      <c r="BY16" s="713">
        <f>Assumptions!$K37</f>
        <v>121.19337313085181</v>
      </c>
      <c r="BZ16" s="713">
        <f>Assumptions!$K37</f>
        <v>121.19337313085181</v>
      </c>
      <c r="CA16" s="713">
        <f>Assumptions!$K37</f>
        <v>121.19337313085181</v>
      </c>
      <c r="CB16" s="713">
        <f>Assumptions!$K37</f>
        <v>121.19337313085181</v>
      </c>
      <c r="CC16" s="713">
        <f>Assumptions!$K37</f>
        <v>121.19337313085181</v>
      </c>
      <c r="CD16" s="713">
        <f>Assumptions!$K37</f>
        <v>121.19337313085181</v>
      </c>
      <c r="CE16" s="713">
        <f>Assumptions!$K37</f>
        <v>121.19337313085181</v>
      </c>
      <c r="CF16" s="713">
        <f>Assumptions!$K37</f>
        <v>121.19337313085181</v>
      </c>
      <c r="CG16" s="713">
        <f>Assumptions!$K37</f>
        <v>121.19337313085181</v>
      </c>
      <c r="CH16" s="713">
        <f>Assumptions!$K37</f>
        <v>121.19337313085181</v>
      </c>
      <c r="CI16" s="713">
        <f>Assumptions!$K37</f>
        <v>121.19337313085181</v>
      </c>
      <c r="CJ16" s="727">
        <f>Assumptions!$K37</f>
        <v>121.19337313085181</v>
      </c>
      <c r="CK16" s="713">
        <f>Assumptions!$K37</f>
        <v>121.19337313085181</v>
      </c>
      <c r="CL16" s="713">
        <f>Assumptions!$K37</f>
        <v>121.19337313085181</v>
      </c>
      <c r="CM16" s="713">
        <f>Assumptions!$K37</f>
        <v>121.19337313085181</v>
      </c>
      <c r="CN16" s="713">
        <f>Assumptions!$K37</f>
        <v>121.19337313085181</v>
      </c>
      <c r="CO16" s="713">
        <f>Assumptions!$K37</f>
        <v>121.19337313085181</v>
      </c>
      <c r="CP16" s="713">
        <f>Assumptions!$K37</f>
        <v>121.19337313085181</v>
      </c>
      <c r="CQ16" s="713">
        <f>Assumptions!$K37</f>
        <v>121.19337313085181</v>
      </c>
      <c r="CR16" s="713">
        <f>Assumptions!$K37</f>
        <v>121.19337313085181</v>
      </c>
      <c r="CS16" s="713">
        <f>Assumptions!$K37</f>
        <v>121.19337313085181</v>
      </c>
      <c r="CT16" s="713">
        <f>Assumptions!$K37</f>
        <v>121.19337313085181</v>
      </c>
      <c r="CU16" s="713">
        <f>Assumptions!$K37</f>
        <v>121.19337313085181</v>
      </c>
      <c r="CV16" s="727">
        <f>Assumptions!$K37</f>
        <v>121.19337313085181</v>
      </c>
      <c r="CW16" s="713">
        <f>Assumptions!$M37</f>
        <v>136.94475464329548</v>
      </c>
      <c r="CX16" s="713">
        <f>Assumptions!$M37</f>
        <v>136.94475464329548</v>
      </c>
      <c r="CY16" s="713">
        <f>Assumptions!$M37</f>
        <v>136.94475464329548</v>
      </c>
      <c r="CZ16" s="713">
        <f>Assumptions!$M37</f>
        <v>136.94475464329548</v>
      </c>
      <c r="DA16" s="713">
        <f>Assumptions!$M37</f>
        <v>136.94475464329548</v>
      </c>
      <c r="DB16" s="713">
        <f>Assumptions!$M37</f>
        <v>136.94475464329548</v>
      </c>
      <c r="DC16" s="713">
        <f>Assumptions!$M37</f>
        <v>136.94475464329548</v>
      </c>
      <c r="DD16" s="713">
        <f>Assumptions!$M37</f>
        <v>136.94475464329548</v>
      </c>
      <c r="DE16" s="713">
        <f>Assumptions!$M37</f>
        <v>136.94475464329548</v>
      </c>
      <c r="DF16" s="713">
        <f>Assumptions!$M37</f>
        <v>136.94475464329548</v>
      </c>
      <c r="DG16" s="713">
        <f>Assumptions!$M37</f>
        <v>136.94475464329548</v>
      </c>
      <c r="DH16" s="727">
        <f>Assumptions!$M37</f>
        <v>136.94475464329548</v>
      </c>
      <c r="DI16" s="713">
        <f>Assumptions!$N37</f>
        <v>145.57227418582309</v>
      </c>
      <c r="DJ16" s="713">
        <f>Assumptions!$N37</f>
        <v>145.57227418582309</v>
      </c>
      <c r="DK16" s="713">
        <f>Assumptions!$N37</f>
        <v>145.57227418582309</v>
      </c>
      <c r="DL16" s="713">
        <f>Assumptions!$N37</f>
        <v>145.57227418582309</v>
      </c>
      <c r="DM16" s="713">
        <f>Assumptions!$N37</f>
        <v>145.57227418582309</v>
      </c>
      <c r="DN16" s="713">
        <f>Assumptions!$N37</f>
        <v>145.57227418582309</v>
      </c>
      <c r="DO16" s="713">
        <f>Assumptions!$N37</f>
        <v>145.57227418582309</v>
      </c>
      <c r="DP16" s="713">
        <f>Assumptions!$N37</f>
        <v>145.57227418582309</v>
      </c>
      <c r="DQ16" s="713">
        <f>Assumptions!$N37</f>
        <v>145.57227418582309</v>
      </c>
      <c r="DR16" s="713">
        <f>Assumptions!$N37</f>
        <v>145.57227418582309</v>
      </c>
      <c r="DS16" s="713">
        <f>Assumptions!$N37</f>
        <v>145.57227418582309</v>
      </c>
      <c r="DT16" s="727">
        <f>Assumptions!$N37</f>
        <v>145.57227418582309</v>
      </c>
    </row>
    <row r="17" spans="1:124" ht="15" customHeight="1" x14ac:dyDescent="0.3">
      <c r="A17" s="125"/>
      <c r="B17" s="250" t="s">
        <v>560</v>
      </c>
      <c r="C17" s="13"/>
      <c r="E17" s="409">
        <f>Assumptions!$E38</f>
        <v>84</v>
      </c>
      <c r="F17" s="409">
        <f>Assumptions!$E38</f>
        <v>84</v>
      </c>
      <c r="G17" s="409">
        <f>Assumptions!$E38</f>
        <v>84</v>
      </c>
      <c r="H17" s="409">
        <f>Assumptions!$E38</f>
        <v>84</v>
      </c>
      <c r="I17" s="409">
        <f>Assumptions!$E38</f>
        <v>84</v>
      </c>
      <c r="J17" s="409">
        <f>Assumptions!$E38</f>
        <v>84</v>
      </c>
      <c r="K17" s="409">
        <f>Assumptions!$E38</f>
        <v>84</v>
      </c>
      <c r="L17" s="409">
        <f>Assumptions!$E38</f>
        <v>84</v>
      </c>
      <c r="M17" s="409">
        <f>Assumptions!$E38</f>
        <v>84</v>
      </c>
      <c r="N17" s="409">
        <f>Assumptions!$E38</f>
        <v>84</v>
      </c>
      <c r="O17" s="409">
        <f>Assumptions!$E38</f>
        <v>84</v>
      </c>
      <c r="P17" s="725">
        <f>Assumptions!$E38</f>
        <v>84</v>
      </c>
      <c r="Q17" s="713">
        <f>Assumptions!$F38</f>
        <v>89.292000000000002</v>
      </c>
      <c r="R17" s="716">
        <f>Assumptions!$F38</f>
        <v>89.292000000000002</v>
      </c>
      <c r="S17" s="716">
        <f>Assumptions!$F38</f>
        <v>89.292000000000002</v>
      </c>
      <c r="T17" s="716">
        <f>Assumptions!$F38</f>
        <v>89.292000000000002</v>
      </c>
      <c r="U17" s="716">
        <f>Assumptions!$F38</f>
        <v>89.292000000000002</v>
      </c>
      <c r="V17" s="716">
        <f>Assumptions!$F38</f>
        <v>89.292000000000002</v>
      </c>
      <c r="W17" s="716">
        <f>Assumptions!$F38</f>
        <v>89.292000000000002</v>
      </c>
      <c r="X17" s="716">
        <f>Assumptions!$F38</f>
        <v>89.292000000000002</v>
      </c>
      <c r="Y17" s="716">
        <f>Assumptions!$F38</f>
        <v>89.292000000000002</v>
      </c>
      <c r="Z17" s="716">
        <f>Assumptions!$F38</f>
        <v>89.292000000000002</v>
      </c>
      <c r="AA17" s="716">
        <f>Assumptions!$F38</f>
        <v>89.292000000000002</v>
      </c>
      <c r="AB17" s="717">
        <f>Assumptions!$F38</f>
        <v>89.292000000000002</v>
      </c>
      <c r="AC17" s="713">
        <f>Assumptions!$G38</f>
        <v>94.917395999999982</v>
      </c>
      <c r="AD17" s="716">
        <f>Assumptions!$G38</f>
        <v>94.917395999999982</v>
      </c>
      <c r="AE17" s="716">
        <f>Assumptions!$G38</f>
        <v>94.917395999999982</v>
      </c>
      <c r="AF17" s="716">
        <f>Assumptions!$G38</f>
        <v>94.917395999999982</v>
      </c>
      <c r="AG17" s="716">
        <f>Assumptions!$G38</f>
        <v>94.917395999999982</v>
      </c>
      <c r="AH17" s="716">
        <f>Assumptions!$G38</f>
        <v>94.917395999999982</v>
      </c>
      <c r="AI17" s="716">
        <f>Assumptions!$G38</f>
        <v>94.917395999999982</v>
      </c>
      <c r="AJ17" s="716">
        <f>Assumptions!$G38</f>
        <v>94.917395999999982</v>
      </c>
      <c r="AK17" s="716">
        <f>Assumptions!$G38</f>
        <v>94.917395999999982</v>
      </c>
      <c r="AL17" s="716">
        <f>Assumptions!$G38</f>
        <v>94.917395999999982</v>
      </c>
      <c r="AM17" s="716">
        <f>Assumptions!$G38</f>
        <v>94.917395999999982</v>
      </c>
      <c r="AN17" s="717">
        <f>Assumptions!$G38</f>
        <v>94.917395999999982</v>
      </c>
      <c r="AO17" s="714">
        <f>Assumptions!$H38</f>
        <v>100.89719194799997</v>
      </c>
      <c r="AP17" s="716">
        <f>Assumptions!$H38</f>
        <v>100.89719194799997</v>
      </c>
      <c r="AQ17" s="716">
        <f>Assumptions!$H38</f>
        <v>100.89719194799997</v>
      </c>
      <c r="AR17" s="716">
        <f>Assumptions!$H38</f>
        <v>100.89719194799997</v>
      </c>
      <c r="AS17" s="716">
        <f>Assumptions!$H38</f>
        <v>100.89719194799997</v>
      </c>
      <c r="AT17" s="716">
        <f>Assumptions!$H38</f>
        <v>100.89719194799997</v>
      </c>
      <c r="AU17" s="716">
        <f>Assumptions!$H38</f>
        <v>100.89719194799997</v>
      </c>
      <c r="AV17" s="716">
        <f>Assumptions!$H38</f>
        <v>100.89719194799997</v>
      </c>
      <c r="AW17" s="716">
        <f>Assumptions!$H38</f>
        <v>100.89719194799997</v>
      </c>
      <c r="AX17" s="716">
        <f>Assumptions!$H38</f>
        <v>100.89719194799997</v>
      </c>
      <c r="AY17" s="716">
        <f>Assumptions!$H38</f>
        <v>100.89719194799997</v>
      </c>
      <c r="AZ17" s="717">
        <f>Assumptions!$H38</f>
        <v>100.89719194799997</v>
      </c>
      <c r="BA17" s="713">
        <f>Assumptions!$I38</f>
        <v>107.25371504072396</v>
      </c>
      <c r="BB17" s="716">
        <f>Assumptions!$I38</f>
        <v>107.25371504072396</v>
      </c>
      <c r="BC17" s="716">
        <f>Assumptions!$I38</f>
        <v>107.25371504072396</v>
      </c>
      <c r="BD17" s="716">
        <f>Assumptions!$I38</f>
        <v>107.25371504072396</v>
      </c>
      <c r="BE17" s="716">
        <f>Assumptions!$I38</f>
        <v>107.25371504072396</v>
      </c>
      <c r="BF17" s="716">
        <f>Assumptions!$I38</f>
        <v>107.25371504072396</v>
      </c>
      <c r="BG17" s="716">
        <f>Assumptions!$I38</f>
        <v>107.25371504072396</v>
      </c>
      <c r="BH17" s="716">
        <f>Assumptions!$I38</f>
        <v>107.25371504072396</v>
      </c>
      <c r="BI17" s="716">
        <f>Assumptions!$I38</f>
        <v>107.25371504072396</v>
      </c>
      <c r="BJ17" s="716">
        <f>Assumptions!$I38</f>
        <v>107.25371504072396</v>
      </c>
      <c r="BK17" s="716">
        <f>Assumptions!$I38</f>
        <v>107.25371504072396</v>
      </c>
      <c r="BL17" s="717">
        <f>Assumptions!$I38</f>
        <v>107.25371504072396</v>
      </c>
      <c r="BM17" s="713">
        <f>Assumptions!$J38</f>
        <v>114.01069908828957</v>
      </c>
      <c r="BN17" s="716">
        <f>Assumptions!$J38</f>
        <v>114.01069908828957</v>
      </c>
      <c r="BO17" s="716">
        <f>Assumptions!$J38</f>
        <v>114.01069908828957</v>
      </c>
      <c r="BP17" s="716">
        <f>Assumptions!$J38</f>
        <v>114.01069908828957</v>
      </c>
      <c r="BQ17" s="716">
        <f>Assumptions!$J38</f>
        <v>114.01069908828957</v>
      </c>
      <c r="BR17" s="716">
        <f>Assumptions!$J38</f>
        <v>114.01069908828957</v>
      </c>
      <c r="BS17" s="716">
        <f>Assumptions!$J38</f>
        <v>114.01069908828957</v>
      </c>
      <c r="BT17" s="713">
        <f>Assumptions!$J38</f>
        <v>114.01069908828957</v>
      </c>
      <c r="BU17" s="713">
        <f>Assumptions!$J38</f>
        <v>114.01069908828957</v>
      </c>
      <c r="BV17" s="713">
        <f>Assumptions!$J38</f>
        <v>114.01069908828957</v>
      </c>
      <c r="BW17" s="713">
        <f>Assumptions!$J38</f>
        <v>114.01069908828957</v>
      </c>
      <c r="BX17" s="727">
        <f>Assumptions!$J38</f>
        <v>114.01069908828957</v>
      </c>
      <c r="BY17" s="713">
        <f>Assumptions!$K38</f>
        <v>121.19337313085181</v>
      </c>
      <c r="BZ17" s="713">
        <f>Assumptions!$K38</f>
        <v>121.19337313085181</v>
      </c>
      <c r="CA17" s="713">
        <f>Assumptions!$K38</f>
        <v>121.19337313085181</v>
      </c>
      <c r="CB17" s="713">
        <f>Assumptions!$K38</f>
        <v>121.19337313085181</v>
      </c>
      <c r="CC17" s="713">
        <f>Assumptions!$K38</f>
        <v>121.19337313085181</v>
      </c>
      <c r="CD17" s="713">
        <f>Assumptions!$K38</f>
        <v>121.19337313085181</v>
      </c>
      <c r="CE17" s="713">
        <f>Assumptions!$K38</f>
        <v>121.19337313085181</v>
      </c>
      <c r="CF17" s="713">
        <f>Assumptions!$K38</f>
        <v>121.19337313085181</v>
      </c>
      <c r="CG17" s="713">
        <f>Assumptions!$K38</f>
        <v>121.19337313085181</v>
      </c>
      <c r="CH17" s="713">
        <f>Assumptions!$K38</f>
        <v>121.19337313085181</v>
      </c>
      <c r="CI17" s="713">
        <f>Assumptions!$K38</f>
        <v>121.19337313085181</v>
      </c>
      <c r="CJ17" s="727">
        <f>Assumptions!$K38</f>
        <v>121.19337313085181</v>
      </c>
      <c r="CK17" s="713">
        <f>Assumptions!$K38</f>
        <v>121.19337313085181</v>
      </c>
      <c r="CL17" s="713">
        <f>Assumptions!$K38</f>
        <v>121.19337313085181</v>
      </c>
      <c r="CM17" s="713">
        <f>Assumptions!$K38</f>
        <v>121.19337313085181</v>
      </c>
      <c r="CN17" s="713">
        <f>Assumptions!$K38</f>
        <v>121.19337313085181</v>
      </c>
      <c r="CO17" s="713">
        <f>Assumptions!$K38</f>
        <v>121.19337313085181</v>
      </c>
      <c r="CP17" s="713">
        <f>Assumptions!$K38</f>
        <v>121.19337313085181</v>
      </c>
      <c r="CQ17" s="713">
        <f>Assumptions!$K38</f>
        <v>121.19337313085181</v>
      </c>
      <c r="CR17" s="713">
        <f>Assumptions!$K38</f>
        <v>121.19337313085181</v>
      </c>
      <c r="CS17" s="713">
        <f>Assumptions!$K38</f>
        <v>121.19337313085181</v>
      </c>
      <c r="CT17" s="713">
        <f>Assumptions!$K38</f>
        <v>121.19337313085181</v>
      </c>
      <c r="CU17" s="713">
        <f>Assumptions!$K38</f>
        <v>121.19337313085181</v>
      </c>
      <c r="CV17" s="727">
        <f>Assumptions!$K38</f>
        <v>121.19337313085181</v>
      </c>
      <c r="CW17" s="713">
        <f>Assumptions!$M38</f>
        <v>136.94475464329548</v>
      </c>
      <c r="CX17" s="713">
        <f>Assumptions!$M38</f>
        <v>136.94475464329548</v>
      </c>
      <c r="CY17" s="713">
        <f>Assumptions!$M38</f>
        <v>136.94475464329548</v>
      </c>
      <c r="CZ17" s="713">
        <f>Assumptions!$M38</f>
        <v>136.94475464329548</v>
      </c>
      <c r="DA17" s="713">
        <f>Assumptions!$M38</f>
        <v>136.94475464329548</v>
      </c>
      <c r="DB17" s="713">
        <f>Assumptions!$M38</f>
        <v>136.94475464329548</v>
      </c>
      <c r="DC17" s="713">
        <f>Assumptions!$M38</f>
        <v>136.94475464329548</v>
      </c>
      <c r="DD17" s="713">
        <f>Assumptions!$M38</f>
        <v>136.94475464329548</v>
      </c>
      <c r="DE17" s="713">
        <f>Assumptions!$M38</f>
        <v>136.94475464329548</v>
      </c>
      <c r="DF17" s="713">
        <f>Assumptions!$M38</f>
        <v>136.94475464329548</v>
      </c>
      <c r="DG17" s="713">
        <f>Assumptions!$M38</f>
        <v>136.94475464329548</v>
      </c>
      <c r="DH17" s="727">
        <f>Assumptions!$M38</f>
        <v>136.94475464329548</v>
      </c>
      <c r="DI17" s="713">
        <f>Assumptions!$N38</f>
        <v>145.57227418582309</v>
      </c>
      <c r="DJ17" s="713">
        <f>Assumptions!$N38</f>
        <v>145.57227418582309</v>
      </c>
      <c r="DK17" s="713">
        <f>Assumptions!$N38</f>
        <v>145.57227418582309</v>
      </c>
      <c r="DL17" s="713">
        <f>Assumptions!$N38</f>
        <v>145.57227418582309</v>
      </c>
      <c r="DM17" s="713">
        <f>Assumptions!$N38</f>
        <v>145.57227418582309</v>
      </c>
      <c r="DN17" s="713">
        <f>Assumptions!$N38</f>
        <v>145.57227418582309</v>
      </c>
      <c r="DO17" s="713">
        <f>Assumptions!$N38</f>
        <v>145.57227418582309</v>
      </c>
      <c r="DP17" s="713">
        <f>Assumptions!$N38</f>
        <v>145.57227418582309</v>
      </c>
      <c r="DQ17" s="713">
        <f>Assumptions!$N38</f>
        <v>145.57227418582309</v>
      </c>
      <c r="DR17" s="713">
        <f>Assumptions!$N38</f>
        <v>145.57227418582309</v>
      </c>
      <c r="DS17" s="713">
        <f>Assumptions!$N38</f>
        <v>145.57227418582309</v>
      </c>
      <c r="DT17" s="727">
        <f>Assumptions!$N38</f>
        <v>145.57227418582309</v>
      </c>
    </row>
    <row r="18" spans="1:124" ht="15" x14ac:dyDescent="0.25">
      <c r="A18" s="166"/>
      <c r="B18" s="250" t="s">
        <v>559</v>
      </c>
      <c r="C18" s="188"/>
      <c r="E18" s="409">
        <f>Assumptions!$E39</f>
        <v>84</v>
      </c>
      <c r="F18" s="409">
        <f>Assumptions!$E39</f>
        <v>84</v>
      </c>
      <c r="G18" s="409">
        <f>Assumptions!$E39</f>
        <v>84</v>
      </c>
      <c r="H18" s="409">
        <f>Assumptions!$E39</f>
        <v>84</v>
      </c>
      <c r="I18" s="409">
        <f>Assumptions!$E39</f>
        <v>84</v>
      </c>
      <c r="J18" s="409">
        <f>Assumptions!$E39</f>
        <v>84</v>
      </c>
      <c r="K18" s="409">
        <f>Assumptions!$E39</f>
        <v>84</v>
      </c>
      <c r="L18" s="409">
        <f>Assumptions!$E39</f>
        <v>84</v>
      </c>
      <c r="M18" s="409">
        <f>Assumptions!$E39</f>
        <v>84</v>
      </c>
      <c r="N18" s="409">
        <f>Assumptions!$E39</f>
        <v>84</v>
      </c>
      <c r="O18" s="409">
        <f>Assumptions!$E39</f>
        <v>84</v>
      </c>
      <c r="P18" s="725">
        <f>Assumptions!$E39</f>
        <v>84</v>
      </c>
      <c r="Q18" s="713">
        <f>Assumptions!$F39</f>
        <v>89.292000000000002</v>
      </c>
      <c r="R18" s="716">
        <f>Assumptions!$F39</f>
        <v>89.292000000000002</v>
      </c>
      <c r="S18" s="716">
        <f>Assumptions!$F39</f>
        <v>89.292000000000002</v>
      </c>
      <c r="T18" s="716">
        <f>Assumptions!$F39</f>
        <v>89.292000000000002</v>
      </c>
      <c r="U18" s="716">
        <f>Assumptions!$F39</f>
        <v>89.292000000000002</v>
      </c>
      <c r="V18" s="716">
        <f>Assumptions!$F39</f>
        <v>89.292000000000002</v>
      </c>
      <c r="W18" s="716">
        <f>Assumptions!$F39</f>
        <v>89.292000000000002</v>
      </c>
      <c r="X18" s="716">
        <f>Assumptions!$F39</f>
        <v>89.292000000000002</v>
      </c>
      <c r="Y18" s="716">
        <f>Assumptions!$F39</f>
        <v>89.292000000000002</v>
      </c>
      <c r="Z18" s="716">
        <f>Assumptions!$F39</f>
        <v>89.292000000000002</v>
      </c>
      <c r="AA18" s="716">
        <f>Assumptions!$F39</f>
        <v>89.292000000000002</v>
      </c>
      <c r="AB18" s="717">
        <f>Assumptions!$F39</f>
        <v>89.292000000000002</v>
      </c>
      <c r="AC18" s="713">
        <f>Assumptions!$G39</f>
        <v>94.917395999999982</v>
      </c>
      <c r="AD18" s="716">
        <f>Assumptions!$G39</f>
        <v>94.917395999999982</v>
      </c>
      <c r="AE18" s="716">
        <f>Assumptions!$G39</f>
        <v>94.917395999999982</v>
      </c>
      <c r="AF18" s="716">
        <f>Assumptions!$G39</f>
        <v>94.917395999999982</v>
      </c>
      <c r="AG18" s="716">
        <f>Assumptions!$G39</f>
        <v>94.917395999999982</v>
      </c>
      <c r="AH18" s="716">
        <f>Assumptions!$G39</f>
        <v>94.917395999999982</v>
      </c>
      <c r="AI18" s="716">
        <f>Assumptions!$G39</f>
        <v>94.917395999999982</v>
      </c>
      <c r="AJ18" s="716">
        <f>Assumptions!$G39</f>
        <v>94.917395999999982</v>
      </c>
      <c r="AK18" s="716">
        <f>Assumptions!$G39</f>
        <v>94.917395999999982</v>
      </c>
      <c r="AL18" s="716">
        <f>Assumptions!$G39</f>
        <v>94.917395999999982</v>
      </c>
      <c r="AM18" s="716">
        <f>Assumptions!$G39</f>
        <v>94.917395999999982</v>
      </c>
      <c r="AN18" s="717">
        <f>Assumptions!$G39</f>
        <v>94.917395999999982</v>
      </c>
      <c r="AO18" s="714">
        <f>Assumptions!$H39</f>
        <v>100.89719194799997</v>
      </c>
      <c r="AP18" s="716">
        <f>Assumptions!$H39</f>
        <v>100.89719194799997</v>
      </c>
      <c r="AQ18" s="716">
        <f>Assumptions!$H39</f>
        <v>100.89719194799997</v>
      </c>
      <c r="AR18" s="716">
        <f>Assumptions!$H39</f>
        <v>100.89719194799997</v>
      </c>
      <c r="AS18" s="716">
        <f>Assumptions!$H39</f>
        <v>100.89719194799997</v>
      </c>
      <c r="AT18" s="716">
        <f>Assumptions!$H39</f>
        <v>100.89719194799997</v>
      </c>
      <c r="AU18" s="716">
        <f>Assumptions!$H39</f>
        <v>100.89719194799997</v>
      </c>
      <c r="AV18" s="716">
        <f>Assumptions!$H39</f>
        <v>100.89719194799997</v>
      </c>
      <c r="AW18" s="716">
        <f>Assumptions!$H39</f>
        <v>100.89719194799997</v>
      </c>
      <c r="AX18" s="716">
        <f>Assumptions!$H39</f>
        <v>100.89719194799997</v>
      </c>
      <c r="AY18" s="716">
        <f>Assumptions!$H39</f>
        <v>100.89719194799997</v>
      </c>
      <c r="AZ18" s="717">
        <f>Assumptions!$H39</f>
        <v>100.89719194799997</v>
      </c>
      <c r="BA18" s="713">
        <f>Assumptions!$I39</f>
        <v>107.25371504072396</v>
      </c>
      <c r="BB18" s="716">
        <f>Assumptions!$I39</f>
        <v>107.25371504072396</v>
      </c>
      <c r="BC18" s="716">
        <f>Assumptions!$I39</f>
        <v>107.25371504072396</v>
      </c>
      <c r="BD18" s="716">
        <f>Assumptions!$I39</f>
        <v>107.25371504072396</v>
      </c>
      <c r="BE18" s="716">
        <f>Assumptions!$I39</f>
        <v>107.25371504072396</v>
      </c>
      <c r="BF18" s="716">
        <f>Assumptions!$I39</f>
        <v>107.25371504072396</v>
      </c>
      <c r="BG18" s="716">
        <f>Assumptions!$I39</f>
        <v>107.25371504072396</v>
      </c>
      <c r="BH18" s="716">
        <f>Assumptions!$I39</f>
        <v>107.25371504072396</v>
      </c>
      <c r="BI18" s="716">
        <f>Assumptions!$I39</f>
        <v>107.25371504072396</v>
      </c>
      <c r="BJ18" s="716">
        <f>Assumptions!$I39</f>
        <v>107.25371504072396</v>
      </c>
      <c r="BK18" s="716">
        <f>Assumptions!$I39</f>
        <v>107.25371504072396</v>
      </c>
      <c r="BL18" s="717">
        <f>Assumptions!$I39</f>
        <v>107.25371504072396</v>
      </c>
      <c r="BM18" s="713">
        <f>Assumptions!$J39</f>
        <v>114.01069908828957</v>
      </c>
      <c r="BN18" s="716">
        <f>Assumptions!$J39</f>
        <v>114.01069908828957</v>
      </c>
      <c r="BO18" s="716">
        <f>Assumptions!$J39</f>
        <v>114.01069908828957</v>
      </c>
      <c r="BP18" s="716">
        <f>Assumptions!$J39</f>
        <v>114.01069908828957</v>
      </c>
      <c r="BQ18" s="716">
        <f>Assumptions!$J39</f>
        <v>114.01069908828957</v>
      </c>
      <c r="BR18" s="716">
        <f>Assumptions!$J39</f>
        <v>114.01069908828957</v>
      </c>
      <c r="BS18" s="716">
        <f>Assumptions!$J39</f>
        <v>114.01069908828957</v>
      </c>
      <c r="BT18" s="713">
        <f>Assumptions!$J39</f>
        <v>114.01069908828957</v>
      </c>
      <c r="BU18" s="713">
        <f>Assumptions!$J39</f>
        <v>114.01069908828957</v>
      </c>
      <c r="BV18" s="713">
        <f>Assumptions!$J39</f>
        <v>114.01069908828957</v>
      </c>
      <c r="BW18" s="713">
        <f>Assumptions!$J39</f>
        <v>114.01069908828957</v>
      </c>
      <c r="BX18" s="727">
        <f>Assumptions!$J39</f>
        <v>114.01069908828957</v>
      </c>
      <c r="BY18" s="713">
        <f>Assumptions!$K39</f>
        <v>121.19337313085181</v>
      </c>
      <c r="BZ18" s="713">
        <f>Assumptions!$K39</f>
        <v>121.19337313085181</v>
      </c>
      <c r="CA18" s="713">
        <f>Assumptions!$K39</f>
        <v>121.19337313085181</v>
      </c>
      <c r="CB18" s="713">
        <f>Assumptions!$K39</f>
        <v>121.19337313085181</v>
      </c>
      <c r="CC18" s="713">
        <f>Assumptions!$K39</f>
        <v>121.19337313085181</v>
      </c>
      <c r="CD18" s="713">
        <f>Assumptions!$K39</f>
        <v>121.19337313085181</v>
      </c>
      <c r="CE18" s="713">
        <f>Assumptions!$K39</f>
        <v>121.19337313085181</v>
      </c>
      <c r="CF18" s="713">
        <f>Assumptions!$K39</f>
        <v>121.19337313085181</v>
      </c>
      <c r="CG18" s="713">
        <f>Assumptions!$K39</f>
        <v>121.19337313085181</v>
      </c>
      <c r="CH18" s="713">
        <f>Assumptions!$K39</f>
        <v>121.19337313085181</v>
      </c>
      <c r="CI18" s="713">
        <f>Assumptions!$K39</f>
        <v>121.19337313085181</v>
      </c>
      <c r="CJ18" s="727">
        <f>Assumptions!$K39</f>
        <v>121.19337313085181</v>
      </c>
      <c r="CK18" s="713">
        <f>Assumptions!$K39</f>
        <v>121.19337313085181</v>
      </c>
      <c r="CL18" s="713">
        <f>Assumptions!$K39</f>
        <v>121.19337313085181</v>
      </c>
      <c r="CM18" s="713">
        <f>Assumptions!$K39</f>
        <v>121.19337313085181</v>
      </c>
      <c r="CN18" s="713">
        <f>Assumptions!$K39</f>
        <v>121.19337313085181</v>
      </c>
      <c r="CO18" s="713">
        <f>Assumptions!$K39</f>
        <v>121.19337313085181</v>
      </c>
      <c r="CP18" s="713">
        <f>Assumptions!$K39</f>
        <v>121.19337313085181</v>
      </c>
      <c r="CQ18" s="713">
        <f>Assumptions!$K39</f>
        <v>121.19337313085181</v>
      </c>
      <c r="CR18" s="713">
        <f>Assumptions!$K39</f>
        <v>121.19337313085181</v>
      </c>
      <c r="CS18" s="713">
        <f>Assumptions!$K39</f>
        <v>121.19337313085181</v>
      </c>
      <c r="CT18" s="713">
        <f>Assumptions!$K39</f>
        <v>121.19337313085181</v>
      </c>
      <c r="CU18" s="713">
        <f>Assumptions!$K39</f>
        <v>121.19337313085181</v>
      </c>
      <c r="CV18" s="727">
        <f>Assumptions!$K39</f>
        <v>121.19337313085181</v>
      </c>
      <c r="CW18" s="713">
        <f>Assumptions!$M39</f>
        <v>136.94475464329548</v>
      </c>
      <c r="CX18" s="713">
        <f>Assumptions!$M39</f>
        <v>136.94475464329548</v>
      </c>
      <c r="CY18" s="713">
        <f>Assumptions!$M39</f>
        <v>136.94475464329548</v>
      </c>
      <c r="CZ18" s="713">
        <f>Assumptions!$M39</f>
        <v>136.94475464329548</v>
      </c>
      <c r="DA18" s="713">
        <f>Assumptions!$M39</f>
        <v>136.94475464329548</v>
      </c>
      <c r="DB18" s="713">
        <f>Assumptions!$M39</f>
        <v>136.94475464329548</v>
      </c>
      <c r="DC18" s="713">
        <f>Assumptions!$M39</f>
        <v>136.94475464329548</v>
      </c>
      <c r="DD18" s="713">
        <f>Assumptions!$M39</f>
        <v>136.94475464329548</v>
      </c>
      <c r="DE18" s="713">
        <f>Assumptions!$M39</f>
        <v>136.94475464329548</v>
      </c>
      <c r="DF18" s="713">
        <f>Assumptions!$M39</f>
        <v>136.94475464329548</v>
      </c>
      <c r="DG18" s="713">
        <f>Assumptions!$M39</f>
        <v>136.94475464329548</v>
      </c>
      <c r="DH18" s="727">
        <f>Assumptions!$M39</f>
        <v>136.94475464329548</v>
      </c>
      <c r="DI18" s="713">
        <f>Assumptions!$N39</f>
        <v>145.57227418582309</v>
      </c>
      <c r="DJ18" s="713">
        <f>Assumptions!$N39</f>
        <v>145.57227418582309</v>
      </c>
      <c r="DK18" s="713">
        <f>Assumptions!$N39</f>
        <v>145.57227418582309</v>
      </c>
      <c r="DL18" s="713">
        <f>Assumptions!$N39</f>
        <v>145.57227418582309</v>
      </c>
      <c r="DM18" s="713">
        <f>Assumptions!$N39</f>
        <v>145.57227418582309</v>
      </c>
      <c r="DN18" s="713">
        <f>Assumptions!$N39</f>
        <v>145.57227418582309</v>
      </c>
      <c r="DO18" s="713">
        <f>Assumptions!$N39</f>
        <v>145.57227418582309</v>
      </c>
      <c r="DP18" s="713">
        <f>Assumptions!$N39</f>
        <v>145.57227418582309</v>
      </c>
      <c r="DQ18" s="713">
        <f>Assumptions!$N39</f>
        <v>145.57227418582309</v>
      </c>
      <c r="DR18" s="713">
        <f>Assumptions!$N39</f>
        <v>145.57227418582309</v>
      </c>
      <c r="DS18" s="713">
        <f>Assumptions!$N39</f>
        <v>145.57227418582309</v>
      </c>
      <c r="DT18" s="727">
        <f>Assumptions!$N39</f>
        <v>145.57227418582309</v>
      </c>
    </row>
    <row r="19" spans="1:124" ht="15" x14ac:dyDescent="0.25">
      <c r="A19" s="166"/>
      <c r="B19" s="250" t="s">
        <v>1296</v>
      </c>
      <c r="C19" s="188"/>
      <c r="E19" s="409">
        <f>Assumptions!$E40</f>
        <v>84</v>
      </c>
      <c r="F19" s="409">
        <f>Assumptions!$E40</f>
        <v>84</v>
      </c>
      <c r="G19" s="409">
        <f>Assumptions!$E40</f>
        <v>84</v>
      </c>
      <c r="H19" s="409">
        <f>Assumptions!$E40</f>
        <v>84</v>
      </c>
      <c r="I19" s="409">
        <f>Assumptions!$E40</f>
        <v>84</v>
      </c>
      <c r="J19" s="409">
        <f>Assumptions!$E40</f>
        <v>84</v>
      </c>
      <c r="K19" s="409">
        <f>Assumptions!$E40</f>
        <v>84</v>
      </c>
      <c r="L19" s="409">
        <f>Assumptions!$E40</f>
        <v>84</v>
      </c>
      <c r="M19" s="409">
        <f>Assumptions!$E40</f>
        <v>84</v>
      </c>
      <c r="N19" s="409">
        <f>Assumptions!$E40</f>
        <v>84</v>
      </c>
      <c r="O19" s="409">
        <f>Assumptions!$E40</f>
        <v>84</v>
      </c>
      <c r="P19" s="725">
        <f>Assumptions!$E40</f>
        <v>84</v>
      </c>
      <c r="Q19" s="713">
        <f>Assumptions!$F40</f>
        <v>89.292000000000002</v>
      </c>
      <c r="R19" s="716">
        <f>Assumptions!$F40</f>
        <v>89.292000000000002</v>
      </c>
      <c r="S19" s="716">
        <f>Assumptions!$F40</f>
        <v>89.292000000000002</v>
      </c>
      <c r="T19" s="716">
        <f>Assumptions!$F40</f>
        <v>89.292000000000002</v>
      </c>
      <c r="U19" s="716">
        <f>Assumptions!$F40</f>
        <v>89.292000000000002</v>
      </c>
      <c r="V19" s="716">
        <f>Assumptions!$F40</f>
        <v>89.292000000000002</v>
      </c>
      <c r="W19" s="716">
        <f>Assumptions!$F40</f>
        <v>89.292000000000002</v>
      </c>
      <c r="X19" s="716">
        <f>Assumptions!$F40</f>
        <v>89.292000000000002</v>
      </c>
      <c r="Y19" s="716">
        <f>Assumptions!$F40</f>
        <v>89.292000000000002</v>
      </c>
      <c r="Z19" s="716">
        <f>Assumptions!$F40</f>
        <v>89.292000000000002</v>
      </c>
      <c r="AA19" s="716">
        <f>Assumptions!$F40</f>
        <v>89.292000000000002</v>
      </c>
      <c r="AB19" s="717">
        <f>Assumptions!$F40</f>
        <v>89.292000000000002</v>
      </c>
      <c r="AC19" s="713">
        <f>Assumptions!$G40</f>
        <v>94.917395999999982</v>
      </c>
      <c r="AD19" s="716">
        <f>Assumptions!$G40</f>
        <v>94.917395999999982</v>
      </c>
      <c r="AE19" s="716">
        <f>Assumptions!$G40</f>
        <v>94.917395999999982</v>
      </c>
      <c r="AF19" s="716">
        <f>Assumptions!$G40</f>
        <v>94.917395999999982</v>
      </c>
      <c r="AG19" s="716">
        <f>Assumptions!$G40</f>
        <v>94.917395999999982</v>
      </c>
      <c r="AH19" s="716">
        <f>Assumptions!$G40</f>
        <v>94.917395999999982</v>
      </c>
      <c r="AI19" s="716">
        <f>Assumptions!$G40</f>
        <v>94.917395999999982</v>
      </c>
      <c r="AJ19" s="716">
        <f>Assumptions!$G40</f>
        <v>94.917395999999982</v>
      </c>
      <c r="AK19" s="716">
        <f>Assumptions!$G40</f>
        <v>94.917395999999982</v>
      </c>
      <c r="AL19" s="716">
        <f>Assumptions!$G40</f>
        <v>94.917395999999982</v>
      </c>
      <c r="AM19" s="716">
        <f>Assumptions!$G40</f>
        <v>94.917395999999982</v>
      </c>
      <c r="AN19" s="717">
        <f>Assumptions!$G40</f>
        <v>94.917395999999982</v>
      </c>
      <c r="AO19" s="714">
        <f>Assumptions!$H40</f>
        <v>100.89719194799997</v>
      </c>
      <c r="AP19" s="716">
        <f>Assumptions!$H40</f>
        <v>100.89719194799997</v>
      </c>
      <c r="AQ19" s="716">
        <f>Assumptions!$H40</f>
        <v>100.89719194799997</v>
      </c>
      <c r="AR19" s="716">
        <f>Assumptions!$H40</f>
        <v>100.89719194799997</v>
      </c>
      <c r="AS19" s="716">
        <f>Assumptions!$H40</f>
        <v>100.89719194799997</v>
      </c>
      <c r="AT19" s="716">
        <f>Assumptions!$H40</f>
        <v>100.89719194799997</v>
      </c>
      <c r="AU19" s="716">
        <f>Assumptions!$H40</f>
        <v>100.89719194799997</v>
      </c>
      <c r="AV19" s="716">
        <f>Assumptions!$H40</f>
        <v>100.89719194799997</v>
      </c>
      <c r="AW19" s="716">
        <f>Assumptions!$H40</f>
        <v>100.89719194799997</v>
      </c>
      <c r="AX19" s="716">
        <f>Assumptions!$H40</f>
        <v>100.89719194799997</v>
      </c>
      <c r="AY19" s="716">
        <f>Assumptions!$H40</f>
        <v>100.89719194799997</v>
      </c>
      <c r="AZ19" s="717">
        <f>Assumptions!$H40</f>
        <v>100.89719194799997</v>
      </c>
      <c r="BA19" s="713">
        <f>Assumptions!$I40</f>
        <v>107.25371504072396</v>
      </c>
      <c r="BB19" s="716">
        <f>Assumptions!$I40</f>
        <v>107.25371504072396</v>
      </c>
      <c r="BC19" s="716">
        <f>Assumptions!$I40</f>
        <v>107.25371504072396</v>
      </c>
      <c r="BD19" s="716">
        <f>Assumptions!$I40</f>
        <v>107.25371504072396</v>
      </c>
      <c r="BE19" s="716">
        <f>Assumptions!$I40</f>
        <v>107.25371504072396</v>
      </c>
      <c r="BF19" s="716">
        <f>Assumptions!$I40</f>
        <v>107.25371504072396</v>
      </c>
      <c r="BG19" s="716">
        <f>Assumptions!$I40</f>
        <v>107.25371504072396</v>
      </c>
      <c r="BH19" s="716">
        <f>Assumptions!$I40</f>
        <v>107.25371504072396</v>
      </c>
      <c r="BI19" s="716">
        <f>Assumptions!$I40</f>
        <v>107.25371504072396</v>
      </c>
      <c r="BJ19" s="716">
        <f>Assumptions!$I40</f>
        <v>107.25371504072396</v>
      </c>
      <c r="BK19" s="716">
        <f>Assumptions!$I40</f>
        <v>107.25371504072396</v>
      </c>
      <c r="BL19" s="717">
        <f>Assumptions!$I40</f>
        <v>107.25371504072396</v>
      </c>
      <c r="BM19" s="713">
        <f>Assumptions!$J40</f>
        <v>114.01069908828957</v>
      </c>
      <c r="BN19" s="716">
        <f>Assumptions!$J40</f>
        <v>114.01069908828957</v>
      </c>
      <c r="BO19" s="716">
        <f>Assumptions!$J40</f>
        <v>114.01069908828957</v>
      </c>
      <c r="BP19" s="716">
        <f>Assumptions!$J40</f>
        <v>114.01069908828957</v>
      </c>
      <c r="BQ19" s="716">
        <f>Assumptions!$J40</f>
        <v>114.01069908828957</v>
      </c>
      <c r="BR19" s="716">
        <f>Assumptions!$J40</f>
        <v>114.01069908828957</v>
      </c>
      <c r="BS19" s="716">
        <f>Assumptions!$J40</f>
        <v>114.01069908828957</v>
      </c>
      <c r="BT19" s="713">
        <f>Assumptions!$J40</f>
        <v>114.01069908828957</v>
      </c>
      <c r="BU19" s="713">
        <f>Assumptions!$J40</f>
        <v>114.01069908828957</v>
      </c>
      <c r="BV19" s="713">
        <f>Assumptions!$J40</f>
        <v>114.01069908828957</v>
      </c>
      <c r="BW19" s="713">
        <f>Assumptions!$J40</f>
        <v>114.01069908828957</v>
      </c>
      <c r="BX19" s="727">
        <f>Assumptions!$J40</f>
        <v>114.01069908828957</v>
      </c>
      <c r="BY19" s="713">
        <f>Assumptions!$K40</f>
        <v>121.19337313085181</v>
      </c>
      <c r="BZ19" s="713">
        <f>Assumptions!$K40</f>
        <v>121.19337313085181</v>
      </c>
      <c r="CA19" s="713">
        <f>Assumptions!$K40</f>
        <v>121.19337313085181</v>
      </c>
      <c r="CB19" s="713">
        <f>Assumptions!$K40</f>
        <v>121.19337313085181</v>
      </c>
      <c r="CC19" s="713">
        <f>Assumptions!$K40</f>
        <v>121.19337313085181</v>
      </c>
      <c r="CD19" s="713">
        <f>Assumptions!$K40</f>
        <v>121.19337313085181</v>
      </c>
      <c r="CE19" s="713">
        <f>Assumptions!$K40</f>
        <v>121.19337313085181</v>
      </c>
      <c r="CF19" s="713">
        <f>Assumptions!$K40</f>
        <v>121.19337313085181</v>
      </c>
      <c r="CG19" s="713">
        <f>Assumptions!$K40</f>
        <v>121.19337313085181</v>
      </c>
      <c r="CH19" s="713">
        <f>Assumptions!$K40</f>
        <v>121.19337313085181</v>
      </c>
      <c r="CI19" s="713">
        <f>Assumptions!$K40</f>
        <v>121.19337313085181</v>
      </c>
      <c r="CJ19" s="727">
        <f>Assumptions!$K40</f>
        <v>121.19337313085181</v>
      </c>
      <c r="CK19" s="713">
        <f>Assumptions!$K40</f>
        <v>121.19337313085181</v>
      </c>
      <c r="CL19" s="713">
        <f>Assumptions!$K40</f>
        <v>121.19337313085181</v>
      </c>
      <c r="CM19" s="713">
        <f>Assumptions!$K40</f>
        <v>121.19337313085181</v>
      </c>
      <c r="CN19" s="713">
        <f>Assumptions!$K40</f>
        <v>121.19337313085181</v>
      </c>
      <c r="CO19" s="713">
        <f>Assumptions!$K40</f>
        <v>121.19337313085181</v>
      </c>
      <c r="CP19" s="713">
        <f>Assumptions!$K40</f>
        <v>121.19337313085181</v>
      </c>
      <c r="CQ19" s="713">
        <f>Assumptions!$K40</f>
        <v>121.19337313085181</v>
      </c>
      <c r="CR19" s="713">
        <f>Assumptions!$K40</f>
        <v>121.19337313085181</v>
      </c>
      <c r="CS19" s="713">
        <f>Assumptions!$K40</f>
        <v>121.19337313085181</v>
      </c>
      <c r="CT19" s="713">
        <f>Assumptions!$K40</f>
        <v>121.19337313085181</v>
      </c>
      <c r="CU19" s="713">
        <f>Assumptions!$K40</f>
        <v>121.19337313085181</v>
      </c>
      <c r="CV19" s="727">
        <f>Assumptions!$K40</f>
        <v>121.19337313085181</v>
      </c>
      <c r="CW19" s="713">
        <f>Assumptions!$M40</f>
        <v>136.94475464329548</v>
      </c>
      <c r="CX19" s="713">
        <f>Assumptions!$M40</f>
        <v>136.94475464329548</v>
      </c>
      <c r="CY19" s="713">
        <f>Assumptions!$M40</f>
        <v>136.94475464329548</v>
      </c>
      <c r="CZ19" s="713">
        <f>Assumptions!$M40</f>
        <v>136.94475464329548</v>
      </c>
      <c r="DA19" s="713">
        <f>Assumptions!$M40</f>
        <v>136.94475464329548</v>
      </c>
      <c r="DB19" s="713">
        <f>Assumptions!$M40</f>
        <v>136.94475464329548</v>
      </c>
      <c r="DC19" s="713">
        <f>Assumptions!$M40</f>
        <v>136.94475464329548</v>
      </c>
      <c r="DD19" s="713">
        <f>Assumptions!$M40</f>
        <v>136.94475464329548</v>
      </c>
      <c r="DE19" s="713">
        <f>Assumptions!$M40</f>
        <v>136.94475464329548</v>
      </c>
      <c r="DF19" s="713">
        <f>Assumptions!$M40</f>
        <v>136.94475464329548</v>
      </c>
      <c r="DG19" s="713">
        <f>Assumptions!$M40</f>
        <v>136.94475464329548</v>
      </c>
      <c r="DH19" s="727">
        <f>Assumptions!$M40</f>
        <v>136.94475464329548</v>
      </c>
      <c r="DI19" s="713">
        <f>Assumptions!$N40</f>
        <v>145.57227418582309</v>
      </c>
      <c r="DJ19" s="713">
        <f>Assumptions!$N40</f>
        <v>145.57227418582309</v>
      </c>
      <c r="DK19" s="713">
        <f>Assumptions!$N40</f>
        <v>145.57227418582309</v>
      </c>
      <c r="DL19" s="713">
        <f>Assumptions!$N40</f>
        <v>145.57227418582309</v>
      </c>
      <c r="DM19" s="713">
        <f>Assumptions!$N40</f>
        <v>145.57227418582309</v>
      </c>
      <c r="DN19" s="713">
        <f>Assumptions!$N40</f>
        <v>145.57227418582309</v>
      </c>
      <c r="DO19" s="713">
        <f>Assumptions!$N40</f>
        <v>145.57227418582309</v>
      </c>
      <c r="DP19" s="713">
        <f>Assumptions!$N40</f>
        <v>145.57227418582309</v>
      </c>
      <c r="DQ19" s="713">
        <f>Assumptions!$N40</f>
        <v>145.57227418582309</v>
      </c>
      <c r="DR19" s="713">
        <f>Assumptions!$N40</f>
        <v>145.57227418582309</v>
      </c>
      <c r="DS19" s="713">
        <f>Assumptions!$N40</f>
        <v>145.57227418582309</v>
      </c>
      <c r="DT19" s="727">
        <f>Assumptions!$N40</f>
        <v>145.57227418582309</v>
      </c>
    </row>
    <row r="20" spans="1:124" ht="15" x14ac:dyDescent="0.25">
      <c r="A20" s="166"/>
      <c r="B20" s="250" t="s">
        <v>1297</v>
      </c>
      <c r="C20" s="188"/>
      <c r="E20" s="409">
        <f>Assumptions!$E41</f>
        <v>84</v>
      </c>
      <c r="F20" s="409">
        <f>Assumptions!$E41</f>
        <v>84</v>
      </c>
      <c r="G20" s="409">
        <f>Assumptions!$E41</f>
        <v>84</v>
      </c>
      <c r="H20" s="409">
        <f>Assumptions!$E41</f>
        <v>84</v>
      </c>
      <c r="I20" s="409">
        <f>Assumptions!$E41</f>
        <v>84</v>
      </c>
      <c r="J20" s="409">
        <f>Assumptions!$E41</f>
        <v>84</v>
      </c>
      <c r="K20" s="409">
        <f>Assumptions!$E41</f>
        <v>84</v>
      </c>
      <c r="L20" s="409">
        <f>Assumptions!$E41</f>
        <v>84</v>
      </c>
      <c r="M20" s="409">
        <f>Assumptions!$E41</f>
        <v>84</v>
      </c>
      <c r="N20" s="409">
        <f>Assumptions!$E41</f>
        <v>84</v>
      </c>
      <c r="O20" s="409">
        <f>Assumptions!$E41</f>
        <v>84</v>
      </c>
      <c r="P20" s="725">
        <f>Assumptions!$E41</f>
        <v>84</v>
      </c>
      <c r="Q20" s="713">
        <f>Assumptions!$F41</f>
        <v>89.292000000000002</v>
      </c>
      <c r="R20" s="716">
        <f>Assumptions!$F41</f>
        <v>89.292000000000002</v>
      </c>
      <c r="S20" s="716">
        <f>Assumptions!$F41</f>
        <v>89.292000000000002</v>
      </c>
      <c r="T20" s="716">
        <f>Assumptions!$F41</f>
        <v>89.292000000000002</v>
      </c>
      <c r="U20" s="716">
        <f>Assumptions!$F41</f>
        <v>89.292000000000002</v>
      </c>
      <c r="V20" s="716">
        <f>Assumptions!$F41</f>
        <v>89.292000000000002</v>
      </c>
      <c r="W20" s="716">
        <f>Assumptions!$F41</f>
        <v>89.292000000000002</v>
      </c>
      <c r="X20" s="716">
        <f>Assumptions!$F41</f>
        <v>89.292000000000002</v>
      </c>
      <c r="Y20" s="716">
        <f>Assumptions!$F41</f>
        <v>89.292000000000002</v>
      </c>
      <c r="Z20" s="716">
        <f>Assumptions!$F41</f>
        <v>89.292000000000002</v>
      </c>
      <c r="AA20" s="716">
        <f>Assumptions!$F41</f>
        <v>89.292000000000002</v>
      </c>
      <c r="AB20" s="717">
        <f>Assumptions!$F41</f>
        <v>89.292000000000002</v>
      </c>
      <c r="AC20" s="713">
        <f>Assumptions!$G41</f>
        <v>94.917395999999982</v>
      </c>
      <c r="AD20" s="716">
        <f>Assumptions!$G41</f>
        <v>94.917395999999982</v>
      </c>
      <c r="AE20" s="716">
        <f>Assumptions!$G41</f>
        <v>94.917395999999982</v>
      </c>
      <c r="AF20" s="716">
        <f>Assumptions!$G41</f>
        <v>94.917395999999982</v>
      </c>
      <c r="AG20" s="716">
        <f>Assumptions!$G41</f>
        <v>94.917395999999982</v>
      </c>
      <c r="AH20" s="716">
        <f>Assumptions!$G41</f>
        <v>94.917395999999982</v>
      </c>
      <c r="AI20" s="716">
        <f>Assumptions!$G41</f>
        <v>94.917395999999982</v>
      </c>
      <c r="AJ20" s="716">
        <f>Assumptions!$G41</f>
        <v>94.917395999999982</v>
      </c>
      <c r="AK20" s="716">
        <f>Assumptions!$G41</f>
        <v>94.917395999999982</v>
      </c>
      <c r="AL20" s="716">
        <f>Assumptions!$G41</f>
        <v>94.917395999999982</v>
      </c>
      <c r="AM20" s="716">
        <f>Assumptions!$G41</f>
        <v>94.917395999999982</v>
      </c>
      <c r="AN20" s="717">
        <f>Assumptions!$G41</f>
        <v>94.917395999999982</v>
      </c>
      <c r="AO20" s="714">
        <f>Assumptions!$H41</f>
        <v>100.89719194799997</v>
      </c>
      <c r="AP20" s="716">
        <f>Assumptions!$H41</f>
        <v>100.89719194799997</v>
      </c>
      <c r="AQ20" s="716">
        <f>Assumptions!$H41</f>
        <v>100.89719194799997</v>
      </c>
      <c r="AR20" s="716">
        <f>Assumptions!$H41</f>
        <v>100.89719194799997</v>
      </c>
      <c r="AS20" s="716">
        <f>Assumptions!$H41</f>
        <v>100.89719194799997</v>
      </c>
      <c r="AT20" s="716">
        <f>Assumptions!$H41</f>
        <v>100.89719194799997</v>
      </c>
      <c r="AU20" s="716">
        <f>Assumptions!$H41</f>
        <v>100.89719194799997</v>
      </c>
      <c r="AV20" s="716">
        <f>Assumptions!$H41</f>
        <v>100.89719194799997</v>
      </c>
      <c r="AW20" s="716">
        <f>Assumptions!$H41</f>
        <v>100.89719194799997</v>
      </c>
      <c r="AX20" s="716">
        <f>Assumptions!$H41</f>
        <v>100.89719194799997</v>
      </c>
      <c r="AY20" s="716">
        <f>Assumptions!$H41</f>
        <v>100.89719194799997</v>
      </c>
      <c r="AZ20" s="717">
        <f>Assumptions!$H41</f>
        <v>100.89719194799997</v>
      </c>
      <c r="BA20" s="713">
        <f>Assumptions!$I41</f>
        <v>107.25371504072396</v>
      </c>
      <c r="BB20" s="716">
        <f>Assumptions!$I41</f>
        <v>107.25371504072396</v>
      </c>
      <c r="BC20" s="716">
        <f>Assumptions!$I41</f>
        <v>107.25371504072396</v>
      </c>
      <c r="BD20" s="716">
        <f>Assumptions!$I41</f>
        <v>107.25371504072396</v>
      </c>
      <c r="BE20" s="716">
        <f>Assumptions!$I41</f>
        <v>107.25371504072396</v>
      </c>
      <c r="BF20" s="716">
        <f>Assumptions!$I41</f>
        <v>107.25371504072396</v>
      </c>
      <c r="BG20" s="716">
        <f>Assumptions!$I41</f>
        <v>107.25371504072396</v>
      </c>
      <c r="BH20" s="716">
        <f>Assumptions!$I41</f>
        <v>107.25371504072396</v>
      </c>
      <c r="BI20" s="716">
        <f>Assumptions!$I41</f>
        <v>107.25371504072396</v>
      </c>
      <c r="BJ20" s="716">
        <f>Assumptions!$I41</f>
        <v>107.25371504072396</v>
      </c>
      <c r="BK20" s="716">
        <f>Assumptions!$I41</f>
        <v>107.25371504072396</v>
      </c>
      <c r="BL20" s="717">
        <f>Assumptions!$I41</f>
        <v>107.25371504072396</v>
      </c>
      <c r="BM20" s="713">
        <f>Assumptions!$J41</f>
        <v>114.01069908828957</v>
      </c>
      <c r="BN20" s="716">
        <f>Assumptions!$J41</f>
        <v>114.01069908828957</v>
      </c>
      <c r="BO20" s="716">
        <f>Assumptions!$J41</f>
        <v>114.01069908828957</v>
      </c>
      <c r="BP20" s="716">
        <f>Assumptions!$J41</f>
        <v>114.01069908828957</v>
      </c>
      <c r="BQ20" s="716">
        <f>Assumptions!$J41</f>
        <v>114.01069908828957</v>
      </c>
      <c r="BR20" s="716">
        <f>Assumptions!$J41</f>
        <v>114.01069908828957</v>
      </c>
      <c r="BS20" s="716">
        <f>Assumptions!$J41</f>
        <v>114.01069908828957</v>
      </c>
      <c r="BT20" s="713">
        <f>Assumptions!$J41</f>
        <v>114.01069908828957</v>
      </c>
      <c r="BU20" s="713">
        <f>Assumptions!$J41</f>
        <v>114.01069908828957</v>
      </c>
      <c r="BV20" s="713">
        <f>Assumptions!$J41</f>
        <v>114.01069908828957</v>
      </c>
      <c r="BW20" s="713">
        <f>Assumptions!$J41</f>
        <v>114.01069908828957</v>
      </c>
      <c r="BX20" s="727">
        <f>Assumptions!$J41</f>
        <v>114.01069908828957</v>
      </c>
      <c r="BY20" s="713">
        <f>Assumptions!$K41</f>
        <v>121.19337313085181</v>
      </c>
      <c r="BZ20" s="713">
        <f>Assumptions!$K41</f>
        <v>121.19337313085181</v>
      </c>
      <c r="CA20" s="713">
        <f>Assumptions!$K41</f>
        <v>121.19337313085181</v>
      </c>
      <c r="CB20" s="713">
        <f>Assumptions!$K41</f>
        <v>121.19337313085181</v>
      </c>
      <c r="CC20" s="713">
        <f>Assumptions!$K41</f>
        <v>121.19337313085181</v>
      </c>
      <c r="CD20" s="713">
        <f>Assumptions!$K41</f>
        <v>121.19337313085181</v>
      </c>
      <c r="CE20" s="713">
        <f>Assumptions!$K41</f>
        <v>121.19337313085181</v>
      </c>
      <c r="CF20" s="713">
        <f>Assumptions!$K41</f>
        <v>121.19337313085181</v>
      </c>
      <c r="CG20" s="713">
        <f>Assumptions!$K41</f>
        <v>121.19337313085181</v>
      </c>
      <c r="CH20" s="713">
        <f>Assumptions!$K41</f>
        <v>121.19337313085181</v>
      </c>
      <c r="CI20" s="713">
        <f>Assumptions!$K41</f>
        <v>121.19337313085181</v>
      </c>
      <c r="CJ20" s="727">
        <f>Assumptions!$K41</f>
        <v>121.19337313085181</v>
      </c>
      <c r="CK20" s="713">
        <f>Assumptions!$K41</f>
        <v>121.19337313085181</v>
      </c>
      <c r="CL20" s="713">
        <f>Assumptions!$K41</f>
        <v>121.19337313085181</v>
      </c>
      <c r="CM20" s="713">
        <f>Assumptions!$K41</f>
        <v>121.19337313085181</v>
      </c>
      <c r="CN20" s="713">
        <f>Assumptions!$K41</f>
        <v>121.19337313085181</v>
      </c>
      <c r="CO20" s="713">
        <f>Assumptions!$K41</f>
        <v>121.19337313085181</v>
      </c>
      <c r="CP20" s="713">
        <f>Assumptions!$K41</f>
        <v>121.19337313085181</v>
      </c>
      <c r="CQ20" s="713">
        <f>Assumptions!$K41</f>
        <v>121.19337313085181</v>
      </c>
      <c r="CR20" s="713">
        <f>Assumptions!$K41</f>
        <v>121.19337313085181</v>
      </c>
      <c r="CS20" s="713">
        <f>Assumptions!$K41</f>
        <v>121.19337313085181</v>
      </c>
      <c r="CT20" s="713">
        <f>Assumptions!$K41</f>
        <v>121.19337313085181</v>
      </c>
      <c r="CU20" s="713">
        <f>Assumptions!$K41</f>
        <v>121.19337313085181</v>
      </c>
      <c r="CV20" s="727">
        <f>Assumptions!$K41</f>
        <v>121.19337313085181</v>
      </c>
      <c r="CW20" s="713">
        <f>Assumptions!$M41</f>
        <v>136.94475464329548</v>
      </c>
      <c r="CX20" s="713">
        <f>Assumptions!$M41</f>
        <v>136.94475464329548</v>
      </c>
      <c r="CY20" s="713">
        <f>Assumptions!$M41</f>
        <v>136.94475464329548</v>
      </c>
      <c r="CZ20" s="713">
        <f>Assumptions!$M41</f>
        <v>136.94475464329548</v>
      </c>
      <c r="DA20" s="713">
        <f>Assumptions!$M41</f>
        <v>136.94475464329548</v>
      </c>
      <c r="DB20" s="713">
        <f>Assumptions!$M41</f>
        <v>136.94475464329548</v>
      </c>
      <c r="DC20" s="713">
        <f>Assumptions!$M41</f>
        <v>136.94475464329548</v>
      </c>
      <c r="DD20" s="713">
        <f>Assumptions!$M41</f>
        <v>136.94475464329548</v>
      </c>
      <c r="DE20" s="713">
        <f>Assumptions!$M41</f>
        <v>136.94475464329548</v>
      </c>
      <c r="DF20" s="713">
        <f>Assumptions!$M41</f>
        <v>136.94475464329548</v>
      </c>
      <c r="DG20" s="713">
        <f>Assumptions!$M41</f>
        <v>136.94475464329548</v>
      </c>
      <c r="DH20" s="727">
        <f>Assumptions!$M41</f>
        <v>136.94475464329548</v>
      </c>
      <c r="DI20" s="713">
        <f>Assumptions!$N41</f>
        <v>145.57227418582309</v>
      </c>
      <c r="DJ20" s="713">
        <f>Assumptions!$N41</f>
        <v>145.57227418582309</v>
      </c>
      <c r="DK20" s="713">
        <f>Assumptions!$N41</f>
        <v>145.57227418582309</v>
      </c>
      <c r="DL20" s="713">
        <f>Assumptions!$N41</f>
        <v>145.57227418582309</v>
      </c>
      <c r="DM20" s="713">
        <f>Assumptions!$N41</f>
        <v>145.57227418582309</v>
      </c>
      <c r="DN20" s="713">
        <f>Assumptions!$N41</f>
        <v>145.57227418582309</v>
      </c>
      <c r="DO20" s="713">
        <f>Assumptions!$N41</f>
        <v>145.57227418582309</v>
      </c>
      <c r="DP20" s="713">
        <f>Assumptions!$N41</f>
        <v>145.57227418582309</v>
      </c>
      <c r="DQ20" s="713">
        <f>Assumptions!$N41</f>
        <v>145.57227418582309</v>
      </c>
      <c r="DR20" s="713">
        <f>Assumptions!$N41</f>
        <v>145.57227418582309</v>
      </c>
      <c r="DS20" s="713">
        <f>Assumptions!$N41</f>
        <v>145.57227418582309</v>
      </c>
      <c r="DT20" s="727">
        <f>Assumptions!$N41</f>
        <v>145.57227418582309</v>
      </c>
    </row>
    <row r="21" spans="1:124" ht="15" x14ac:dyDescent="0.25">
      <c r="A21" s="166"/>
      <c r="B21" s="250" t="s">
        <v>561</v>
      </c>
      <c r="C21" s="9"/>
      <c r="E21" s="409">
        <f>Assumptions!$E42</f>
        <v>84</v>
      </c>
      <c r="F21" s="409">
        <f>Assumptions!$E42</f>
        <v>84</v>
      </c>
      <c r="G21" s="409">
        <f>Assumptions!$E42</f>
        <v>84</v>
      </c>
      <c r="H21" s="409">
        <f>Assumptions!$E42</f>
        <v>84</v>
      </c>
      <c r="I21" s="409">
        <f>Assumptions!$E42</f>
        <v>84</v>
      </c>
      <c r="J21" s="409">
        <f>Assumptions!$E42</f>
        <v>84</v>
      </c>
      <c r="K21" s="409">
        <f>Assumptions!$E42</f>
        <v>84</v>
      </c>
      <c r="L21" s="409">
        <f>Assumptions!$E42</f>
        <v>84</v>
      </c>
      <c r="M21" s="409">
        <f>Assumptions!$E42</f>
        <v>84</v>
      </c>
      <c r="N21" s="409">
        <f>Assumptions!$E42</f>
        <v>84</v>
      </c>
      <c r="O21" s="409">
        <f>Assumptions!$E42</f>
        <v>84</v>
      </c>
      <c r="P21" s="725">
        <f>Assumptions!$E42</f>
        <v>84</v>
      </c>
      <c r="Q21" s="713">
        <f>Assumptions!$F42</f>
        <v>89.292000000000002</v>
      </c>
      <c r="R21" s="716">
        <f>Assumptions!$F42</f>
        <v>89.292000000000002</v>
      </c>
      <c r="S21" s="716">
        <f>Assumptions!$F42</f>
        <v>89.292000000000002</v>
      </c>
      <c r="T21" s="716">
        <f>Assumptions!$F42</f>
        <v>89.292000000000002</v>
      </c>
      <c r="U21" s="716">
        <f>Assumptions!$F42</f>
        <v>89.292000000000002</v>
      </c>
      <c r="V21" s="716">
        <f>Assumptions!$F42</f>
        <v>89.292000000000002</v>
      </c>
      <c r="W21" s="716">
        <f>Assumptions!$F42</f>
        <v>89.292000000000002</v>
      </c>
      <c r="X21" s="716">
        <f>Assumptions!$F42</f>
        <v>89.292000000000002</v>
      </c>
      <c r="Y21" s="716">
        <f>Assumptions!$F42</f>
        <v>89.292000000000002</v>
      </c>
      <c r="Z21" s="716">
        <f>Assumptions!$F42</f>
        <v>89.292000000000002</v>
      </c>
      <c r="AA21" s="716">
        <f>Assumptions!$F42</f>
        <v>89.292000000000002</v>
      </c>
      <c r="AB21" s="717">
        <f>Assumptions!$F42</f>
        <v>89.292000000000002</v>
      </c>
      <c r="AC21" s="713">
        <f>Assumptions!$G42</f>
        <v>94.917395999999982</v>
      </c>
      <c r="AD21" s="716">
        <f>Assumptions!$G42</f>
        <v>94.917395999999982</v>
      </c>
      <c r="AE21" s="716">
        <f>Assumptions!$G42</f>
        <v>94.917395999999982</v>
      </c>
      <c r="AF21" s="716">
        <f>Assumptions!$G42</f>
        <v>94.917395999999982</v>
      </c>
      <c r="AG21" s="716">
        <f>Assumptions!$G42</f>
        <v>94.917395999999982</v>
      </c>
      <c r="AH21" s="716">
        <f>Assumptions!$G42</f>
        <v>94.917395999999982</v>
      </c>
      <c r="AI21" s="716">
        <f>Assumptions!$G42</f>
        <v>94.917395999999982</v>
      </c>
      <c r="AJ21" s="716">
        <f>Assumptions!$G42</f>
        <v>94.917395999999982</v>
      </c>
      <c r="AK21" s="716">
        <f>Assumptions!$G42</f>
        <v>94.917395999999982</v>
      </c>
      <c r="AL21" s="716">
        <f>Assumptions!$G42</f>
        <v>94.917395999999982</v>
      </c>
      <c r="AM21" s="716">
        <f>Assumptions!$G42</f>
        <v>94.917395999999982</v>
      </c>
      <c r="AN21" s="717">
        <f>Assumptions!$G42</f>
        <v>94.917395999999982</v>
      </c>
      <c r="AO21" s="714">
        <f>Assumptions!$H42</f>
        <v>100.89719194799997</v>
      </c>
      <c r="AP21" s="716">
        <f>Assumptions!$H42</f>
        <v>100.89719194799997</v>
      </c>
      <c r="AQ21" s="716">
        <f>Assumptions!$H42</f>
        <v>100.89719194799997</v>
      </c>
      <c r="AR21" s="716">
        <f>Assumptions!$H42</f>
        <v>100.89719194799997</v>
      </c>
      <c r="AS21" s="716">
        <f>Assumptions!$H42</f>
        <v>100.89719194799997</v>
      </c>
      <c r="AT21" s="716">
        <f>Assumptions!$H42</f>
        <v>100.89719194799997</v>
      </c>
      <c r="AU21" s="716">
        <f>Assumptions!$H42</f>
        <v>100.89719194799997</v>
      </c>
      <c r="AV21" s="716">
        <f>Assumptions!$H42</f>
        <v>100.89719194799997</v>
      </c>
      <c r="AW21" s="716">
        <f>Assumptions!$H42</f>
        <v>100.89719194799997</v>
      </c>
      <c r="AX21" s="716">
        <f>Assumptions!$H42</f>
        <v>100.89719194799997</v>
      </c>
      <c r="AY21" s="716">
        <f>Assumptions!$H42</f>
        <v>100.89719194799997</v>
      </c>
      <c r="AZ21" s="717">
        <f>Assumptions!$H42</f>
        <v>100.89719194799997</v>
      </c>
      <c r="BA21" s="713">
        <f>Assumptions!$I42</f>
        <v>107.25371504072396</v>
      </c>
      <c r="BB21" s="716">
        <f>Assumptions!$I42</f>
        <v>107.25371504072396</v>
      </c>
      <c r="BC21" s="716">
        <f>Assumptions!$I42</f>
        <v>107.25371504072396</v>
      </c>
      <c r="BD21" s="716">
        <f>Assumptions!$I42</f>
        <v>107.25371504072396</v>
      </c>
      <c r="BE21" s="716">
        <f>Assumptions!$I42</f>
        <v>107.25371504072396</v>
      </c>
      <c r="BF21" s="716">
        <f>Assumptions!$I42</f>
        <v>107.25371504072396</v>
      </c>
      <c r="BG21" s="716">
        <f>Assumptions!$I42</f>
        <v>107.25371504072396</v>
      </c>
      <c r="BH21" s="716">
        <f>Assumptions!$I42</f>
        <v>107.25371504072396</v>
      </c>
      <c r="BI21" s="716">
        <f>Assumptions!$I42</f>
        <v>107.25371504072396</v>
      </c>
      <c r="BJ21" s="716">
        <f>Assumptions!$I42</f>
        <v>107.25371504072396</v>
      </c>
      <c r="BK21" s="716">
        <f>Assumptions!$I42</f>
        <v>107.25371504072396</v>
      </c>
      <c r="BL21" s="717">
        <f>Assumptions!$I42</f>
        <v>107.25371504072396</v>
      </c>
      <c r="BM21" s="713">
        <f>Assumptions!$J42</f>
        <v>114.01069908828957</v>
      </c>
      <c r="BN21" s="716">
        <f>Assumptions!$J42</f>
        <v>114.01069908828957</v>
      </c>
      <c r="BO21" s="716">
        <f>Assumptions!$J42</f>
        <v>114.01069908828957</v>
      </c>
      <c r="BP21" s="716">
        <f>Assumptions!$J42</f>
        <v>114.01069908828957</v>
      </c>
      <c r="BQ21" s="716">
        <f>Assumptions!$J42</f>
        <v>114.01069908828957</v>
      </c>
      <c r="BR21" s="716">
        <f>Assumptions!$J42</f>
        <v>114.01069908828957</v>
      </c>
      <c r="BS21" s="716">
        <f>Assumptions!$J42</f>
        <v>114.01069908828957</v>
      </c>
      <c r="BT21" s="713">
        <f>Assumptions!$J42</f>
        <v>114.01069908828957</v>
      </c>
      <c r="BU21" s="713">
        <f>Assumptions!$J42</f>
        <v>114.01069908828957</v>
      </c>
      <c r="BV21" s="713">
        <f>Assumptions!$J42</f>
        <v>114.01069908828957</v>
      </c>
      <c r="BW21" s="713">
        <f>Assumptions!$J42</f>
        <v>114.01069908828957</v>
      </c>
      <c r="BX21" s="727">
        <f>Assumptions!$J42</f>
        <v>114.01069908828957</v>
      </c>
      <c r="BY21" s="713">
        <f>Assumptions!$K42</f>
        <v>121.19337313085181</v>
      </c>
      <c r="BZ21" s="713">
        <f>Assumptions!$K42</f>
        <v>121.19337313085181</v>
      </c>
      <c r="CA21" s="713">
        <f>Assumptions!$K42</f>
        <v>121.19337313085181</v>
      </c>
      <c r="CB21" s="713">
        <f>Assumptions!$K42</f>
        <v>121.19337313085181</v>
      </c>
      <c r="CC21" s="713">
        <f>Assumptions!$K42</f>
        <v>121.19337313085181</v>
      </c>
      <c r="CD21" s="713">
        <f>Assumptions!$K42</f>
        <v>121.19337313085181</v>
      </c>
      <c r="CE21" s="713">
        <f>Assumptions!$K42</f>
        <v>121.19337313085181</v>
      </c>
      <c r="CF21" s="713">
        <f>Assumptions!$K42</f>
        <v>121.19337313085181</v>
      </c>
      <c r="CG21" s="713">
        <f>Assumptions!$K42</f>
        <v>121.19337313085181</v>
      </c>
      <c r="CH21" s="713">
        <f>Assumptions!$K42</f>
        <v>121.19337313085181</v>
      </c>
      <c r="CI21" s="713">
        <f>Assumptions!$K42</f>
        <v>121.19337313085181</v>
      </c>
      <c r="CJ21" s="727">
        <f>Assumptions!$K42</f>
        <v>121.19337313085181</v>
      </c>
      <c r="CK21" s="713">
        <f>Assumptions!$K42</f>
        <v>121.19337313085181</v>
      </c>
      <c r="CL21" s="713">
        <f>Assumptions!$K42</f>
        <v>121.19337313085181</v>
      </c>
      <c r="CM21" s="713">
        <f>Assumptions!$K42</f>
        <v>121.19337313085181</v>
      </c>
      <c r="CN21" s="713">
        <f>Assumptions!$K42</f>
        <v>121.19337313085181</v>
      </c>
      <c r="CO21" s="713">
        <f>Assumptions!$K42</f>
        <v>121.19337313085181</v>
      </c>
      <c r="CP21" s="713">
        <f>Assumptions!$K42</f>
        <v>121.19337313085181</v>
      </c>
      <c r="CQ21" s="713">
        <f>Assumptions!$K42</f>
        <v>121.19337313085181</v>
      </c>
      <c r="CR21" s="713">
        <f>Assumptions!$K42</f>
        <v>121.19337313085181</v>
      </c>
      <c r="CS21" s="713">
        <f>Assumptions!$K42</f>
        <v>121.19337313085181</v>
      </c>
      <c r="CT21" s="713">
        <f>Assumptions!$K42</f>
        <v>121.19337313085181</v>
      </c>
      <c r="CU21" s="713">
        <f>Assumptions!$K42</f>
        <v>121.19337313085181</v>
      </c>
      <c r="CV21" s="727">
        <f>Assumptions!$K42</f>
        <v>121.19337313085181</v>
      </c>
      <c r="CW21" s="713">
        <f>Assumptions!$M42</f>
        <v>136.94475464329548</v>
      </c>
      <c r="CX21" s="713">
        <f>Assumptions!$M42</f>
        <v>136.94475464329548</v>
      </c>
      <c r="CY21" s="713">
        <f>Assumptions!$M42</f>
        <v>136.94475464329548</v>
      </c>
      <c r="CZ21" s="713">
        <f>Assumptions!$M42</f>
        <v>136.94475464329548</v>
      </c>
      <c r="DA21" s="713">
        <f>Assumptions!$M42</f>
        <v>136.94475464329548</v>
      </c>
      <c r="DB21" s="713">
        <f>Assumptions!$M42</f>
        <v>136.94475464329548</v>
      </c>
      <c r="DC21" s="713">
        <f>Assumptions!$M42</f>
        <v>136.94475464329548</v>
      </c>
      <c r="DD21" s="713">
        <f>Assumptions!$M42</f>
        <v>136.94475464329548</v>
      </c>
      <c r="DE21" s="713">
        <f>Assumptions!$M42</f>
        <v>136.94475464329548</v>
      </c>
      <c r="DF21" s="713">
        <f>Assumptions!$M42</f>
        <v>136.94475464329548</v>
      </c>
      <c r="DG21" s="713">
        <f>Assumptions!$M42</f>
        <v>136.94475464329548</v>
      </c>
      <c r="DH21" s="727">
        <f>Assumptions!$M42</f>
        <v>136.94475464329548</v>
      </c>
      <c r="DI21" s="713">
        <f>Assumptions!$N42</f>
        <v>145.57227418582309</v>
      </c>
      <c r="DJ21" s="713">
        <f>Assumptions!$N42</f>
        <v>145.57227418582309</v>
      </c>
      <c r="DK21" s="713">
        <f>Assumptions!$N42</f>
        <v>145.57227418582309</v>
      </c>
      <c r="DL21" s="713">
        <f>Assumptions!$N42</f>
        <v>145.57227418582309</v>
      </c>
      <c r="DM21" s="713">
        <f>Assumptions!$N42</f>
        <v>145.57227418582309</v>
      </c>
      <c r="DN21" s="713">
        <f>Assumptions!$N42</f>
        <v>145.57227418582309</v>
      </c>
      <c r="DO21" s="713">
        <f>Assumptions!$N42</f>
        <v>145.57227418582309</v>
      </c>
      <c r="DP21" s="713">
        <f>Assumptions!$N42</f>
        <v>145.57227418582309</v>
      </c>
      <c r="DQ21" s="713">
        <f>Assumptions!$N42</f>
        <v>145.57227418582309</v>
      </c>
      <c r="DR21" s="713">
        <f>Assumptions!$N42</f>
        <v>145.57227418582309</v>
      </c>
      <c r="DS21" s="713">
        <f>Assumptions!$N42</f>
        <v>145.57227418582309</v>
      </c>
      <c r="DT21" s="727">
        <f>Assumptions!$N42</f>
        <v>145.57227418582309</v>
      </c>
    </row>
    <row r="22" spans="1:124" ht="15" customHeight="1" x14ac:dyDescent="0.3">
      <c r="A22" s="125"/>
      <c r="B22" s="250" t="s">
        <v>558</v>
      </c>
      <c r="C22" s="129"/>
      <c r="E22" s="409">
        <f>Assumptions!$E43</f>
        <v>84</v>
      </c>
      <c r="F22" s="409">
        <f>Assumptions!$E43</f>
        <v>84</v>
      </c>
      <c r="G22" s="409">
        <f>Assumptions!$E43</f>
        <v>84</v>
      </c>
      <c r="H22" s="409">
        <f>Assumptions!$E43</f>
        <v>84</v>
      </c>
      <c r="I22" s="409">
        <f>Assumptions!$E43</f>
        <v>84</v>
      </c>
      <c r="J22" s="409">
        <f>Assumptions!$E43</f>
        <v>84</v>
      </c>
      <c r="K22" s="409">
        <f>Assumptions!$E43</f>
        <v>84</v>
      </c>
      <c r="L22" s="409">
        <f>Assumptions!$E43</f>
        <v>84</v>
      </c>
      <c r="M22" s="409">
        <f>Assumptions!$E43</f>
        <v>84</v>
      </c>
      <c r="N22" s="409">
        <f>Assumptions!$E43</f>
        <v>84</v>
      </c>
      <c r="O22" s="409">
        <f>Assumptions!$E43</f>
        <v>84</v>
      </c>
      <c r="P22" s="725">
        <f>Assumptions!$E43</f>
        <v>84</v>
      </c>
      <c r="Q22" s="713">
        <f>Assumptions!$F43</f>
        <v>89.292000000000002</v>
      </c>
      <c r="R22" s="714">
        <f>Assumptions!$F43</f>
        <v>89.292000000000002</v>
      </c>
      <c r="S22" s="714">
        <f>Assumptions!$F43</f>
        <v>89.292000000000002</v>
      </c>
      <c r="T22" s="714">
        <f>Assumptions!$F43</f>
        <v>89.292000000000002</v>
      </c>
      <c r="U22" s="714">
        <f>Assumptions!$F43</f>
        <v>89.292000000000002</v>
      </c>
      <c r="V22" s="714">
        <f>Assumptions!$F43</f>
        <v>89.292000000000002</v>
      </c>
      <c r="W22" s="714">
        <f>Assumptions!$F43</f>
        <v>89.292000000000002</v>
      </c>
      <c r="X22" s="714">
        <f>Assumptions!$F43</f>
        <v>89.292000000000002</v>
      </c>
      <c r="Y22" s="714">
        <f>Assumptions!$F43</f>
        <v>89.292000000000002</v>
      </c>
      <c r="Z22" s="714">
        <f>Assumptions!$F43</f>
        <v>89.292000000000002</v>
      </c>
      <c r="AA22" s="714">
        <f>Assumptions!$F43</f>
        <v>89.292000000000002</v>
      </c>
      <c r="AB22" s="715">
        <f>Assumptions!$F43</f>
        <v>89.292000000000002</v>
      </c>
      <c r="AC22" s="713">
        <f>Assumptions!$G43</f>
        <v>94.917395999999982</v>
      </c>
      <c r="AD22" s="714">
        <f>Assumptions!$G43</f>
        <v>94.917395999999982</v>
      </c>
      <c r="AE22" s="714">
        <f>Assumptions!$G43</f>
        <v>94.917395999999982</v>
      </c>
      <c r="AF22" s="714">
        <f>Assumptions!$G43</f>
        <v>94.917395999999982</v>
      </c>
      <c r="AG22" s="714">
        <f>Assumptions!$G43</f>
        <v>94.917395999999982</v>
      </c>
      <c r="AH22" s="714">
        <f>Assumptions!$G43</f>
        <v>94.917395999999982</v>
      </c>
      <c r="AI22" s="714">
        <f>Assumptions!$G43</f>
        <v>94.917395999999982</v>
      </c>
      <c r="AJ22" s="714">
        <f>Assumptions!$G43</f>
        <v>94.917395999999982</v>
      </c>
      <c r="AK22" s="714">
        <f>Assumptions!$G43</f>
        <v>94.917395999999982</v>
      </c>
      <c r="AL22" s="714">
        <f>Assumptions!$G43</f>
        <v>94.917395999999982</v>
      </c>
      <c r="AM22" s="714">
        <f>Assumptions!$G43</f>
        <v>94.917395999999982</v>
      </c>
      <c r="AN22" s="715">
        <f>Assumptions!$G43</f>
        <v>94.917395999999982</v>
      </c>
      <c r="AO22" s="714">
        <f>Assumptions!$H43</f>
        <v>100.89719194799997</v>
      </c>
      <c r="AP22" s="714">
        <f>Assumptions!$H43</f>
        <v>100.89719194799997</v>
      </c>
      <c r="AQ22" s="714">
        <f>Assumptions!$H43</f>
        <v>100.89719194799997</v>
      </c>
      <c r="AR22" s="714">
        <f>Assumptions!$H43</f>
        <v>100.89719194799997</v>
      </c>
      <c r="AS22" s="714">
        <f>Assumptions!$H43</f>
        <v>100.89719194799997</v>
      </c>
      <c r="AT22" s="714">
        <f>Assumptions!$H43</f>
        <v>100.89719194799997</v>
      </c>
      <c r="AU22" s="714">
        <f>Assumptions!$H43</f>
        <v>100.89719194799997</v>
      </c>
      <c r="AV22" s="714">
        <f>Assumptions!$H43</f>
        <v>100.89719194799997</v>
      </c>
      <c r="AW22" s="714">
        <f>Assumptions!$H43</f>
        <v>100.89719194799997</v>
      </c>
      <c r="AX22" s="714">
        <f>Assumptions!$H43</f>
        <v>100.89719194799997</v>
      </c>
      <c r="AY22" s="714">
        <f>Assumptions!$H43</f>
        <v>100.89719194799997</v>
      </c>
      <c r="AZ22" s="715">
        <f>Assumptions!$H43</f>
        <v>100.89719194799997</v>
      </c>
      <c r="BA22" s="713">
        <f>Assumptions!$I43</f>
        <v>107.25371504072396</v>
      </c>
      <c r="BB22" s="714">
        <f>Assumptions!$I43</f>
        <v>107.25371504072396</v>
      </c>
      <c r="BC22" s="714">
        <f>Assumptions!$I43</f>
        <v>107.25371504072396</v>
      </c>
      <c r="BD22" s="714">
        <f>Assumptions!$I43</f>
        <v>107.25371504072396</v>
      </c>
      <c r="BE22" s="714">
        <f>Assumptions!$I43</f>
        <v>107.25371504072396</v>
      </c>
      <c r="BF22" s="714">
        <f>Assumptions!$I43</f>
        <v>107.25371504072396</v>
      </c>
      <c r="BG22" s="714">
        <f>Assumptions!$I43</f>
        <v>107.25371504072396</v>
      </c>
      <c r="BH22" s="714">
        <f>Assumptions!$I43</f>
        <v>107.25371504072396</v>
      </c>
      <c r="BI22" s="714">
        <f>Assumptions!$I43</f>
        <v>107.25371504072396</v>
      </c>
      <c r="BJ22" s="714">
        <f>Assumptions!$I43</f>
        <v>107.25371504072396</v>
      </c>
      <c r="BK22" s="714">
        <f>Assumptions!$I43</f>
        <v>107.25371504072396</v>
      </c>
      <c r="BL22" s="715">
        <f>Assumptions!$I43</f>
        <v>107.25371504072396</v>
      </c>
      <c r="BM22" s="713">
        <f>Assumptions!$J43</f>
        <v>114.01069908828957</v>
      </c>
      <c r="BN22" s="714">
        <f>Assumptions!$J43</f>
        <v>114.01069908828957</v>
      </c>
      <c r="BO22" s="714">
        <f>Assumptions!$J43</f>
        <v>114.01069908828957</v>
      </c>
      <c r="BP22" s="714">
        <f>Assumptions!$J43</f>
        <v>114.01069908828957</v>
      </c>
      <c r="BQ22" s="714">
        <f>Assumptions!$J43</f>
        <v>114.01069908828957</v>
      </c>
      <c r="BR22" s="714">
        <f>Assumptions!$J43</f>
        <v>114.01069908828957</v>
      </c>
      <c r="BS22" s="714">
        <f>Assumptions!$J43</f>
        <v>114.01069908828957</v>
      </c>
      <c r="BT22" s="713">
        <f>Assumptions!$J43</f>
        <v>114.01069908828957</v>
      </c>
      <c r="BU22" s="713">
        <f>Assumptions!$J43</f>
        <v>114.01069908828957</v>
      </c>
      <c r="BV22" s="713">
        <f>Assumptions!$J43</f>
        <v>114.01069908828957</v>
      </c>
      <c r="BW22" s="713">
        <f>Assumptions!$J43</f>
        <v>114.01069908828957</v>
      </c>
      <c r="BX22" s="727">
        <f>Assumptions!$J43</f>
        <v>114.01069908828957</v>
      </c>
      <c r="BY22" s="713">
        <f>Assumptions!$K43</f>
        <v>121.19337313085181</v>
      </c>
      <c r="BZ22" s="713">
        <f>Assumptions!$K43</f>
        <v>121.19337313085181</v>
      </c>
      <c r="CA22" s="713">
        <f>Assumptions!$K43</f>
        <v>121.19337313085181</v>
      </c>
      <c r="CB22" s="713">
        <f>Assumptions!$K43</f>
        <v>121.19337313085181</v>
      </c>
      <c r="CC22" s="713">
        <f>Assumptions!$K43</f>
        <v>121.19337313085181</v>
      </c>
      <c r="CD22" s="713">
        <f>Assumptions!$K43</f>
        <v>121.19337313085181</v>
      </c>
      <c r="CE22" s="713">
        <f>Assumptions!$K43</f>
        <v>121.19337313085181</v>
      </c>
      <c r="CF22" s="713">
        <f>Assumptions!$K43</f>
        <v>121.19337313085181</v>
      </c>
      <c r="CG22" s="713">
        <f>Assumptions!$K43</f>
        <v>121.19337313085181</v>
      </c>
      <c r="CH22" s="713">
        <f>Assumptions!$K43</f>
        <v>121.19337313085181</v>
      </c>
      <c r="CI22" s="713">
        <f>Assumptions!$K43</f>
        <v>121.19337313085181</v>
      </c>
      <c r="CJ22" s="727">
        <f>Assumptions!$K43</f>
        <v>121.19337313085181</v>
      </c>
      <c r="CK22" s="713">
        <f>Assumptions!$K43</f>
        <v>121.19337313085181</v>
      </c>
      <c r="CL22" s="713">
        <f>Assumptions!$K43</f>
        <v>121.19337313085181</v>
      </c>
      <c r="CM22" s="713">
        <f>Assumptions!$K43</f>
        <v>121.19337313085181</v>
      </c>
      <c r="CN22" s="713">
        <f>Assumptions!$K43</f>
        <v>121.19337313085181</v>
      </c>
      <c r="CO22" s="713">
        <f>Assumptions!$K43</f>
        <v>121.19337313085181</v>
      </c>
      <c r="CP22" s="713">
        <f>Assumptions!$K43</f>
        <v>121.19337313085181</v>
      </c>
      <c r="CQ22" s="713">
        <f>Assumptions!$K43</f>
        <v>121.19337313085181</v>
      </c>
      <c r="CR22" s="713">
        <f>Assumptions!$K43</f>
        <v>121.19337313085181</v>
      </c>
      <c r="CS22" s="713">
        <f>Assumptions!$K43</f>
        <v>121.19337313085181</v>
      </c>
      <c r="CT22" s="713">
        <f>Assumptions!$K43</f>
        <v>121.19337313085181</v>
      </c>
      <c r="CU22" s="713">
        <f>Assumptions!$K43</f>
        <v>121.19337313085181</v>
      </c>
      <c r="CV22" s="727">
        <f>Assumptions!$K43</f>
        <v>121.19337313085181</v>
      </c>
      <c r="CW22" s="713">
        <f>Assumptions!$M43</f>
        <v>136.94475464329548</v>
      </c>
      <c r="CX22" s="713">
        <f>Assumptions!$M43</f>
        <v>136.94475464329548</v>
      </c>
      <c r="CY22" s="713">
        <f>Assumptions!$M43</f>
        <v>136.94475464329548</v>
      </c>
      <c r="CZ22" s="713">
        <f>Assumptions!$M43</f>
        <v>136.94475464329548</v>
      </c>
      <c r="DA22" s="713">
        <f>Assumptions!$M43</f>
        <v>136.94475464329548</v>
      </c>
      <c r="DB22" s="713">
        <f>Assumptions!$M43</f>
        <v>136.94475464329548</v>
      </c>
      <c r="DC22" s="713">
        <f>Assumptions!$M43</f>
        <v>136.94475464329548</v>
      </c>
      <c r="DD22" s="713">
        <f>Assumptions!$M43</f>
        <v>136.94475464329548</v>
      </c>
      <c r="DE22" s="713">
        <f>Assumptions!$M43</f>
        <v>136.94475464329548</v>
      </c>
      <c r="DF22" s="713">
        <f>Assumptions!$M43</f>
        <v>136.94475464329548</v>
      </c>
      <c r="DG22" s="713">
        <f>Assumptions!$M43</f>
        <v>136.94475464329548</v>
      </c>
      <c r="DH22" s="727">
        <f>Assumptions!$M43</f>
        <v>136.94475464329548</v>
      </c>
      <c r="DI22" s="713">
        <f>Assumptions!$N43</f>
        <v>145.57227418582309</v>
      </c>
      <c r="DJ22" s="713">
        <f>Assumptions!$N43</f>
        <v>145.57227418582309</v>
      </c>
      <c r="DK22" s="713">
        <f>Assumptions!$N43</f>
        <v>145.57227418582309</v>
      </c>
      <c r="DL22" s="713">
        <f>Assumptions!$N43</f>
        <v>145.57227418582309</v>
      </c>
      <c r="DM22" s="713">
        <f>Assumptions!$N43</f>
        <v>145.57227418582309</v>
      </c>
      <c r="DN22" s="713">
        <f>Assumptions!$N43</f>
        <v>145.57227418582309</v>
      </c>
      <c r="DO22" s="713">
        <f>Assumptions!$N43</f>
        <v>145.57227418582309</v>
      </c>
      <c r="DP22" s="713">
        <f>Assumptions!$N43</f>
        <v>145.57227418582309</v>
      </c>
      <c r="DQ22" s="713">
        <f>Assumptions!$N43</f>
        <v>145.57227418582309</v>
      </c>
      <c r="DR22" s="713">
        <f>Assumptions!$N43</f>
        <v>145.57227418582309</v>
      </c>
      <c r="DS22" s="713">
        <f>Assumptions!$N43</f>
        <v>145.57227418582309</v>
      </c>
      <c r="DT22" s="727">
        <f>Assumptions!$N43</f>
        <v>145.57227418582309</v>
      </c>
    </row>
    <row r="23" spans="1:124" ht="15" x14ac:dyDescent="0.25">
      <c r="A23" s="166"/>
      <c r="B23" s="250" t="s">
        <v>582</v>
      </c>
      <c r="C23" s="188"/>
      <c r="E23" s="409">
        <f>Assumptions!$E44</f>
        <v>120</v>
      </c>
      <c r="F23" s="409">
        <f>Assumptions!$E44</f>
        <v>120</v>
      </c>
      <c r="G23" s="409">
        <f>Assumptions!$E44</f>
        <v>120</v>
      </c>
      <c r="H23" s="409">
        <f>Assumptions!$E44</f>
        <v>120</v>
      </c>
      <c r="I23" s="409">
        <f>Assumptions!$E44</f>
        <v>120</v>
      </c>
      <c r="J23" s="409">
        <f>Assumptions!$E44</f>
        <v>120</v>
      </c>
      <c r="K23" s="409">
        <f>Assumptions!$E44</f>
        <v>120</v>
      </c>
      <c r="L23" s="409">
        <f>Assumptions!$E44</f>
        <v>120</v>
      </c>
      <c r="M23" s="409">
        <f>Assumptions!$E44</f>
        <v>120</v>
      </c>
      <c r="N23" s="409">
        <f>Assumptions!$E44</f>
        <v>120</v>
      </c>
      <c r="O23" s="409">
        <f>Assumptions!$E44</f>
        <v>120</v>
      </c>
      <c r="P23" s="725">
        <f>Assumptions!$E44</f>
        <v>120</v>
      </c>
      <c r="Q23" s="713">
        <f>Assumptions!$F44</f>
        <v>127.55999999999999</v>
      </c>
      <c r="R23" s="716">
        <f>Assumptions!$F44</f>
        <v>127.55999999999999</v>
      </c>
      <c r="S23" s="716">
        <f>Assumptions!$F44</f>
        <v>127.55999999999999</v>
      </c>
      <c r="T23" s="716">
        <f>Assumptions!$F44</f>
        <v>127.55999999999999</v>
      </c>
      <c r="U23" s="716">
        <f>Assumptions!$F44</f>
        <v>127.55999999999999</v>
      </c>
      <c r="V23" s="716">
        <f>Assumptions!$F44</f>
        <v>127.55999999999999</v>
      </c>
      <c r="W23" s="716">
        <f>Assumptions!$F44</f>
        <v>127.55999999999999</v>
      </c>
      <c r="X23" s="716">
        <f>Assumptions!$F44</f>
        <v>127.55999999999999</v>
      </c>
      <c r="Y23" s="716">
        <f>Assumptions!$F44</f>
        <v>127.55999999999999</v>
      </c>
      <c r="Z23" s="716">
        <f>Assumptions!$F44</f>
        <v>127.55999999999999</v>
      </c>
      <c r="AA23" s="716">
        <f>Assumptions!$F44</f>
        <v>127.55999999999999</v>
      </c>
      <c r="AB23" s="717">
        <f>Assumptions!$F44</f>
        <v>127.55999999999999</v>
      </c>
      <c r="AC23" s="713">
        <f>Assumptions!$G44</f>
        <v>135.59627999999998</v>
      </c>
      <c r="AD23" s="716">
        <f>Assumptions!$G44</f>
        <v>135.59627999999998</v>
      </c>
      <c r="AE23" s="716">
        <f>Assumptions!$G44</f>
        <v>135.59627999999998</v>
      </c>
      <c r="AF23" s="716">
        <f>Assumptions!$G44</f>
        <v>135.59627999999998</v>
      </c>
      <c r="AG23" s="716">
        <f>Assumptions!$G44</f>
        <v>135.59627999999998</v>
      </c>
      <c r="AH23" s="716">
        <f>Assumptions!$G44</f>
        <v>135.59627999999998</v>
      </c>
      <c r="AI23" s="716">
        <f>Assumptions!$G44</f>
        <v>135.59627999999998</v>
      </c>
      <c r="AJ23" s="716">
        <f>Assumptions!$G44</f>
        <v>135.59627999999998</v>
      </c>
      <c r="AK23" s="716">
        <f>Assumptions!$G44</f>
        <v>135.59627999999998</v>
      </c>
      <c r="AL23" s="716">
        <f>Assumptions!$G44</f>
        <v>135.59627999999998</v>
      </c>
      <c r="AM23" s="716">
        <f>Assumptions!$G44</f>
        <v>135.59627999999998</v>
      </c>
      <c r="AN23" s="717">
        <f>Assumptions!$G44</f>
        <v>135.59627999999998</v>
      </c>
      <c r="AO23" s="714">
        <f>Assumptions!$H44</f>
        <v>144.13884563999997</v>
      </c>
      <c r="AP23" s="716">
        <f>Assumptions!$H44</f>
        <v>144.13884563999997</v>
      </c>
      <c r="AQ23" s="716">
        <f>Assumptions!$H44</f>
        <v>144.13884563999997</v>
      </c>
      <c r="AR23" s="716">
        <f>Assumptions!$H44</f>
        <v>144.13884563999997</v>
      </c>
      <c r="AS23" s="716">
        <f>Assumptions!$H44</f>
        <v>144.13884563999997</v>
      </c>
      <c r="AT23" s="716">
        <f>Assumptions!$H44</f>
        <v>144.13884563999997</v>
      </c>
      <c r="AU23" s="716">
        <f>Assumptions!$H44</f>
        <v>144.13884563999997</v>
      </c>
      <c r="AV23" s="716">
        <f>Assumptions!$H44</f>
        <v>144.13884563999997</v>
      </c>
      <c r="AW23" s="716">
        <f>Assumptions!$H44</f>
        <v>144.13884563999997</v>
      </c>
      <c r="AX23" s="716">
        <f>Assumptions!$H44</f>
        <v>144.13884563999997</v>
      </c>
      <c r="AY23" s="716">
        <f>Assumptions!$H44</f>
        <v>144.13884563999997</v>
      </c>
      <c r="AZ23" s="717">
        <f>Assumptions!$H44</f>
        <v>144.13884563999997</v>
      </c>
      <c r="BA23" s="713">
        <f>Assumptions!$I44</f>
        <v>153.21959291531994</v>
      </c>
      <c r="BB23" s="716">
        <f>Assumptions!$I44</f>
        <v>153.21959291531994</v>
      </c>
      <c r="BC23" s="716">
        <f>Assumptions!$I44</f>
        <v>153.21959291531994</v>
      </c>
      <c r="BD23" s="716">
        <f>Assumptions!$I44</f>
        <v>153.21959291531994</v>
      </c>
      <c r="BE23" s="716">
        <f>Assumptions!$I44</f>
        <v>153.21959291531994</v>
      </c>
      <c r="BF23" s="716">
        <f>Assumptions!$I44</f>
        <v>153.21959291531994</v>
      </c>
      <c r="BG23" s="716">
        <f>Assumptions!$I44</f>
        <v>153.21959291531994</v>
      </c>
      <c r="BH23" s="716">
        <f>Assumptions!$I44</f>
        <v>153.21959291531994</v>
      </c>
      <c r="BI23" s="716">
        <f>Assumptions!$I44</f>
        <v>153.21959291531994</v>
      </c>
      <c r="BJ23" s="716">
        <f>Assumptions!$I44</f>
        <v>153.21959291531994</v>
      </c>
      <c r="BK23" s="716">
        <f>Assumptions!$I44</f>
        <v>153.21959291531994</v>
      </c>
      <c r="BL23" s="717">
        <f>Assumptions!$I44</f>
        <v>153.21959291531994</v>
      </c>
      <c r="BM23" s="713">
        <f>Assumptions!$J44</f>
        <v>162.87242726898509</v>
      </c>
      <c r="BN23" s="716">
        <f>Assumptions!$J44</f>
        <v>162.87242726898509</v>
      </c>
      <c r="BO23" s="716">
        <f>Assumptions!$J44</f>
        <v>162.87242726898509</v>
      </c>
      <c r="BP23" s="716">
        <f>Assumptions!$J44</f>
        <v>162.87242726898509</v>
      </c>
      <c r="BQ23" s="716">
        <f>Assumptions!$J44</f>
        <v>162.87242726898509</v>
      </c>
      <c r="BR23" s="716">
        <f>Assumptions!$J44</f>
        <v>162.87242726898509</v>
      </c>
      <c r="BS23" s="716">
        <f>Assumptions!$J44</f>
        <v>162.87242726898509</v>
      </c>
      <c r="BT23" s="713">
        <f>Assumptions!$J44</f>
        <v>162.87242726898509</v>
      </c>
      <c r="BU23" s="713">
        <f>Assumptions!$J44</f>
        <v>162.87242726898509</v>
      </c>
      <c r="BV23" s="713">
        <f>Assumptions!$J44</f>
        <v>162.87242726898509</v>
      </c>
      <c r="BW23" s="713">
        <f>Assumptions!$J44</f>
        <v>162.87242726898509</v>
      </c>
      <c r="BX23" s="727">
        <f>Assumptions!$J44</f>
        <v>162.87242726898509</v>
      </c>
      <c r="BY23" s="713">
        <f>Assumptions!$K44</f>
        <v>173.13339018693117</v>
      </c>
      <c r="BZ23" s="713">
        <f>Assumptions!$K44</f>
        <v>173.13339018693117</v>
      </c>
      <c r="CA23" s="713">
        <f>Assumptions!$K44</f>
        <v>173.13339018693117</v>
      </c>
      <c r="CB23" s="713">
        <f>Assumptions!$K44</f>
        <v>173.13339018693117</v>
      </c>
      <c r="CC23" s="713">
        <f>Assumptions!$K44</f>
        <v>173.13339018693117</v>
      </c>
      <c r="CD23" s="713">
        <f>Assumptions!$K44</f>
        <v>173.13339018693117</v>
      </c>
      <c r="CE23" s="713">
        <f>Assumptions!$K44</f>
        <v>173.13339018693117</v>
      </c>
      <c r="CF23" s="713">
        <f>Assumptions!$K44</f>
        <v>173.13339018693117</v>
      </c>
      <c r="CG23" s="713">
        <f>Assumptions!$K44</f>
        <v>173.13339018693117</v>
      </c>
      <c r="CH23" s="713">
        <f>Assumptions!$K44</f>
        <v>173.13339018693117</v>
      </c>
      <c r="CI23" s="713">
        <f>Assumptions!$K44</f>
        <v>173.13339018693117</v>
      </c>
      <c r="CJ23" s="727">
        <f>Assumptions!$K44</f>
        <v>173.13339018693117</v>
      </c>
      <c r="CK23" s="713">
        <f>Assumptions!$K44</f>
        <v>173.13339018693117</v>
      </c>
      <c r="CL23" s="713">
        <f>Assumptions!$K44</f>
        <v>173.13339018693117</v>
      </c>
      <c r="CM23" s="713">
        <f>Assumptions!$K44</f>
        <v>173.13339018693117</v>
      </c>
      <c r="CN23" s="713">
        <f>Assumptions!$K44</f>
        <v>173.13339018693117</v>
      </c>
      <c r="CO23" s="713">
        <f>Assumptions!$K44</f>
        <v>173.13339018693117</v>
      </c>
      <c r="CP23" s="713">
        <f>Assumptions!$K44</f>
        <v>173.13339018693117</v>
      </c>
      <c r="CQ23" s="713">
        <f>Assumptions!$K44</f>
        <v>173.13339018693117</v>
      </c>
      <c r="CR23" s="713">
        <f>Assumptions!$K44</f>
        <v>173.13339018693117</v>
      </c>
      <c r="CS23" s="713">
        <f>Assumptions!$K44</f>
        <v>173.13339018693117</v>
      </c>
      <c r="CT23" s="713">
        <f>Assumptions!$K44</f>
        <v>173.13339018693117</v>
      </c>
      <c r="CU23" s="713">
        <f>Assumptions!$K44</f>
        <v>173.13339018693117</v>
      </c>
      <c r="CV23" s="727">
        <f>Assumptions!$K44</f>
        <v>173.13339018693117</v>
      </c>
      <c r="CW23" s="713">
        <f>Assumptions!$M44</f>
        <v>195.63536377613639</v>
      </c>
      <c r="CX23" s="713">
        <f>Assumptions!$M44</f>
        <v>195.63536377613639</v>
      </c>
      <c r="CY23" s="713">
        <f>Assumptions!$M44</f>
        <v>195.63536377613639</v>
      </c>
      <c r="CZ23" s="713">
        <f>Assumptions!$M44</f>
        <v>195.63536377613639</v>
      </c>
      <c r="DA23" s="713">
        <f>Assumptions!$M44</f>
        <v>195.63536377613639</v>
      </c>
      <c r="DB23" s="713">
        <f>Assumptions!$M44</f>
        <v>195.63536377613639</v>
      </c>
      <c r="DC23" s="713">
        <f>Assumptions!$M44</f>
        <v>195.63536377613639</v>
      </c>
      <c r="DD23" s="713">
        <f>Assumptions!$M44</f>
        <v>195.63536377613639</v>
      </c>
      <c r="DE23" s="713">
        <f>Assumptions!$M44</f>
        <v>195.63536377613639</v>
      </c>
      <c r="DF23" s="713">
        <f>Assumptions!$M44</f>
        <v>195.63536377613639</v>
      </c>
      <c r="DG23" s="713">
        <f>Assumptions!$M44</f>
        <v>195.63536377613639</v>
      </c>
      <c r="DH23" s="727">
        <f>Assumptions!$M44</f>
        <v>195.63536377613639</v>
      </c>
      <c r="DI23" s="713">
        <f>Assumptions!$N44</f>
        <v>207.96039169403298</v>
      </c>
      <c r="DJ23" s="713">
        <f>Assumptions!$N44</f>
        <v>207.96039169403298</v>
      </c>
      <c r="DK23" s="713">
        <f>Assumptions!$N44</f>
        <v>207.96039169403298</v>
      </c>
      <c r="DL23" s="713">
        <f>Assumptions!$N44</f>
        <v>207.96039169403298</v>
      </c>
      <c r="DM23" s="713">
        <f>Assumptions!$N44</f>
        <v>207.96039169403298</v>
      </c>
      <c r="DN23" s="713">
        <f>Assumptions!$N44</f>
        <v>207.96039169403298</v>
      </c>
      <c r="DO23" s="713">
        <f>Assumptions!$N44</f>
        <v>207.96039169403298</v>
      </c>
      <c r="DP23" s="713">
        <f>Assumptions!$N44</f>
        <v>207.96039169403298</v>
      </c>
      <c r="DQ23" s="713">
        <f>Assumptions!$N44</f>
        <v>207.96039169403298</v>
      </c>
      <c r="DR23" s="713">
        <f>Assumptions!$N44</f>
        <v>207.96039169403298</v>
      </c>
      <c r="DS23" s="713">
        <f>Assumptions!$N44</f>
        <v>207.96039169403298</v>
      </c>
      <c r="DT23" s="727">
        <f>Assumptions!$N44</f>
        <v>207.96039169403298</v>
      </c>
    </row>
    <row r="24" spans="1:124" ht="15" x14ac:dyDescent="0.25">
      <c r="A24" s="166"/>
      <c r="B24" s="250" t="s">
        <v>581</v>
      </c>
      <c r="C24" s="188"/>
      <c r="E24" s="409">
        <f>Assumptions!$E45</f>
        <v>115</v>
      </c>
      <c r="F24" s="409">
        <f>Assumptions!$E45</f>
        <v>115</v>
      </c>
      <c r="G24" s="409">
        <f>Assumptions!$E45</f>
        <v>115</v>
      </c>
      <c r="H24" s="409">
        <f>Assumptions!$E45</f>
        <v>115</v>
      </c>
      <c r="I24" s="409">
        <f>Assumptions!$E45</f>
        <v>115</v>
      </c>
      <c r="J24" s="409">
        <f>Assumptions!$E45</f>
        <v>115</v>
      </c>
      <c r="K24" s="409">
        <f>Assumptions!$E45</f>
        <v>115</v>
      </c>
      <c r="L24" s="409">
        <f>Assumptions!$E45</f>
        <v>115</v>
      </c>
      <c r="M24" s="409">
        <f>Assumptions!$E45</f>
        <v>115</v>
      </c>
      <c r="N24" s="409">
        <f>Assumptions!$E45</f>
        <v>115</v>
      </c>
      <c r="O24" s="409">
        <f>Assumptions!$E45</f>
        <v>115</v>
      </c>
      <c r="P24" s="725">
        <f>Assumptions!$E45</f>
        <v>115</v>
      </c>
      <c r="Q24" s="713">
        <f>Assumptions!$F45</f>
        <v>122.24499999999999</v>
      </c>
      <c r="R24" s="716">
        <f>Assumptions!$F45</f>
        <v>122.24499999999999</v>
      </c>
      <c r="S24" s="716">
        <f>Assumptions!$F45</f>
        <v>122.24499999999999</v>
      </c>
      <c r="T24" s="716">
        <f>Assumptions!$F45</f>
        <v>122.24499999999999</v>
      </c>
      <c r="U24" s="716">
        <f>Assumptions!$F45</f>
        <v>122.24499999999999</v>
      </c>
      <c r="V24" s="716">
        <f>Assumptions!$F45</f>
        <v>122.24499999999999</v>
      </c>
      <c r="W24" s="716">
        <f>Assumptions!$F45</f>
        <v>122.24499999999999</v>
      </c>
      <c r="X24" s="716">
        <f>Assumptions!$F45</f>
        <v>122.24499999999999</v>
      </c>
      <c r="Y24" s="716">
        <f>Assumptions!$F45</f>
        <v>122.24499999999999</v>
      </c>
      <c r="Z24" s="716">
        <f>Assumptions!$F45</f>
        <v>122.24499999999999</v>
      </c>
      <c r="AA24" s="716">
        <f>Assumptions!$F45</f>
        <v>122.24499999999999</v>
      </c>
      <c r="AB24" s="717">
        <f>Assumptions!$F45</f>
        <v>122.24499999999999</v>
      </c>
      <c r="AC24" s="713">
        <f>Assumptions!$G45</f>
        <v>129.94643499999998</v>
      </c>
      <c r="AD24" s="716">
        <f>Assumptions!$G45</f>
        <v>129.94643499999998</v>
      </c>
      <c r="AE24" s="716">
        <f>Assumptions!$G45</f>
        <v>129.94643499999998</v>
      </c>
      <c r="AF24" s="716">
        <f>Assumptions!$G45</f>
        <v>129.94643499999998</v>
      </c>
      <c r="AG24" s="716">
        <f>Assumptions!$G45</f>
        <v>129.94643499999998</v>
      </c>
      <c r="AH24" s="716">
        <f>Assumptions!$G45</f>
        <v>129.94643499999998</v>
      </c>
      <c r="AI24" s="716">
        <f>Assumptions!$G45</f>
        <v>129.94643499999998</v>
      </c>
      <c r="AJ24" s="716">
        <f>Assumptions!$G45</f>
        <v>129.94643499999998</v>
      </c>
      <c r="AK24" s="716">
        <f>Assumptions!$G45</f>
        <v>129.94643499999998</v>
      </c>
      <c r="AL24" s="716">
        <f>Assumptions!$G45</f>
        <v>129.94643499999998</v>
      </c>
      <c r="AM24" s="716">
        <f>Assumptions!$G45</f>
        <v>129.94643499999998</v>
      </c>
      <c r="AN24" s="717">
        <f>Assumptions!$G45</f>
        <v>129.94643499999998</v>
      </c>
      <c r="AO24" s="714">
        <f>Assumptions!$H45</f>
        <v>138.13306040499995</v>
      </c>
      <c r="AP24" s="716">
        <f>Assumptions!$H45</f>
        <v>138.13306040499995</v>
      </c>
      <c r="AQ24" s="716">
        <f>Assumptions!$H45</f>
        <v>138.13306040499995</v>
      </c>
      <c r="AR24" s="716">
        <f>Assumptions!$H45</f>
        <v>138.13306040499995</v>
      </c>
      <c r="AS24" s="716">
        <f>Assumptions!$H45</f>
        <v>138.13306040499995</v>
      </c>
      <c r="AT24" s="716">
        <f>Assumptions!$H45</f>
        <v>138.13306040499995</v>
      </c>
      <c r="AU24" s="716">
        <f>Assumptions!$H45</f>
        <v>138.13306040499995</v>
      </c>
      <c r="AV24" s="716">
        <f>Assumptions!$H45</f>
        <v>138.13306040499995</v>
      </c>
      <c r="AW24" s="716">
        <f>Assumptions!$H45</f>
        <v>138.13306040499995</v>
      </c>
      <c r="AX24" s="716">
        <f>Assumptions!$H45</f>
        <v>138.13306040499995</v>
      </c>
      <c r="AY24" s="716">
        <f>Assumptions!$H45</f>
        <v>138.13306040499995</v>
      </c>
      <c r="AZ24" s="717">
        <f>Assumptions!$H45</f>
        <v>138.13306040499995</v>
      </c>
      <c r="BA24" s="713">
        <f>Assumptions!$I45</f>
        <v>146.83544321051494</v>
      </c>
      <c r="BB24" s="716">
        <f>Assumptions!$I45</f>
        <v>146.83544321051494</v>
      </c>
      <c r="BC24" s="716">
        <f>Assumptions!$I45</f>
        <v>146.83544321051494</v>
      </c>
      <c r="BD24" s="716">
        <f>Assumptions!$I45</f>
        <v>146.83544321051494</v>
      </c>
      <c r="BE24" s="716">
        <f>Assumptions!$I45</f>
        <v>146.83544321051494</v>
      </c>
      <c r="BF24" s="716">
        <f>Assumptions!$I45</f>
        <v>146.83544321051494</v>
      </c>
      <c r="BG24" s="716">
        <f>Assumptions!$I45</f>
        <v>146.83544321051494</v>
      </c>
      <c r="BH24" s="716">
        <f>Assumptions!$I45</f>
        <v>146.83544321051494</v>
      </c>
      <c r="BI24" s="716">
        <f>Assumptions!$I45</f>
        <v>146.83544321051494</v>
      </c>
      <c r="BJ24" s="716">
        <f>Assumptions!$I45</f>
        <v>146.83544321051494</v>
      </c>
      <c r="BK24" s="716">
        <f>Assumptions!$I45</f>
        <v>146.83544321051494</v>
      </c>
      <c r="BL24" s="717">
        <f>Assumptions!$I45</f>
        <v>146.83544321051494</v>
      </c>
      <c r="BM24" s="713">
        <f>Assumptions!$J45</f>
        <v>156.08607613277738</v>
      </c>
      <c r="BN24" s="716">
        <f>Assumptions!$J45</f>
        <v>156.08607613277738</v>
      </c>
      <c r="BO24" s="716">
        <f>Assumptions!$J45</f>
        <v>156.08607613277738</v>
      </c>
      <c r="BP24" s="716">
        <f>Assumptions!$J45</f>
        <v>156.08607613277738</v>
      </c>
      <c r="BQ24" s="716">
        <f>Assumptions!$J45</f>
        <v>156.08607613277738</v>
      </c>
      <c r="BR24" s="716">
        <f>Assumptions!$J45</f>
        <v>156.08607613277738</v>
      </c>
      <c r="BS24" s="716">
        <f>Assumptions!$J45</f>
        <v>156.08607613277738</v>
      </c>
      <c r="BT24" s="713">
        <f>Assumptions!$J45</f>
        <v>156.08607613277738</v>
      </c>
      <c r="BU24" s="713">
        <f>Assumptions!$J45</f>
        <v>156.08607613277738</v>
      </c>
      <c r="BV24" s="713">
        <f>Assumptions!$J45</f>
        <v>156.08607613277738</v>
      </c>
      <c r="BW24" s="713">
        <f>Assumptions!$J45</f>
        <v>156.08607613277738</v>
      </c>
      <c r="BX24" s="727">
        <f>Assumptions!$J45</f>
        <v>156.08607613277738</v>
      </c>
      <c r="BY24" s="713">
        <f>Assumptions!$K45</f>
        <v>165.91949892914235</v>
      </c>
      <c r="BZ24" s="713">
        <f>Assumptions!$K45</f>
        <v>165.91949892914235</v>
      </c>
      <c r="CA24" s="713">
        <f>Assumptions!$K45</f>
        <v>165.91949892914235</v>
      </c>
      <c r="CB24" s="713">
        <f>Assumptions!$K45</f>
        <v>165.91949892914235</v>
      </c>
      <c r="CC24" s="713">
        <f>Assumptions!$K45</f>
        <v>165.91949892914235</v>
      </c>
      <c r="CD24" s="713">
        <f>Assumptions!$K45</f>
        <v>165.91949892914235</v>
      </c>
      <c r="CE24" s="713">
        <f>Assumptions!$K45</f>
        <v>165.91949892914235</v>
      </c>
      <c r="CF24" s="713">
        <f>Assumptions!$K45</f>
        <v>165.91949892914235</v>
      </c>
      <c r="CG24" s="713">
        <f>Assumptions!$K45</f>
        <v>165.91949892914235</v>
      </c>
      <c r="CH24" s="713">
        <f>Assumptions!$K45</f>
        <v>165.91949892914235</v>
      </c>
      <c r="CI24" s="713">
        <f>Assumptions!$K45</f>
        <v>165.91949892914235</v>
      </c>
      <c r="CJ24" s="727">
        <f>Assumptions!$K45</f>
        <v>165.91949892914235</v>
      </c>
      <c r="CK24" s="713">
        <f>Assumptions!$K45</f>
        <v>165.91949892914235</v>
      </c>
      <c r="CL24" s="713">
        <f>Assumptions!$K45</f>
        <v>165.91949892914235</v>
      </c>
      <c r="CM24" s="713">
        <f>Assumptions!$K45</f>
        <v>165.91949892914235</v>
      </c>
      <c r="CN24" s="713">
        <f>Assumptions!$K45</f>
        <v>165.91949892914235</v>
      </c>
      <c r="CO24" s="713">
        <f>Assumptions!$K45</f>
        <v>165.91949892914235</v>
      </c>
      <c r="CP24" s="713">
        <f>Assumptions!$K45</f>
        <v>165.91949892914235</v>
      </c>
      <c r="CQ24" s="713">
        <f>Assumptions!$K45</f>
        <v>165.91949892914235</v>
      </c>
      <c r="CR24" s="713">
        <f>Assumptions!$K45</f>
        <v>165.91949892914235</v>
      </c>
      <c r="CS24" s="713">
        <f>Assumptions!$K45</f>
        <v>165.91949892914235</v>
      </c>
      <c r="CT24" s="713">
        <f>Assumptions!$K45</f>
        <v>165.91949892914235</v>
      </c>
      <c r="CU24" s="713">
        <f>Assumptions!$K45</f>
        <v>165.91949892914235</v>
      </c>
      <c r="CV24" s="727">
        <f>Assumptions!$K45</f>
        <v>165.91949892914235</v>
      </c>
      <c r="CW24" s="713">
        <f>Assumptions!$M45</f>
        <v>187.48389028546404</v>
      </c>
      <c r="CX24" s="713">
        <f>Assumptions!$M45</f>
        <v>187.48389028546404</v>
      </c>
      <c r="CY24" s="713">
        <f>Assumptions!$M45</f>
        <v>187.48389028546404</v>
      </c>
      <c r="CZ24" s="713">
        <f>Assumptions!$M45</f>
        <v>187.48389028546404</v>
      </c>
      <c r="DA24" s="713">
        <f>Assumptions!$M45</f>
        <v>187.48389028546404</v>
      </c>
      <c r="DB24" s="713">
        <f>Assumptions!$M45</f>
        <v>187.48389028546404</v>
      </c>
      <c r="DC24" s="713">
        <f>Assumptions!$M45</f>
        <v>187.48389028546404</v>
      </c>
      <c r="DD24" s="713">
        <f>Assumptions!$M45</f>
        <v>187.48389028546404</v>
      </c>
      <c r="DE24" s="713">
        <f>Assumptions!$M45</f>
        <v>187.48389028546404</v>
      </c>
      <c r="DF24" s="713">
        <f>Assumptions!$M45</f>
        <v>187.48389028546404</v>
      </c>
      <c r="DG24" s="713">
        <f>Assumptions!$M45</f>
        <v>187.48389028546404</v>
      </c>
      <c r="DH24" s="727">
        <f>Assumptions!$M45</f>
        <v>187.48389028546404</v>
      </c>
      <c r="DI24" s="713">
        <f>Assumptions!$N45</f>
        <v>199.29537537344828</v>
      </c>
      <c r="DJ24" s="713">
        <f>Assumptions!$N45</f>
        <v>199.29537537344828</v>
      </c>
      <c r="DK24" s="713">
        <f>Assumptions!$N45</f>
        <v>199.29537537344828</v>
      </c>
      <c r="DL24" s="713">
        <f>Assumptions!$N45</f>
        <v>199.29537537344828</v>
      </c>
      <c r="DM24" s="713">
        <f>Assumptions!$N45</f>
        <v>199.29537537344828</v>
      </c>
      <c r="DN24" s="713">
        <f>Assumptions!$N45</f>
        <v>199.29537537344828</v>
      </c>
      <c r="DO24" s="713">
        <f>Assumptions!$N45</f>
        <v>199.29537537344828</v>
      </c>
      <c r="DP24" s="713">
        <f>Assumptions!$N45</f>
        <v>199.29537537344828</v>
      </c>
      <c r="DQ24" s="713">
        <f>Assumptions!$N45</f>
        <v>199.29537537344828</v>
      </c>
      <c r="DR24" s="713">
        <f>Assumptions!$N45</f>
        <v>199.29537537344828</v>
      </c>
      <c r="DS24" s="713">
        <f>Assumptions!$N45</f>
        <v>199.29537537344828</v>
      </c>
      <c r="DT24" s="727">
        <f>Assumptions!$N45</f>
        <v>199.29537537344828</v>
      </c>
    </row>
    <row r="25" spans="1:124" ht="15.75" thickBot="1" x14ac:dyDescent="0.3">
      <c r="A25" s="166"/>
      <c r="B25" s="162"/>
      <c r="C25" s="719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607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607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607"/>
      <c r="AO25" s="1186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607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607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607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607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607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607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607"/>
    </row>
    <row r="26" spans="1:124" ht="18.75" x14ac:dyDescent="0.3">
      <c r="B26" s="161" t="s">
        <v>0</v>
      </c>
      <c r="C26" s="718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500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500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500"/>
      <c r="AO26" s="788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500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500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500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500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500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500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500"/>
    </row>
    <row r="27" spans="1:124" ht="15" x14ac:dyDescent="0.25">
      <c r="A27" s="166"/>
      <c r="B27" s="250" t="s">
        <v>562</v>
      </c>
      <c r="C27" s="188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532"/>
      <c r="Q27" s="743"/>
      <c r="R27" s="742"/>
      <c r="S27" s="742"/>
      <c r="T27" s="742"/>
      <c r="U27" s="742"/>
      <c r="V27" s="742"/>
      <c r="W27" s="742"/>
      <c r="X27" s="742"/>
      <c r="Y27" s="742"/>
      <c r="Z27" s="742"/>
      <c r="AA27" s="742"/>
      <c r="AB27" s="742"/>
      <c r="AC27" s="743"/>
      <c r="AD27" s="742"/>
      <c r="AE27" s="742"/>
      <c r="AF27" s="742"/>
      <c r="AG27" s="742"/>
      <c r="AH27" s="742"/>
      <c r="AI27" s="742"/>
      <c r="AJ27" s="742"/>
      <c r="AK27" s="742"/>
      <c r="AL27" s="742"/>
      <c r="AM27" s="742"/>
      <c r="AN27" s="742"/>
      <c r="AO27" s="1318"/>
      <c r="AP27" s="742">
        <f>(AP8*Assumptions!$C$22*'1.Revenue'!AP13)+('1.Revenue'!AP8*Assumptions!$C$23*'1.Revenue'!AP15)+('1.Revenue'!AP8*Assumptions!$C$24*'1.Revenue'!AP17)+('1.Revenue'!AP8*Assumptions!$C$25*'1.Revenue'!AP14)+('1.Revenue'!AP8*Assumptions!$C$26*'1.Revenue'!AP16)+('1.Revenue'!AP8*Assumptions!$C$27*'1.Revenue'!AP18)</f>
        <v>4237682.0618159985</v>
      </c>
      <c r="AQ27" s="742">
        <f>(AQ8*Assumptions!$C$22*'1.Revenue'!AQ13)+('1.Revenue'!AQ8*Assumptions!$C$23*'1.Revenue'!AQ15)+('1.Revenue'!AQ8*Assumptions!$C$24*'1.Revenue'!AQ17)+('1.Revenue'!AQ8*Assumptions!$C$25*'1.Revenue'!AQ14)+('1.Revenue'!AQ8*Assumptions!$C$26*'1.Revenue'!AQ16)+('1.Revenue'!AQ8*Assumptions!$C$27*'1.Revenue'!AQ18)</f>
        <v>4237682.0618159985</v>
      </c>
      <c r="AR27" s="742">
        <f>(AR8*Assumptions!$C$22*'1.Revenue'!AR13)+('1.Revenue'!AR8*Assumptions!$C$23*'1.Revenue'!AR15)+('1.Revenue'!AR8*Assumptions!$C$24*'1.Revenue'!AR17)+('1.Revenue'!AR8*Assumptions!$C$25*'1.Revenue'!AR14)+('1.Revenue'!AR8*Assumptions!$C$26*'1.Revenue'!AR16)+('1.Revenue'!AR8*Assumptions!$C$27*'1.Revenue'!AR18)</f>
        <v>12713046.185447996</v>
      </c>
      <c r="AS27" s="742">
        <f>(AS8*Assumptions!$C$22*'1.Revenue'!AS13)+('1.Revenue'!AS8*Assumptions!$C$23*'1.Revenue'!AS15)+('1.Revenue'!AS8*Assumptions!$C$24*'1.Revenue'!AS17)+('1.Revenue'!AS8*Assumptions!$C$25*'1.Revenue'!AS14)+('1.Revenue'!AS8*Assumptions!$C$26*'1.Revenue'!AS16)+('1.Revenue'!AS8*Assumptions!$C$27*'1.Revenue'!AS18)</f>
        <v>16950728.247263994</v>
      </c>
      <c r="AT27" s="742">
        <f>(AT8*Assumptions!$C$22*'1.Revenue'!AT13)+('1.Revenue'!AT8*Assumptions!$C$23*'1.Revenue'!AT15)+('1.Revenue'!AT8*Assumptions!$C$24*'1.Revenue'!AT17)+('1.Revenue'!AT8*Assumptions!$C$25*'1.Revenue'!AT14)+('1.Revenue'!AT8*Assumptions!$C$26*'1.Revenue'!AT16)+('1.Revenue'!AT8*Assumptions!$C$27*'1.Revenue'!AT18)</f>
        <v>6356523.0927239982</v>
      </c>
      <c r="AU27" s="742">
        <f>(AU8*Assumptions!$C$22*'1.Revenue'!AU13)+('1.Revenue'!AU8*Assumptions!$C$23*'1.Revenue'!AU15)+('1.Revenue'!AU8*Assumptions!$C$24*'1.Revenue'!AU17)+('1.Revenue'!AU8*Assumptions!$C$25*'1.Revenue'!AU14)+('1.Revenue'!AU8*Assumptions!$C$26*'1.Revenue'!AU16)+('1.Revenue'!AU8*Assumptions!$C$27*'1.Revenue'!AU18)</f>
        <v>8475364.123631997</v>
      </c>
      <c r="AV27" s="742">
        <f>(AV8*Assumptions!$C$22*'1.Revenue'!AV13)+('1.Revenue'!AV8*Assumptions!$C$23*'1.Revenue'!AV15)+('1.Revenue'!AV8*Assumptions!$C$24*'1.Revenue'!AV17)+('1.Revenue'!AV8*Assumptions!$C$25*'1.Revenue'!AV14)+('1.Revenue'!AV8*Assumptions!$C$26*'1.Revenue'!AV16)+('1.Revenue'!AV8*Assumptions!$C$27*'1.Revenue'!AV18)</f>
        <v>10594205.154539997</v>
      </c>
      <c r="AW27" s="742">
        <f>(AW8*Assumptions!$C$22*'1.Revenue'!AW13)+('1.Revenue'!AW8*Assumptions!$C$23*'1.Revenue'!AW15)+('1.Revenue'!AW8*Assumptions!$C$24*'1.Revenue'!AW17)+('1.Revenue'!AW8*Assumptions!$C$25*'1.Revenue'!AW14)+('1.Revenue'!AW8*Assumptions!$C$26*'1.Revenue'!AW16)+('1.Revenue'!AW8*Assumptions!$C$27*'1.Revenue'!AW18)</f>
        <v>4237682.0618159985</v>
      </c>
      <c r="AX27" s="742">
        <f>(AX8*Assumptions!$C$22*'1.Revenue'!AX13)+('1.Revenue'!AX8*Assumptions!$C$23*'1.Revenue'!AX15)+('1.Revenue'!AX8*Assumptions!$C$24*'1.Revenue'!AX17)+('1.Revenue'!AX8*Assumptions!$C$25*'1.Revenue'!AX14)+('1.Revenue'!AX8*Assumptions!$C$26*'1.Revenue'!AX16)+('1.Revenue'!AX8*Assumptions!$C$27*'1.Revenue'!AX18)</f>
        <v>8475364.123631997</v>
      </c>
      <c r="AY27" s="742">
        <f>(AY8*Assumptions!$C$22*'1.Revenue'!AY13)+('1.Revenue'!AY8*Assumptions!$C$23*'1.Revenue'!AY15)+('1.Revenue'!AY8*Assumptions!$C$24*'1.Revenue'!AY17)+('1.Revenue'!AY8*Assumptions!$C$25*'1.Revenue'!AY14)+('1.Revenue'!AY8*Assumptions!$C$26*'1.Revenue'!AY16)+('1.Revenue'!AY8*Assumptions!$C$27*'1.Revenue'!AY18)</f>
        <v>10594205.154539997</v>
      </c>
      <c r="AZ27" s="742">
        <f>(AZ8*Assumptions!$C$22*'1.Revenue'!AZ13)+('1.Revenue'!AZ8*Assumptions!$C$23*'1.Revenue'!AZ15)+('1.Revenue'!AZ8*Assumptions!$C$24*'1.Revenue'!AZ17)+('1.Revenue'!AZ8*Assumptions!$C$25*'1.Revenue'!AZ14)+('1.Revenue'!AZ8*Assumptions!$C$26*'1.Revenue'!AZ16)+('1.Revenue'!AZ8*Assumptions!$C$27*'1.Revenue'!AZ18)</f>
        <v>10594205.154539997</v>
      </c>
      <c r="BA27" s="743">
        <f>(BA8*Assumptions!$C$22*'1.Revenue'!BA13)+('1.Revenue'!BA8*Assumptions!$C$23*'1.Revenue'!BA15)+('1.Revenue'!BA8*Assumptions!$C$24*'1.Revenue'!BA17)+('1.Revenue'!BA8*Assumptions!$C$25*'1.Revenue'!BA14)+('1.Revenue'!BA8*Assumptions!$C$26*'1.Revenue'!BA16)+('1.Revenue'!BA8*Assumptions!$C$27*'1.Revenue'!BA18)</f>
        <v>6756984.0475656092</v>
      </c>
      <c r="BB27" s="742">
        <f>(BB8*Assumptions!$C$22*'1.Revenue'!BB13)+('1.Revenue'!BB8*Assumptions!$C$23*'1.Revenue'!BB15)+('1.Revenue'!BB8*Assumptions!$C$24*'1.Revenue'!BB17)+('1.Revenue'!BB8*Assumptions!$C$25*'1.Revenue'!BB14)+('1.Revenue'!BB8*Assumptions!$C$26*'1.Revenue'!BB16)+('1.Revenue'!BB8*Assumptions!$C$27*'1.Revenue'!BB18)</f>
        <v>4504656.0317104068</v>
      </c>
      <c r="BC27" s="742">
        <f>(BC8*Assumptions!$C$22*'1.Revenue'!BC13)+('1.Revenue'!BC8*Assumptions!$C$23*'1.Revenue'!BC15)+('1.Revenue'!BC8*Assumptions!$C$24*'1.Revenue'!BC17)+('1.Revenue'!BC8*Assumptions!$C$25*'1.Revenue'!BC14)+('1.Revenue'!BC8*Assumptions!$C$26*'1.Revenue'!BC16)+('1.Revenue'!BC8*Assumptions!$C$27*'1.Revenue'!BC18)</f>
        <v>4504656.0317104068</v>
      </c>
      <c r="BD27" s="742">
        <f>(BD8*Assumptions!$C$22*'1.Revenue'!BD13)+('1.Revenue'!BD8*Assumptions!$C$23*'1.Revenue'!BD15)+('1.Revenue'!BD8*Assumptions!$C$24*'1.Revenue'!BD17)+('1.Revenue'!BD8*Assumptions!$C$25*'1.Revenue'!BD14)+('1.Revenue'!BD8*Assumptions!$C$26*'1.Revenue'!BD16)+('1.Revenue'!BD8*Assumptions!$C$27*'1.Revenue'!BD18)</f>
        <v>13513968.095131218</v>
      </c>
      <c r="BE27" s="742">
        <f>(BE8*Assumptions!$C$22*'1.Revenue'!BE13)+('1.Revenue'!BE8*Assumptions!$C$23*'1.Revenue'!BE15)+('1.Revenue'!BE8*Assumptions!$C$24*'1.Revenue'!BE17)+('1.Revenue'!BE8*Assumptions!$C$25*'1.Revenue'!BE14)+('1.Revenue'!BE8*Assumptions!$C$26*'1.Revenue'!BE16)+('1.Revenue'!BE8*Assumptions!$C$27*'1.Revenue'!BE18)</f>
        <v>18018624.126841627</v>
      </c>
      <c r="BF27" s="742">
        <f>(BF8*Assumptions!$C$22*'1.Revenue'!BF13)+('1.Revenue'!BF8*Assumptions!$C$23*'1.Revenue'!BF15)+('1.Revenue'!BF8*Assumptions!$C$24*'1.Revenue'!BF17)+('1.Revenue'!BF8*Assumptions!$C$25*'1.Revenue'!BF14)+('1.Revenue'!BF8*Assumptions!$C$26*'1.Revenue'!BF16)+('1.Revenue'!BF8*Assumptions!$C$27*'1.Revenue'!BF18)</f>
        <v>6756984.0475656092</v>
      </c>
      <c r="BG27" s="742">
        <f>(BG8*Assumptions!$C$22*'1.Revenue'!BG13)+('1.Revenue'!BG8*Assumptions!$C$23*'1.Revenue'!BG15)+('1.Revenue'!BG8*Assumptions!$C$24*'1.Revenue'!BG17)+('1.Revenue'!BG8*Assumptions!$C$25*'1.Revenue'!BG14)+('1.Revenue'!BG8*Assumptions!$C$26*'1.Revenue'!BG16)+('1.Revenue'!BG8*Assumptions!$C$27*'1.Revenue'!BG18)</f>
        <v>9009312.0634208135</v>
      </c>
      <c r="BH27" s="742">
        <f>(BH8*Assumptions!$C$22*'1.Revenue'!BH13)+('1.Revenue'!BH8*Assumptions!$C$23*'1.Revenue'!BH15)+('1.Revenue'!BH8*Assumptions!$C$24*'1.Revenue'!BH17)+('1.Revenue'!BH8*Assumptions!$C$25*'1.Revenue'!BH14)+('1.Revenue'!BH8*Assumptions!$C$26*'1.Revenue'!BH16)+('1.Revenue'!BH8*Assumptions!$C$27*'1.Revenue'!BH18)</f>
        <v>11261640.079276016</v>
      </c>
      <c r="BI27" s="742">
        <f>(BI8*Assumptions!$C$22*'1.Revenue'!BI13)+('1.Revenue'!BI8*Assumptions!$C$23*'1.Revenue'!BI15)+('1.Revenue'!BI8*Assumptions!$C$24*'1.Revenue'!BI17)+('1.Revenue'!BI8*Assumptions!$C$25*'1.Revenue'!BI14)+('1.Revenue'!BI8*Assumptions!$C$26*'1.Revenue'!BI16)+('1.Revenue'!BI8*Assumptions!$C$27*'1.Revenue'!BI18)</f>
        <v>4504656.0317104068</v>
      </c>
      <c r="BJ27" s="742">
        <f>(BJ8*Assumptions!$C$22*'1.Revenue'!BJ13)+('1.Revenue'!BJ8*Assumptions!$C$23*'1.Revenue'!BJ15)+('1.Revenue'!BJ8*Assumptions!$C$24*'1.Revenue'!BJ17)+('1.Revenue'!BJ8*Assumptions!$C$25*'1.Revenue'!BJ14)+('1.Revenue'!BJ8*Assumptions!$C$26*'1.Revenue'!BJ16)+('1.Revenue'!BJ8*Assumptions!$C$27*'1.Revenue'!BJ18)</f>
        <v>9009312.0634208135</v>
      </c>
      <c r="BK27" s="742">
        <f>(BK8*Assumptions!$C$22*'1.Revenue'!BK13)+('1.Revenue'!BK8*Assumptions!$C$23*'1.Revenue'!BK15)+('1.Revenue'!BK8*Assumptions!$C$24*'1.Revenue'!BK17)+('1.Revenue'!BK8*Assumptions!$C$25*'1.Revenue'!BK14)+('1.Revenue'!BK8*Assumptions!$C$26*'1.Revenue'!BK16)+('1.Revenue'!BK8*Assumptions!$C$27*'1.Revenue'!BK18)</f>
        <v>11261640.079276016</v>
      </c>
      <c r="BL27" s="742">
        <f>(BL8*Assumptions!$C$22*'1.Revenue'!BL13)+('1.Revenue'!BL8*Assumptions!$C$23*'1.Revenue'!BL15)+('1.Revenue'!BL8*Assumptions!$C$24*'1.Revenue'!BL17)+('1.Revenue'!BL8*Assumptions!$C$25*'1.Revenue'!BL14)+('1.Revenue'!BL8*Assumptions!$C$26*'1.Revenue'!BL16)+('1.Revenue'!BL8*Assumptions!$C$27*'1.Revenue'!BL18)</f>
        <v>11261640.079276016</v>
      </c>
      <c r="BM27" s="743">
        <f>(BM8*Assumptions!$C$22*'1.Revenue'!BM13)+('1.Revenue'!BM8*Assumptions!$C$23*'1.Revenue'!BM15)+('1.Revenue'!BM8*Assumptions!$C$24*'1.Revenue'!BM17)+('1.Revenue'!BM8*Assumptions!$C$25*'1.Revenue'!BM14)+('1.Revenue'!BM8*Assumptions!$C$26*'1.Revenue'!BM16)+('1.Revenue'!BM8*Assumptions!$C$27*'1.Revenue'!BM18)</f>
        <v>7182674.0425622426</v>
      </c>
      <c r="BN27" s="742">
        <f>(BN8*Assumptions!$C$22*'1.Revenue'!BN13)+('1.Revenue'!BN8*Assumptions!$C$23*'1.Revenue'!BN15)+('1.Revenue'!BN8*Assumptions!$C$24*'1.Revenue'!BN17)+('1.Revenue'!BN8*Assumptions!$C$25*'1.Revenue'!BN14)+('1.Revenue'!BN8*Assumptions!$C$26*'1.Revenue'!BN16)+('1.Revenue'!BN8*Assumptions!$C$27*'1.Revenue'!BN18)</f>
        <v>4788449.3617081624</v>
      </c>
      <c r="BO27" s="742">
        <f>(BO8*Assumptions!$C$22*'1.Revenue'!BO13)+('1.Revenue'!BO8*Assumptions!$C$23*'1.Revenue'!BO15)+('1.Revenue'!BO8*Assumptions!$C$24*'1.Revenue'!BO17)+('1.Revenue'!BO8*Assumptions!$C$25*'1.Revenue'!BO14)+('1.Revenue'!BO8*Assumptions!$C$26*'1.Revenue'!BO16)+('1.Revenue'!BO8*Assumptions!$C$27*'1.Revenue'!BO18)</f>
        <v>4788449.3617081624</v>
      </c>
      <c r="BP27" s="742">
        <f>(BP8*Assumptions!$C$22*'1.Revenue'!BP13)+('1.Revenue'!BP8*Assumptions!$C$23*'1.Revenue'!BP15)+('1.Revenue'!BP8*Assumptions!$C$24*'1.Revenue'!BP17)+('1.Revenue'!BP8*Assumptions!$C$25*'1.Revenue'!BP14)+('1.Revenue'!BP8*Assumptions!$C$26*'1.Revenue'!BP16)+('1.Revenue'!BP8*Assumptions!$C$27*'1.Revenue'!BP18)</f>
        <v>14365348.085124485</v>
      </c>
      <c r="BQ27" s="742">
        <f>(BQ8*Assumptions!$C$22*'1.Revenue'!BQ13)+('1.Revenue'!BQ8*Assumptions!$C$23*'1.Revenue'!BQ15)+('1.Revenue'!BQ8*Assumptions!$C$24*'1.Revenue'!BQ17)+('1.Revenue'!BQ8*Assumptions!$C$25*'1.Revenue'!BQ14)+('1.Revenue'!BQ8*Assumptions!$C$26*'1.Revenue'!BQ16)+('1.Revenue'!BQ8*Assumptions!$C$27*'1.Revenue'!BQ18)</f>
        <v>19153797.446832649</v>
      </c>
      <c r="BR27" s="742">
        <f>(BR8*Assumptions!$C$22*'1.Revenue'!BR13)+('1.Revenue'!BR8*Assumptions!$C$23*'1.Revenue'!BR15)+('1.Revenue'!BR8*Assumptions!$C$24*'1.Revenue'!BR17)+('1.Revenue'!BR8*Assumptions!$C$25*'1.Revenue'!BR14)+('1.Revenue'!BR8*Assumptions!$C$26*'1.Revenue'!BR16)+('1.Revenue'!BR8*Assumptions!$C$27*'1.Revenue'!BR18)</f>
        <v>7182674.0425622426</v>
      </c>
      <c r="BS27" s="742">
        <f>(BS8*Assumptions!$C$22*'1.Revenue'!BS13)+('1.Revenue'!BS8*Assumptions!$C$23*'1.Revenue'!BS15)+('1.Revenue'!BS8*Assumptions!$C$24*'1.Revenue'!BS17)+('1.Revenue'!BS8*Assumptions!$C$25*'1.Revenue'!BS14)+('1.Revenue'!BS8*Assumptions!$C$26*'1.Revenue'!BS16)+('1.Revenue'!BS8*Assumptions!$C$27*'1.Revenue'!BS18)</f>
        <v>9576898.7234163247</v>
      </c>
      <c r="BT27" s="742">
        <f>(BT8*Assumptions!$C$22*'1.Revenue'!BT13)+('1.Revenue'!BT8*Assumptions!$C$23*'1.Revenue'!BT15)+('1.Revenue'!BT8*Assumptions!$C$24*'1.Revenue'!BT17)+('1.Revenue'!BT8*Assumptions!$C$25*'1.Revenue'!BT14)+('1.Revenue'!BT8*Assumptions!$C$26*'1.Revenue'!BT16)+('1.Revenue'!BT8*Assumptions!$C$27*'1.Revenue'!BT18)</f>
        <v>11971123.404270405</v>
      </c>
      <c r="BU27" s="742">
        <f>(BU8*Assumptions!$C$22*'1.Revenue'!BU13)+('1.Revenue'!BU8*Assumptions!$C$23*'1.Revenue'!BU15)+('1.Revenue'!BU8*Assumptions!$C$24*'1.Revenue'!BU17)+('1.Revenue'!BU8*Assumptions!$C$25*'1.Revenue'!BU14)+('1.Revenue'!BU8*Assumptions!$C$26*'1.Revenue'!BU16)+('1.Revenue'!BU8*Assumptions!$C$27*'1.Revenue'!BU18)</f>
        <v>4788449.3617081624</v>
      </c>
      <c r="BV27" s="742">
        <f>(BV8*Assumptions!$C$22*'1.Revenue'!BV13)+('1.Revenue'!BV8*Assumptions!$C$23*'1.Revenue'!BV15)+('1.Revenue'!BV8*Assumptions!$C$24*'1.Revenue'!BV17)+('1.Revenue'!BV8*Assumptions!$C$25*'1.Revenue'!BV14)+('1.Revenue'!BV8*Assumptions!$C$26*'1.Revenue'!BV16)+('1.Revenue'!BV8*Assumptions!$C$27*'1.Revenue'!BV18)</f>
        <v>9576898.7234163247</v>
      </c>
      <c r="BW27" s="742">
        <f>(BW8*Assumptions!$C$22*'1.Revenue'!BW13)+('1.Revenue'!BW8*Assumptions!$C$23*'1.Revenue'!BW15)+('1.Revenue'!BW8*Assumptions!$C$24*'1.Revenue'!BW17)+('1.Revenue'!BW8*Assumptions!$C$25*'1.Revenue'!BW14)+('1.Revenue'!BW8*Assumptions!$C$26*'1.Revenue'!BW16)+('1.Revenue'!BW8*Assumptions!$C$27*'1.Revenue'!BW18)</f>
        <v>11971123.404270405</v>
      </c>
      <c r="BX27" s="742">
        <f>(BX8*Assumptions!$C$22*'1.Revenue'!BX13)+('1.Revenue'!BX8*Assumptions!$C$23*'1.Revenue'!BX15)+('1.Revenue'!BX8*Assumptions!$C$24*'1.Revenue'!BX17)+('1.Revenue'!BX8*Assumptions!$C$25*'1.Revenue'!BX14)+('1.Revenue'!BX8*Assumptions!$C$26*'1.Revenue'!BX16)+('1.Revenue'!BX8*Assumptions!$C$27*'1.Revenue'!BX18)</f>
        <v>14365348.085124485</v>
      </c>
      <c r="BY27" s="743">
        <f>(BY8*Assumptions!$C$22*'1.Revenue'!BY13)+('1.Revenue'!BY8*Assumptions!$C$23*'1.Revenue'!BY15)+('1.Revenue'!BY8*Assumptions!$C$24*'1.Revenue'!BY17)+('1.Revenue'!BY8*Assumptions!$C$25*'1.Revenue'!BY14)+('1.Revenue'!BY8*Assumptions!$C$26*'1.Revenue'!BY16)+('1.Revenue'!BY8*Assumptions!$C$27*'1.Revenue'!BY18)</f>
        <v>5090121.6714957757</v>
      </c>
      <c r="BZ27" s="742">
        <f>(BZ8*Assumptions!$C$22*'1.Revenue'!BZ13)+('1.Revenue'!BZ8*Assumptions!$C$23*'1.Revenue'!BZ15)+('1.Revenue'!BZ8*Assumptions!$C$24*'1.Revenue'!BZ17)+('1.Revenue'!BZ8*Assumptions!$C$25*'1.Revenue'!BZ14)+('1.Revenue'!BZ8*Assumptions!$C$26*'1.Revenue'!BZ16)+('1.Revenue'!BZ8*Assumptions!$C$27*'1.Revenue'!BZ18)</f>
        <v>5090121.6714957757</v>
      </c>
      <c r="CA27" s="742">
        <f>(CA8*Assumptions!$C$22*'1.Revenue'!CA13)+('1.Revenue'!CA8*Assumptions!$C$23*'1.Revenue'!CA15)+('1.Revenue'!CA8*Assumptions!$C$24*'1.Revenue'!CA17)+('1.Revenue'!CA8*Assumptions!$C$25*'1.Revenue'!CA14)+('1.Revenue'!CA8*Assumptions!$C$26*'1.Revenue'!CA16)+('1.Revenue'!CA8*Assumptions!$C$27*'1.Revenue'!CA18)</f>
        <v>5090121.6714957757</v>
      </c>
      <c r="CB27" s="742">
        <f>(CB8*Assumptions!$C$22*'1.Revenue'!CB13)+('1.Revenue'!CB8*Assumptions!$C$23*'1.Revenue'!CB15)+('1.Revenue'!CB8*Assumptions!$C$24*'1.Revenue'!CB17)+('1.Revenue'!CB8*Assumptions!$C$25*'1.Revenue'!CB14)+('1.Revenue'!CB8*Assumptions!$C$26*'1.Revenue'!CB16)+('1.Revenue'!CB8*Assumptions!$C$27*'1.Revenue'!CB18)</f>
        <v>17815425.850235216</v>
      </c>
      <c r="CC27" s="742">
        <f>(CC8*Assumptions!$C$22*'1.Revenue'!CC13)+('1.Revenue'!CC8*Assumptions!$C$23*'1.Revenue'!CC15)+('1.Revenue'!CC8*Assumptions!$C$24*'1.Revenue'!CC17)+('1.Revenue'!CC8*Assumptions!$C$25*'1.Revenue'!CC14)+('1.Revenue'!CC8*Assumptions!$C$26*'1.Revenue'!CC16)+('1.Revenue'!CC8*Assumptions!$C$27*'1.Revenue'!CC18)</f>
        <v>17815425.850235216</v>
      </c>
      <c r="CD27" s="742">
        <f>(CD8*Assumptions!$C$22*'1.Revenue'!CD13)+('1.Revenue'!CD8*Assumptions!$C$23*'1.Revenue'!CD15)+('1.Revenue'!CD8*Assumptions!$C$24*'1.Revenue'!CD17)+('1.Revenue'!CD8*Assumptions!$C$25*'1.Revenue'!CD14)+('1.Revenue'!CD8*Assumptions!$C$26*'1.Revenue'!CD16)+('1.Revenue'!CD8*Assumptions!$C$27*'1.Revenue'!CD18)</f>
        <v>7635182.507243664</v>
      </c>
      <c r="CE27" s="742">
        <f>(CE8*Assumptions!$C$22*'1.Revenue'!CE13)+('1.Revenue'!CE8*Assumptions!$C$23*'1.Revenue'!CE15)+('1.Revenue'!CE8*Assumptions!$C$24*'1.Revenue'!CE17)+('1.Revenue'!CE8*Assumptions!$C$25*'1.Revenue'!CE14)+('1.Revenue'!CE8*Assumptions!$C$26*'1.Revenue'!CE16)+('1.Revenue'!CE8*Assumptions!$C$27*'1.Revenue'!CE18)</f>
        <v>10180243.342991551</v>
      </c>
      <c r="CF27" s="742">
        <f>(CF8*Assumptions!$C$22*'1.Revenue'!CF13)+('1.Revenue'!CF8*Assumptions!$C$23*'1.Revenue'!CF15)+('1.Revenue'!CF8*Assumptions!$C$24*'1.Revenue'!CF17)+('1.Revenue'!CF8*Assumptions!$C$25*'1.Revenue'!CF14)+('1.Revenue'!CF8*Assumptions!$C$26*'1.Revenue'!CF16)+('1.Revenue'!CF8*Assumptions!$C$27*'1.Revenue'!CF18)</f>
        <v>12725304.17873944</v>
      </c>
      <c r="CG27" s="742">
        <f>(CG8*Assumptions!$C$22*'1.Revenue'!CG13)+('1.Revenue'!CG8*Assumptions!$C$23*'1.Revenue'!CG15)+('1.Revenue'!CG8*Assumptions!$C$24*'1.Revenue'!CG17)+('1.Revenue'!CG8*Assumptions!$C$25*'1.Revenue'!CG14)+('1.Revenue'!CG8*Assumptions!$C$26*'1.Revenue'!CG16)+('1.Revenue'!CG8*Assumptions!$C$27*'1.Revenue'!CG18)</f>
        <v>5090121.6714957757</v>
      </c>
      <c r="CH27" s="742">
        <f>(CH8*Assumptions!$C$22*'1.Revenue'!CH13)+('1.Revenue'!CH8*Assumptions!$C$23*'1.Revenue'!CH15)+('1.Revenue'!CH8*Assumptions!$C$24*'1.Revenue'!CH17)+('1.Revenue'!CH8*Assumptions!$C$25*'1.Revenue'!CH14)+('1.Revenue'!CH8*Assumptions!$C$26*'1.Revenue'!CH16)+('1.Revenue'!CH8*Assumptions!$C$27*'1.Revenue'!CH18)</f>
        <v>10180243.342991551</v>
      </c>
      <c r="CI27" s="742">
        <f>(CI8*Assumptions!$C$22*'1.Revenue'!CI13)+('1.Revenue'!CI8*Assumptions!$C$23*'1.Revenue'!CI15)+('1.Revenue'!CI8*Assumptions!$C$24*'1.Revenue'!CI17)+('1.Revenue'!CI8*Assumptions!$C$25*'1.Revenue'!CI14)+('1.Revenue'!CI8*Assumptions!$C$26*'1.Revenue'!CI16)+('1.Revenue'!CI8*Assumptions!$C$27*'1.Revenue'!CI18)</f>
        <v>12725304.17873944</v>
      </c>
      <c r="CJ27" s="742">
        <f>(CJ8*Assumptions!$C$22*'1.Revenue'!CJ13)+('1.Revenue'!CJ8*Assumptions!$C$23*'1.Revenue'!CJ15)+('1.Revenue'!CJ8*Assumptions!$C$24*'1.Revenue'!CJ17)+('1.Revenue'!CJ8*Assumptions!$C$25*'1.Revenue'!CJ14)+('1.Revenue'!CJ8*Assumptions!$C$26*'1.Revenue'!CJ16)+('1.Revenue'!CJ8*Assumptions!$C$27*'1.Revenue'!CJ18)</f>
        <v>15270365.014487328</v>
      </c>
      <c r="CK27" s="743">
        <f>(CK8*Assumptions!$C$22*'1.Revenue'!CK13)+('1.Revenue'!CK8*Assumptions!$C$23*'1.Revenue'!CK15)+('1.Revenue'!CK8*Assumptions!$C$24*'1.Revenue'!CK17)+('1.Revenue'!CK8*Assumptions!$C$25*'1.Revenue'!CK14)+('1.Revenue'!CK8*Assumptions!$C$26*'1.Revenue'!CK16)+('1.Revenue'!CK8*Assumptions!$C$27*'1.Revenue'!CK18)</f>
        <v>5250460.5041478928</v>
      </c>
      <c r="CL27" s="742">
        <f>(CL8*Assumptions!$C$22*'1.Revenue'!CL13)+('1.Revenue'!CL8*Assumptions!$C$23*'1.Revenue'!CL15)+('1.Revenue'!CL8*Assumptions!$C$24*'1.Revenue'!CL17)+('1.Revenue'!CL8*Assumptions!$C$25*'1.Revenue'!CL14)+('1.Revenue'!CL8*Assumptions!$C$26*'1.Revenue'!CL16)+('1.Revenue'!CL8*Assumptions!$C$27*'1.Revenue'!CL18)</f>
        <v>5250460.5041478928</v>
      </c>
      <c r="CM27" s="742">
        <f>(CM8*Assumptions!$C$22*'1.Revenue'!CM13)+('1.Revenue'!CM8*Assumptions!$C$23*'1.Revenue'!CM15)+('1.Revenue'!CM8*Assumptions!$C$24*'1.Revenue'!CM17)+('1.Revenue'!CM8*Assumptions!$C$25*'1.Revenue'!CM14)+('1.Revenue'!CM8*Assumptions!$C$26*'1.Revenue'!CM16)+('1.Revenue'!CM8*Assumptions!$C$27*'1.Revenue'!CM18)</f>
        <v>5250460.5041478928</v>
      </c>
      <c r="CN27" s="742">
        <f>(CN8*Assumptions!$C$22*'1.Revenue'!CN13)+('1.Revenue'!CN8*Assumptions!$C$23*'1.Revenue'!CN15)+('1.Revenue'!CN8*Assumptions!$C$24*'1.Revenue'!CN17)+('1.Revenue'!CN8*Assumptions!$C$25*'1.Revenue'!CN14)+('1.Revenue'!CN8*Assumptions!$C$26*'1.Revenue'!CN16)+('1.Revenue'!CN8*Assumptions!$C$27*'1.Revenue'!CN18)</f>
        <v>18376611.764517628</v>
      </c>
      <c r="CO27" s="742">
        <f>(CO8*Assumptions!$C$22*'1.Revenue'!CO13)+('1.Revenue'!CO8*Assumptions!$C$23*'1.Revenue'!CO15)+('1.Revenue'!CO8*Assumptions!$C$24*'1.Revenue'!CO17)+('1.Revenue'!CO8*Assumptions!$C$25*'1.Revenue'!CO14)+('1.Revenue'!CO8*Assumptions!$C$26*'1.Revenue'!CO16)+('1.Revenue'!CO8*Assumptions!$C$27*'1.Revenue'!CO18)</f>
        <v>18376611.764517628</v>
      </c>
      <c r="CP27" s="742">
        <f>(CP8*Assumptions!$C$22*'1.Revenue'!CP13)+('1.Revenue'!CP8*Assumptions!$C$23*'1.Revenue'!CP15)+('1.Revenue'!CP8*Assumptions!$C$24*'1.Revenue'!CP17)+('1.Revenue'!CP8*Assumptions!$C$25*'1.Revenue'!CP14)+('1.Revenue'!CP8*Assumptions!$C$26*'1.Revenue'!CP16)+('1.Revenue'!CP8*Assumptions!$C$27*'1.Revenue'!CP18)</f>
        <v>7875690.7562218402</v>
      </c>
      <c r="CQ27" s="742">
        <f>(CQ8*Assumptions!$C$22*'1.Revenue'!CQ13)+('1.Revenue'!CQ8*Assumptions!$C$23*'1.Revenue'!CQ15)+('1.Revenue'!CQ8*Assumptions!$C$24*'1.Revenue'!CQ17)+('1.Revenue'!CQ8*Assumptions!$C$25*'1.Revenue'!CQ14)+('1.Revenue'!CQ8*Assumptions!$C$26*'1.Revenue'!CQ16)+('1.Revenue'!CQ8*Assumptions!$C$27*'1.Revenue'!CQ18)</f>
        <v>10500921.008295786</v>
      </c>
      <c r="CR27" s="742">
        <f>(CR8*Assumptions!$C$22*'1.Revenue'!CR13)+('1.Revenue'!CR8*Assumptions!$C$23*'1.Revenue'!CR15)+('1.Revenue'!CR8*Assumptions!$C$24*'1.Revenue'!CR17)+('1.Revenue'!CR8*Assumptions!$C$25*'1.Revenue'!CR14)+('1.Revenue'!CR8*Assumptions!$C$26*'1.Revenue'!CR16)+('1.Revenue'!CR8*Assumptions!$C$27*'1.Revenue'!CR18)</f>
        <v>13126151.260369733</v>
      </c>
      <c r="CS27" s="742">
        <f>(CS8*Assumptions!$C$22*'1.Revenue'!CS13)+('1.Revenue'!CS8*Assumptions!$C$23*'1.Revenue'!CS15)+('1.Revenue'!CS8*Assumptions!$C$24*'1.Revenue'!CS17)+('1.Revenue'!CS8*Assumptions!$C$25*'1.Revenue'!CS14)+('1.Revenue'!CS8*Assumptions!$C$26*'1.Revenue'!CS16)+('1.Revenue'!CS8*Assumptions!$C$27*'1.Revenue'!CS18)</f>
        <v>5250460.5041478928</v>
      </c>
      <c r="CT27" s="742">
        <f>(CT8*Assumptions!$C$22*'1.Revenue'!CT13)+('1.Revenue'!CT8*Assumptions!$C$23*'1.Revenue'!CT15)+('1.Revenue'!CT8*Assumptions!$C$24*'1.Revenue'!CT17)+('1.Revenue'!CT8*Assumptions!$C$25*'1.Revenue'!CT14)+('1.Revenue'!CT8*Assumptions!$C$26*'1.Revenue'!CT16)+('1.Revenue'!CT8*Assumptions!$C$27*'1.Revenue'!CT18)</f>
        <v>13126151.260369733</v>
      </c>
      <c r="CU27" s="742">
        <f>(CU8*Assumptions!$C$22*'1.Revenue'!CU13)+('1.Revenue'!CU8*Assumptions!$C$23*'1.Revenue'!CU15)+('1.Revenue'!CU8*Assumptions!$C$24*'1.Revenue'!CU17)+('1.Revenue'!CU8*Assumptions!$C$25*'1.Revenue'!CU14)+('1.Revenue'!CU8*Assumptions!$C$26*'1.Revenue'!CU16)+('1.Revenue'!CU8*Assumptions!$C$27*'1.Revenue'!CU18)</f>
        <v>13126151.260369733</v>
      </c>
      <c r="CV27" s="742">
        <f>(CV8*Assumptions!$C$22*'1.Revenue'!CV13)+('1.Revenue'!CV8*Assumptions!$C$23*'1.Revenue'!CV15)+('1.Revenue'!CV8*Assumptions!$C$24*'1.Revenue'!CV17)+('1.Revenue'!CV8*Assumptions!$C$25*'1.Revenue'!CV14)+('1.Revenue'!CV8*Assumptions!$C$26*'1.Revenue'!CV16)+('1.Revenue'!CV8*Assumptions!$C$27*'1.Revenue'!CV18)</f>
        <v>13126151.260369733</v>
      </c>
      <c r="CW27" s="743">
        <f>(CW8*Assumptions!$C$22*'1.Revenue'!CW13)+('1.Revenue'!CW8*Assumptions!$C$23*'1.Revenue'!CW15)+('1.Revenue'!CW8*Assumptions!$C$24*'1.Revenue'!CW17)+('1.Revenue'!CW8*Assumptions!$C$25*'1.Revenue'!CW14)+('1.Revenue'!CW8*Assumptions!$C$26*'1.Revenue'!CW16)+('1.Revenue'!CW8*Assumptions!$C$27*'1.Revenue'!CW18)</f>
        <v>5751679.6950184107</v>
      </c>
      <c r="CX27" s="742">
        <f>(CX8*Assumptions!$C$22*'1.Revenue'!CX13)+('1.Revenue'!CX8*Assumptions!$C$23*'1.Revenue'!CX15)+('1.Revenue'!CX8*Assumptions!$C$24*'1.Revenue'!CX17)+('1.Revenue'!CX8*Assumptions!$C$25*'1.Revenue'!CX14)+('1.Revenue'!CX8*Assumptions!$C$26*'1.Revenue'!CX16)+('1.Revenue'!CX8*Assumptions!$C$27*'1.Revenue'!CX18)</f>
        <v>5751679.6950184107</v>
      </c>
      <c r="CY27" s="742">
        <f>(CY8*Assumptions!$C$22*'1.Revenue'!CY13)+('1.Revenue'!CY8*Assumptions!$C$23*'1.Revenue'!CY15)+('1.Revenue'!CY8*Assumptions!$C$24*'1.Revenue'!CY17)+('1.Revenue'!CY8*Assumptions!$C$25*'1.Revenue'!CY14)+('1.Revenue'!CY8*Assumptions!$C$26*'1.Revenue'!CY16)+('1.Revenue'!CY8*Assumptions!$C$27*'1.Revenue'!CY18)</f>
        <v>8627519.542527616</v>
      </c>
      <c r="CZ27" s="742">
        <f>(CZ8*Assumptions!$C$22*'1.Revenue'!CZ13)+('1.Revenue'!CZ8*Assumptions!$C$23*'1.Revenue'!CZ15)+('1.Revenue'!CZ8*Assumptions!$C$24*'1.Revenue'!CZ17)+('1.Revenue'!CZ8*Assumptions!$C$25*'1.Revenue'!CZ14)+('1.Revenue'!CZ8*Assumptions!$C$26*'1.Revenue'!CZ16)+('1.Revenue'!CZ8*Assumptions!$C$27*'1.Revenue'!CZ18)</f>
        <v>17255039.085055232</v>
      </c>
      <c r="DA27" s="742">
        <f>(DA8*Assumptions!$C$22*'1.Revenue'!DA13)+('1.Revenue'!DA8*Assumptions!$C$23*'1.Revenue'!DA15)+('1.Revenue'!DA8*Assumptions!$C$24*'1.Revenue'!DA17)+('1.Revenue'!DA8*Assumptions!$C$25*'1.Revenue'!DA14)+('1.Revenue'!DA8*Assumptions!$C$26*'1.Revenue'!DA16)+('1.Revenue'!DA8*Assumptions!$C$27*'1.Revenue'!DA18)</f>
        <v>20130878.932564437</v>
      </c>
      <c r="DB27" s="742">
        <f>(DB8*Assumptions!$C$22*'1.Revenue'!DB13)+('1.Revenue'!DB8*Assumptions!$C$23*'1.Revenue'!DB15)+('1.Revenue'!DB8*Assumptions!$C$24*'1.Revenue'!DB17)+('1.Revenue'!DB8*Assumptions!$C$25*'1.Revenue'!DB14)+('1.Revenue'!DB8*Assumptions!$C$26*'1.Revenue'!DB16)+('1.Revenue'!DB8*Assumptions!$C$27*'1.Revenue'!DB18)</f>
        <v>8627519.542527616</v>
      </c>
      <c r="DC27" s="742">
        <f>(DC8*Assumptions!$C$22*'1.Revenue'!DC13)+('1.Revenue'!DC8*Assumptions!$C$23*'1.Revenue'!DC15)+('1.Revenue'!DC8*Assumptions!$C$24*'1.Revenue'!DC17)+('1.Revenue'!DC8*Assumptions!$C$25*'1.Revenue'!DC14)+('1.Revenue'!DC8*Assumptions!$C$26*'1.Revenue'!DC16)+('1.Revenue'!DC8*Assumptions!$C$27*'1.Revenue'!DC18)</f>
        <v>11503359.390036821</v>
      </c>
      <c r="DD27" s="742">
        <f>(DD8*Assumptions!$C$22*'1.Revenue'!DD13)+('1.Revenue'!DD8*Assumptions!$C$23*'1.Revenue'!DD15)+('1.Revenue'!DD8*Assumptions!$C$24*'1.Revenue'!DD17)+('1.Revenue'!DD8*Assumptions!$C$25*'1.Revenue'!DD14)+('1.Revenue'!DD8*Assumptions!$C$26*'1.Revenue'!DD16)+('1.Revenue'!DD8*Assumptions!$C$27*'1.Revenue'!DD18)</f>
        <v>14379199.237546025</v>
      </c>
      <c r="DE27" s="742">
        <f>(DE8*Assumptions!$C$22*'1.Revenue'!DE13)+('1.Revenue'!DE8*Assumptions!$C$23*'1.Revenue'!DE15)+('1.Revenue'!DE8*Assumptions!$C$24*'1.Revenue'!DE17)+('1.Revenue'!DE8*Assumptions!$C$25*'1.Revenue'!DE14)+('1.Revenue'!DE8*Assumptions!$C$26*'1.Revenue'!DE16)+('1.Revenue'!DE8*Assumptions!$C$27*'1.Revenue'!DE18)</f>
        <v>5751679.6950184107</v>
      </c>
      <c r="DF27" s="742">
        <f>(DF8*Assumptions!$C$22*'1.Revenue'!DF13)+('1.Revenue'!DF8*Assumptions!$C$23*'1.Revenue'!DF15)+('1.Revenue'!DF8*Assumptions!$C$24*'1.Revenue'!DF17)+('1.Revenue'!DF8*Assumptions!$C$25*'1.Revenue'!DF14)+('1.Revenue'!DF8*Assumptions!$C$26*'1.Revenue'!DF16)+('1.Revenue'!DF8*Assumptions!$C$27*'1.Revenue'!DF18)</f>
        <v>14379199.237546025</v>
      </c>
      <c r="DG27" s="742">
        <f>(DG8*Assumptions!$C$22*'1.Revenue'!DG13)+('1.Revenue'!DG8*Assumptions!$C$23*'1.Revenue'!DG15)+('1.Revenue'!DG8*Assumptions!$C$24*'1.Revenue'!DG17)+('1.Revenue'!DG8*Assumptions!$C$25*'1.Revenue'!DG14)+('1.Revenue'!DG8*Assumptions!$C$26*'1.Revenue'!DG16)+('1.Revenue'!DG8*Assumptions!$C$27*'1.Revenue'!DG18)</f>
        <v>14379199.237546025</v>
      </c>
      <c r="DH27" s="742">
        <f>(DH8*Assumptions!$C$22*'1.Revenue'!DH13)+('1.Revenue'!DH8*Assumptions!$C$23*'1.Revenue'!DH15)+('1.Revenue'!DH8*Assumptions!$C$24*'1.Revenue'!DH17)+('1.Revenue'!DH8*Assumptions!$C$25*'1.Revenue'!DH14)+('1.Revenue'!DH8*Assumptions!$C$26*'1.Revenue'!DH16)+('1.Revenue'!DH8*Assumptions!$C$27*'1.Revenue'!DH18)</f>
        <v>14379199.237546025</v>
      </c>
      <c r="DI27" s="743">
        <f>(DI8*Assumptions!$C$22*'1.Revenue'!DI13)+('1.Revenue'!DI8*Assumptions!$C$23*'1.Revenue'!DI15)+('1.Revenue'!DI8*Assumptions!$C$24*'1.Revenue'!DI17)+('1.Revenue'!DI8*Assumptions!$C$25*'1.Revenue'!DI14)+('1.Revenue'!DI8*Assumptions!$C$26*'1.Revenue'!DI16)+('1.Revenue'!DI8*Assumptions!$C$27*'1.Revenue'!DI18)</f>
        <v>6114035.5158045702</v>
      </c>
      <c r="DJ27" s="742">
        <f>(DJ8*Assumptions!$C$22*'1.Revenue'!DJ13)+('1.Revenue'!DJ8*Assumptions!$C$23*'1.Revenue'!DJ15)+('1.Revenue'!DJ8*Assumptions!$C$24*'1.Revenue'!DJ17)+('1.Revenue'!DJ8*Assumptions!$C$25*'1.Revenue'!DJ14)+('1.Revenue'!DJ8*Assumptions!$C$26*'1.Revenue'!DJ16)+('1.Revenue'!DJ8*Assumptions!$C$27*'1.Revenue'!DJ18)</f>
        <v>6114035.5158045702</v>
      </c>
      <c r="DK27" s="742">
        <f>(DK8*Assumptions!$C$22*'1.Revenue'!DK13)+('1.Revenue'!DK8*Assumptions!$C$23*'1.Revenue'!DK15)+('1.Revenue'!DK8*Assumptions!$C$24*'1.Revenue'!DK17)+('1.Revenue'!DK8*Assumptions!$C$25*'1.Revenue'!DK14)+('1.Revenue'!DK8*Assumptions!$C$26*'1.Revenue'!DK16)+('1.Revenue'!DK8*Assumptions!$C$27*'1.Revenue'!DK18)</f>
        <v>9171053.2737068553</v>
      </c>
      <c r="DL27" s="742">
        <f>(DL8*Assumptions!$C$22*'1.Revenue'!DL13)+('1.Revenue'!DL8*Assumptions!$C$23*'1.Revenue'!DL15)+('1.Revenue'!DL8*Assumptions!$C$24*'1.Revenue'!DL17)+('1.Revenue'!DL8*Assumptions!$C$25*'1.Revenue'!DL14)+('1.Revenue'!DL8*Assumptions!$C$26*'1.Revenue'!DL16)+('1.Revenue'!DL8*Assumptions!$C$27*'1.Revenue'!DL18)</f>
        <v>18342106.547413711</v>
      </c>
      <c r="DM27" s="742">
        <f>(DM8*Assumptions!$C$22*'1.Revenue'!DM13)+('1.Revenue'!DM8*Assumptions!$C$23*'1.Revenue'!DM15)+('1.Revenue'!DM8*Assumptions!$C$24*'1.Revenue'!DM17)+('1.Revenue'!DM8*Assumptions!$C$25*'1.Revenue'!DM14)+('1.Revenue'!DM8*Assumptions!$C$26*'1.Revenue'!DM16)+('1.Revenue'!DM8*Assumptions!$C$27*'1.Revenue'!DM18)</f>
        <v>21399124.305315994</v>
      </c>
      <c r="DN27" s="742">
        <f>(DN8*Assumptions!$C$22*'1.Revenue'!DN13)+('1.Revenue'!DN8*Assumptions!$C$23*'1.Revenue'!DN15)+('1.Revenue'!DN8*Assumptions!$C$24*'1.Revenue'!DN17)+('1.Revenue'!DN8*Assumptions!$C$25*'1.Revenue'!DN14)+('1.Revenue'!DN8*Assumptions!$C$26*'1.Revenue'!DN16)+('1.Revenue'!DN8*Assumptions!$C$27*'1.Revenue'!DN18)</f>
        <v>9171053.2737068553</v>
      </c>
      <c r="DO27" s="742">
        <f>(DO8*Assumptions!$C$22*'1.Revenue'!DO13)+('1.Revenue'!DO8*Assumptions!$C$23*'1.Revenue'!DO15)+('1.Revenue'!DO8*Assumptions!$C$24*'1.Revenue'!DO17)+('1.Revenue'!DO8*Assumptions!$C$25*'1.Revenue'!DO14)+('1.Revenue'!DO8*Assumptions!$C$26*'1.Revenue'!DO16)+('1.Revenue'!DO8*Assumptions!$C$27*'1.Revenue'!DO18)</f>
        <v>15285088.789511425</v>
      </c>
      <c r="DP27" s="742">
        <f>(DP8*Assumptions!$C$22*'1.Revenue'!DP13)+('1.Revenue'!DP8*Assumptions!$C$23*'1.Revenue'!DP15)+('1.Revenue'!DP8*Assumptions!$C$24*'1.Revenue'!DP17)+('1.Revenue'!DP8*Assumptions!$C$25*'1.Revenue'!DP14)+('1.Revenue'!DP8*Assumptions!$C$26*'1.Revenue'!DP16)+('1.Revenue'!DP8*Assumptions!$C$27*'1.Revenue'!DP18)</f>
        <v>12228071.03160914</v>
      </c>
      <c r="DQ27" s="742">
        <f>(DQ8*Assumptions!$C$22*'1.Revenue'!DQ13)+('1.Revenue'!DQ8*Assumptions!$C$23*'1.Revenue'!DQ15)+('1.Revenue'!DQ8*Assumptions!$C$24*'1.Revenue'!DQ17)+('1.Revenue'!DQ8*Assumptions!$C$25*'1.Revenue'!DQ14)+('1.Revenue'!DQ8*Assumptions!$C$26*'1.Revenue'!DQ16)+('1.Revenue'!DQ8*Assumptions!$C$27*'1.Revenue'!DQ18)</f>
        <v>6114035.5158045702</v>
      </c>
      <c r="DR27" s="742">
        <f>(DR8*Assumptions!$C$22*'1.Revenue'!DR13)+('1.Revenue'!DR8*Assumptions!$C$23*'1.Revenue'!DR15)+('1.Revenue'!DR8*Assumptions!$C$24*'1.Revenue'!DR17)+('1.Revenue'!DR8*Assumptions!$C$25*'1.Revenue'!DR14)+('1.Revenue'!DR8*Assumptions!$C$26*'1.Revenue'!DR16)+('1.Revenue'!DR8*Assumptions!$C$27*'1.Revenue'!DR18)</f>
        <v>15285088.789511425</v>
      </c>
      <c r="DS27" s="742">
        <f>(DS8*Assumptions!$C$22*'1.Revenue'!DS13)+('1.Revenue'!DS8*Assumptions!$C$23*'1.Revenue'!DS15)+('1.Revenue'!DS8*Assumptions!$C$24*'1.Revenue'!DS17)+('1.Revenue'!DS8*Assumptions!$C$25*'1.Revenue'!DS14)+('1.Revenue'!DS8*Assumptions!$C$26*'1.Revenue'!DS16)+('1.Revenue'!DS8*Assumptions!$C$27*'1.Revenue'!DS18)</f>
        <v>15285088.789511425</v>
      </c>
      <c r="DT27" s="742">
        <f>(DT8*Assumptions!$C$22*'1.Revenue'!DT13)+('1.Revenue'!DT8*Assumptions!$C$23*'1.Revenue'!DT15)+('1.Revenue'!DT8*Assumptions!$C$24*'1.Revenue'!DT17)+('1.Revenue'!DT8*Assumptions!$C$25*'1.Revenue'!DT14)+('1.Revenue'!DT8*Assumptions!$C$26*'1.Revenue'!DT16)+('1.Revenue'!DT8*Assumptions!$C$27*'1.Revenue'!DT18)</f>
        <v>15285088.789511425</v>
      </c>
    </row>
    <row r="28" spans="1:124" ht="15" x14ac:dyDescent="0.25">
      <c r="B28" s="250" t="s">
        <v>307</v>
      </c>
      <c r="C28" s="188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532"/>
      <c r="Q28" s="743"/>
      <c r="R28" s="742"/>
      <c r="S28" s="742"/>
      <c r="T28" s="742"/>
      <c r="U28" s="742"/>
      <c r="V28" s="742"/>
      <c r="W28" s="742"/>
      <c r="X28" s="742"/>
      <c r="Y28" s="742"/>
      <c r="Z28" s="742"/>
      <c r="AA28" s="742"/>
      <c r="AB28" s="742"/>
      <c r="AC28" s="743"/>
      <c r="AD28" s="742"/>
      <c r="AE28" s="742"/>
      <c r="AF28" s="742"/>
      <c r="AG28" s="742"/>
      <c r="AH28" s="742"/>
      <c r="AI28" s="742"/>
      <c r="AJ28" s="742"/>
      <c r="AK28" s="742"/>
      <c r="AL28" s="742"/>
      <c r="AM28" s="742"/>
      <c r="AN28" s="742"/>
      <c r="AO28" s="1318"/>
      <c r="AP28" s="742">
        <f>(AP9*Assumptions!$C$22*'1.Revenue'!AP19)+('1.Revenue'!AP9*Assumptions!$C$23*'1.Revenue'!AP21)+('1.Revenue'!AP9*Assumptions!$C$24*'1.Revenue'!AP23)+('1.Revenue'!AP9*Assumptions!$C$25*'1.Revenue'!AP20)+('1.Revenue'!AP9*Assumptions!$C$26*'1.Revenue'!AP22)+('1.Revenue'!AP9*Assumptions!$C$27*'1.Revenue'!AP24)</f>
        <v>2118841.0309079993</v>
      </c>
      <c r="AQ28" s="742">
        <f>(AQ9*Assumptions!$C$22*'1.Revenue'!AQ19)+('1.Revenue'!AQ9*Assumptions!$C$23*'1.Revenue'!AQ21)+('1.Revenue'!AQ9*Assumptions!$C$24*'1.Revenue'!AQ23)+('1.Revenue'!AQ9*Assumptions!$C$25*'1.Revenue'!AQ20)+('1.Revenue'!AQ9*Assumptions!$C$26*'1.Revenue'!AQ22)+('1.Revenue'!AQ9*Assumptions!$C$27*'1.Revenue'!AQ24)</f>
        <v>4237682.0618159985</v>
      </c>
      <c r="AR28" s="742">
        <f>(AR9*Assumptions!$C$22*'1.Revenue'!AR19)+('1.Revenue'!AR9*Assumptions!$C$23*'1.Revenue'!AR21)+('1.Revenue'!AR9*Assumptions!$C$24*'1.Revenue'!AR23)+('1.Revenue'!AR9*Assumptions!$C$25*'1.Revenue'!AR20)+('1.Revenue'!AR9*Assumptions!$C$26*'1.Revenue'!AR22)+('1.Revenue'!AR9*Assumptions!$C$27*'1.Revenue'!AR24)</f>
        <v>8475364.123631997</v>
      </c>
      <c r="AS28" s="742">
        <f>(AS9*Assumptions!$C$22*'1.Revenue'!AS19)+('1.Revenue'!AS9*Assumptions!$C$23*'1.Revenue'!AS21)+('1.Revenue'!AS9*Assumptions!$C$24*'1.Revenue'!AS23)+('1.Revenue'!AS9*Assumptions!$C$25*'1.Revenue'!AS20)+('1.Revenue'!AS9*Assumptions!$C$26*'1.Revenue'!AS22)+('1.Revenue'!AS9*Assumptions!$C$27*'1.Revenue'!AS24)</f>
        <v>10594205.154539997</v>
      </c>
      <c r="AT28" s="742">
        <f>(AT9*Assumptions!$C$22*'1.Revenue'!AT19)+('1.Revenue'!AT9*Assumptions!$C$23*'1.Revenue'!AT21)+('1.Revenue'!AT9*Assumptions!$C$24*'1.Revenue'!AT23)+('1.Revenue'!AT9*Assumptions!$C$25*'1.Revenue'!AT20)+('1.Revenue'!AT9*Assumptions!$C$26*'1.Revenue'!AT22)+('1.Revenue'!AT9*Assumptions!$C$27*'1.Revenue'!AT24)</f>
        <v>4237682.0618159985</v>
      </c>
      <c r="AU28" s="742">
        <f>(AU9*Assumptions!$C$22*'1.Revenue'!AU19)+('1.Revenue'!AU9*Assumptions!$C$23*'1.Revenue'!AU21)+('1.Revenue'!AU9*Assumptions!$C$24*'1.Revenue'!AU23)+('1.Revenue'!AU9*Assumptions!$C$25*'1.Revenue'!AU20)+('1.Revenue'!AU9*Assumptions!$C$26*'1.Revenue'!AU22)+('1.Revenue'!AU9*Assumptions!$C$27*'1.Revenue'!AU24)</f>
        <v>4237682.0618159985</v>
      </c>
      <c r="AV28" s="742">
        <f>(AV9*Assumptions!$C$22*'1.Revenue'!AV19)+('1.Revenue'!AV9*Assumptions!$C$23*'1.Revenue'!AV21)+('1.Revenue'!AV9*Assumptions!$C$24*'1.Revenue'!AV23)+('1.Revenue'!AV9*Assumptions!$C$25*'1.Revenue'!AV20)+('1.Revenue'!AV9*Assumptions!$C$26*'1.Revenue'!AV22)+('1.Revenue'!AV9*Assumptions!$C$27*'1.Revenue'!AV24)</f>
        <v>8475364.123631997</v>
      </c>
      <c r="AW28" s="742">
        <f>(AW9*Assumptions!$C$22*'1.Revenue'!AW19)+('1.Revenue'!AW9*Assumptions!$C$23*'1.Revenue'!AW21)+('1.Revenue'!AW9*Assumptions!$C$24*'1.Revenue'!AW23)+('1.Revenue'!AW9*Assumptions!$C$25*'1.Revenue'!AW20)+('1.Revenue'!AW9*Assumptions!$C$26*'1.Revenue'!AW22)+('1.Revenue'!AW9*Assumptions!$C$27*'1.Revenue'!AW24)</f>
        <v>2118841.0309079993</v>
      </c>
      <c r="AX28" s="742">
        <f>(AX9*Assumptions!$C$22*'1.Revenue'!AX19)+('1.Revenue'!AX9*Assumptions!$C$23*'1.Revenue'!AX21)+('1.Revenue'!AX9*Assumptions!$C$24*'1.Revenue'!AX23)+('1.Revenue'!AX9*Assumptions!$C$25*'1.Revenue'!AX20)+('1.Revenue'!AX9*Assumptions!$C$26*'1.Revenue'!AX22)+('1.Revenue'!AX9*Assumptions!$C$27*'1.Revenue'!AX24)</f>
        <v>6356523.0927239982</v>
      </c>
      <c r="AY28" s="742">
        <f>(AY9*Assumptions!$C$22*'1.Revenue'!AY19)+('1.Revenue'!AY9*Assumptions!$C$23*'1.Revenue'!AY21)+('1.Revenue'!AY9*Assumptions!$C$24*'1.Revenue'!AY23)+('1.Revenue'!AY9*Assumptions!$C$25*'1.Revenue'!AY20)+('1.Revenue'!AY9*Assumptions!$C$26*'1.Revenue'!AY22)+('1.Revenue'!AY9*Assumptions!$C$27*'1.Revenue'!AY24)</f>
        <v>6356523.0927239982</v>
      </c>
      <c r="AZ28" s="742">
        <f>(AZ9*Assumptions!$C$22*'1.Revenue'!AZ19)+('1.Revenue'!AZ9*Assumptions!$C$23*'1.Revenue'!AZ21)+('1.Revenue'!AZ9*Assumptions!$C$24*'1.Revenue'!AZ23)+('1.Revenue'!AZ9*Assumptions!$C$25*'1.Revenue'!AZ20)+('1.Revenue'!AZ9*Assumptions!$C$26*'1.Revenue'!AZ22)+('1.Revenue'!AZ9*Assumptions!$C$27*'1.Revenue'!AZ24)</f>
        <v>8475364.123631997</v>
      </c>
      <c r="BA28" s="743">
        <f>(BA9*Assumptions!$C$22*'1.Revenue'!BA19)+('1.Revenue'!BA9*Assumptions!$C$23*'1.Revenue'!BA21)+('1.Revenue'!BA9*Assumptions!$C$24*'1.Revenue'!BA23)+('1.Revenue'!BA9*Assumptions!$C$25*'1.Revenue'!BA20)+('1.Revenue'!BA9*Assumptions!$C$26*'1.Revenue'!BA22)+('1.Revenue'!BA9*Assumptions!$C$27*'1.Revenue'!BA24)</f>
        <v>2252328.0158552034</v>
      </c>
      <c r="BB28" s="742">
        <f>(BB9*Assumptions!$C$22*'1.Revenue'!BB19)+('1.Revenue'!BB9*Assumptions!$C$23*'1.Revenue'!BB21)+('1.Revenue'!BB9*Assumptions!$C$24*'1.Revenue'!BB23)+('1.Revenue'!BB9*Assumptions!$C$25*'1.Revenue'!BB20)+('1.Revenue'!BB9*Assumptions!$C$26*'1.Revenue'!BB22)+('1.Revenue'!BB9*Assumptions!$C$27*'1.Revenue'!BB24)</f>
        <v>4504656.0317104068</v>
      </c>
      <c r="BC28" s="742">
        <f>(BC9*Assumptions!$C$22*'1.Revenue'!BC19)+('1.Revenue'!BC9*Assumptions!$C$23*'1.Revenue'!BC21)+('1.Revenue'!BC9*Assumptions!$C$24*'1.Revenue'!BC23)+('1.Revenue'!BC9*Assumptions!$C$25*'1.Revenue'!BC20)+('1.Revenue'!BC9*Assumptions!$C$26*'1.Revenue'!BC22)+('1.Revenue'!BC9*Assumptions!$C$27*'1.Revenue'!BC24)</f>
        <v>2252328.0158552034</v>
      </c>
      <c r="BD28" s="742">
        <f>(BD9*Assumptions!$C$22*'1.Revenue'!BD19)+('1.Revenue'!BD9*Assumptions!$C$23*'1.Revenue'!BD21)+('1.Revenue'!BD9*Assumptions!$C$24*'1.Revenue'!BD23)+('1.Revenue'!BD9*Assumptions!$C$25*'1.Revenue'!BD20)+('1.Revenue'!BD9*Assumptions!$C$26*'1.Revenue'!BD22)+('1.Revenue'!BD9*Assumptions!$C$27*'1.Revenue'!BD24)</f>
        <v>9009312.0634208135</v>
      </c>
      <c r="BE28" s="742">
        <f>(BE9*Assumptions!$C$22*'1.Revenue'!BE19)+('1.Revenue'!BE9*Assumptions!$C$23*'1.Revenue'!BE21)+('1.Revenue'!BE9*Assumptions!$C$24*'1.Revenue'!BE23)+('1.Revenue'!BE9*Assumptions!$C$25*'1.Revenue'!BE20)+('1.Revenue'!BE9*Assumptions!$C$26*'1.Revenue'!BE22)+('1.Revenue'!BE9*Assumptions!$C$27*'1.Revenue'!BE24)</f>
        <v>11261640.079276016</v>
      </c>
      <c r="BF28" s="742">
        <f>(BF9*Assumptions!$C$22*'1.Revenue'!BF19)+('1.Revenue'!BF9*Assumptions!$C$23*'1.Revenue'!BF21)+('1.Revenue'!BF9*Assumptions!$C$24*'1.Revenue'!BF23)+('1.Revenue'!BF9*Assumptions!$C$25*'1.Revenue'!BF20)+('1.Revenue'!BF9*Assumptions!$C$26*'1.Revenue'!BF22)+('1.Revenue'!BF9*Assumptions!$C$27*'1.Revenue'!BF24)</f>
        <v>4504656.0317104068</v>
      </c>
      <c r="BG28" s="742">
        <f>(BG9*Assumptions!$C$22*'1.Revenue'!BG19)+('1.Revenue'!BG9*Assumptions!$C$23*'1.Revenue'!BG21)+('1.Revenue'!BG9*Assumptions!$C$24*'1.Revenue'!BG23)+('1.Revenue'!BG9*Assumptions!$C$25*'1.Revenue'!BG20)+('1.Revenue'!BG9*Assumptions!$C$26*'1.Revenue'!BG22)+('1.Revenue'!BG9*Assumptions!$C$27*'1.Revenue'!BG24)</f>
        <v>6756984.0475656092</v>
      </c>
      <c r="BH28" s="742">
        <f>(BH9*Assumptions!$C$22*'1.Revenue'!BH19)+('1.Revenue'!BH9*Assumptions!$C$23*'1.Revenue'!BH21)+('1.Revenue'!BH9*Assumptions!$C$24*'1.Revenue'!BH23)+('1.Revenue'!BH9*Assumptions!$C$25*'1.Revenue'!BH20)+('1.Revenue'!BH9*Assumptions!$C$26*'1.Revenue'!BH22)+('1.Revenue'!BH9*Assumptions!$C$27*'1.Revenue'!BH24)</f>
        <v>6756984.0475656092</v>
      </c>
      <c r="BI28" s="742">
        <f>(BI9*Assumptions!$C$22*'1.Revenue'!BI19)+('1.Revenue'!BI9*Assumptions!$C$23*'1.Revenue'!BI21)+('1.Revenue'!BI9*Assumptions!$C$24*'1.Revenue'!BI23)+('1.Revenue'!BI9*Assumptions!$C$25*'1.Revenue'!BI20)+('1.Revenue'!BI9*Assumptions!$C$26*'1.Revenue'!BI22)+('1.Revenue'!BI9*Assumptions!$C$27*'1.Revenue'!BI24)</f>
        <v>4504656.0317104068</v>
      </c>
      <c r="BJ28" s="742">
        <f>(BJ9*Assumptions!$C$22*'1.Revenue'!BJ19)+('1.Revenue'!BJ9*Assumptions!$C$23*'1.Revenue'!BJ21)+('1.Revenue'!BJ9*Assumptions!$C$24*'1.Revenue'!BJ23)+('1.Revenue'!BJ9*Assumptions!$C$25*'1.Revenue'!BJ20)+('1.Revenue'!BJ9*Assumptions!$C$26*'1.Revenue'!BJ22)+('1.Revenue'!BJ9*Assumptions!$C$27*'1.Revenue'!BJ24)</f>
        <v>6756984.0475656092</v>
      </c>
      <c r="BK28" s="742">
        <f>(BK9*Assumptions!$C$22*'1.Revenue'!BK19)+('1.Revenue'!BK9*Assumptions!$C$23*'1.Revenue'!BK21)+('1.Revenue'!BK9*Assumptions!$C$24*'1.Revenue'!BK23)+('1.Revenue'!BK9*Assumptions!$C$25*'1.Revenue'!BK20)+('1.Revenue'!BK9*Assumptions!$C$26*'1.Revenue'!BK22)+('1.Revenue'!BK9*Assumptions!$C$27*'1.Revenue'!BK24)</f>
        <v>6756984.0475656092</v>
      </c>
      <c r="BL28" s="742">
        <f>(BL9*Assumptions!$C$22*'1.Revenue'!BL19)+('1.Revenue'!BL9*Assumptions!$C$23*'1.Revenue'!BL21)+('1.Revenue'!BL9*Assumptions!$C$24*'1.Revenue'!BL23)+('1.Revenue'!BL9*Assumptions!$C$25*'1.Revenue'!BL20)+('1.Revenue'!BL9*Assumptions!$C$26*'1.Revenue'!BL22)+('1.Revenue'!BL9*Assumptions!$C$27*'1.Revenue'!BL24)</f>
        <v>6756984.0475656092</v>
      </c>
      <c r="BM28" s="743">
        <f>(BM9*Assumptions!$C$22*'1.Revenue'!BM19)+('1.Revenue'!BM9*Assumptions!$C$23*'1.Revenue'!BM21)+('1.Revenue'!BM9*Assumptions!$C$24*'1.Revenue'!BM23)+('1.Revenue'!BM9*Assumptions!$C$25*'1.Revenue'!BM20)+('1.Revenue'!BM9*Assumptions!$C$26*'1.Revenue'!BM22)+('1.Revenue'!BM9*Assumptions!$C$27*'1.Revenue'!BM24)</f>
        <v>4788449.3617081624</v>
      </c>
      <c r="BN28" s="742">
        <f>(BN9*Assumptions!$C$22*'1.Revenue'!BN19)+('1.Revenue'!BN9*Assumptions!$C$23*'1.Revenue'!BN21)+('1.Revenue'!BN9*Assumptions!$C$24*'1.Revenue'!BN23)+('1.Revenue'!BN9*Assumptions!$C$25*'1.Revenue'!BN20)+('1.Revenue'!BN9*Assumptions!$C$26*'1.Revenue'!BN22)+('1.Revenue'!BN9*Assumptions!$C$27*'1.Revenue'!BN24)</f>
        <v>4788449.3617081624</v>
      </c>
      <c r="BO28" s="742">
        <f>(BO9*Assumptions!$C$22*'1.Revenue'!BO19)+('1.Revenue'!BO9*Assumptions!$C$23*'1.Revenue'!BO21)+('1.Revenue'!BO9*Assumptions!$C$24*'1.Revenue'!BO23)+('1.Revenue'!BO9*Assumptions!$C$25*'1.Revenue'!BO20)+('1.Revenue'!BO9*Assumptions!$C$26*'1.Revenue'!BO22)+('1.Revenue'!BO9*Assumptions!$C$27*'1.Revenue'!BO24)</f>
        <v>2394224.6808540812</v>
      </c>
      <c r="BP28" s="742">
        <f>(BP9*Assumptions!$C$22*'1.Revenue'!BP19)+('1.Revenue'!BP9*Assumptions!$C$23*'1.Revenue'!BP21)+('1.Revenue'!BP9*Assumptions!$C$24*'1.Revenue'!BP23)+('1.Revenue'!BP9*Assumptions!$C$25*'1.Revenue'!BP20)+('1.Revenue'!BP9*Assumptions!$C$26*'1.Revenue'!BP22)+('1.Revenue'!BP9*Assumptions!$C$27*'1.Revenue'!BP24)</f>
        <v>9576898.7234163247</v>
      </c>
      <c r="BQ28" s="742">
        <f>(BQ9*Assumptions!$C$22*'1.Revenue'!BQ19)+('1.Revenue'!BQ9*Assumptions!$C$23*'1.Revenue'!BQ21)+('1.Revenue'!BQ9*Assumptions!$C$24*'1.Revenue'!BQ23)+('1.Revenue'!BQ9*Assumptions!$C$25*'1.Revenue'!BQ20)+('1.Revenue'!BQ9*Assumptions!$C$26*'1.Revenue'!BQ22)+('1.Revenue'!BQ9*Assumptions!$C$27*'1.Revenue'!BQ24)</f>
        <v>11971123.404270405</v>
      </c>
      <c r="BR28" s="742">
        <f>(BR9*Assumptions!$C$22*'1.Revenue'!BR19)+('1.Revenue'!BR9*Assumptions!$C$23*'1.Revenue'!BR21)+('1.Revenue'!BR9*Assumptions!$C$24*'1.Revenue'!BR23)+('1.Revenue'!BR9*Assumptions!$C$25*'1.Revenue'!BR20)+('1.Revenue'!BR9*Assumptions!$C$26*'1.Revenue'!BR22)+('1.Revenue'!BR9*Assumptions!$C$27*'1.Revenue'!BR24)</f>
        <v>4788449.3617081624</v>
      </c>
      <c r="BS28" s="742">
        <f>(BS9*Assumptions!$C$22*'1.Revenue'!BS19)+('1.Revenue'!BS9*Assumptions!$C$23*'1.Revenue'!BS21)+('1.Revenue'!BS9*Assumptions!$C$24*'1.Revenue'!BS23)+('1.Revenue'!BS9*Assumptions!$C$25*'1.Revenue'!BS20)+('1.Revenue'!BS9*Assumptions!$C$26*'1.Revenue'!BS22)+('1.Revenue'!BS9*Assumptions!$C$27*'1.Revenue'!BS24)</f>
        <v>7182674.0425622426</v>
      </c>
      <c r="BT28" s="742">
        <f>(BT9*Assumptions!$C$22*'1.Revenue'!BT19)+('1.Revenue'!BT9*Assumptions!$C$23*'1.Revenue'!BT21)+('1.Revenue'!BT9*Assumptions!$C$24*'1.Revenue'!BT23)+('1.Revenue'!BT9*Assumptions!$C$25*'1.Revenue'!BT20)+('1.Revenue'!BT9*Assumptions!$C$26*'1.Revenue'!BT22)+('1.Revenue'!BT9*Assumptions!$C$27*'1.Revenue'!BT24)</f>
        <v>7182674.0425622426</v>
      </c>
      <c r="BU28" s="742">
        <f>(BU9*Assumptions!$C$22*'1.Revenue'!BU19)+('1.Revenue'!BU9*Assumptions!$C$23*'1.Revenue'!BU21)+('1.Revenue'!BU9*Assumptions!$C$24*'1.Revenue'!BU23)+('1.Revenue'!BU9*Assumptions!$C$25*'1.Revenue'!BU20)+('1.Revenue'!BU9*Assumptions!$C$26*'1.Revenue'!BU22)+('1.Revenue'!BU9*Assumptions!$C$27*'1.Revenue'!BU24)</f>
        <v>2394224.6808540812</v>
      </c>
      <c r="BV28" s="742">
        <f>(BV9*Assumptions!$C$22*'1.Revenue'!BV19)+('1.Revenue'!BV9*Assumptions!$C$23*'1.Revenue'!BV21)+('1.Revenue'!BV9*Assumptions!$C$24*'1.Revenue'!BV23)+('1.Revenue'!BV9*Assumptions!$C$25*'1.Revenue'!BV20)+('1.Revenue'!BV9*Assumptions!$C$26*'1.Revenue'!BV22)+('1.Revenue'!BV9*Assumptions!$C$27*'1.Revenue'!BV24)</f>
        <v>7182674.0425622426</v>
      </c>
      <c r="BW28" s="742">
        <f>(BW9*Assumptions!$C$22*'1.Revenue'!BW19)+('1.Revenue'!BW9*Assumptions!$C$23*'1.Revenue'!BW21)+('1.Revenue'!BW9*Assumptions!$C$24*'1.Revenue'!BW23)+('1.Revenue'!BW9*Assumptions!$C$25*'1.Revenue'!BW20)+('1.Revenue'!BW9*Assumptions!$C$26*'1.Revenue'!BW22)+('1.Revenue'!BW9*Assumptions!$C$27*'1.Revenue'!BW24)</f>
        <v>9576898.7234163247</v>
      </c>
      <c r="BX28" s="742">
        <f>(BX9*Assumptions!$C$22*'1.Revenue'!BX19)+('1.Revenue'!BX9*Assumptions!$C$23*'1.Revenue'!BX21)+('1.Revenue'!BX9*Assumptions!$C$24*'1.Revenue'!BX23)+('1.Revenue'!BX9*Assumptions!$C$25*'1.Revenue'!BX20)+('1.Revenue'!BX9*Assumptions!$C$26*'1.Revenue'!BX22)+('1.Revenue'!BX9*Assumptions!$C$27*'1.Revenue'!BX24)</f>
        <v>7182674.0425622426</v>
      </c>
      <c r="BY28" s="743">
        <f>(BY9*Assumptions!$C$22*'1.Revenue'!BY19)+('1.Revenue'!BY9*Assumptions!$C$23*'1.Revenue'!BY21)+('1.Revenue'!BY9*Assumptions!$C$24*'1.Revenue'!BY23)+('1.Revenue'!BY9*Assumptions!$C$25*'1.Revenue'!BY20)+('1.Revenue'!BY9*Assumptions!$C$26*'1.Revenue'!BY22)+('1.Revenue'!BY9*Assumptions!$C$27*'1.Revenue'!BY24)</f>
        <v>5090121.6714957757</v>
      </c>
      <c r="BZ28" s="742">
        <f>(BZ9*Assumptions!$C$22*'1.Revenue'!BZ19)+('1.Revenue'!BZ9*Assumptions!$C$23*'1.Revenue'!BZ21)+('1.Revenue'!BZ9*Assumptions!$C$24*'1.Revenue'!BZ23)+('1.Revenue'!BZ9*Assumptions!$C$25*'1.Revenue'!BZ20)+('1.Revenue'!BZ9*Assumptions!$C$26*'1.Revenue'!BZ22)+('1.Revenue'!BZ9*Assumptions!$C$27*'1.Revenue'!BZ24)</f>
        <v>2545060.8357478878</v>
      </c>
      <c r="CA28" s="742">
        <f>(CA9*Assumptions!$C$22*'1.Revenue'!CA19)+('1.Revenue'!CA9*Assumptions!$C$23*'1.Revenue'!CA21)+('1.Revenue'!CA9*Assumptions!$C$24*'1.Revenue'!CA23)+('1.Revenue'!CA9*Assumptions!$C$25*'1.Revenue'!CA20)+('1.Revenue'!CA9*Assumptions!$C$26*'1.Revenue'!CA22)+('1.Revenue'!CA9*Assumptions!$C$27*'1.Revenue'!CA24)</f>
        <v>5090121.6714957757</v>
      </c>
      <c r="CB28" s="742">
        <f>(CB9*Assumptions!$C$22*'1.Revenue'!CB19)+('1.Revenue'!CB9*Assumptions!$C$23*'1.Revenue'!CB21)+('1.Revenue'!CB9*Assumptions!$C$24*'1.Revenue'!CB23)+('1.Revenue'!CB9*Assumptions!$C$25*'1.Revenue'!CB20)+('1.Revenue'!CB9*Assumptions!$C$26*'1.Revenue'!CB22)+('1.Revenue'!CB9*Assumptions!$C$27*'1.Revenue'!CB24)</f>
        <v>10180243.342991551</v>
      </c>
      <c r="CC28" s="742">
        <f>(CC9*Assumptions!$C$22*'1.Revenue'!CC19)+('1.Revenue'!CC9*Assumptions!$C$23*'1.Revenue'!CC21)+('1.Revenue'!CC9*Assumptions!$C$24*'1.Revenue'!CC23)+('1.Revenue'!CC9*Assumptions!$C$25*'1.Revenue'!CC20)+('1.Revenue'!CC9*Assumptions!$C$26*'1.Revenue'!CC22)+('1.Revenue'!CC9*Assumptions!$C$27*'1.Revenue'!CC24)</f>
        <v>12725304.17873944</v>
      </c>
      <c r="CD28" s="742">
        <f>(CD9*Assumptions!$C$22*'1.Revenue'!CD19)+('1.Revenue'!CD9*Assumptions!$C$23*'1.Revenue'!CD21)+('1.Revenue'!CD9*Assumptions!$C$24*'1.Revenue'!CD23)+('1.Revenue'!CD9*Assumptions!$C$25*'1.Revenue'!CD20)+('1.Revenue'!CD9*Assumptions!$C$26*'1.Revenue'!CD22)+('1.Revenue'!CD9*Assumptions!$C$27*'1.Revenue'!CD24)</f>
        <v>5090121.6714957757</v>
      </c>
      <c r="CE28" s="742">
        <f>(CE9*Assumptions!$C$22*'1.Revenue'!CE19)+('1.Revenue'!CE9*Assumptions!$C$23*'1.Revenue'!CE21)+('1.Revenue'!CE9*Assumptions!$C$24*'1.Revenue'!CE23)+('1.Revenue'!CE9*Assumptions!$C$25*'1.Revenue'!CE20)+('1.Revenue'!CE9*Assumptions!$C$26*'1.Revenue'!CE22)+('1.Revenue'!CE9*Assumptions!$C$27*'1.Revenue'!CE24)</f>
        <v>7635182.507243664</v>
      </c>
      <c r="CF28" s="742">
        <f>(CF9*Assumptions!$C$22*'1.Revenue'!CF19)+('1.Revenue'!CF9*Assumptions!$C$23*'1.Revenue'!CF21)+('1.Revenue'!CF9*Assumptions!$C$24*'1.Revenue'!CF23)+('1.Revenue'!CF9*Assumptions!$C$25*'1.Revenue'!CF20)+('1.Revenue'!CF9*Assumptions!$C$26*'1.Revenue'!CF22)+('1.Revenue'!CF9*Assumptions!$C$27*'1.Revenue'!CF24)</f>
        <v>7635182.507243664</v>
      </c>
      <c r="CG28" s="742">
        <f>(CG9*Assumptions!$C$22*'1.Revenue'!CG19)+('1.Revenue'!CG9*Assumptions!$C$23*'1.Revenue'!CG21)+('1.Revenue'!CG9*Assumptions!$C$24*'1.Revenue'!CG23)+('1.Revenue'!CG9*Assumptions!$C$25*'1.Revenue'!CG20)+('1.Revenue'!CG9*Assumptions!$C$26*'1.Revenue'!CG22)+('1.Revenue'!CG9*Assumptions!$C$27*'1.Revenue'!CG24)</f>
        <v>2545060.8357478878</v>
      </c>
      <c r="CH28" s="742">
        <f>(CH9*Assumptions!$C$22*'1.Revenue'!CH19)+('1.Revenue'!CH9*Assumptions!$C$23*'1.Revenue'!CH21)+('1.Revenue'!CH9*Assumptions!$C$24*'1.Revenue'!CH23)+('1.Revenue'!CH9*Assumptions!$C$25*'1.Revenue'!CH20)+('1.Revenue'!CH9*Assumptions!$C$26*'1.Revenue'!CH22)+('1.Revenue'!CH9*Assumptions!$C$27*'1.Revenue'!CH24)</f>
        <v>7635182.507243664</v>
      </c>
      <c r="CI28" s="742">
        <f>(CI9*Assumptions!$C$22*'1.Revenue'!CI19)+('1.Revenue'!CI9*Assumptions!$C$23*'1.Revenue'!CI21)+('1.Revenue'!CI9*Assumptions!$C$24*'1.Revenue'!CI23)+('1.Revenue'!CI9*Assumptions!$C$25*'1.Revenue'!CI20)+('1.Revenue'!CI9*Assumptions!$C$26*'1.Revenue'!CI22)+('1.Revenue'!CI9*Assumptions!$C$27*'1.Revenue'!CI24)</f>
        <v>7635182.507243664</v>
      </c>
      <c r="CJ28" s="742">
        <f>(CJ9*Assumptions!$C$22*'1.Revenue'!CJ19)+('1.Revenue'!CJ9*Assumptions!$C$23*'1.Revenue'!CJ21)+('1.Revenue'!CJ9*Assumptions!$C$24*'1.Revenue'!CJ23)+('1.Revenue'!CJ9*Assumptions!$C$25*'1.Revenue'!CJ20)+('1.Revenue'!CJ9*Assumptions!$C$26*'1.Revenue'!CJ22)+('1.Revenue'!CJ9*Assumptions!$C$27*'1.Revenue'!CJ24)</f>
        <v>10180243.342991551</v>
      </c>
      <c r="CK28" s="743">
        <f>(CK9*Assumptions!$C$22*'1.Revenue'!CK19)+('1.Revenue'!CK9*Assumptions!$C$23*'1.Revenue'!CK21)+('1.Revenue'!CK9*Assumptions!$C$24*'1.Revenue'!CK23)+('1.Revenue'!CK9*Assumptions!$C$25*'1.Revenue'!CK20)+('1.Revenue'!CK9*Assumptions!$C$26*'1.Revenue'!CK22)+('1.Revenue'!CK9*Assumptions!$C$27*'1.Revenue'!CK24)</f>
        <v>2545060.8357478878</v>
      </c>
      <c r="CL28" s="742">
        <f>(CL9*Assumptions!$C$22*'1.Revenue'!CL19)+('1.Revenue'!CL9*Assumptions!$C$23*'1.Revenue'!CL21)+('1.Revenue'!CL9*Assumptions!$C$24*'1.Revenue'!CL23)+('1.Revenue'!CL9*Assumptions!$C$25*'1.Revenue'!CL20)+('1.Revenue'!CL9*Assumptions!$C$26*'1.Revenue'!CL22)+('1.Revenue'!CL9*Assumptions!$C$27*'1.Revenue'!CL24)</f>
        <v>5090121.6714957757</v>
      </c>
      <c r="CM28" s="742">
        <f>(CM9*Assumptions!$C$22*'1.Revenue'!CM19)+('1.Revenue'!CM9*Assumptions!$C$23*'1.Revenue'!CM21)+('1.Revenue'!CM9*Assumptions!$C$24*'1.Revenue'!CM23)+('1.Revenue'!CM9*Assumptions!$C$25*'1.Revenue'!CM20)+('1.Revenue'!CM9*Assumptions!$C$26*'1.Revenue'!CM22)+('1.Revenue'!CM9*Assumptions!$C$27*'1.Revenue'!CM24)</f>
        <v>2545060.8357478878</v>
      </c>
      <c r="CN28" s="742">
        <f>(CN9*Assumptions!$C$22*'1.Revenue'!CN19)+('1.Revenue'!CN9*Assumptions!$C$23*'1.Revenue'!CN21)+('1.Revenue'!CN9*Assumptions!$C$24*'1.Revenue'!CN23)+('1.Revenue'!CN9*Assumptions!$C$25*'1.Revenue'!CN20)+('1.Revenue'!CN9*Assumptions!$C$26*'1.Revenue'!CN22)+('1.Revenue'!CN9*Assumptions!$C$27*'1.Revenue'!CN24)</f>
        <v>12725304.17873944</v>
      </c>
      <c r="CO28" s="742">
        <f>(CO9*Assumptions!$C$22*'1.Revenue'!CO19)+('1.Revenue'!CO9*Assumptions!$C$23*'1.Revenue'!CO21)+('1.Revenue'!CO9*Assumptions!$C$24*'1.Revenue'!CO23)+('1.Revenue'!CO9*Assumptions!$C$25*'1.Revenue'!CO20)+('1.Revenue'!CO9*Assumptions!$C$26*'1.Revenue'!CO22)+('1.Revenue'!CO9*Assumptions!$C$27*'1.Revenue'!CO24)</f>
        <v>12725304.17873944</v>
      </c>
      <c r="CP28" s="742">
        <f>(CP9*Assumptions!$C$22*'1.Revenue'!CP19)+('1.Revenue'!CP9*Assumptions!$C$23*'1.Revenue'!CP21)+('1.Revenue'!CP9*Assumptions!$C$24*'1.Revenue'!CP23)+('1.Revenue'!CP9*Assumptions!$C$25*'1.Revenue'!CP20)+('1.Revenue'!CP9*Assumptions!$C$26*'1.Revenue'!CP22)+('1.Revenue'!CP9*Assumptions!$C$27*'1.Revenue'!CP24)</f>
        <v>5090121.6714957757</v>
      </c>
      <c r="CQ28" s="742">
        <f>(CQ9*Assumptions!$C$22*'1.Revenue'!CQ19)+('1.Revenue'!CQ9*Assumptions!$C$23*'1.Revenue'!CQ21)+('1.Revenue'!CQ9*Assumptions!$C$24*'1.Revenue'!CQ23)+('1.Revenue'!CQ9*Assumptions!$C$25*'1.Revenue'!CQ20)+('1.Revenue'!CQ9*Assumptions!$C$26*'1.Revenue'!CQ22)+('1.Revenue'!CQ9*Assumptions!$C$27*'1.Revenue'!CQ24)</f>
        <v>5090121.6714957757</v>
      </c>
      <c r="CR28" s="742">
        <f>(CR9*Assumptions!$C$22*'1.Revenue'!CR19)+('1.Revenue'!CR9*Assumptions!$C$23*'1.Revenue'!CR21)+('1.Revenue'!CR9*Assumptions!$C$24*'1.Revenue'!CR23)+('1.Revenue'!CR9*Assumptions!$C$25*'1.Revenue'!CR20)+('1.Revenue'!CR9*Assumptions!$C$26*'1.Revenue'!CR22)+('1.Revenue'!CR9*Assumptions!$C$27*'1.Revenue'!CR24)</f>
        <v>10180243.342991551</v>
      </c>
      <c r="CS28" s="742">
        <f>(CS9*Assumptions!$C$22*'1.Revenue'!CS19)+('1.Revenue'!CS9*Assumptions!$C$23*'1.Revenue'!CS21)+('1.Revenue'!CS9*Assumptions!$C$24*'1.Revenue'!CS23)+('1.Revenue'!CS9*Assumptions!$C$25*'1.Revenue'!CS20)+('1.Revenue'!CS9*Assumptions!$C$26*'1.Revenue'!CS22)+('1.Revenue'!CS9*Assumptions!$C$27*'1.Revenue'!CS24)</f>
        <v>2545060.8357478878</v>
      </c>
      <c r="CT28" s="742">
        <f>(CT9*Assumptions!$C$22*'1.Revenue'!CT19)+('1.Revenue'!CT9*Assumptions!$C$23*'1.Revenue'!CT21)+('1.Revenue'!CT9*Assumptions!$C$24*'1.Revenue'!CT23)+('1.Revenue'!CT9*Assumptions!$C$25*'1.Revenue'!CT20)+('1.Revenue'!CT9*Assumptions!$C$26*'1.Revenue'!CT22)+('1.Revenue'!CT9*Assumptions!$C$27*'1.Revenue'!CT24)</f>
        <v>7635182.507243664</v>
      </c>
      <c r="CU28" s="742">
        <f>(CU9*Assumptions!$C$22*'1.Revenue'!CU19)+('1.Revenue'!CU9*Assumptions!$C$23*'1.Revenue'!CU21)+('1.Revenue'!CU9*Assumptions!$C$24*'1.Revenue'!CU23)+('1.Revenue'!CU9*Assumptions!$C$25*'1.Revenue'!CU20)+('1.Revenue'!CU9*Assumptions!$C$26*'1.Revenue'!CU22)+('1.Revenue'!CU9*Assumptions!$C$27*'1.Revenue'!CU24)</f>
        <v>7635182.507243664</v>
      </c>
      <c r="CV28" s="742">
        <f>(CV9*Assumptions!$C$22*'1.Revenue'!CV19)+('1.Revenue'!CV9*Assumptions!$C$23*'1.Revenue'!CV21)+('1.Revenue'!CV9*Assumptions!$C$24*'1.Revenue'!CV23)+('1.Revenue'!CV9*Assumptions!$C$25*'1.Revenue'!CV20)+('1.Revenue'!CV9*Assumptions!$C$26*'1.Revenue'!CV22)+('1.Revenue'!CV9*Assumptions!$C$27*'1.Revenue'!CV24)</f>
        <v>10180243.342991551</v>
      </c>
      <c r="CW28" s="743">
        <f>(CW9*Assumptions!$C$22*'1.Revenue'!CW19)+('1.Revenue'!CW9*Assumptions!$C$23*'1.Revenue'!CW21)+('1.Revenue'!CW9*Assumptions!$C$24*'1.Revenue'!CW23)+('1.Revenue'!CW9*Assumptions!$C$25*'1.Revenue'!CW20)+('1.Revenue'!CW9*Assumptions!$C$26*'1.Revenue'!CW22)+('1.Revenue'!CW9*Assumptions!$C$27*'1.Revenue'!CW24)</f>
        <v>2875839.8475092053</v>
      </c>
      <c r="CX28" s="742">
        <f>(CX9*Assumptions!$C$22*'1.Revenue'!CX19)+('1.Revenue'!CX9*Assumptions!$C$23*'1.Revenue'!CX21)+('1.Revenue'!CX9*Assumptions!$C$24*'1.Revenue'!CX23)+('1.Revenue'!CX9*Assumptions!$C$25*'1.Revenue'!CX20)+('1.Revenue'!CX9*Assumptions!$C$26*'1.Revenue'!CX22)+('1.Revenue'!CX9*Assumptions!$C$27*'1.Revenue'!CX24)</f>
        <v>5751679.6950184107</v>
      </c>
      <c r="CY28" s="742">
        <f>(CY9*Assumptions!$C$22*'1.Revenue'!CY19)+('1.Revenue'!CY9*Assumptions!$C$23*'1.Revenue'!CY21)+('1.Revenue'!CY9*Assumptions!$C$24*'1.Revenue'!CY23)+('1.Revenue'!CY9*Assumptions!$C$25*'1.Revenue'!CY20)+('1.Revenue'!CY9*Assumptions!$C$26*'1.Revenue'!CY22)+('1.Revenue'!CY9*Assumptions!$C$27*'1.Revenue'!CY24)</f>
        <v>2875839.8475092053</v>
      </c>
      <c r="CZ28" s="742">
        <f>(CZ9*Assumptions!$C$22*'1.Revenue'!CZ19)+('1.Revenue'!CZ9*Assumptions!$C$23*'1.Revenue'!CZ21)+('1.Revenue'!CZ9*Assumptions!$C$24*'1.Revenue'!CZ23)+('1.Revenue'!CZ9*Assumptions!$C$25*'1.Revenue'!CZ20)+('1.Revenue'!CZ9*Assumptions!$C$26*'1.Revenue'!CZ22)+('1.Revenue'!CZ9*Assumptions!$C$27*'1.Revenue'!CZ24)</f>
        <v>11503359.390036821</v>
      </c>
      <c r="DA28" s="742">
        <f>(DA9*Assumptions!$C$22*'1.Revenue'!DA19)+('1.Revenue'!DA9*Assumptions!$C$23*'1.Revenue'!DA21)+('1.Revenue'!DA9*Assumptions!$C$24*'1.Revenue'!DA23)+('1.Revenue'!DA9*Assumptions!$C$25*'1.Revenue'!DA20)+('1.Revenue'!DA9*Assumptions!$C$26*'1.Revenue'!DA22)+('1.Revenue'!DA9*Assumptions!$C$27*'1.Revenue'!DA24)</f>
        <v>14379199.237546025</v>
      </c>
      <c r="DB28" s="742">
        <f>(DB9*Assumptions!$C$22*'1.Revenue'!DB19)+('1.Revenue'!DB9*Assumptions!$C$23*'1.Revenue'!DB21)+('1.Revenue'!DB9*Assumptions!$C$24*'1.Revenue'!DB23)+('1.Revenue'!DB9*Assumptions!$C$25*'1.Revenue'!DB20)+('1.Revenue'!DB9*Assumptions!$C$26*'1.Revenue'!DB22)+('1.Revenue'!DB9*Assumptions!$C$27*'1.Revenue'!DB24)</f>
        <v>5751679.6950184107</v>
      </c>
      <c r="DC28" s="742">
        <f>(DC9*Assumptions!$C$22*'1.Revenue'!DC19)+('1.Revenue'!DC9*Assumptions!$C$23*'1.Revenue'!DC21)+('1.Revenue'!DC9*Assumptions!$C$24*'1.Revenue'!DC23)+('1.Revenue'!DC9*Assumptions!$C$25*'1.Revenue'!DC20)+('1.Revenue'!DC9*Assumptions!$C$26*'1.Revenue'!DC22)+('1.Revenue'!DC9*Assumptions!$C$27*'1.Revenue'!DC24)</f>
        <v>8627519.542527616</v>
      </c>
      <c r="DD28" s="742">
        <f>(DD9*Assumptions!$C$22*'1.Revenue'!DD19)+('1.Revenue'!DD9*Assumptions!$C$23*'1.Revenue'!DD21)+('1.Revenue'!DD9*Assumptions!$C$24*'1.Revenue'!DD23)+('1.Revenue'!DD9*Assumptions!$C$25*'1.Revenue'!DD20)+('1.Revenue'!DD9*Assumptions!$C$26*'1.Revenue'!DD22)+('1.Revenue'!DD9*Assumptions!$C$27*'1.Revenue'!DD24)</f>
        <v>8627519.542527616</v>
      </c>
      <c r="DE28" s="742">
        <f>(DE9*Assumptions!$C$22*'1.Revenue'!DE19)+('1.Revenue'!DE9*Assumptions!$C$23*'1.Revenue'!DE21)+('1.Revenue'!DE9*Assumptions!$C$24*'1.Revenue'!DE23)+('1.Revenue'!DE9*Assumptions!$C$25*'1.Revenue'!DE20)+('1.Revenue'!DE9*Assumptions!$C$26*'1.Revenue'!DE22)+('1.Revenue'!DE9*Assumptions!$C$27*'1.Revenue'!DE24)</f>
        <v>5751679.6950184107</v>
      </c>
      <c r="DF28" s="742">
        <f>(DF9*Assumptions!$C$22*'1.Revenue'!DF19)+('1.Revenue'!DF9*Assumptions!$C$23*'1.Revenue'!DF21)+('1.Revenue'!DF9*Assumptions!$C$24*'1.Revenue'!DF23)+('1.Revenue'!DF9*Assumptions!$C$25*'1.Revenue'!DF20)+('1.Revenue'!DF9*Assumptions!$C$26*'1.Revenue'!DF22)+('1.Revenue'!DF9*Assumptions!$C$27*'1.Revenue'!DF24)</f>
        <v>8627519.542527616</v>
      </c>
      <c r="DG28" s="742">
        <f>(DG9*Assumptions!$C$22*'1.Revenue'!DG19)+('1.Revenue'!DG9*Assumptions!$C$23*'1.Revenue'!DG21)+('1.Revenue'!DG9*Assumptions!$C$24*'1.Revenue'!DG23)+('1.Revenue'!DG9*Assumptions!$C$25*'1.Revenue'!DG20)+('1.Revenue'!DG9*Assumptions!$C$26*'1.Revenue'!DG22)+('1.Revenue'!DG9*Assumptions!$C$27*'1.Revenue'!DG24)</f>
        <v>8627519.542527616</v>
      </c>
      <c r="DH28" s="742">
        <f>(DH9*Assumptions!$C$22*'1.Revenue'!DH19)+('1.Revenue'!DH9*Assumptions!$C$23*'1.Revenue'!DH21)+('1.Revenue'!DH9*Assumptions!$C$24*'1.Revenue'!DH23)+('1.Revenue'!DH9*Assumptions!$C$25*'1.Revenue'!DH20)+('1.Revenue'!DH9*Assumptions!$C$26*'1.Revenue'!DH22)+('1.Revenue'!DH9*Assumptions!$C$27*'1.Revenue'!DH24)</f>
        <v>8627519.542527616</v>
      </c>
      <c r="DI28" s="743">
        <f>(DI9*Assumptions!$C$22*'1.Revenue'!DI19)+('1.Revenue'!DI9*Assumptions!$C$23*'1.Revenue'!DI21)+('1.Revenue'!DI9*Assumptions!$C$24*'1.Revenue'!DI23)+('1.Revenue'!DI9*Assumptions!$C$25*'1.Revenue'!DI20)+('1.Revenue'!DI9*Assumptions!$C$26*'1.Revenue'!DI22)+('1.Revenue'!DI9*Assumptions!$C$27*'1.Revenue'!DI24)</f>
        <v>6114035.5158045702</v>
      </c>
      <c r="DJ28" s="742">
        <f>(DJ9*Assumptions!$C$22*'1.Revenue'!DJ19)+('1.Revenue'!DJ9*Assumptions!$C$23*'1.Revenue'!DJ21)+('1.Revenue'!DJ9*Assumptions!$C$24*'1.Revenue'!DJ23)+('1.Revenue'!DJ9*Assumptions!$C$25*'1.Revenue'!DJ20)+('1.Revenue'!DJ9*Assumptions!$C$26*'1.Revenue'!DJ22)+('1.Revenue'!DJ9*Assumptions!$C$27*'1.Revenue'!DJ24)</f>
        <v>3057017.7579022851</v>
      </c>
      <c r="DK28" s="742">
        <f>(DK9*Assumptions!$C$22*'1.Revenue'!DK19)+('1.Revenue'!DK9*Assumptions!$C$23*'1.Revenue'!DK21)+('1.Revenue'!DK9*Assumptions!$C$24*'1.Revenue'!DK23)+('1.Revenue'!DK9*Assumptions!$C$25*'1.Revenue'!DK20)+('1.Revenue'!DK9*Assumptions!$C$26*'1.Revenue'!DK22)+('1.Revenue'!DK9*Assumptions!$C$27*'1.Revenue'!DK24)</f>
        <v>6114035.5158045702</v>
      </c>
      <c r="DL28" s="742">
        <f>(DL9*Assumptions!$C$22*'1.Revenue'!DL19)+('1.Revenue'!DL9*Assumptions!$C$23*'1.Revenue'!DL21)+('1.Revenue'!DL9*Assumptions!$C$24*'1.Revenue'!DL23)+('1.Revenue'!DL9*Assumptions!$C$25*'1.Revenue'!DL20)+('1.Revenue'!DL9*Assumptions!$C$26*'1.Revenue'!DL22)+('1.Revenue'!DL9*Assumptions!$C$27*'1.Revenue'!DL24)</f>
        <v>12228071.03160914</v>
      </c>
      <c r="DM28" s="742">
        <f>(DM9*Assumptions!$C$22*'1.Revenue'!DM19)+('1.Revenue'!DM9*Assumptions!$C$23*'1.Revenue'!DM21)+('1.Revenue'!DM9*Assumptions!$C$24*'1.Revenue'!DM23)+('1.Revenue'!DM9*Assumptions!$C$25*'1.Revenue'!DM20)+('1.Revenue'!DM9*Assumptions!$C$26*'1.Revenue'!DM22)+('1.Revenue'!DM9*Assumptions!$C$27*'1.Revenue'!DM24)</f>
        <v>15285088.789511425</v>
      </c>
      <c r="DN28" s="742">
        <f>(DN9*Assumptions!$C$22*'1.Revenue'!DN19)+('1.Revenue'!DN9*Assumptions!$C$23*'1.Revenue'!DN21)+('1.Revenue'!DN9*Assumptions!$C$24*'1.Revenue'!DN23)+('1.Revenue'!DN9*Assumptions!$C$25*'1.Revenue'!DN20)+('1.Revenue'!DN9*Assumptions!$C$26*'1.Revenue'!DN22)+('1.Revenue'!DN9*Assumptions!$C$27*'1.Revenue'!DN24)</f>
        <v>6114035.5158045702</v>
      </c>
      <c r="DO28" s="742">
        <f>(DO9*Assumptions!$C$22*'1.Revenue'!DO19)+('1.Revenue'!DO9*Assumptions!$C$23*'1.Revenue'!DO21)+('1.Revenue'!DO9*Assumptions!$C$24*'1.Revenue'!DO23)+('1.Revenue'!DO9*Assumptions!$C$25*'1.Revenue'!DO20)+('1.Revenue'!DO9*Assumptions!$C$26*'1.Revenue'!DO22)+('1.Revenue'!DO9*Assumptions!$C$27*'1.Revenue'!DO24)</f>
        <v>9171053.2737068553</v>
      </c>
      <c r="DP28" s="742">
        <f>(DP9*Assumptions!$C$22*'1.Revenue'!DP19)+('1.Revenue'!DP9*Assumptions!$C$23*'1.Revenue'!DP21)+('1.Revenue'!DP9*Assumptions!$C$24*'1.Revenue'!DP23)+('1.Revenue'!DP9*Assumptions!$C$25*'1.Revenue'!DP20)+('1.Revenue'!DP9*Assumptions!$C$26*'1.Revenue'!DP22)+('1.Revenue'!DP9*Assumptions!$C$27*'1.Revenue'!DP24)</f>
        <v>9171053.2737068553</v>
      </c>
      <c r="DQ28" s="742">
        <f>(DQ9*Assumptions!$C$22*'1.Revenue'!DQ19)+('1.Revenue'!DQ9*Assumptions!$C$23*'1.Revenue'!DQ21)+('1.Revenue'!DQ9*Assumptions!$C$24*'1.Revenue'!DQ23)+('1.Revenue'!DQ9*Assumptions!$C$25*'1.Revenue'!DQ20)+('1.Revenue'!DQ9*Assumptions!$C$26*'1.Revenue'!DQ22)+('1.Revenue'!DQ9*Assumptions!$C$27*'1.Revenue'!DQ24)</f>
        <v>3057017.7579022851</v>
      </c>
      <c r="DR28" s="742">
        <f>(DR9*Assumptions!$C$22*'1.Revenue'!DR19)+('1.Revenue'!DR9*Assumptions!$C$23*'1.Revenue'!DR21)+('1.Revenue'!DR9*Assumptions!$C$24*'1.Revenue'!DR23)+('1.Revenue'!DR9*Assumptions!$C$25*'1.Revenue'!DR20)+('1.Revenue'!DR9*Assumptions!$C$26*'1.Revenue'!DR22)+('1.Revenue'!DR9*Assumptions!$C$27*'1.Revenue'!DR24)</f>
        <v>9171053.2737068553</v>
      </c>
      <c r="DS28" s="742">
        <f>(DS9*Assumptions!$C$22*'1.Revenue'!DS19)+('1.Revenue'!DS9*Assumptions!$C$23*'1.Revenue'!DS21)+('1.Revenue'!DS9*Assumptions!$C$24*'1.Revenue'!DS23)+('1.Revenue'!DS9*Assumptions!$C$25*'1.Revenue'!DS20)+('1.Revenue'!DS9*Assumptions!$C$26*'1.Revenue'!DS22)+('1.Revenue'!DS9*Assumptions!$C$27*'1.Revenue'!DS24)</f>
        <v>12228071.03160914</v>
      </c>
      <c r="DT28" s="742">
        <f>(DT9*Assumptions!$C$22*'1.Revenue'!DT19)+('1.Revenue'!DT9*Assumptions!$C$23*'1.Revenue'!DT21)+('1.Revenue'!DT9*Assumptions!$C$24*'1.Revenue'!DT23)+('1.Revenue'!DT9*Assumptions!$C$25*'1.Revenue'!DT20)+('1.Revenue'!DT9*Assumptions!$C$26*'1.Revenue'!DT22)+('1.Revenue'!DT9*Assumptions!$C$27*'1.Revenue'!DT24)</f>
        <v>9171053.2737068553</v>
      </c>
    </row>
    <row r="29" spans="1:124" ht="15" x14ac:dyDescent="0.25">
      <c r="B29" s="16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500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500"/>
      <c r="AC29" s="200"/>
      <c r="AD29" s="200"/>
      <c r="AE29" s="3"/>
      <c r="AF29" s="3"/>
      <c r="AG29" s="3"/>
      <c r="AH29" s="3"/>
      <c r="AI29" s="3"/>
      <c r="AJ29" s="3"/>
      <c r="AK29" s="3"/>
      <c r="AL29" s="3"/>
      <c r="AM29" s="3"/>
      <c r="AN29" s="500"/>
      <c r="AO29" s="788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500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500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500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500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500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500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500"/>
    </row>
    <row r="30" spans="1:124" ht="18.75" x14ac:dyDescent="0.3">
      <c r="B30" s="161" t="s">
        <v>135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500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500"/>
      <c r="AC30" s="200"/>
      <c r="AD30" s="200"/>
      <c r="AE30" s="3"/>
      <c r="AF30" s="3"/>
      <c r="AG30" s="3"/>
      <c r="AH30" s="3"/>
      <c r="AI30" s="3"/>
      <c r="AJ30" s="3"/>
      <c r="AK30" s="3"/>
      <c r="AL30" s="3"/>
      <c r="AM30" s="3"/>
      <c r="AN30" s="500"/>
      <c r="AO30" s="788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500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500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500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500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500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500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500"/>
    </row>
    <row r="31" spans="1:124" ht="15" x14ac:dyDescent="0.25">
      <c r="B31" s="250" t="s">
        <v>309</v>
      </c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532"/>
      <c r="Q31" s="109">
        <v>0</v>
      </c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10"/>
      <c r="AC31" s="109">
        <v>0</v>
      </c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10"/>
      <c r="AO31" s="344"/>
      <c r="AP31" s="109"/>
      <c r="AQ31" s="109">
        <f>AP27</f>
        <v>4237682.0618159985</v>
      </c>
      <c r="AR31" s="109">
        <f t="shared" ref="AR31:DC31" si="0">AQ27</f>
        <v>4237682.0618159985</v>
      </c>
      <c r="AS31" s="109">
        <f t="shared" si="0"/>
        <v>12713046.185447996</v>
      </c>
      <c r="AT31" s="109">
        <f t="shared" si="0"/>
        <v>16950728.247263994</v>
      </c>
      <c r="AU31" s="109">
        <f t="shared" si="0"/>
        <v>6356523.0927239982</v>
      </c>
      <c r="AV31" s="109">
        <f t="shared" si="0"/>
        <v>8475364.123631997</v>
      </c>
      <c r="AW31" s="109">
        <f t="shared" si="0"/>
        <v>10594205.154539997</v>
      </c>
      <c r="AX31" s="109">
        <f t="shared" si="0"/>
        <v>4237682.0618159985</v>
      </c>
      <c r="AY31" s="109">
        <f t="shared" si="0"/>
        <v>8475364.123631997</v>
      </c>
      <c r="AZ31" s="695">
        <f t="shared" si="0"/>
        <v>10594205.154539997</v>
      </c>
      <c r="BA31" s="109">
        <f t="shared" si="0"/>
        <v>10594205.154539997</v>
      </c>
      <c r="BB31" s="109">
        <f t="shared" si="0"/>
        <v>6756984.0475656092</v>
      </c>
      <c r="BC31" s="109">
        <f t="shared" si="0"/>
        <v>4504656.0317104068</v>
      </c>
      <c r="BD31" s="109">
        <f t="shared" si="0"/>
        <v>4504656.0317104068</v>
      </c>
      <c r="BE31" s="109">
        <f t="shared" si="0"/>
        <v>13513968.095131218</v>
      </c>
      <c r="BF31" s="109">
        <f t="shared" si="0"/>
        <v>18018624.126841627</v>
      </c>
      <c r="BG31" s="109">
        <f t="shared" si="0"/>
        <v>6756984.0475656092</v>
      </c>
      <c r="BH31" s="109">
        <f t="shared" si="0"/>
        <v>9009312.0634208135</v>
      </c>
      <c r="BI31" s="109">
        <f t="shared" si="0"/>
        <v>11261640.079276016</v>
      </c>
      <c r="BJ31" s="109">
        <f t="shared" si="0"/>
        <v>4504656.0317104068</v>
      </c>
      <c r="BK31" s="109">
        <f t="shared" si="0"/>
        <v>9009312.0634208135</v>
      </c>
      <c r="BL31" s="695">
        <f t="shared" si="0"/>
        <v>11261640.079276016</v>
      </c>
      <c r="BM31" s="109">
        <f t="shared" si="0"/>
        <v>11261640.079276016</v>
      </c>
      <c r="BN31" s="109">
        <f t="shared" si="0"/>
        <v>7182674.0425622426</v>
      </c>
      <c r="BO31" s="109">
        <f t="shared" si="0"/>
        <v>4788449.3617081624</v>
      </c>
      <c r="BP31" s="109">
        <f t="shared" si="0"/>
        <v>4788449.3617081624</v>
      </c>
      <c r="BQ31" s="109">
        <f t="shared" si="0"/>
        <v>14365348.085124485</v>
      </c>
      <c r="BR31" s="109">
        <f t="shared" si="0"/>
        <v>19153797.446832649</v>
      </c>
      <c r="BS31" s="109">
        <f t="shared" si="0"/>
        <v>7182674.0425622426</v>
      </c>
      <c r="BT31" s="109">
        <f t="shared" si="0"/>
        <v>9576898.7234163247</v>
      </c>
      <c r="BU31" s="109">
        <f t="shared" si="0"/>
        <v>11971123.404270405</v>
      </c>
      <c r="BV31" s="109">
        <f t="shared" si="0"/>
        <v>4788449.3617081624</v>
      </c>
      <c r="BW31" s="109">
        <f t="shared" si="0"/>
        <v>9576898.7234163247</v>
      </c>
      <c r="BX31" s="695">
        <f t="shared" si="0"/>
        <v>11971123.404270405</v>
      </c>
      <c r="BY31" s="109">
        <f t="shared" si="0"/>
        <v>14365348.085124485</v>
      </c>
      <c r="BZ31" s="109">
        <f t="shared" si="0"/>
        <v>5090121.6714957757</v>
      </c>
      <c r="CA31" s="109">
        <f t="shared" si="0"/>
        <v>5090121.6714957757</v>
      </c>
      <c r="CB31" s="109">
        <f t="shared" si="0"/>
        <v>5090121.6714957757</v>
      </c>
      <c r="CC31" s="109">
        <f t="shared" si="0"/>
        <v>17815425.850235216</v>
      </c>
      <c r="CD31" s="109">
        <f t="shared" si="0"/>
        <v>17815425.850235216</v>
      </c>
      <c r="CE31" s="109">
        <f t="shared" si="0"/>
        <v>7635182.507243664</v>
      </c>
      <c r="CF31" s="109">
        <f t="shared" si="0"/>
        <v>10180243.342991551</v>
      </c>
      <c r="CG31" s="109">
        <f t="shared" si="0"/>
        <v>12725304.17873944</v>
      </c>
      <c r="CH31" s="109">
        <f t="shared" si="0"/>
        <v>5090121.6714957757</v>
      </c>
      <c r="CI31" s="109">
        <f t="shared" si="0"/>
        <v>10180243.342991551</v>
      </c>
      <c r="CJ31" s="695">
        <f t="shared" si="0"/>
        <v>12725304.17873944</v>
      </c>
      <c r="CK31" s="109">
        <f t="shared" si="0"/>
        <v>15270365.014487328</v>
      </c>
      <c r="CL31" s="109">
        <f t="shared" si="0"/>
        <v>5250460.5041478928</v>
      </c>
      <c r="CM31" s="109">
        <f t="shared" si="0"/>
        <v>5250460.5041478928</v>
      </c>
      <c r="CN31" s="109">
        <f t="shared" si="0"/>
        <v>5250460.5041478928</v>
      </c>
      <c r="CO31" s="109">
        <f t="shared" si="0"/>
        <v>18376611.764517628</v>
      </c>
      <c r="CP31" s="109">
        <f t="shared" si="0"/>
        <v>18376611.764517628</v>
      </c>
      <c r="CQ31" s="109">
        <f t="shared" si="0"/>
        <v>7875690.7562218402</v>
      </c>
      <c r="CR31" s="109">
        <f t="shared" si="0"/>
        <v>10500921.008295786</v>
      </c>
      <c r="CS31" s="109">
        <f t="shared" si="0"/>
        <v>13126151.260369733</v>
      </c>
      <c r="CT31" s="109">
        <f t="shared" si="0"/>
        <v>5250460.5041478928</v>
      </c>
      <c r="CU31" s="109">
        <f t="shared" si="0"/>
        <v>13126151.260369733</v>
      </c>
      <c r="CV31" s="695">
        <f t="shared" si="0"/>
        <v>13126151.260369733</v>
      </c>
      <c r="CW31" s="109">
        <f t="shared" si="0"/>
        <v>13126151.260369733</v>
      </c>
      <c r="CX31" s="109">
        <f t="shared" si="0"/>
        <v>5751679.6950184107</v>
      </c>
      <c r="CY31" s="109">
        <f t="shared" si="0"/>
        <v>5751679.6950184107</v>
      </c>
      <c r="CZ31" s="109">
        <f t="shared" si="0"/>
        <v>8627519.542527616</v>
      </c>
      <c r="DA31" s="109">
        <f t="shared" si="0"/>
        <v>17255039.085055232</v>
      </c>
      <c r="DB31" s="109">
        <f t="shared" si="0"/>
        <v>20130878.932564437</v>
      </c>
      <c r="DC31" s="109">
        <f t="shared" si="0"/>
        <v>8627519.542527616</v>
      </c>
      <c r="DD31" s="109">
        <f t="shared" ref="DD31:DT31" si="1">DC27</f>
        <v>11503359.390036821</v>
      </c>
      <c r="DE31" s="109">
        <f t="shared" si="1"/>
        <v>14379199.237546025</v>
      </c>
      <c r="DF31" s="109">
        <f t="shared" si="1"/>
        <v>5751679.6950184107</v>
      </c>
      <c r="DG31" s="109">
        <f t="shared" si="1"/>
        <v>14379199.237546025</v>
      </c>
      <c r="DH31" s="695">
        <f t="shared" si="1"/>
        <v>14379199.237546025</v>
      </c>
      <c r="DI31" s="109">
        <f t="shared" si="1"/>
        <v>14379199.237546025</v>
      </c>
      <c r="DJ31" s="109">
        <f t="shared" si="1"/>
        <v>6114035.5158045702</v>
      </c>
      <c r="DK31" s="109">
        <f t="shared" si="1"/>
        <v>6114035.5158045702</v>
      </c>
      <c r="DL31" s="109">
        <f t="shared" si="1"/>
        <v>9171053.2737068553</v>
      </c>
      <c r="DM31" s="109">
        <f t="shared" si="1"/>
        <v>18342106.547413711</v>
      </c>
      <c r="DN31" s="109">
        <f t="shared" si="1"/>
        <v>21399124.305315994</v>
      </c>
      <c r="DO31" s="109">
        <f t="shared" si="1"/>
        <v>9171053.2737068553</v>
      </c>
      <c r="DP31" s="109">
        <f t="shared" si="1"/>
        <v>15285088.789511425</v>
      </c>
      <c r="DQ31" s="109">
        <f t="shared" si="1"/>
        <v>12228071.03160914</v>
      </c>
      <c r="DR31" s="109">
        <f t="shared" si="1"/>
        <v>6114035.5158045702</v>
      </c>
      <c r="DS31" s="109">
        <f t="shared" si="1"/>
        <v>15285088.789511425</v>
      </c>
      <c r="DT31" s="695">
        <f t="shared" si="1"/>
        <v>15285088.789511425</v>
      </c>
    </row>
    <row r="32" spans="1:124" ht="15" x14ac:dyDescent="0.25">
      <c r="B32" s="250" t="s">
        <v>304</v>
      </c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532"/>
      <c r="Q32" s="109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10"/>
      <c r="AC32" s="109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10"/>
      <c r="AO32" s="344"/>
      <c r="AP32" s="108">
        <f>AM28</f>
        <v>0</v>
      </c>
      <c r="AQ32" s="108">
        <f>AN28</f>
        <v>0</v>
      </c>
      <c r="AR32" s="108">
        <f>AP28</f>
        <v>2118841.0309079993</v>
      </c>
      <c r="AS32" s="108">
        <f t="shared" ref="AS32:DD32" si="2">AQ28</f>
        <v>4237682.0618159985</v>
      </c>
      <c r="AT32" s="108">
        <f t="shared" si="2"/>
        <v>8475364.123631997</v>
      </c>
      <c r="AU32" s="108">
        <f t="shared" si="2"/>
        <v>10594205.154539997</v>
      </c>
      <c r="AV32" s="108">
        <f t="shared" si="2"/>
        <v>4237682.0618159985</v>
      </c>
      <c r="AW32" s="108">
        <f t="shared" si="2"/>
        <v>4237682.0618159985</v>
      </c>
      <c r="AX32" s="108">
        <f t="shared" si="2"/>
        <v>8475364.123631997</v>
      </c>
      <c r="AY32" s="108">
        <f t="shared" si="2"/>
        <v>2118841.0309079993</v>
      </c>
      <c r="AZ32" s="110">
        <f t="shared" si="2"/>
        <v>6356523.0927239982</v>
      </c>
      <c r="BA32" s="109">
        <f t="shared" si="2"/>
        <v>6356523.0927239982</v>
      </c>
      <c r="BB32" s="108">
        <f t="shared" si="2"/>
        <v>8475364.123631997</v>
      </c>
      <c r="BC32" s="108">
        <f t="shared" si="2"/>
        <v>2252328.0158552034</v>
      </c>
      <c r="BD32" s="108">
        <f t="shared" si="2"/>
        <v>4504656.0317104068</v>
      </c>
      <c r="BE32" s="108">
        <f t="shared" si="2"/>
        <v>2252328.0158552034</v>
      </c>
      <c r="BF32" s="108">
        <f t="shared" si="2"/>
        <v>9009312.0634208135</v>
      </c>
      <c r="BG32" s="108">
        <f t="shared" si="2"/>
        <v>11261640.079276016</v>
      </c>
      <c r="BH32" s="108">
        <f t="shared" si="2"/>
        <v>4504656.0317104068</v>
      </c>
      <c r="BI32" s="108">
        <f t="shared" si="2"/>
        <v>6756984.0475656092</v>
      </c>
      <c r="BJ32" s="108">
        <f t="shared" si="2"/>
        <v>6756984.0475656092</v>
      </c>
      <c r="BK32" s="108">
        <f t="shared" si="2"/>
        <v>4504656.0317104068</v>
      </c>
      <c r="BL32" s="110">
        <f t="shared" si="2"/>
        <v>6756984.0475656092</v>
      </c>
      <c r="BM32" s="109">
        <f t="shared" si="2"/>
        <v>6756984.0475656092</v>
      </c>
      <c r="BN32" s="108">
        <f t="shared" si="2"/>
        <v>6756984.0475656092</v>
      </c>
      <c r="BO32" s="108">
        <f t="shared" si="2"/>
        <v>4788449.3617081624</v>
      </c>
      <c r="BP32" s="108">
        <f t="shared" si="2"/>
        <v>4788449.3617081624</v>
      </c>
      <c r="BQ32" s="108">
        <f t="shared" si="2"/>
        <v>2394224.6808540812</v>
      </c>
      <c r="BR32" s="108">
        <f t="shared" si="2"/>
        <v>9576898.7234163247</v>
      </c>
      <c r="BS32" s="108">
        <f t="shared" si="2"/>
        <v>11971123.404270405</v>
      </c>
      <c r="BT32" s="108">
        <f t="shared" si="2"/>
        <v>4788449.3617081624</v>
      </c>
      <c r="BU32" s="108">
        <f t="shared" si="2"/>
        <v>7182674.0425622426</v>
      </c>
      <c r="BV32" s="108">
        <f t="shared" si="2"/>
        <v>7182674.0425622426</v>
      </c>
      <c r="BW32" s="108">
        <f t="shared" si="2"/>
        <v>2394224.6808540812</v>
      </c>
      <c r="BX32" s="110">
        <f t="shared" si="2"/>
        <v>7182674.0425622426</v>
      </c>
      <c r="BY32" s="109">
        <f t="shared" si="2"/>
        <v>9576898.7234163247</v>
      </c>
      <c r="BZ32" s="108">
        <f t="shared" si="2"/>
        <v>7182674.0425622426</v>
      </c>
      <c r="CA32" s="108">
        <f t="shared" si="2"/>
        <v>5090121.6714957757</v>
      </c>
      <c r="CB32" s="108">
        <f t="shared" si="2"/>
        <v>2545060.8357478878</v>
      </c>
      <c r="CC32" s="108">
        <f t="shared" si="2"/>
        <v>5090121.6714957757</v>
      </c>
      <c r="CD32" s="108">
        <f t="shared" si="2"/>
        <v>10180243.342991551</v>
      </c>
      <c r="CE32" s="108">
        <f t="shared" si="2"/>
        <v>12725304.17873944</v>
      </c>
      <c r="CF32" s="108">
        <f t="shared" si="2"/>
        <v>5090121.6714957757</v>
      </c>
      <c r="CG32" s="108">
        <f t="shared" si="2"/>
        <v>7635182.507243664</v>
      </c>
      <c r="CH32" s="108">
        <f t="shared" si="2"/>
        <v>7635182.507243664</v>
      </c>
      <c r="CI32" s="108">
        <f t="shared" si="2"/>
        <v>2545060.8357478878</v>
      </c>
      <c r="CJ32" s="110">
        <f t="shared" si="2"/>
        <v>7635182.507243664</v>
      </c>
      <c r="CK32" s="109">
        <f t="shared" si="2"/>
        <v>7635182.507243664</v>
      </c>
      <c r="CL32" s="108">
        <f t="shared" si="2"/>
        <v>10180243.342991551</v>
      </c>
      <c r="CM32" s="108">
        <f t="shared" si="2"/>
        <v>2545060.8357478878</v>
      </c>
      <c r="CN32" s="108">
        <f t="shared" si="2"/>
        <v>5090121.6714957757</v>
      </c>
      <c r="CO32" s="108">
        <f t="shared" si="2"/>
        <v>2545060.8357478878</v>
      </c>
      <c r="CP32" s="108">
        <f t="shared" si="2"/>
        <v>12725304.17873944</v>
      </c>
      <c r="CQ32" s="108">
        <f t="shared" si="2"/>
        <v>12725304.17873944</v>
      </c>
      <c r="CR32" s="108">
        <f t="shared" si="2"/>
        <v>5090121.6714957757</v>
      </c>
      <c r="CS32" s="108">
        <f t="shared" si="2"/>
        <v>5090121.6714957757</v>
      </c>
      <c r="CT32" s="108">
        <f t="shared" si="2"/>
        <v>10180243.342991551</v>
      </c>
      <c r="CU32" s="108">
        <f t="shared" si="2"/>
        <v>2545060.8357478878</v>
      </c>
      <c r="CV32" s="110">
        <f t="shared" si="2"/>
        <v>7635182.507243664</v>
      </c>
      <c r="CW32" s="109">
        <f t="shared" si="2"/>
        <v>7635182.507243664</v>
      </c>
      <c r="CX32" s="108">
        <f t="shared" si="2"/>
        <v>10180243.342991551</v>
      </c>
      <c r="CY32" s="108">
        <f t="shared" si="2"/>
        <v>2875839.8475092053</v>
      </c>
      <c r="CZ32" s="108">
        <f t="shared" si="2"/>
        <v>5751679.6950184107</v>
      </c>
      <c r="DA32" s="108">
        <f t="shared" si="2"/>
        <v>2875839.8475092053</v>
      </c>
      <c r="DB32" s="108">
        <f t="shared" si="2"/>
        <v>11503359.390036821</v>
      </c>
      <c r="DC32" s="108">
        <f t="shared" si="2"/>
        <v>14379199.237546025</v>
      </c>
      <c r="DD32" s="108">
        <f t="shared" si="2"/>
        <v>5751679.6950184107</v>
      </c>
      <c r="DE32" s="108">
        <f t="shared" ref="DE32:DT32" si="3">DC28</f>
        <v>8627519.542527616</v>
      </c>
      <c r="DF32" s="108">
        <f t="shared" si="3"/>
        <v>8627519.542527616</v>
      </c>
      <c r="DG32" s="108">
        <f t="shared" si="3"/>
        <v>5751679.6950184107</v>
      </c>
      <c r="DH32" s="110">
        <f t="shared" si="3"/>
        <v>8627519.542527616</v>
      </c>
      <c r="DI32" s="109">
        <f t="shared" si="3"/>
        <v>8627519.542527616</v>
      </c>
      <c r="DJ32" s="108">
        <f t="shared" si="3"/>
        <v>8627519.542527616</v>
      </c>
      <c r="DK32" s="108">
        <f t="shared" si="3"/>
        <v>6114035.5158045702</v>
      </c>
      <c r="DL32" s="108">
        <f t="shared" si="3"/>
        <v>3057017.7579022851</v>
      </c>
      <c r="DM32" s="108">
        <f t="shared" si="3"/>
        <v>6114035.5158045702</v>
      </c>
      <c r="DN32" s="108">
        <f t="shared" si="3"/>
        <v>12228071.03160914</v>
      </c>
      <c r="DO32" s="108">
        <f t="shared" si="3"/>
        <v>15285088.789511425</v>
      </c>
      <c r="DP32" s="108">
        <f t="shared" si="3"/>
        <v>6114035.5158045702</v>
      </c>
      <c r="DQ32" s="108">
        <f t="shared" si="3"/>
        <v>9171053.2737068553</v>
      </c>
      <c r="DR32" s="108">
        <f t="shared" si="3"/>
        <v>9171053.2737068553</v>
      </c>
      <c r="DS32" s="108">
        <f t="shared" si="3"/>
        <v>3057017.7579022851</v>
      </c>
      <c r="DT32" s="110">
        <f t="shared" si="3"/>
        <v>9171053.2737068553</v>
      </c>
    </row>
    <row r="33" spans="2:124" ht="15" x14ac:dyDescent="0.25">
      <c r="B33" s="250" t="s">
        <v>308</v>
      </c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532"/>
      <c r="Q33" s="109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10"/>
      <c r="AC33" s="109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10"/>
      <c r="AO33" s="344"/>
      <c r="AP33" s="108"/>
      <c r="AQ33" s="109"/>
      <c r="AR33" s="108"/>
      <c r="AS33" s="109"/>
      <c r="AT33" s="108"/>
      <c r="AU33" s="109"/>
      <c r="AV33" s="108"/>
      <c r="AW33" s="109"/>
      <c r="AX33" s="108"/>
      <c r="AY33" s="109"/>
      <c r="AZ33" s="110"/>
      <c r="BA33" s="109"/>
      <c r="BB33" s="108"/>
      <c r="BC33" s="109"/>
      <c r="BD33" s="108"/>
      <c r="BE33" s="109"/>
      <c r="BF33" s="108"/>
      <c r="BG33" s="109"/>
      <c r="BH33" s="108"/>
      <c r="BI33" s="109"/>
      <c r="BJ33" s="108"/>
      <c r="BK33" s="109"/>
      <c r="BL33" s="110"/>
      <c r="BM33" s="109"/>
      <c r="BN33" s="108"/>
      <c r="BO33" s="109"/>
      <c r="BP33" s="108"/>
      <c r="BQ33" s="109"/>
      <c r="BR33" s="108"/>
      <c r="BS33" s="109"/>
      <c r="BT33" s="108"/>
      <c r="BU33" s="109"/>
      <c r="BV33" s="108"/>
      <c r="BW33" s="109"/>
      <c r="BX33" s="110"/>
      <c r="BY33" s="109"/>
      <c r="BZ33" s="108"/>
      <c r="CA33" s="109"/>
      <c r="CB33" s="108"/>
      <c r="CC33" s="109"/>
      <c r="CD33" s="108"/>
      <c r="CE33" s="109"/>
      <c r="CF33" s="108"/>
      <c r="CG33" s="109"/>
      <c r="CH33" s="108"/>
      <c r="CI33" s="109"/>
      <c r="CJ33" s="110"/>
      <c r="CK33" s="109"/>
      <c r="CL33" s="108"/>
      <c r="CM33" s="109"/>
      <c r="CN33" s="108"/>
      <c r="CO33" s="109"/>
      <c r="CP33" s="108"/>
      <c r="CQ33" s="109"/>
      <c r="CR33" s="108"/>
      <c r="CS33" s="109"/>
      <c r="CT33" s="108"/>
      <c r="CU33" s="109"/>
      <c r="CV33" s="110"/>
      <c r="CW33" s="109"/>
      <c r="CX33" s="108"/>
      <c r="CY33" s="109"/>
      <c r="CZ33" s="108"/>
      <c r="DA33" s="109"/>
      <c r="DB33" s="108"/>
      <c r="DC33" s="109"/>
      <c r="DD33" s="108"/>
      <c r="DE33" s="109"/>
      <c r="DF33" s="108"/>
      <c r="DG33" s="109"/>
      <c r="DH33" s="110"/>
      <c r="DI33" s="109"/>
      <c r="DJ33" s="108"/>
      <c r="DK33" s="109"/>
      <c r="DL33" s="108"/>
      <c r="DM33" s="109"/>
      <c r="DN33" s="108"/>
      <c r="DO33" s="109"/>
      <c r="DP33" s="108"/>
      <c r="DQ33" s="109"/>
      <c r="DR33" s="108"/>
      <c r="DS33" s="109"/>
      <c r="DT33" s="110"/>
    </row>
    <row r="34" spans="2:124" ht="16.5" x14ac:dyDescent="0.3">
      <c r="B34" s="720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500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500"/>
      <c r="AC34" s="200"/>
      <c r="AD34" s="200"/>
      <c r="AE34" s="3"/>
      <c r="AF34" s="3"/>
      <c r="AG34" s="3"/>
      <c r="AH34" s="3"/>
      <c r="AI34" s="3"/>
      <c r="AJ34" s="3"/>
      <c r="AK34" s="3"/>
      <c r="AL34" s="3"/>
      <c r="AM34" s="3"/>
      <c r="AN34" s="500"/>
      <c r="AO34" s="788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500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500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500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500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500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500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500"/>
    </row>
    <row r="35" spans="2:124" ht="18.75" x14ac:dyDescent="0.3">
      <c r="B35" s="161" t="s">
        <v>63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50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500"/>
      <c r="AC35" s="200"/>
      <c r="AD35" s="200"/>
      <c r="AE35" s="3"/>
      <c r="AF35" s="3"/>
      <c r="AG35" s="3"/>
      <c r="AH35" s="3"/>
      <c r="AI35" s="3"/>
      <c r="AJ35" s="3"/>
      <c r="AK35" s="3"/>
      <c r="AL35" s="3"/>
      <c r="AM35" s="3"/>
      <c r="AN35" s="500"/>
      <c r="AO35" s="788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500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500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500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500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500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500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500"/>
    </row>
    <row r="36" spans="2:124" ht="15" x14ac:dyDescent="0.25">
      <c r="B36" s="247" t="s">
        <v>117</v>
      </c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532"/>
      <c r="Q36" s="109">
        <v>0</v>
      </c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10"/>
      <c r="AC36" s="109">
        <v>0</v>
      </c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10"/>
      <c r="AO36" s="344">
        <v>0</v>
      </c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10"/>
      <c r="BA36" s="109">
        <v>0</v>
      </c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10"/>
      <c r="BM36" s="109">
        <v>0</v>
      </c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10"/>
      <c r="BY36" s="109">
        <v>0</v>
      </c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10"/>
      <c r="CK36" s="109">
        <v>0</v>
      </c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10"/>
      <c r="CW36" s="109">
        <v>0</v>
      </c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10"/>
      <c r="DI36" s="109">
        <v>0</v>
      </c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10"/>
    </row>
    <row r="37" spans="2:124" ht="15" x14ac:dyDescent="0.25">
      <c r="B37" s="250" t="s">
        <v>154</v>
      </c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532"/>
      <c r="Q37" s="109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10"/>
      <c r="AC37" s="109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10"/>
      <c r="AO37" s="344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10"/>
      <c r="BA37" s="109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10"/>
      <c r="BM37" s="109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10"/>
      <c r="BY37" s="109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10"/>
      <c r="CK37" s="109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10"/>
      <c r="CW37" s="109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10"/>
      <c r="DI37" s="109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10"/>
    </row>
    <row r="38" spans="2:124" ht="15" x14ac:dyDescent="0.25">
      <c r="B38" s="250" t="s">
        <v>166</v>
      </c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532"/>
      <c r="Q38" s="109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10"/>
      <c r="AC38" s="109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10"/>
      <c r="AO38" s="344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10"/>
      <c r="BA38" s="109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10"/>
      <c r="BM38" s="109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10"/>
      <c r="BY38" s="109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10"/>
      <c r="CK38" s="109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10"/>
      <c r="CW38" s="109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10"/>
      <c r="DI38" s="109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10"/>
    </row>
    <row r="39" spans="2:124" ht="17.25" thickBot="1" x14ac:dyDescent="0.35">
      <c r="B39" s="721"/>
      <c r="C39" s="722"/>
      <c r="D39" s="722"/>
      <c r="E39" s="722"/>
      <c r="F39" s="722"/>
      <c r="G39" s="722"/>
      <c r="H39" s="722"/>
      <c r="I39" s="722"/>
      <c r="J39" s="722"/>
      <c r="K39" s="722"/>
      <c r="L39" s="722"/>
      <c r="M39" s="722"/>
      <c r="N39" s="722"/>
      <c r="O39" s="722"/>
      <c r="P39" s="726"/>
      <c r="Q39" s="722"/>
      <c r="R39" s="722"/>
      <c r="S39" s="722"/>
      <c r="T39" s="722"/>
      <c r="U39" s="722"/>
      <c r="V39" s="722"/>
      <c r="W39" s="722"/>
      <c r="X39" s="722"/>
      <c r="Y39" s="722"/>
      <c r="Z39" s="722"/>
      <c r="AA39" s="722"/>
      <c r="AB39" s="726"/>
      <c r="AC39" s="723"/>
      <c r="AD39" s="723"/>
      <c r="AE39" s="722"/>
      <c r="AF39" s="722"/>
      <c r="AG39" s="722"/>
      <c r="AH39" s="722"/>
      <c r="AI39" s="722"/>
      <c r="AJ39" s="722"/>
      <c r="AK39" s="722"/>
      <c r="AL39" s="722"/>
      <c r="AM39" s="722"/>
      <c r="AN39" s="726"/>
      <c r="AO39" s="1319"/>
      <c r="AP39" s="722"/>
      <c r="AQ39" s="722"/>
      <c r="AR39" s="722"/>
      <c r="AS39" s="722"/>
      <c r="AT39" s="722"/>
      <c r="AU39" s="722"/>
      <c r="AV39" s="722"/>
      <c r="AW39" s="722"/>
      <c r="AX39" s="722"/>
      <c r="AY39" s="722"/>
      <c r="AZ39" s="726"/>
      <c r="BA39" s="722"/>
      <c r="BB39" s="722"/>
      <c r="BC39" s="722"/>
      <c r="BD39" s="722"/>
      <c r="BE39" s="722"/>
      <c r="BF39" s="722"/>
      <c r="BG39" s="722"/>
      <c r="BH39" s="722"/>
      <c r="BI39" s="722"/>
      <c r="BJ39" s="722"/>
      <c r="BK39" s="722"/>
      <c r="BL39" s="726"/>
      <c r="BM39" s="722"/>
      <c r="BN39" s="722"/>
      <c r="BO39" s="722"/>
      <c r="BP39" s="722"/>
      <c r="BQ39" s="722"/>
      <c r="BR39" s="722"/>
      <c r="BS39" s="722"/>
      <c r="BT39" s="722"/>
      <c r="BU39" s="722"/>
      <c r="BV39" s="722"/>
      <c r="BW39" s="722"/>
      <c r="BX39" s="726"/>
      <c r="BY39" s="722"/>
      <c r="BZ39" s="722"/>
      <c r="CA39" s="722"/>
      <c r="CB39" s="722"/>
      <c r="CC39" s="722"/>
      <c r="CD39" s="722"/>
      <c r="CE39" s="722"/>
      <c r="CF39" s="722"/>
      <c r="CG39" s="722"/>
      <c r="CH39" s="722"/>
      <c r="CI39" s="722"/>
      <c r="CJ39" s="726"/>
      <c r="CK39" s="722"/>
      <c r="CL39" s="722"/>
      <c r="CM39" s="722"/>
      <c r="CN39" s="722"/>
      <c r="CO39" s="722"/>
      <c r="CP39" s="722"/>
      <c r="CQ39" s="722"/>
      <c r="CR39" s="722"/>
      <c r="CS39" s="722"/>
      <c r="CT39" s="722"/>
      <c r="CU39" s="722"/>
      <c r="CV39" s="726"/>
      <c r="CW39" s="722"/>
      <c r="CX39" s="722"/>
      <c r="CY39" s="722"/>
      <c r="CZ39" s="722"/>
      <c r="DA39" s="722"/>
      <c r="DB39" s="722"/>
      <c r="DC39" s="722"/>
      <c r="DD39" s="722"/>
      <c r="DE39" s="722"/>
      <c r="DF39" s="722"/>
      <c r="DG39" s="722"/>
      <c r="DH39" s="726"/>
      <c r="DI39" s="722"/>
      <c r="DJ39" s="722"/>
      <c r="DK39" s="722"/>
      <c r="DL39" s="722"/>
      <c r="DM39" s="722"/>
      <c r="DN39" s="722"/>
      <c r="DO39" s="722"/>
      <c r="DP39" s="722"/>
      <c r="DQ39" s="722"/>
      <c r="DR39" s="722"/>
      <c r="DS39" s="722"/>
      <c r="DT39" s="726"/>
    </row>
    <row r="40" spans="2:124" x14ac:dyDescent="0.2">
      <c r="B40" s="69"/>
    </row>
  </sheetData>
  <mergeCells count="11">
    <mergeCell ref="BM2:BX2"/>
    <mergeCell ref="BY2:CJ2"/>
    <mergeCell ref="CK2:CV2"/>
    <mergeCell ref="CW2:DH2"/>
    <mergeCell ref="DI2:DT2"/>
    <mergeCell ref="Q2:AB2"/>
    <mergeCell ref="AC2:AN2"/>
    <mergeCell ref="AO2:AZ2"/>
    <mergeCell ref="BA2:BL2"/>
    <mergeCell ref="A1:C3"/>
    <mergeCell ref="E2:P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V14"/>
  <sheetViews>
    <sheetView zoomScale="60" zoomScaleNormal="60" zoomScalePageLayoutView="85" workbookViewId="0">
      <pane xSplit="2" ySplit="3" topLeftCell="AU4" activePane="bottomRight" state="frozen"/>
      <selection pane="topRight" activeCell="C1" sqref="C1"/>
      <selection pane="bottomLeft" activeCell="A4" sqref="A4"/>
      <selection pane="bottomRight" activeCell="DP27" sqref="DP27"/>
    </sheetView>
  </sheetViews>
  <sheetFormatPr defaultColWidth="11.7109375" defaultRowHeight="12.75" x14ac:dyDescent="0.2"/>
  <cols>
    <col min="1" max="1" width="3" style="2" customWidth="1"/>
    <col min="2" max="2" width="31.85546875" style="2" customWidth="1"/>
    <col min="3" max="3" width="1.28515625" style="2" customWidth="1"/>
    <col min="4" max="16384" width="11.7109375" style="2"/>
  </cols>
  <sheetData>
    <row r="1" spans="1:126" ht="12.75" customHeight="1" x14ac:dyDescent="0.2">
      <c r="A1" s="1426" t="s">
        <v>180</v>
      </c>
      <c r="B1" s="142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500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500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500"/>
      <c r="AN1" s="788"/>
      <c r="AO1" s="3"/>
      <c r="AP1" s="3"/>
      <c r="AQ1" s="3"/>
      <c r="AR1" s="3"/>
      <c r="AS1" s="3"/>
      <c r="AT1" s="3"/>
      <c r="AU1" s="3"/>
      <c r="AV1" s="3"/>
      <c r="AW1" s="3"/>
      <c r="AX1" s="3"/>
      <c r="AY1" s="500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500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500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500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500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500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500"/>
    </row>
    <row r="2" spans="1:126" ht="39" customHeight="1" x14ac:dyDescent="0.2">
      <c r="A2" s="1426"/>
      <c r="B2" s="1426"/>
      <c r="C2" s="17"/>
      <c r="D2" s="1420" t="s">
        <v>507</v>
      </c>
      <c r="E2" s="1420"/>
      <c r="F2" s="1420"/>
      <c r="G2" s="1420"/>
      <c r="H2" s="1420"/>
      <c r="I2" s="1420"/>
      <c r="J2" s="1420"/>
      <c r="K2" s="1420"/>
      <c r="L2" s="1420"/>
      <c r="M2" s="1420"/>
      <c r="N2" s="1420"/>
      <c r="O2" s="1421"/>
      <c r="P2" s="1415" t="s">
        <v>508</v>
      </c>
      <c r="Q2" s="1415"/>
      <c r="R2" s="1415"/>
      <c r="S2" s="1415"/>
      <c r="T2" s="1415"/>
      <c r="U2" s="1415"/>
      <c r="V2" s="1415"/>
      <c r="W2" s="1415"/>
      <c r="X2" s="1415"/>
      <c r="Y2" s="1415"/>
      <c r="Z2" s="1415"/>
      <c r="AA2" s="1416"/>
      <c r="AB2" s="1415" t="s">
        <v>509</v>
      </c>
      <c r="AC2" s="1415"/>
      <c r="AD2" s="1415"/>
      <c r="AE2" s="1415"/>
      <c r="AF2" s="1415"/>
      <c r="AG2" s="1415"/>
      <c r="AH2" s="1415"/>
      <c r="AI2" s="1415"/>
      <c r="AJ2" s="1415"/>
      <c r="AK2" s="1415"/>
      <c r="AL2" s="1415"/>
      <c r="AM2" s="1416"/>
      <c r="AN2" s="1418" t="s">
        <v>510</v>
      </c>
      <c r="AO2" s="1415"/>
      <c r="AP2" s="1415"/>
      <c r="AQ2" s="1415"/>
      <c r="AR2" s="1415"/>
      <c r="AS2" s="1415"/>
      <c r="AT2" s="1415"/>
      <c r="AU2" s="1415"/>
      <c r="AV2" s="1415"/>
      <c r="AW2" s="1415"/>
      <c r="AX2" s="1415"/>
      <c r="AY2" s="1416"/>
      <c r="AZ2" s="1415" t="s">
        <v>511</v>
      </c>
      <c r="BA2" s="1415"/>
      <c r="BB2" s="1415"/>
      <c r="BC2" s="1415"/>
      <c r="BD2" s="1415"/>
      <c r="BE2" s="1415"/>
      <c r="BF2" s="1415"/>
      <c r="BG2" s="1415"/>
      <c r="BH2" s="1415"/>
      <c r="BI2" s="1415"/>
      <c r="BJ2" s="1415"/>
      <c r="BK2" s="1416"/>
      <c r="BL2" s="1415" t="s">
        <v>512</v>
      </c>
      <c r="BM2" s="1415"/>
      <c r="BN2" s="1415"/>
      <c r="BO2" s="1415"/>
      <c r="BP2" s="1415"/>
      <c r="BQ2" s="1415"/>
      <c r="BR2" s="1415"/>
      <c r="BS2" s="1415"/>
      <c r="BT2" s="1415"/>
      <c r="BU2" s="1415"/>
      <c r="BV2" s="1415"/>
      <c r="BW2" s="1416"/>
      <c r="BX2" s="1415" t="s">
        <v>513</v>
      </c>
      <c r="BY2" s="1415"/>
      <c r="BZ2" s="1415"/>
      <c r="CA2" s="1415"/>
      <c r="CB2" s="1415"/>
      <c r="CC2" s="1415"/>
      <c r="CD2" s="1415"/>
      <c r="CE2" s="1415"/>
      <c r="CF2" s="1415"/>
      <c r="CG2" s="1415"/>
      <c r="CH2" s="1415"/>
      <c r="CI2" s="1416"/>
      <c r="CJ2" s="1415" t="s">
        <v>514</v>
      </c>
      <c r="CK2" s="1415"/>
      <c r="CL2" s="1415"/>
      <c r="CM2" s="1415"/>
      <c r="CN2" s="1415"/>
      <c r="CO2" s="1415"/>
      <c r="CP2" s="1415"/>
      <c r="CQ2" s="1415"/>
      <c r="CR2" s="1415"/>
      <c r="CS2" s="1415"/>
      <c r="CT2" s="1415"/>
      <c r="CU2" s="1416"/>
      <c r="CV2" s="1415" t="s">
        <v>515</v>
      </c>
      <c r="CW2" s="1415"/>
      <c r="CX2" s="1415"/>
      <c r="CY2" s="1415"/>
      <c r="CZ2" s="1415"/>
      <c r="DA2" s="1415"/>
      <c r="DB2" s="1415"/>
      <c r="DC2" s="1415"/>
      <c r="DD2" s="1415"/>
      <c r="DE2" s="1415"/>
      <c r="DF2" s="1415"/>
      <c r="DG2" s="1416"/>
      <c r="DH2" s="1415" t="s">
        <v>516</v>
      </c>
      <c r="DI2" s="1415"/>
      <c r="DJ2" s="1415"/>
      <c r="DK2" s="1415"/>
      <c r="DL2" s="1415"/>
      <c r="DM2" s="1415"/>
      <c r="DN2" s="1415"/>
      <c r="DO2" s="1415"/>
      <c r="DP2" s="1415"/>
      <c r="DQ2" s="1415"/>
      <c r="DR2" s="1415"/>
      <c r="DS2" s="1416"/>
      <c r="DT2" s="70"/>
      <c r="DU2" s="70"/>
      <c r="DV2" s="70"/>
    </row>
    <row r="3" spans="1:126" ht="12.75" customHeight="1" x14ac:dyDescent="0.25">
      <c r="A3" s="1426"/>
      <c r="B3" s="1426"/>
      <c r="C3" s="7"/>
      <c r="D3" s="484" t="s">
        <v>175</v>
      </c>
      <c r="E3" s="484" t="s">
        <v>176</v>
      </c>
      <c r="F3" s="484" t="s">
        <v>177</v>
      </c>
      <c r="G3" s="484" t="s">
        <v>178</v>
      </c>
      <c r="H3" s="484" t="s">
        <v>167</v>
      </c>
      <c r="I3" s="484" t="s">
        <v>168</v>
      </c>
      <c r="J3" s="484" t="s">
        <v>169</v>
      </c>
      <c r="K3" s="484" t="s">
        <v>170</v>
      </c>
      <c r="L3" s="484" t="s">
        <v>171</v>
      </c>
      <c r="M3" s="484" t="s">
        <v>172</v>
      </c>
      <c r="N3" s="484" t="s">
        <v>173</v>
      </c>
      <c r="O3" s="694" t="s">
        <v>174</v>
      </c>
      <c r="P3" s="272" t="s">
        <v>175</v>
      </c>
      <c r="Q3" s="272" t="s">
        <v>176</v>
      </c>
      <c r="R3" s="272" t="s">
        <v>177</v>
      </c>
      <c r="S3" s="272" t="s">
        <v>178</v>
      </c>
      <c r="T3" s="272" t="s">
        <v>167</v>
      </c>
      <c r="U3" s="272" t="s">
        <v>168</v>
      </c>
      <c r="V3" s="272" t="s">
        <v>169</v>
      </c>
      <c r="W3" s="272" t="s">
        <v>170</v>
      </c>
      <c r="X3" s="272" t="s">
        <v>171</v>
      </c>
      <c r="Y3" s="272" t="s">
        <v>172</v>
      </c>
      <c r="Z3" s="272" t="s">
        <v>173</v>
      </c>
      <c r="AA3" s="603" t="s">
        <v>174</v>
      </c>
      <c r="AB3" s="272" t="s">
        <v>175</v>
      </c>
      <c r="AC3" s="272" t="s">
        <v>176</v>
      </c>
      <c r="AD3" s="272" t="s">
        <v>177</v>
      </c>
      <c r="AE3" s="272" t="s">
        <v>178</v>
      </c>
      <c r="AF3" s="272" t="s">
        <v>167</v>
      </c>
      <c r="AG3" s="272" t="s">
        <v>168</v>
      </c>
      <c r="AH3" s="272" t="s">
        <v>169</v>
      </c>
      <c r="AI3" s="272" t="s">
        <v>170</v>
      </c>
      <c r="AJ3" s="272" t="s">
        <v>171</v>
      </c>
      <c r="AK3" s="272" t="s">
        <v>172</v>
      </c>
      <c r="AL3" s="272" t="s">
        <v>173</v>
      </c>
      <c r="AM3" s="603" t="s">
        <v>174</v>
      </c>
      <c r="AN3" s="541" t="s">
        <v>175</v>
      </c>
      <c r="AO3" s="272" t="s">
        <v>176</v>
      </c>
      <c r="AP3" s="272" t="s">
        <v>177</v>
      </c>
      <c r="AQ3" s="272" t="s">
        <v>178</v>
      </c>
      <c r="AR3" s="272" t="s">
        <v>167</v>
      </c>
      <c r="AS3" s="272" t="s">
        <v>168</v>
      </c>
      <c r="AT3" s="272" t="s">
        <v>169</v>
      </c>
      <c r="AU3" s="272" t="s">
        <v>170</v>
      </c>
      <c r="AV3" s="272" t="s">
        <v>171</v>
      </c>
      <c r="AW3" s="272" t="s">
        <v>172</v>
      </c>
      <c r="AX3" s="272" t="s">
        <v>173</v>
      </c>
      <c r="AY3" s="603" t="s">
        <v>174</v>
      </c>
      <c r="AZ3" s="272" t="s">
        <v>175</v>
      </c>
      <c r="BA3" s="272" t="s">
        <v>176</v>
      </c>
      <c r="BB3" s="272" t="s">
        <v>177</v>
      </c>
      <c r="BC3" s="272" t="s">
        <v>178</v>
      </c>
      <c r="BD3" s="272" t="s">
        <v>167</v>
      </c>
      <c r="BE3" s="272" t="s">
        <v>168</v>
      </c>
      <c r="BF3" s="272" t="s">
        <v>169</v>
      </c>
      <c r="BG3" s="272" t="s">
        <v>170</v>
      </c>
      <c r="BH3" s="272" t="s">
        <v>171</v>
      </c>
      <c r="BI3" s="272" t="s">
        <v>172</v>
      </c>
      <c r="BJ3" s="272" t="s">
        <v>173</v>
      </c>
      <c r="BK3" s="603" t="s">
        <v>174</v>
      </c>
      <c r="BL3" s="272" t="s">
        <v>175</v>
      </c>
      <c r="BM3" s="272" t="s">
        <v>176</v>
      </c>
      <c r="BN3" s="272" t="s">
        <v>177</v>
      </c>
      <c r="BO3" s="272" t="s">
        <v>178</v>
      </c>
      <c r="BP3" s="272" t="s">
        <v>167</v>
      </c>
      <c r="BQ3" s="272" t="s">
        <v>168</v>
      </c>
      <c r="BR3" s="272" t="s">
        <v>169</v>
      </c>
      <c r="BS3" s="272" t="s">
        <v>170</v>
      </c>
      <c r="BT3" s="272" t="s">
        <v>171</v>
      </c>
      <c r="BU3" s="272" t="s">
        <v>172</v>
      </c>
      <c r="BV3" s="272" t="s">
        <v>173</v>
      </c>
      <c r="BW3" s="603" t="s">
        <v>174</v>
      </c>
      <c r="BX3" s="272" t="s">
        <v>175</v>
      </c>
      <c r="BY3" s="272" t="s">
        <v>176</v>
      </c>
      <c r="BZ3" s="272" t="s">
        <v>177</v>
      </c>
      <c r="CA3" s="272" t="s">
        <v>178</v>
      </c>
      <c r="CB3" s="272" t="s">
        <v>167</v>
      </c>
      <c r="CC3" s="272" t="s">
        <v>168</v>
      </c>
      <c r="CD3" s="272" t="s">
        <v>169</v>
      </c>
      <c r="CE3" s="272" t="s">
        <v>170</v>
      </c>
      <c r="CF3" s="272" t="s">
        <v>171</v>
      </c>
      <c r="CG3" s="272" t="s">
        <v>172</v>
      </c>
      <c r="CH3" s="272" t="s">
        <v>173</v>
      </c>
      <c r="CI3" s="603" t="s">
        <v>174</v>
      </c>
      <c r="CJ3" s="272" t="s">
        <v>175</v>
      </c>
      <c r="CK3" s="272" t="s">
        <v>176</v>
      </c>
      <c r="CL3" s="272" t="s">
        <v>177</v>
      </c>
      <c r="CM3" s="272" t="s">
        <v>178</v>
      </c>
      <c r="CN3" s="272" t="s">
        <v>167</v>
      </c>
      <c r="CO3" s="272" t="s">
        <v>168</v>
      </c>
      <c r="CP3" s="272" t="s">
        <v>169</v>
      </c>
      <c r="CQ3" s="272" t="s">
        <v>170</v>
      </c>
      <c r="CR3" s="272" t="s">
        <v>171</v>
      </c>
      <c r="CS3" s="272" t="s">
        <v>172</v>
      </c>
      <c r="CT3" s="272" t="s">
        <v>173</v>
      </c>
      <c r="CU3" s="603" t="s">
        <v>174</v>
      </c>
      <c r="CV3" s="272" t="s">
        <v>175</v>
      </c>
      <c r="CW3" s="272" t="s">
        <v>176</v>
      </c>
      <c r="CX3" s="272" t="s">
        <v>177</v>
      </c>
      <c r="CY3" s="272" t="s">
        <v>178</v>
      </c>
      <c r="CZ3" s="272" t="s">
        <v>167</v>
      </c>
      <c r="DA3" s="272" t="s">
        <v>168</v>
      </c>
      <c r="DB3" s="272" t="s">
        <v>169</v>
      </c>
      <c r="DC3" s="272" t="s">
        <v>170</v>
      </c>
      <c r="DD3" s="272" t="s">
        <v>171</v>
      </c>
      <c r="DE3" s="272" t="s">
        <v>172</v>
      </c>
      <c r="DF3" s="272" t="s">
        <v>173</v>
      </c>
      <c r="DG3" s="603" t="s">
        <v>174</v>
      </c>
      <c r="DH3" s="272" t="s">
        <v>175</v>
      </c>
      <c r="DI3" s="272" t="s">
        <v>176</v>
      </c>
      <c r="DJ3" s="272" t="s">
        <v>177</v>
      </c>
      <c r="DK3" s="272" t="s">
        <v>178</v>
      </c>
      <c r="DL3" s="272" t="s">
        <v>167</v>
      </c>
      <c r="DM3" s="272" t="s">
        <v>168</v>
      </c>
      <c r="DN3" s="272" t="s">
        <v>169</v>
      </c>
      <c r="DO3" s="272" t="s">
        <v>170</v>
      </c>
      <c r="DP3" s="272" t="s">
        <v>171</v>
      </c>
      <c r="DQ3" s="272" t="s">
        <v>172</v>
      </c>
      <c r="DR3" s="272" t="s">
        <v>173</v>
      </c>
      <c r="DS3" s="603" t="s">
        <v>174</v>
      </c>
    </row>
    <row r="4" spans="1:126" hidden="1" x14ac:dyDescent="0.2">
      <c r="B4" s="21" t="s">
        <v>88</v>
      </c>
      <c r="C4" s="20"/>
      <c r="D4" s="22">
        <f>Assumptions!$E5</f>
        <v>14</v>
      </c>
      <c r="E4" s="22">
        <f>Assumptions!$E5</f>
        <v>14</v>
      </c>
      <c r="F4" s="22">
        <f>Assumptions!$E5</f>
        <v>14</v>
      </c>
      <c r="G4" s="22">
        <f>Assumptions!$E5</f>
        <v>14</v>
      </c>
      <c r="H4" s="22">
        <f>Assumptions!$E5</f>
        <v>14</v>
      </c>
      <c r="I4" s="22">
        <f>Assumptions!$E5</f>
        <v>14</v>
      </c>
      <c r="J4" s="22">
        <f>Assumptions!$E5</f>
        <v>14</v>
      </c>
      <c r="K4" s="22">
        <f>Assumptions!$E5</f>
        <v>14</v>
      </c>
      <c r="L4" s="22">
        <f>Assumptions!$E5</f>
        <v>14</v>
      </c>
      <c r="M4" s="22">
        <f>Assumptions!$E5</f>
        <v>14</v>
      </c>
      <c r="N4" s="22">
        <f>Assumptions!$E5</f>
        <v>14</v>
      </c>
      <c r="O4" s="22">
        <f>Assumptions!$E5</f>
        <v>14</v>
      </c>
      <c r="P4" s="22">
        <f>Assumptions!$F5</f>
        <v>14.84</v>
      </c>
      <c r="Q4" s="22">
        <f>Assumptions!$F5</f>
        <v>14.84</v>
      </c>
      <c r="R4" s="22">
        <f>Assumptions!$F5</f>
        <v>14.84</v>
      </c>
      <c r="S4" s="22">
        <f>Assumptions!$F5</f>
        <v>14.84</v>
      </c>
      <c r="T4" s="22">
        <f>Assumptions!$F5</f>
        <v>14.84</v>
      </c>
      <c r="U4" s="22">
        <f>Assumptions!$F5</f>
        <v>14.84</v>
      </c>
      <c r="V4" s="22">
        <f>Assumptions!$F5</f>
        <v>14.84</v>
      </c>
      <c r="W4" s="22">
        <f>Assumptions!$F5</f>
        <v>14.84</v>
      </c>
      <c r="X4" s="22">
        <f>Assumptions!$F5</f>
        <v>14.84</v>
      </c>
      <c r="Y4" s="22">
        <f>Assumptions!$F5</f>
        <v>14.84</v>
      </c>
      <c r="Z4" s="22">
        <f>Assumptions!$F5</f>
        <v>14.84</v>
      </c>
      <c r="AA4" s="604">
        <f>Assumptions!$F5</f>
        <v>14.84</v>
      </c>
      <c r="AB4" s="686">
        <f>Assumptions!$G5</f>
        <v>15.730400000000001</v>
      </c>
      <c r="AC4" s="22">
        <f>Assumptions!$G5</f>
        <v>15.730400000000001</v>
      </c>
      <c r="AD4" s="22">
        <f>Assumptions!$G5</f>
        <v>15.730400000000001</v>
      </c>
      <c r="AE4" s="22">
        <f>Assumptions!$G5</f>
        <v>15.730400000000001</v>
      </c>
      <c r="AF4" s="22">
        <f>Assumptions!$G5</f>
        <v>15.730400000000001</v>
      </c>
      <c r="AG4" s="22">
        <f>Assumptions!$G5</f>
        <v>15.730400000000001</v>
      </c>
      <c r="AH4" s="22">
        <f>Assumptions!$G5</f>
        <v>15.730400000000001</v>
      </c>
      <c r="AI4" s="22">
        <f>Assumptions!$G5</f>
        <v>15.730400000000001</v>
      </c>
      <c r="AJ4" s="22">
        <f>Assumptions!$G5</f>
        <v>15.730400000000001</v>
      </c>
      <c r="AK4" s="22">
        <f>Assumptions!$G5</f>
        <v>15.730400000000001</v>
      </c>
      <c r="AL4" s="22">
        <f>Assumptions!$G5</f>
        <v>15.730400000000001</v>
      </c>
      <c r="AM4" s="604">
        <f>Assumptions!$G5</f>
        <v>15.730400000000001</v>
      </c>
      <c r="AN4" s="1185">
        <f>Assumptions!$H5</f>
        <v>16.674224000000002</v>
      </c>
      <c r="AO4" s="22">
        <f>Assumptions!$H5</f>
        <v>16.674224000000002</v>
      </c>
      <c r="AP4" s="22">
        <f>Assumptions!$H5</f>
        <v>16.674224000000002</v>
      </c>
      <c r="AQ4" s="22">
        <f>Assumptions!$H5</f>
        <v>16.674224000000002</v>
      </c>
      <c r="AR4" s="22">
        <f>Assumptions!$H5</f>
        <v>16.674224000000002</v>
      </c>
      <c r="AS4" s="22">
        <f>Assumptions!$H5</f>
        <v>16.674224000000002</v>
      </c>
      <c r="AT4" s="22">
        <f>Assumptions!$H5</f>
        <v>16.674224000000002</v>
      </c>
      <c r="AU4" s="22">
        <f>Assumptions!$H5</f>
        <v>16.674224000000002</v>
      </c>
      <c r="AV4" s="22">
        <f>Assumptions!$H5</f>
        <v>16.674224000000002</v>
      </c>
      <c r="AW4" s="22">
        <f>Assumptions!$H5</f>
        <v>16.674224000000002</v>
      </c>
      <c r="AX4" s="22">
        <f>Assumptions!$H5</f>
        <v>16.674224000000002</v>
      </c>
      <c r="AY4" s="604">
        <f>Assumptions!$H5</f>
        <v>16.674224000000002</v>
      </c>
      <c r="AZ4" s="686">
        <f>Assumptions!$I5</f>
        <v>17.674677440000004</v>
      </c>
      <c r="BA4" s="22">
        <f>Assumptions!$I5</f>
        <v>17.674677440000004</v>
      </c>
      <c r="BB4" s="22">
        <f>Assumptions!$I5</f>
        <v>17.674677440000004</v>
      </c>
      <c r="BC4" s="22">
        <f>Assumptions!$I5</f>
        <v>17.674677440000004</v>
      </c>
      <c r="BD4" s="22">
        <f>Assumptions!$I5</f>
        <v>17.674677440000004</v>
      </c>
      <c r="BE4" s="22">
        <f>Assumptions!$I5</f>
        <v>17.674677440000004</v>
      </c>
      <c r="BF4" s="22">
        <f>Assumptions!$I5</f>
        <v>17.674677440000004</v>
      </c>
      <c r="BG4" s="22">
        <f>Assumptions!$I5</f>
        <v>17.674677440000004</v>
      </c>
      <c r="BH4" s="22">
        <f>Assumptions!$I5</f>
        <v>17.674677440000004</v>
      </c>
      <c r="BI4" s="22">
        <f>Assumptions!$I5</f>
        <v>17.674677440000004</v>
      </c>
      <c r="BJ4" s="22">
        <f>Assumptions!$I5</f>
        <v>17.674677440000004</v>
      </c>
      <c r="BK4" s="604">
        <f>Assumptions!$I5</f>
        <v>17.674677440000004</v>
      </c>
      <c r="BL4" s="686">
        <f>Assumptions!$J5</f>
        <v>18.735158086400006</v>
      </c>
      <c r="BM4" s="22">
        <f>Assumptions!$J5</f>
        <v>18.735158086400006</v>
      </c>
      <c r="BN4" s="22">
        <f>Assumptions!$J5</f>
        <v>18.735158086400006</v>
      </c>
      <c r="BO4" s="22">
        <f>Assumptions!$J5</f>
        <v>18.735158086400006</v>
      </c>
      <c r="BP4" s="22">
        <f>Assumptions!$J5</f>
        <v>18.735158086400006</v>
      </c>
      <c r="BQ4" s="22">
        <f>Assumptions!$J5</f>
        <v>18.735158086400006</v>
      </c>
      <c r="BR4" s="22">
        <f>Assumptions!$J5</f>
        <v>18.735158086400006</v>
      </c>
      <c r="BS4" s="22">
        <f>Assumptions!$J5</f>
        <v>18.735158086400006</v>
      </c>
      <c r="BT4" s="22">
        <f>Assumptions!$J5</f>
        <v>18.735158086400006</v>
      </c>
      <c r="BU4" s="22">
        <f>Assumptions!$J5</f>
        <v>18.735158086400006</v>
      </c>
      <c r="BV4" s="22">
        <f>Assumptions!$J5</f>
        <v>18.735158086400006</v>
      </c>
      <c r="BW4" s="604">
        <f>Assumptions!$J5</f>
        <v>18.735158086400006</v>
      </c>
      <c r="BX4" s="686">
        <f>Assumptions!$K5</f>
        <v>19.859267571584006</v>
      </c>
      <c r="BY4" s="22">
        <f>Assumptions!$K5</f>
        <v>19.859267571584006</v>
      </c>
      <c r="BZ4" s="22">
        <f>Assumptions!$K5</f>
        <v>19.859267571584006</v>
      </c>
      <c r="CA4" s="22">
        <f>Assumptions!$K5</f>
        <v>19.859267571584006</v>
      </c>
      <c r="CB4" s="22">
        <f>Assumptions!$K5</f>
        <v>19.859267571584006</v>
      </c>
      <c r="CC4" s="22">
        <f>Assumptions!$K5</f>
        <v>19.859267571584006</v>
      </c>
      <c r="CD4" s="22">
        <f>Assumptions!$K5</f>
        <v>19.859267571584006</v>
      </c>
      <c r="CE4" s="22">
        <f>Assumptions!$K5</f>
        <v>19.859267571584006</v>
      </c>
      <c r="CF4" s="22">
        <f>Assumptions!$K5</f>
        <v>19.859267571584006</v>
      </c>
      <c r="CG4" s="22">
        <f>Assumptions!$K5</f>
        <v>19.859267571584006</v>
      </c>
      <c r="CH4" s="22">
        <f>Assumptions!$K5</f>
        <v>19.859267571584006</v>
      </c>
      <c r="CI4" s="604">
        <f>Assumptions!$K5</f>
        <v>19.859267571584006</v>
      </c>
      <c r="CJ4" s="686">
        <f>Assumptions!$L5</f>
        <v>21.050823625879048</v>
      </c>
      <c r="CK4" s="22">
        <f>Assumptions!$L5</f>
        <v>21.050823625879048</v>
      </c>
      <c r="CL4" s="22">
        <f>Assumptions!$L5</f>
        <v>21.050823625879048</v>
      </c>
      <c r="CM4" s="22">
        <f>Assumptions!$L5</f>
        <v>21.050823625879048</v>
      </c>
      <c r="CN4" s="22">
        <f>Assumptions!$L5</f>
        <v>21.050823625879048</v>
      </c>
      <c r="CO4" s="22">
        <f>Assumptions!$L5</f>
        <v>21.050823625879048</v>
      </c>
      <c r="CP4" s="22">
        <f>Assumptions!$L5</f>
        <v>21.050823625879048</v>
      </c>
      <c r="CQ4" s="22">
        <f>Assumptions!$L5</f>
        <v>21.050823625879048</v>
      </c>
      <c r="CR4" s="22">
        <f>Assumptions!$L5</f>
        <v>21.050823625879048</v>
      </c>
      <c r="CS4" s="22">
        <f>Assumptions!$L5</f>
        <v>21.050823625879048</v>
      </c>
      <c r="CT4" s="22">
        <f>Assumptions!$L5</f>
        <v>21.050823625879048</v>
      </c>
      <c r="CU4" s="604">
        <f>Assumptions!$L5</f>
        <v>21.050823625879048</v>
      </c>
      <c r="CV4" s="686">
        <f>Assumptions!$M5</f>
        <v>22.313873043431791</v>
      </c>
      <c r="CW4" s="22">
        <f>Assumptions!$M5</f>
        <v>22.313873043431791</v>
      </c>
      <c r="CX4" s="22">
        <f>Assumptions!$M5</f>
        <v>22.313873043431791</v>
      </c>
      <c r="CY4" s="22">
        <f>Assumptions!$M5</f>
        <v>22.313873043431791</v>
      </c>
      <c r="CZ4" s="22">
        <f>Assumptions!$M5</f>
        <v>22.313873043431791</v>
      </c>
      <c r="DA4" s="22">
        <f>Assumptions!$M5</f>
        <v>22.313873043431791</v>
      </c>
      <c r="DB4" s="22">
        <f>Assumptions!$M5</f>
        <v>22.313873043431791</v>
      </c>
      <c r="DC4" s="22">
        <f>Assumptions!$M5</f>
        <v>22.313873043431791</v>
      </c>
      <c r="DD4" s="22">
        <f>Assumptions!$M5</f>
        <v>22.313873043431791</v>
      </c>
      <c r="DE4" s="22">
        <f>Assumptions!$M5</f>
        <v>22.313873043431791</v>
      </c>
      <c r="DF4" s="22">
        <f>Assumptions!$M5</f>
        <v>22.313873043431791</v>
      </c>
      <c r="DG4" s="604">
        <f>Assumptions!$M5</f>
        <v>22.313873043431791</v>
      </c>
      <c r="DH4" s="686">
        <f>Assumptions!$N5</f>
        <v>23.652705426037699</v>
      </c>
      <c r="DI4" s="22">
        <f>Assumptions!$N5</f>
        <v>23.652705426037699</v>
      </c>
      <c r="DJ4" s="22">
        <f>Assumptions!$N5</f>
        <v>23.652705426037699</v>
      </c>
      <c r="DK4" s="22">
        <f>Assumptions!$N5</f>
        <v>23.652705426037699</v>
      </c>
      <c r="DL4" s="22">
        <f>Assumptions!$N5</f>
        <v>23.652705426037699</v>
      </c>
      <c r="DM4" s="22">
        <f>Assumptions!$N5</f>
        <v>23.652705426037699</v>
      </c>
      <c r="DN4" s="22">
        <f>Assumptions!$N5</f>
        <v>23.652705426037699</v>
      </c>
      <c r="DO4" s="22">
        <f>Assumptions!$N5</f>
        <v>23.652705426037699</v>
      </c>
      <c r="DP4" s="22">
        <f>Assumptions!$N5</f>
        <v>23.652705426037699</v>
      </c>
      <c r="DQ4" s="22">
        <f>Assumptions!$N5</f>
        <v>23.652705426037699</v>
      </c>
      <c r="DR4" s="22">
        <f>Assumptions!$N5</f>
        <v>23.652705426037699</v>
      </c>
      <c r="DS4" s="604">
        <f>Assumptions!$N5</f>
        <v>23.652705426037699</v>
      </c>
    </row>
    <row r="5" spans="1:126" hidden="1" x14ac:dyDescent="0.2">
      <c r="B5" s="21" t="s">
        <v>89</v>
      </c>
      <c r="C5" s="20"/>
      <c r="D5" s="22">
        <f>Assumptions!$E6</f>
        <v>16</v>
      </c>
      <c r="E5" s="22">
        <f>Assumptions!$E6</f>
        <v>16</v>
      </c>
      <c r="F5" s="22">
        <f>Assumptions!$E6</f>
        <v>16</v>
      </c>
      <c r="G5" s="22">
        <f>Assumptions!$E6</f>
        <v>16</v>
      </c>
      <c r="H5" s="22">
        <f>Assumptions!$E6</f>
        <v>16</v>
      </c>
      <c r="I5" s="22">
        <f>Assumptions!$E6</f>
        <v>16</v>
      </c>
      <c r="J5" s="22">
        <f>Assumptions!$E6</f>
        <v>16</v>
      </c>
      <c r="K5" s="22">
        <f>Assumptions!$E6</f>
        <v>16</v>
      </c>
      <c r="L5" s="22">
        <f>Assumptions!$E6</f>
        <v>16</v>
      </c>
      <c r="M5" s="22">
        <f>Assumptions!$E6</f>
        <v>16</v>
      </c>
      <c r="N5" s="22">
        <f>Assumptions!$E6</f>
        <v>16</v>
      </c>
      <c r="O5" s="22">
        <f>Assumptions!$E6</f>
        <v>16</v>
      </c>
      <c r="P5" s="22">
        <f>Assumptions!$F6</f>
        <v>16.96</v>
      </c>
      <c r="Q5" s="22">
        <f>Assumptions!$F6</f>
        <v>16.96</v>
      </c>
      <c r="R5" s="22">
        <f>Assumptions!$F6</f>
        <v>16.96</v>
      </c>
      <c r="S5" s="22">
        <f>Assumptions!$F6</f>
        <v>16.96</v>
      </c>
      <c r="T5" s="22">
        <f>Assumptions!$F6</f>
        <v>16.96</v>
      </c>
      <c r="U5" s="22">
        <f>Assumptions!$F6</f>
        <v>16.96</v>
      </c>
      <c r="V5" s="22">
        <f>Assumptions!$F6</f>
        <v>16.96</v>
      </c>
      <c r="W5" s="22">
        <f>Assumptions!$F6</f>
        <v>16.96</v>
      </c>
      <c r="X5" s="22">
        <f>Assumptions!$F6</f>
        <v>16.96</v>
      </c>
      <c r="Y5" s="22">
        <f>Assumptions!$F6</f>
        <v>16.96</v>
      </c>
      <c r="Z5" s="22">
        <f>Assumptions!$F6</f>
        <v>16.96</v>
      </c>
      <c r="AA5" s="604">
        <f>Assumptions!$F6</f>
        <v>16.96</v>
      </c>
      <c r="AB5" s="686">
        <f>Assumptions!$G6</f>
        <v>17.977600000000002</v>
      </c>
      <c r="AC5" s="22">
        <f>Assumptions!$G6</f>
        <v>17.977600000000002</v>
      </c>
      <c r="AD5" s="22">
        <f>Assumptions!$G6</f>
        <v>17.977600000000002</v>
      </c>
      <c r="AE5" s="22">
        <f>Assumptions!$G6</f>
        <v>17.977600000000002</v>
      </c>
      <c r="AF5" s="22">
        <f>Assumptions!$G6</f>
        <v>17.977600000000002</v>
      </c>
      <c r="AG5" s="22">
        <f>Assumptions!$G6</f>
        <v>17.977600000000002</v>
      </c>
      <c r="AH5" s="22">
        <f>Assumptions!$G6</f>
        <v>17.977600000000002</v>
      </c>
      <c r="AI5" s="22">
        <f>Assumptions!$G6</f>
        <v>17.977600000000002</v>
      </c>
      <c r="AJ5" s="22">
        <f>Assumptions!$G6</f>
        <v>17.977600000000002</v>
      </c>
      <c r="AK5" s="22">
        <f>Assumptions!$G6</f>
        <v>17.977600000000002</v>
      </c>
      <c r="AL5" s="22">
        <f>Assumptions!$G6</f>
        <v>17.977600000000002</v>
      </c>
      <c r="AM5" s="604">
        <f>Assumptions!$G6</f>
        <v>17.977600000000002</v>
      </c>
      <c r="AN5" s="1185">
        <f>Assumptions!$H6</f>
        <v>19.056256000000005</v>
      </c>
      <c r="AO5" s="22">
        <f>Assumptions!$H6</f>
        <v>19.056256000000005</v>
      </c>
      <c r="AP5" s="22">
        <f>Assumptions!$H6</f>
        <v>19.056256000000005</v>
      </c>
      <c r="AQ5" s="22">
        <f>Assumptions!$H6</f>
        <v>19.056256000000005</v>
      </c>
      <c r="AR5" s="22">
        <f>Assumptions!$H6</f>
        <v>19.056256000000005</v>
      </c>
      <c r="AS5" s="22">
        <f>Assumptions!$H6</f>
        <v>19.056256000000005</v>
      </c>
      <c r="AT5" s="22">
        <f>Assumptions!$H6</f>
        <v>19.056256000000005</v>
      </c>
      <c r="AU5" s="22">
        <f>Assumptions!$H6</f>
        <v>19.056256000000005</v>
      </c>
      <c r="AV5" s="22">
        <f>Assumptions!$H6</f>
        <v>19.056256000000005</v>
      </c>
      <c r="AW5" s="22">
        <f>Assumptions!$H6</f>
        <v>19.056256000000005</v>
      </c>
      <c r="AX5" s="22">
        <f>Assumptions!$H6</f>
        <v>19.056256000000005</v>
      </c>
      <c r="AY5" s="604">
        <f>Assumptions!$H6</f>
        <v>19.056256000000005</v>
      </c>
      <c r="AZ5" s="686">
        <f>Assumptions!$I6</f>
        <v>20.199631360000005</v>
      </c>
      <c r="BA5" s="22">
        <f>Assumptions!$I6</f>
        <v>20.199631360000005</v>
      </c>
      <c r="BB5" s="22">
        <f>Assumptions!$I6</f>
        <v>20.199631360000005</v>
      </c>
      <c r="BC5" s="22">
        <f>Assumptions!$I6</f>
        <v>20.199631360000005</v>
      </c>
      <c r="BD5" s="22">
        <f>Assumptions!$I6</f>
        <v>20.199631360000005</v>
      </c>
      <c r="BE5" s="22">
        <f>Assumptions!$I6</f>
        <v>20.199631360000005</v>
      </c>
      <c r="BF5" s="22">
        <f>Assumptions!$I6</f>
        <v>20.199631360000005</v>
      </c>
      <c r="BG5" s="22">
        <f>Assumptions!$I6</f>
        <v>20.199631360000005</v>
      </c>
      <c r="BH5" s="22">
        <f>Assumptions!$I6</f>
        <v>20.199631360000005</v>
      </c>
      <c r="BI5" s="22">
        <f>Assumptions!$I6</f>
        <v>20.199631360000005</v>
      </c>
      <c r="BJ5" s="22">
        <f>Assumptions!$I6</f>
        <v>20.199631360000005</v>
      </c>
      <c r="BK5" s="604">
        <f>Assumptions!$I6</f>
        <v>20.199631360000005</v>
      </c>
      <c r="BL5" s="686">
        <f>Assumptions!$J6</f>
        <v>21.411609241600008</v>
      </c>
      <c r="BM5" s="22">
        <f>Assumptions!$J6</f>
        <v>21.411609241600008</v>
      </c>
      <c r="BN5" s="22">
        <f>Assumptions!$J6</f>
        <v>21.411609241600008</v>
      </c>
      <c r="BO5" s="22">
        <f>Assumptions!$J6</f>
        <v>21.411609241600008</v>
      </c>
      <c r="BP5" s="22">
        <f>Assumptions!$J6</f>
        <v>21.411609241600008</v>
      </c>
      <c r="BQ5" s="22">
        <f>Assumptions!$J6</f>
        <v>21.411609241600008</v>
      </c>
      <c r="BR5" s="22">
        <f>Assumptions!$J6</f>
        <v>21.411609241600008</v>
      </c>
      <c r="BS5" s="22">
        <f>Assumptions!$J6</f>
        <v>21.411609241600008</v>
      </c>
      <c r="BT5" s="22">
        <f>Assumptions!$J6</f>
        <v>21.411609241600008</v>
      </c>
      <c r="BU5" s="22">
        <f>Assumptions!$J6</f>
        <v>21.411609241600008</v>
      </c>
      <c r="BV5" s="22">
        <f>Assumptions!$J6</f>
        <v>21.411609241600008</v>
      </c>
      <c r="BW5" s="604">
        <f>Assumptions!$J6</f>
        <v>21.411609241600008</v>
      </c>
      <c r="BX5" s="686">
        <f>Assumptions!$K6</f>
        <v>22.696305796096009</v>
      </c>
      <c r="BY5" s="22">
        <f>Assumptions!$K6</f>
        <v>22.696305796096009</v>
      </c>
      <c r="BZ5" s="22">
        <f>Assumptions!$K6</f>
        <v>22.696305796096009</v>
      </c>
      <c r="CA5" s="22">
        <f>Assumptions!$K6</f>
        <v>22.696305796096009</v>
      </c>
      <c r="CB5" s="22">
        <f>Assumptions!$K6</f>
        <v>22.696305796096009</v>
      </c>
      <c r="CC5" s="22">
        <f>Assumptions!$K6</f>
        <v>22.696305796096009</v>
      </c>
      <c r="CD5" s="22">
        <f>Assumptions!$K6</f>
        <v>22.696305796096009</v>
      </c>
      <c r="CE5" s="22">
        <f>Assumptions!$K6</f>
        <v>22.696305796096009</v>
      </c>
      <c r="CF5" s="22">
        <f>Assumptions!$K6</f>
        <v>22.696305796096009</v>
      </c>
      <c r="CG5" s="22">
        <f>Assumptions!$K6</f>
        <v>22.696305796096009</v>
      </c>
      <c r="CH5" s="22">
        <f>Assumptions!$K6</f>
        <v>22.696305796096009</v>
      </c>
      <c r="CI5" s="604">
        <f>Assumptions!$K6</f>
        <v>22.696305796096009</v>
      </c>
      <c r="CJ5" s="686">
        <f>Assumptions!$L6</f>
        <v>24.05808414386177</v>
      </c>
      <c r="CK5" s="22">
        <f>Assumptions!$L6</f>
        <v>24.05808414386177</v>
      </c>
      <c r="CL5" s="22">
        <f>Assumptions!$L6</f>
        <v>24.05808414386177</v>
      </c>
      <c r="CM5" s="22">
        <f>Assumptions!$L6</f>
        <v>24.05808414386177</v>
      </c>
      <c r="CN5" s="22">
        <f>Assumptions!$L6</f>
        <v>24.05808414386177</v>
      </c>
      <c r="CO5" s="22">
        <f>Assumptions!$L6</f>
        <v>24.05808414386177</v>
      </c>
      <c r="CP5" s="22">
        <f>Assumptions!$L6</f>
        <v>24.05808414386177</v>
      </c>
      <c r="CQ5" s="22">
        <f>Assumptions!$L6</f>
        <v>24.05808414386177</v>
      </c>
      <c r="CR5" s="22">
        <f>Assumptions!$L6</f>
        <v>24.05808414386177</v>
      </c>
      <c r="CS5" s="22">
        <f>Assumptions!$L6</f>
        <v>24.05808414386177</v>
      </c>
      <c r="CT5" s="22">
        <f>Assumptions!$L6</f>
        <v>24.05808414386177</v>
      </c>
      <c r="CU5" s="604">
        <f>Assumptions!$L6</f>
        <v>24.05808414386177</v>
      </c>
      <c r="CV5" s="686">
        <f>Assumptions!$M6</f>
        <v>25.501569192493477</v>
      </c>
      <c r="CW5" s="22">
        <f>Assumptions!$M6</f>
        <v>25.501569192493477</v>
      </c>
      <c r="CX5" s="22">
        <f>Assumptions!$M6</f>
        <v>25.501569192493477</v>
      </c>
      <c r="CY5" s="22">
        <f>Assumptions!$M6</f>
        <v>25.501569192493477</v>
      </c>
      <c r="CZ5" s="22">
        <f>Assumptions!$M6</f>
        <v>25.501569192493477</v>
      </c>
      <c r="DA5" s="22">
        <f>Assumptions!$M6</f>
        <v>25.501569192493477</v>
      </c>
      <c r="DB5" s="22">
        <f>Assumptions!$M6</f>
        <v>25.501569192493477</v>
      </c>
      <c r="DC5" s="22">
        <f>Assumptions!$M6</f>
        <v>25.501569192493477</v>
      </c>
      <c r="DD5" s="22">
        <f>Assumptions!$M6</f>
        <v>25.501569192493477</v>
      </c>
      <c r="DE5" s="22">
        <f>Assumptions!$M6</f>
        <v>25.501569192493477</v>
      </c>
      <c r="DF5" s="22">
        <f>Assumptions!$M6</f>
        <v>25.501569192493477</v>
      </c>
      <c r="DG5" s="604">
        <f>Assumptions!$M6</f>
        <v>25.501569192493477</v>
      </c>
      <c r="DH5" s="686">
        <f>Assumptions!$N6</f>
        <v>27.031663344043086</v>
      </c>
      <c r="DI5" s="22">
        <f>Assumptions!$N6</f>
        <v>27.031663344043086</v>
      </c>
      <c r="DJ5" s="22">
        <f>Assumptions!$N6</f>
        <v>27.031663344043086</v>
      </c>
      <c r="DK5" s="22">
        <f>Assumptions!$N6</f>
        <v>27.031663344043086</v>
      </c>
      <c r="DL5" s="22">
        <f>Assumptions!$N6</f>
        <v>27.031663344043086</v>
      </c>
      <c r="DM5" s="22">
        <f>Assumptions!$N6</f>
        <v>27.031663344043086</v>
      </c>
      <c r="DN5" s="22">
        <f>Assumptions!$N6</f>
        <v>27.031663344043086</v>
      </c>
      <c r="DO5" s="22">
        <f>Assumptions!$N6</f>
        <v>27.031663344043086</v>
      </c>
      <c r="DP5" s="22">
        <f>Assumptions!$N6</f>
        <v>27.031663344043086</v>
      </c>
      <c r="DQ5" s="22">
        <f>Assumptions!$N6</f>
        <v>27.031663344043086</v>
      </c>
      <c r="DR5" s="22">
        <f>Assumptions!$N6</f>
        <v>27.031663344043086</v>
      </c>
      <c r="DS5" s="604">
        <f>Assumptions!$N6</f>
        <v>27.031663344043086</v>
      </c>
    </row>
    <row r="6" spans="1:126" ht="13.5" customHeight="1" x14ac:dyDescent="0.2">
      <c r="B6" s="21" t="s">
        <v>311</v>
      </c>
      <c r="C6" s="20"/>
      <c r="D6" s="22">
        <f>Assumptions!$E7</f>
        <v>1</v>
      </c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604">
        <f>Assumptions!$E7</f>
        <v>1</v>
      </c>
      <c r="P6" s="686">
        <f>Assumptions!$F7</f>
        <v>1.0629999999999999</v>
      </c>
      <c r="Q6" s="22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604">
        <f>Assumptions!$F7</f>
        <v>1.0629999999999999</v>
      </c>
      <c r="AB6" s="686">
        <f>Assumptions!$G7</f>
        <v>1.1299689999999998</v>
      </c>
      <c r="AC6" s="22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604">
        <f>Assumptions!$G7</f>
        <v>1.1299689999999998</v>
      </c>
      <c r="AN6" s="1185">
        <f>Assumptions!$H7</f>
        <v>1.2011570469999997</v>
      </c>
      <c r="AO6" s="22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604">
        <f>Assumptions!$H7</f>
        <v>1.2011570469999997</v>
      </c>
      <c r="AZ6" s="686">
        <f>Assumptions!$I7</f>
        <v>1.2768299409609996</v>
      </c>
      <c r="BA6" s="22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604">
        <f>Assumptions!$I7</f>
        <v>1.2768299409609996</v>
      </c>
      <c r="BL6" s="686">
        <f>Assumptions!$J7</f>
        <v>1.3572702272415424</v>
      </c>
      <c r="BM6" s="22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604">
        <f>Assumptions!$J7</f>
        <v>1.3572702272415424</v>
      </c>
      <c r="BX6" s="686">
        <f>Assumptions!$K7</f>
        <v>1.4427782515577596</v>
      </c>
      <c r="BY6" s="22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604">
        <f>Assumptions!$K7</f>
        <v>1.4427782515577596</v>
      </c>
      <c r="CJ6" s="686">
        <f>Assumptions!$L7</f>
        <v>1.5336732814058984</v>
      </c>
      <c r="CK6" s="22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604">
        <f>Assumptions!$L7</f>
        <v>1.5336732814058984</v>
      </c>
      <c r="CV6" s="686">
        <f>Assumptions!$M7</f>
        <v>1.6302946981344699</v>
      </c>
      <c r="CW6" s="22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604">
        <f>Assumptions!$M7</f>
        <v>1.6302946981344699</v>
      </c>
      <c r="DH6" s="686">
        <f>Assumptions!$N7</f>
        <v>1.7330032641169415</v>
      </c>
      <c r="DI6" s="22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604">
        <f>Assumptions!$N7</f>
        <v>1.7330032641169415</v>
      </c>
    </row>
    <row r="7" spans="1:126" ht="22.5" customHeight="1" x14ac:dyDescent="0.25">
      <c r="A7" s="5"/>
      <c r="B7" s="13"/>
      <c r="D7" s="3"/>
      <c r="E7" s="3"/>
      <c r="F7" s="205"/>
      <c r="G7" s="3"/>
      <c r="H7" s="3"/>
      <c r="I7" s="3"/>
      <c r="J7" s="3"/>
      <c r="K7" s="3"/>
      <c r="L7" s="3"/>
      <c r="M7" s="3"/>
      <c r="N7" s="3"/>
      <c r="O7" s="500"/>
      <c r="P7" s="3"/>
      <c r="Q7" s="3"/>
      <c r="R7" s="205"/>
      <c r="S7" s="3"/>
      <c r="T7" s="3"/>
      <c r="U7" s="3"/>
      <c r="V7" s="3"/>
      <c r="W7" s="3"/>
      <c r="X7" s="3"/>
      <c r="Y7" s="3"/>
      <c r="Z7" s="3"/>
      <c r="AA7" s="500"/>
      <c r="AB7" s="3"/>
      <c r="AC7" s="3"/>
      <c r="AD7" s="205"/>
      <c r="AE7" s="3"/>
      <c r="AF7" s="3"/>
      <c r="AG7" s="3"/>
      <c r="AH7" s="3"/>
      <c r="AI7" s="3"/>
      <c r="AJ7" s="3"/>
      <c r="AK7" s="3"/>
      <c r="AL7" s="3"/>
      <c r="AM7" s="500"/>
      <c r="AN7" s="788"/>
      <c r="AO7" s="3"/>
      <c r="AP7" s="205"/>
      <c r="AQ7" s="3"/>
      <c r="AR7" s="3"/>
      <c r="AS7" s="3"/>
      <c r="AT7" s="3"/>
      <c r="AU7" s="3"/>
      <c r="AV7" s="3"/>
      <c r="AW7" s="3"/>
      <c r="AX7" s="3"/>
      <c r="AY7" s="500"/>
      <c r="AZ7" s="3"/>
      <c r="BA7" s="3"/>
      <c r="BB7" s="205"/>
      <c r="BC7" s="3"/>
      <c r="BD7" s="3"/>
      <c r="BE7" s="3"/>
      <c r="BF7" s="3"/>
      <c r="BG7" s="3"/>
      <c r="BH7" s="3"/>
      <c r="BI7" s="3"/>
      <c r="BJ7" s="3"/>
      <c r="BK7" s="500"/>
      <c r="BL7" s="3"/>
      <c r="BM7" s="3"/>
      <c r="BN7" s="205"/>
      <c r="BO7" s="3"/>
      <c r="BP7" s="3"/>
      <c r="BQ7" s="3"/>
      <c r="BR7" s="3"/>
      <c r="BS7" s="3"/>
      <c r="BT7" s="3"/>
      <c r="BU7" s="3"/>
      <c r="BV7" s="3"/>
      <c r="BW7" s="500"/>
      <c r="BX7" s="3"/>
      <c r="BY7" s="3"/>
      <c r="BZ7" s="205"/>
      <c r="CA7" s="3"/>
      <c r="CB7" s="3"/>
      <c r="CC7" s="3"/>
      <c r="CD7" s="3"/>
      <c r="CE7" s="3"/>
      <c r="CF7" s="3"/>
      <c r="CG7" s="3"/>
      <c r="CH7" s="3"/>
      <c r="CI7" s="500"/>
      <c r="CJ7" s="3"/>
      <c r="CK7" s="3"/>
      <c r="CL7" s="205"/>
      <c r="CM7" s="3"/>
      <c r="CN7" s="3"/>
      <c r="CO7" s="3"/>
      <c r="CP7" s="3"/>
      <c r="CQ7" s="3"/>
      <c r="CR7" s="3"/>
      <c r="CS7" s="3"/>
      <c r="CT7" s="3"/>
      <c r="CU7" s="500"/>
      <c r="CV7" s="3"/>
      <c r="CW7" s="3"/>
      <c r="CX7" s="205"/>
      <c r="CY7" s="3"/>
      <c r="CZ7" s="3"/>
      <c r="DA7" s="3"/>
      <c r="DB7" s="3"/>
      <c r="DC7" s="3"/>
      <c r="DD7" s="3"/>
      <c r="DE7" s="3"/>
      <c r="DF7" s="3"/>
      <c r="DG7" s="500"/>
      <c r="DH7" s="3"/>
      <c r="DI7" s="3"/>
      <c r="DJ7" s="205"/>
      <c r="DK7" s="3"/>
      <c r="DL7" s="3"/>
      <c r="DM7" s="3"/>
      <c r="DN7" s="3"/>
      <c r="DO7" s="3"/>
      <c r="DP7" s="3"/>
      <c r="DQ7" s="3"/>
      <c r="DR7" s="3"/>
      <c r="DS7" s="500"/>
    </row>
    <row r="8" spans="1:126" ht="15.75" x14ac:dyDescent="0.25">
      <c r="A8" s="127"/>
      <c r="B8" s="168" t="s">
        <v>136</v>
      </c>
      <c r="D8" s="3"/>
      <c r="E8" s="3"/>
      <c r="F8" s="205"/>
      <c r="G8" s="3"/>
      <c r="H8" s="3"/>
      <c r="I8" s="3"/>
      <c r="J8" s="3"/>
      <c r="K8" s="3"/>
      <c r="L8" s="3"/>
      <c r="M8" s="3"/>
      <c r="N8" s="3"/>
      <c r="O8" s="500"/>
      <c r="P8" s="3"/>
      <c r="Q8" s="3"/>
      <c r="R8" s="205"/>
      <c r="S8" s="3"/>
      <c r="T8" s="3"/>
      <c r="U8" s="3"/>
      <c r="V8" s="3"/>
      <c r="W8" s="3"/>
      <c r="X8" s="3"/>
      <c r="Y8" s="3"/>
      <c r="Z8" s="3"/>
      <c r="AA8" s="500"/>
      <c r="AB8" s="3"/>
      <c r="AC8" s="3"/>
      <c r="AD8" s="205"/>
      <c r="AE8" s="3"/>
      <c r="AF8" s="3"/>
      <c r="AG8" s="3"/>
      <c r="AH8" s="3"/>
      <c r="AI8" s="3"/>
      <c r="AJ8" s="3"/>
      <c r="AK8" s="3"/>
      <c r="AL8" s="3"/>
      <c r="AM8" s="500"/>
      <c r="AN8" s="788"/>
      <c r="AO8" s="3"/>
      <c r="AP8" s="205"/>
      <c r="AQ8" s="3"/>
      <c r="AR8" s="3"/>
      <c r="AS8" s="3"/>
      <c r="AT8" s="3"/>
      <c r="AU8" s="3"/>
      <c r="AV8" s="3"/>
      <c r="AW8" s="3"/>
      <c r="AX8" s="3"/>
      <c r="AY8" s="500"/>
      <c r="AZ8" s="3"/>
      <c r="BA8" s="3"/>
      <c r="BB8" s="205"/>
      <c r="BC8" s="3"/>
      <c r="BD8" s="3"/>
      <c r="BE8" s="3"/>
      <c r="BF8" s="3"/>
      <c r="BG8" s="3"/>
      <c r="BH8" s="3"/>
      <c r="BI8" s="3"/>
      <c r="BJ8" s="3"/>
      <c r="BK8" s="500"/>
      <c r="BL8" s="3"/>
      <c r="BM8" s="3"/>
      <c r="BN8" s="205"/>
      <c r="BO8" s="3"/>
      <c r="BP8" s="3"/>
      <c r="BQ8" s="3"/>
      <c r="BR8" s="3"/>
      <c r="BS8" s="3"/>
      <c r="BT8" s="3"/>
      <c r="BU8" s="3"/>
      <c r="BV8" s="3"/>
      <c r="BW8" s="500"/>
      <c r="BX8" s="3"/>
      <c r="BY8" s="3"/>
      <c r="BZ8" s="205"/>
      <c r="CA8" s="3"/>
      <c r="CB8" s="3"/>
      <c r="CC8" s="3"/>
      <c r="CD8" s="3"/>
      <c r="CE8" s="3"/>
      <c r="CF8" s="3"/>
      <c r="CG8" s="3"/>
      <c r="CH8" s="3"/>
      <c r="CI8" s="500"/>
      <c r="CJ8" s="3"/>
      <c r="CK8" s="3"/>
      <c r="CL8" s="205"/>
      <c r="CM8" s="3"/>
      <c r="CN8" s="3"/>
      <c r="CO8" s="3"/>
      <c r="CP8" s="3"/>
      <c r="CQ8" s="3"/>
      <c r="CR8" s="3"/>
      <c r="CS8" s="3"/>
      <c r="CT8" s="3"/>
      <c r="CU8" s="500"/>
      <c r="CV8" s="3"/>
      <c r="CW8" s="3"/>
      <c r="CX8" s="205"/>
      <c r="CY8" s="3"/>
      <c r="CZ8" s="3"/>
      <c r="DA8" s="3"/>
      <c r="DB8" s="3"/>
      <c r="DC8" s="3"/>
      <c r="DD8" s="3"/>
      <c r="DE8" s="3"/>
      <c r="DF8" s="3"/>
      <c r="DG8" s="500"/>
      <c r="DH8" s="3"/>
      <c r="DI8" s="3"/>
      <c r="DJ8" s="205"/>
      <c r="DK8" s="3"/>
      <c r="DL8" s="3"/>
      <c r="DM8" s="3"/>
      <c r="DN8" s="3"/>
      <c r="DO8" s="3"/>
      <c r="DP8" s="3"/>
      <c r="DQ8" s="3"/>
      <c r="DR8" s="3"/>
      <c r="DS8" s="500"/>
      <c r="DT8" s="3"/>
    </row>
    <row r="9" spans="1:126" ht="15" hidden="1" x14ac:dyDescent="0.25">
      <c r="B9" s="162" t="s">
        <v>565</v>
      </c>
      <c r="C9" s="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532"/>
      <c r="P9" s="109" t="e">
        <f>-Production!#REF!*Assumptions!#REF!</f>
        <v>#REF!</v>
      </c>
      <c r="Q9" s="109" t="e">
        <f>-Production!#REF!*Assumptions!#REF!</f>
        <v>#REF!</v>
      </c>
      <c r="R9" s="109" t="e">
        <f>-Production!#REF!*Assumptions!#REF!</f>
        <v>#REF!</v>
      </c>
      <c r="S9" s="109" t="e">
        <f>-Production!#REF!*Assumptions!#REF!</f>
        <v>#REF!</v>
      </c>
      <c r="T9" s="109" t="e">
        <f>-Production!#REF!*Assumptions!#REF!</f>
        <v>#REF!</v>
      </c>
      <c r="U9" s="109" t="e">
        <f>-Production!#REF!*Assumptions!#REF!</f>
        <v>#REF!</v>
      </c>
      <c r="V9" s="109" t="e">
        <f>-Production!#REF!*Assumptions!#REF!</f>
        <v>#REF!</v>
      </c>
      <c r="W9" s="109" t="e">
        <f>-Production!#REF!*Assumptions!#REF!</f>
        <v>#REF!</v>
      </c>
      <c r="X9" s="109" t="e">
        <f>-Production!#REF!*Assumptions!#REF!</f>
        <v>#REF!</v>
      </c>
      <c r="Y9" s="109" t="e">
        <f>-Production!#REF!*Assumptions!#REF!</f>
        <v>#REF!</v>
      </c>
      <c r="Z9" s="109" t="e">
        <f>-Production!#REF!*Assumptions!#REF!</f>
        <v>#REF!</v>
      </c>
      <c r="AA9" s="695" t="e">
        <f>-Production!#REF!*Assumptions!#REF!</f>
        <v>#REF!</v>
      </c>
      <c r="AB9" s="109" t="e">
        <f>-Production!#REF!*Assumptions!#REF!</f>
        <v>#REF!</v>
      </c>
      <c r="AC9" s="109" t="e">
        <f>-Production!#REF!*Assumptions!#REF!</f>
        <v>#REF!</v>
      </c>
      <c r="AD9" s="109" t="e">
        <f>-Production!#REF!*Assumptions!#REF!</f>
        <v>#REF!</v>
      </c>
      <c r="AE9" s="109" t="e">
        <f>-Production!#REF!*Assumptions!#REF!</f>
        <v>#REF!</v>
      </c>
      <c r="AF9" s="109" t="e">
        <f>-Production!#REF!*Assumptions!#REF!</f>
        <v>#REF!</v>
      </c>
      <c r="AG9" s="109" t="e">
        <f>-Production!#REF!*Assumptions!#REF!</f>
        <v>#REF!</v>
      </c>
      <c r="AH9" s="109" t="e">
        <f>-Production!#REF!*Assumptions!#REF!</f>
        <v>#REF!</v>
      </c>
      <c r="AI9" s="109" t="e">
        <f>-Production!#REF!*Assumptions!#REF!</f>
        <v>#REF!</v>
      </c>
      <c r="AJ9" s="109" t="e">
        <f>-Production!#REF!*Assumptions!#REF!</f>
        <v>#REF!</v>
      </c>
      <c r="AK9" s="109" t="e">
        <f>-Production!#REF!*Assumptions!#REF!</f>
        <v>#REF!</v>
      </c>
      <c r="AL9" s="109" t="e">
        <f>-Production!#REF!*Assumptions!#REF!</f>
        <v>#REF!</v>
      </c>
      <c r="AM9" s="695" t="e">
        <f>-Production!#REF!*Assumptions!#REF!</f>
        <v>#REF!</v>
      </c>
      <c r="AN9" s="344" t="e">
        <f>-Production!#REF!*Assumptions!#REF!</f>
        <v>#REF!</v>
      </c>
      <c r="AO9" s="109" t="e">
        <f>-Production!#REF!*Assumptions!#REF!</f>
        <v>#REF!</v>
      </c>
      <c r="AP9" s="109" t="e">
        <f>-Production!#REF!*Assumptions!#REF!</f>
        <v>#REF!</v>
      </c>
      <c r="AQ9" s="109" t="e">
        <f>-Production!#REF!*Assumptions!#REF!</f>
        <v>#REF!</v>
      </c>
      <c r="AR9" s="109" t="e">
        <f>-Production!#REF!*Assumptions!#REF!</f>
        <v>#REF!</v>
      </c>
      <c r="AS9" s="109" t="e">
        <f>-Production!#REF!*Assumptions!#REF!</f>
        <v>#REF!</v>
      </c>
      <c r="AT9" s="109" t="e">
        <f>-Production!#REF!*Assumptions!#REF!</f>
        <v>#REF!</v>
      </c>
      <c r="AU9" s="109" t="e">
        <f>-Production!#REF!*Assumptions!#REF!</f>
        <v>#REF!</v>
      </c>
      <c r="AV9" s="109" t="e">
        <f>-Production!#REF!*Assumptions!#REF!</f>
        <v>#REF!</v>
      </c>
      <c r="AW9" s="109" t="e">
        <f>-Production!#REF!*Assumptions!#REF!</f>
        <v>#REF!</v>
      </c>
      <c r="AX9" s="109" t="e">
        <f>-Production!#REF!*Assumptions!#REF!</f>
        <v>#REF!</v>
      </c>
      <c r="AY9" s="695" t="e">
        <f>-Production!#REF!*Assumptions!#REF!</f>
        <v>#REF!</v>
      </c>
      <c r="AZ9" s="109" t="e">
        <f>-Production!#REF!*Assumptions!#REF!</f>
        <v>#REF!</v>
      </c>
      <c r="BA9" s="109" t="e">
        <f>-Production!#REF!*Assumptions!#REF!</f>
        <v>#REF!</v>
      </c>
      <c r="BB9" s="109" t="e">
        <f>-Production!#REF!*Assumptions!#REF!</f>
        <v>#REF!</v>
      </c>
      <c r="BC9" s="109" t="e">
        <f>-Production!#REF!*Assumptions!#REF!</f>
        <v>#REF!</v>
      </c>
      <c r="BD9" s="109" t="e">
        <f>-Production!#REF!*Assumptions!#REF!</f>
        <v>#REF!</v>
      </c>
      <c r="BE9" s="109" t="e">
        <f>-Production!#REF!*Assumptions!#REF!</f>
        <v>#REF!</v>
      </c>
      <c r="BF9" s="109" t="e">
        <f>-Production!#REF!*Assumptions!#REF!</f>
        <v>#REF!</v>
      </c>
      <c r="BG9" s="109" t="e">
        <f>-Production!#REF!*Assumptions!#REF!</f>
        <v>#REF!</v>
      </c>
      <c r="BH9" s="109" t="e">
        <f>-Production!#REF!*Assumptions!#REF!</f>
        <v>#REF!</v>
      </c>
      <c r="BI9" s="109" t="e">
        <f>-Production!#REF!*Assumptions!#REF!</f>
        <v>#REF!</v>
      </c>
      <c r="BJ9" s="109" t="e">
        <f>-Production!#REF!*Assumptions!#REF!</f>
        <v>#REF!</v>
      </c>
      <c r="BK9" s="695" t="e">
        <f>-Production!#REF!*Assumptions!#REF!</f>
        <v>#REF!</v>
      </c>
      <c r="BL9" s="109" t="e">
        <f>-Production!#REF!*Assumptions!#REF!</f>
        <v>#REF!</v>
      </c>
      <c r="BM9" s="109" t="e">
        <f>-Production!#REF!*Assumptions!#REF!</f>
        <v>#REF!</v>
      </c>
      <c r="BN9" s="109" t="e">
        <f>-Production!#REF!*Assumptions!#REF!</f>
        <v>#REF!</v>
      </c>
      <c r="BO9" s="109" t="e">
        <f>-Production!#REF!*Assumptions!#REF!</f>
        <v>#REF!</v>
      </c>
      <c r="BP9" s="109" t="e">
        <f>-Production!#REF!*Assumptions!#REF!</f>
        <v>#REF!</v>
      </c>
      <c r="BQ9" s="109" t="e">
        <f>-Production!#REF!*Assumptions!#REF!</f>
        <v>#REF!</v>
      </c>
      <c r="BR9" s="109" t="e">
        <f>-Production!#REF!*Assumptions!#REF!</f>
        <v>#REF!</v>
      </c>
      <c r="BS9" s="109" t="e">
        <f>-Production!#REF!*Assumptions!#REF!</f>
        <v>#REF!</v>
      </c>
      <c r="BT9" s="109" t="e">
        <f>-Production!#REF!*Assumptions!#REF!</f>
        <v>#REF!</v>
      </c>
      <c r="BU9" s="109" t="e">
        <f>-Production!#REF!*Assumptions!#REF!</f>
        <v>#REF!</v>
      </c>
      <c r="BV9" s="109" t="e">
        <f>-Production!#REF!*Assumptions!#REF!</f>
        <v>#REF!</v>
      </c>
      <c r="BW9" s="695" t="e">
        <f>-Production!#REF!*Assumptions!#REF!</f>
        <v>#REF!</v>
      </c>
      <c r="BX9" s="109" t="e">
        <f>-Production!#REF!*Assumptions!#REF!</f>
        <v>#REF!</v>
      </c>
      <c r="BY9" s="109" t="e">
        <f>-Production!#REF!*Assumptions!#REF!</f>
        <v>#REF!</v>
      </c>
      <c r="BZ9" s="109" t="e">
        <f>-Production!#REF!*Assumptions!#REF!</f>
        <v>#REF!</v>
      </c>
      <c r="CA9" s="109" t="e">
        <f>-Production!#REF!*Assumptions!#REF!</f>
        <v>#REF!</v>
      </c>
      <c r="CB9" s="109" t="e">
        <f>-Production!#REF!*Assumptions!#REF!</f>
        <v>#REF!</v>
      </c>
      <c r="CC9" s="109" t="e">
        <f>-Production!#REF!*Assumptions!#REF!</f>
        <v>#REF!</v>
      </c>
      <c r="CD9" s="109" t="e">
        <f>-Production!#REF!*Assumptions!#REF!</f>
        <v>#REF!</v>
      </c>
      <c r="CE9" s="109" t="e">
        <f>-Production!#REF!*Assumptions!#REF!</f>
        <v>#REF!</v>
      </c>
      <c r="CF9" s="109" t="e">
        <f>-Production!#REF!*Assumptions!#REF!</f>
        <v>#REF!</v>
      </c>
      <c r="CG9" s="109" t="e">
        <f>-Production!#REF!*Assumptions!#REF!</f>
        <v>#REF!</v>
      </c>
      <c r="CH9" s="109" t="e">
        <f>-Production!#REF!*Assumptions!#REF!</f>
        <v>#REF!</v>
      </c>
      <c r="CI9" s="695" t="e">
        <f>-Production!#REF!*Assumptions!#REF!</f>
        <v>#REF!</v>
      </c>
      <c r="CJ9" s="109" t="e">
        <f>-Production!#REF!*Assumptions!#REF!</f>
        <v>#REF!</v>
      </c>
      <c r="CK9" s="109" t="e">
        <f>-Production!#REF!*Assumptions!#REF!</f>
        <v>#REF!</v>
      </c>
      <c r="CL9" s="109" t="e">
        <f>-Production!#REF!*Assumptions!#REF!</f>
        <v>#REF!</v>
      </c>
      <c r="CM9" s="109" t="e">
        <f>-Production!#REF!*Assumptions!#REF!</f>
        <v>#REF!</v>
      </c>
      <c r="CN9" s="109" t="e">
        <f>-Production!#REF!*Assumptions!#REF!</f>
        <v>#REF!</v>
      </c>
      <c r="CO9" s="109" t="e">
        <f>-Production!#REF!*Assumptions!#REF!</f>
        <v>#REF!</v>
      </c>
      <c r="CP9" s="109" t="e">
        <f>-Production!#REF!*Assumptions!#REF!</f>
        <v>#REF!</v>
      </c>
      <c r="CQ9" s="109" t="e">
        <f>-Production!#REF!*Assumptions!#REF!</f>
        <v>#REF!</v>
      </c>
      <c r="CR9" s="109" t="e">
        <f>-Production!#REF!*Assumptions!#REF!</f>
        <v>#REF!</v>
      </c>
      <c r="CS9" s="109" t="e">
        <f>-Production!#REF!*Assumptions!#REF!</f>
        <v>#REF!</v>
      </c>
      <c r="CT9" s="109" t="e">
        <f>-Production!#REF!*Assumptions!#REF!</f>
        <v>#REF!</v>
      </c>
      <c r="CU9" s="695" t="e">
        <f>-Production!#REF!*Assumptions!#REF!</f>
        <v>#REF!</v>
      </c>
      <c r="CV9" s="109" t="e">
        <f>-Production!#REF!*Assumptions!#REF!</f>
        <v>#REF!</v>
      </c>
      <c r="CW9" s="109" t="e">
        <f>-Production!#REF!*Assumptions!#REF!</f>
        <v>#REF!</v>
      </c>
      <c r="CX9" s="109" t="e">
        <f>-Production!#REF!*Assumptions!#REF!</f>
        <v>#REF!</v>
      </c>
      <c r="CY9" s="109" t="e">
        <f>-Production!#REF!*Assumptions!#REF!</f>
        <v>#REF!</v>
      </c>
      <c r="CZ9" s="109" t="e">
        <f>-Production!#REF!*Assumptions!#REF!</f>
        <v>#REF!</v>
      </c>
      <c r="DA9" s="109" t="e">
        <f>-Production!#REF!*Assumptions!#REF!</f>
        <v>#REF!</v>
      </c>
      <c r="DB9" s="109" t="e">
        <f>-Production!#REF!*Assumptions!#REF!</f>
        <v>#REF!</v>
      </c>
      <c r="DC9" s="109" t="e">
        <f>-Production!#REF!*Assumptions!#REF!</f>
        <v>#REF!</v>
      </c>
      <c r="DD9" s="109" t="e">
        <f>-Production!#REF!*Assumptions!#REF!</f>
        <v>#REF!</v>
      </c>
      <c r="DE9" s="109" t="e">
        <f>-Production!#REF!*Assumptions!#REF!</f>
        <v>#REF!</v>
      </c>
      <c r="DF9" s="109" t="e">
        <f>-Production!#REF!*Assumptions!#REF!</f>
        <v>#REF!</v>
      </c>
      <c r="DG9" s="695" t="e">
        <f>-Production!#REF!*Assumptions!#REF!</f>
        <v>#REF!</v>
      </c>
      <c r="DH9" s="109" t="e">
        <f>-Production!#REF!*Assumptions!#REF!</f>
        <v>#REF!</v>
      </c>
      <c r="DI9" s="109" t="e">
        <f>-Production!#REF!*Assumptions!#REF!</f>
        <v>#REF!</v>
      </c>
      <c r="DJ9" s="109" t="e">
        <f>-Production!#REF!*Assumptions!#REF!</f>
        <v>#REF!</v>
      </c>
      <c r="DK9" s="109" t="e">
        <f>-Production!#REF!*Assumptions!#REF!</f>
        <v>#REF!</v>
      </c>
      <c r="DL9" s="109" t="e">
        <f>-Production!#REF!*Assumptions!#REF!</f>
        <v>#REF!</v>
      </c>
      <c r="DM9" s="109" t="e">
        <f>-Production!#REF!*Assumptions!#REF!</f>
        <v>#REF!</v>
      </c>
      <c r="DN9" s="109" t="e">
        <f>-Production!#REF!*Assumptions!#REF!</f>
        <v>#REF!</v>
      </c>
      <c r="DO9" s="109" t="e">
        <f>-Production!#REF!*Assumptions!#REF!</f>
        <v>#REF!</v>
      </c>
      <c r="DP9" s="109" t="e">
        <f>-Production!#REF!*Assumptions!#REF!</f>
        <v>#REF!</v>
      </c>
      <c r="DQ9" s="109" t="e">
        <f>-Production!#REF!*Assumptions!#REF!</f>
        <v>#REF!</v>
      </c>
      <c r="DR9" s="109" t="e">
        <f>-Production!#REF!*Assumptions!#REF!</f>
        <v>#REF!</v>
      </c>
      <c r="DS9" s="695" t="e">
        <f>-Production!#REF!*Assumptions!#REF!</f>
        <v>#REF!</v>
      </c>
      <c r="DT9" s="128"/>
    </row>
    <row r="10" spans="1:126" ht="15" x14ac:dyDescent="0.25">
      <c r="A10" s="9"/>
      <c r="B10" s="162" t="s">
        <v>566</v>
      </c>
      <c r="C10" s="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532"/>
      <c r="P10" s="695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695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687"/>
      <c r="AO10" s="110">
        <f>-((Production!AP23*Assumptions!$C50)+('1.Revenue'!AO27*Assumptions!$C51))*AO6</f>
        <v>-60057.852349999986</v>
      </c>
      <c r="AP10" s="110">
        <f>-((Production!AQ23*Assumptions!$C50)+('1.Revenue'!AP27*Assumptions!$C51))*AP6</f>
        <v>-314563.93592478876</v>
      </c>
      <c r="AQ10" s="110">
        <f>-((Production!AR23*Assumptions!$C50)+('1.Revenue'!AQ27*Assumptions!$C51))*AQ6</f>
        <v>-434679.64062478871</v>
      </c>
      <c r="AR10" s="110">
        <f>-((Production!AS23*Assumptions!$C50)+('1.Revenue'!AR27*Assumptions!$C51))*AR6</f>
        <v>-1003749.6601243663</v>
      </c>
      <c r="AS10" s="110">
        <f>-((Production!AT23*Assumptions!$C50)+('1.Revenue'!AS27*Assumptions!$C51))*AS6</f>
        <v>-1108111.112824155</v>
      </c>
      <c r="AT10" s="110">
        <f>-((Production!AU23*Assumptions!$C50)+('1.Revenue'!AT27*Assumptions!$C51))*AT6</f>
        <v>-501874.83006218314</v>
      </c>
      <c r="AU10" s="110">
        <f>-((Production!AV23*Assumptions!$C50)+('1.Revenue'!AU27*Assumptions!$C51))*AU6</f>
        <v>-659156.79802457744</v>
      </c>
      <c r="AV10" s="110">
        <f>-((Production!AW23*Assumptions!$C50)+('1.Revenue'!AV27*Assumptions!$C51))*AV6</f>
        <v>-696323.0612869719</v>
      </c>
      <c r="AW10" s="110">
        <f>-((Production!AX23*Assumptions!$C50)+('1.Revenue'!AW27*Assumptions!$C51))*AW6</f>
        <v>-374621.78827478871</v>
      </c>
      <c r="AX10" s="110">
        <f>-((Production!AY23*Assumptions!$C50)+('1.Revenue'!AX27*Assumptions!$C51))*AX6</f>
        <v>-659156.79802457744</v>
      </c>
      <c r="AY10" s="110">
        <f>-((Production!AZ23*Assumptions!$C50)+('1.Revenue'!AY27*Assumptions!$C51))*AY6</f>
        <v>-786409.83981197188</v>
      </c>
      <c r="AZ10" s="695">
        <f>-((Production!BA23*Assumptions!$C50)+('1.Revenue'!AZ27*Assumptions!$C51))*AZ6</f>
        <v>-772112.16267207603</v>
      </c>
      <c r="BA10" s="110">
        <f>-((Production!BB23*Assumptions!$C50)+('1.Revenue'!BA27*Assumptions!$C51))*BA6</f>
        <v>-495217.47417443059</v>
      </c>
      <c r="BB10" s="110">
        <f>-((Production!BC23*Assumptions!$C50)+('1.Revenue'!BB27*Assumptions!$C51))*BB6</f>
        <v>-351425.48179897049</v>
      </c>
      <c r="BC10" s="110">
        <f>-((Production!BD23*Assumptions!$C50)+('1.Revenue'!BC27*Assumptions!$C51))*BC6</f>
        <v>-479108.47589507047</v>
      </c>
      <c r="BD10" s="110">
        <f>-((Production!BE23*Assumptions!$C50)+('1.Revenue'!BD27*Assumptions!$C51))*BD6</f>
        <v>-1118117.9424449613</v>
      </c>
      <c r="BE10" s="110">
        <f>-((Production!BF23*Assumptions!$C50)+('1.Revenue'!BE27*Assumptions!$C51))*BE6</f>
        <v>-1246098.184575757</v>
      </c>
      <c r="BF10" s="110">
        <f>-((Production!BG23*Assumptions!$C50)+('1.Revenue'!BF27*Assumptions!$C51))*BF6</f>
        <v>-559058.97122248064</v>
      </c>
      <c r="BG10" s="110">
        <f>-((Production!BH23*Assumptions!$C50)+('1.Revenue'!BG27*Assumptions!$C51))*BG6</f>
        <v>-734771.71212196595</v>
      </c>
      <c r="BH10" s="110">
        <f>-((Production!BI23*Assumptions!$C50)+('1.Revenue'!BH27*Assumptions!$C51))*BH6</f>
        <v>-782801.45892535115</v>
      </c>
      <c r="BI10" s="110">
        <f>-((Production!BJ23*Assumptions!$C50)+('1.Revenue'!BI27*Assumptions!$C51))*BI6</f>
        <v>-415266.97884702048</v>
      </c>
      <c r="BJ10" s="110">
        <f>-((Production!BK23*Assumptions!$C50)+('1.Revenue'!BJ27*Assumptions!$C51))*BJ6</f>
        <v>-734771.71212196595</v>
      </c>
      <c r="BK10" s="110">
        <f>-((Production!BL23*Assumptions!$C50)+('1.Revenue'!BK27*Assumptions!$C51))*BK6</f>
        <v>-878563.70449742605</v>
      </c>
      <c r="BL10" s="695">
        <f>-((Production!BM23*Assumptions!$C50)+('1.Revenue'!BL27*Assumptions!$C51))*BL6</f>
        <v>-866049.70651868673</v>
      </c>
      <c r="BM10" s="110">
        <f>-((Production!BN23*Assumptions!$C50)+('1.Revenue'!BM27*Assumptions!$C51))*BM6</f>
        <v>-555304.99285959627</v>
      </c>
      <c r="BN10" s="110">
        <f>-((Production!BO23*Assumptions!$C50)+('1.Revenue'!BN27*Assumptions!$C51))*BN6</f>
        <v>-392824.49902708991</v>
      </c>
      <c r="BO10" s="110">
        <f>-((Production!BP23*Assumptions!$C50)+('1.Revenue'!BO27*Assumptions!$C51))*BO6</f>
        <v>-528551.5217512442</v>
      </c>
      <c r="BP10" s="110">
        <f>-((Production!BQ23*Assumptions!$C50)+('1.Revenue'!BP27*Assumptions!$C51))*BP6</f>
        <v>-1246337.0084433469</v>
      </c>
      <c r="BQ10" s="110">
        <f>-((Production!BR23*Assumptions!$C50)+('1.Revenue'!BQ27*Assumptions!$C51))*BQ6</f>
        <v>-1401639.2177031669</v>
      </c>
      <c r="BR10" s="110">
        <f>-((Production!BS23*Assumptions!$C50)+('1.Revenue'!BR27*Assumptions!$C51))*BR6</f>
        <v>-623168.50422167347</v>
      </c>
      <c r="BS10" s="110">
        <f>-((Production!BT23*Assumptions!$C50)+('1.Revenue'!BS27*Assumptions!$C51))*BS6</f>
        <v>-819580.75373521843</v>
      </c>
      <c r="BT10" s="110">
        <f>-((Production!BU23*Assumptions!$C50)+('1.Revenue'!BT27*Assumptions!$C51))*BT6</f>
        <v>-880265.98052460921</v>
      </c>
      <c r="BU10" s="110">
        <f>-((Production!BV23*Assumptions!$C50)+('1.Revenue'!BU27*Assumptions!$C51))*BU6</f>
        <v>-460688.01038916706</v>
      </c>
      <c r="BV10" s="110">
        <f>-((Production!BW23*Assumptions!$C50)+('1.Revenue'!BV27*Assumptions!$C51))*BV6</f>
        <v>-819580.75373521843</v>
      </c>
      <c r="BW10" s="110">
        <f>-((Production!BX23*Assumptions!$C50)+('1.Revenue'!BW27*Assumptions!$C51))*BW6</f>
        <v>-1015993.0032487634</v>
      </c>
      <c r="BX10" s="695">
        <f>-((Production!BY23*Assumptions!$C50)+('1.Revenue'!BX27*Assumptions!$C51))*BX6</f>
        <v>-1108439.5022416138</v>
      </c>
      <c r="BY10" s="110">
        <f>-((Production!BZ23*Assumptions!$C50)+('1.Revenue'!BY27*Assumptions!$C51))*BY6</f>
        <v>-439334.75484873477</v>
      </c>
      <c r="BZ10" s="110">
        <f>-((Production!CA23*Assumptions!$C50)+('1.Revenue'!BZ27*Assumptions!$C51))*BZ6</f>
        <v>-439334.75484873477</v>
      </c>
      <c r="CA10" s="110">
        <f>-((Production!CB23*Assumptions!$C50)+('1.Revenue'!CA27*Assumptions!$C51))*CA6</f>
        <v>-619682.0362934547</v>
      </c>
      <c r="CB10" s="110">
        <f>-((Production!CC23*Assumptions!$C50)+('1.Revenue'!CB27*Assumptions!$C51))*CB6</f>
        <v>-1537671.6419705718</v>
      </c>
      <c r="CC10" s="110">
        <f>-((Production!CD23*Assumptions!$C50)+('1.Revenue'!CC27*Assumptions!$C51))*CC6</f>
        <v>-1393393.8168147958</v>
      </c>
      <c r="CD10" s="110">
        <f>-((Production!CE23*Assumptions!$C50)+('1.Revenue'!CD27*Assumptions!$C51))*CD6</f>
        <v>-695071.58856204618</v>
      </c>
      <c r="CE10" s="110">
        <f>-((Production!CF23*Assumptions!$C50)+('1.Revenue'!CE27*Assumptions!$C51))*CE6</f>
        <v>-914738.96598641353</v>
      </c>
      <c r="CF10" s="110">
        <f>-((Production!CG23*Assumptions!$C50)+('1.Revenue'!CF27*Assumptions!$C51))*CF6</f>
        <v>-990128.51825500512</v>
      </c>
      <c r="CG10" s="110">
        <f>-((Production!CH23*Assumptions!$C50)+('1.Revenue'!CG27*Assumptions!$C51))*CG6</f>
        <v>-511473.66742662276</v>
      </c>
      <c r="CH10" s="110">
        <f>-((Production!CI23*Assumptions!$C50)+('1.Revenue'!CH27*Assumptions!$C51))*CH6</f>
        <v>-914738.96598641353</v>
      </c>
      <c r="CI10" s="110">
        <f>-((Production!CJ23*Assumptions!$C50)+('1.Revenue'!CI27*Assumptions!$C51))*CI6</f>
        <v>-1134406.3434107811</v>
      </c>
      <c r="CJ10" s="695">
        <f>-((Production!CK23*Assumptions!$C50)+('1.Revenue'!CJ27*Assumptions!$C51))*CJ6</f>
        <v>-1247671.2050720255</v>
      </c>
      <c r="CK10" s="110">
        <f>-((Production!CL23*Assumptions!$C50)+('1.Revenue'!CK27*Assumptions!$C51))*CK6</f>
        <v>-479308.2135847233</v>
      </c>
      <c r="CL10" s="110">
        <f>-((Production!CM23*Assumptions!$C50)+('1.Revenue'!CL27*Assumptions!$C51))*CL6</f>
        <v>-479308.2135847233</v>
      </c>
      <c r="CM10" s="110">
        <f>-((Production!CN23*Assumptions!$C50)+('1.Revenue'!CM27*Assumptions!$C51))*CM6</f>
        <v>-671017.37376046064</v>
      </c>
      <c r="CN10" s="110">
        <f>-((Production!CO23*Assumptions!$C50)+('1.Revenue'!CN27*Assumptions!$C51))*CN6</f>
        <v>-1677578.747546532</v>
      </c>
      <c r="CO10" s="110">
        <f>-((Production!CP23*Assumptions!$C50)+('1.Revenue'!CO27*Assumptions!$C51))*CO6</f>
        <v>-1524211.4194059419</v>
      </c>
      <c r="CP10" s="110">
        <f>-((Production!CQ23*Assumptions!$C50)+('1.Revenue'!CP27*Assumptions!$C51))*CP6</f>
        <v>-757304.15241223248</v>
      </c>
      <c r="CQ10" s="110">
        <f>-((Production!CR23*Assumptions!$C50)+('1.Revenue'!CQ27*Assumptions!$C51))*CQ6</f>
        <v>-996958.25920459407</v>
      </c>
      <c r="CR10" s="110">
        <f>-((Production!CS23*Assumptions!$C50)+('1.Revenue'!CR27*Assumptions!$C51))*CR6</f>
        <v>-1083245.037856366</v>
      </c>
      <c r="CS10" s="110">
        <f>-((Production!CT23*Assumptions!$C50)+('1.Revenue'!CS27*Assumptions!$C51))*CS6</f>
        <v>-594333.70969016571</v>
      </c>
      <c r="CT10" s="110">
        <f>-((Production!CU23*Assumptions!$C50)+('1.Revenue'!CT27*Assumptions!$C51))*CT6</f>
        <v>-1198270.5339618083</v>
      </c>
      <c r="CU10" s="110">
        <f>-((Production!CV23*Assumptions!$C50)+('1.Revenue'!CU27*Assumptions!$C51))*CU6</f>
        <v>-1198270.5339618083</v>
      </c>
      <c r="CV10" s="695">
        <f>-((Production!CW23*Assumptions!$C50)+('1.Revenue'!CV27*Assumptions!$C51))*CV6</f>
        <v>-1151489.4752413169</v>
      </c>
      <c r="CW10" s="110">
        <f>-((Production!CX23*Assumptions!$C50)+('1.Revenue'!CW27*Assumptions!$C51))*CW6</f>
        <v>-550361.38051453349</v>
      </c>
      <c r="CX10" s="110">
        <f>-((Production!CY23*Assumptions!$C50)+('1.Revenue'!CX27*Assumptions!$C51))*CX6</f>
        <v>-591118.74796789524</v>
      </c>
      <c r="CY10" s="110">
        <f>-((Production!CZ23*Assumptions!$C50)+('1.Revenue'!CY27*Assumptions!$C51))*CY6</f>
        <v>-947814.17313188559</v>
      </c>
      <c r="CZ10" s="110">
        <f>-((Production!DA23*Assumptions!$C50)+('1.Revenue'!CZ27*Assumptions!$C51))*CZ6</f>
        <v>-1691841.5089969623</v>
      </c>
      <c r="DA10" s="110">
        <f>-((Production!DB23*Assumptions!$C50)+('1.Revenue'!DA27*Assumptions!$C51))*DA6</f>
        <v>-1763235.3619874201</v>
      </c>
      <c r="DB10" s="110">
        <f>-((Production!DC23*Assumptions!$C50)+('1.Revenue'!DB27*Assumptions!$C51))*DB6</f>
        <v>-866299.4382251621</v>
      </c>
      <c r="DC10" s="110">
        <f>-((Production!DD23*Assumptions!$C50)+('1.Revenue'!DC27*Assumptions!$C51))*DC6</f>
        <v>-1141480.1284824288</v>
      </c>
      <c r="DD10" s="110">
        <f>-((Production!DE23*Assumptions!$C50)+('1.Revenue'!DD27*Assumptions!$C51))*DD6</f>
        <v>-1253631.3489262485</v>
      </c>
      <c r="DE10" s="110">
        <f>-((Production!DF23*Assumptions!$C50)+('1.Revenue'!DE27*Assumptions!$C51))*DE6</f>
        <v>-672633.48287461873</v>
      </c>
      <c r="DF10" s="110">
        <f>-((Production!DG23*Assumptions!$C50)+('1.Revenue'!DF27*Assumptions!$C51))*DF6</f>
        <v>-1375903.4512863336</v>
      </c>
      <c r="DG10" s="110">
        <f>-((Production!DH23*Assumptions!$C50)+('1.Revenue'!DG27*Assumptions!$C51))*DG6</f>
        <v>-1375903.4512863336</v>
      </c>
      <c r="DH10" s="695">
        <f>-((Production!DI23*Assumptions!$C50)+('1.Revenue'!DH27*Assumptions!$C51))*DH6</f>
        <v>-1332610.1239086022</v>
      </c>
      <c r="DI10" s="110">
        <f>-((Production!DJ23*Assumptions!$C50)+('1.Revenue'!DI27*Assumptions!$C51))*DI6</f>
        <v>-616432.33849665849</v>
      </c>
      <c r="DJ10" s="110">
        <f>-((Production!DK23*Assumptions!$C50)+('1.Revenue'!DJ27*Assumptions!$C51))*DJ6</f>
        <v>-659757.42009958206</v>
      </c>
      <c r="DK10" s="110">
        <f>-((Production!DL23*Assumptions!$C50)+('1.Revenue'!DK27*Assumptions!$C51))*DK6</f>
        <v>-1054623.7525537584</v>
      </c>
      <c r="DL10" s="110">
        <f>-((Production!DM23*Assumptions!$C50)+('1.Revenue'!DL27*Assumptions!$C51))*DL6</f>
        <v>-1892622.097092899</v>
      </c>
      <c r="DM10" s="110">
        <f>-((Production!DN23*Assumptions!$C50)+('1.Revenue'!DM27*Assumptions!$C51))*DM6</f>
        <v>-1984212.8583266106</v>
      </c>
      <c r="DN10" s="110">
        <f>-((Production!DO23*Assumptions!$C50)+('1.Revenue'!DN27*Assumptions!$C51))*DN6</f>
        <v>-1011298.6709508348</v>
      </c>
      <c r="DO10" s="110">
        <f>-((Production!DP23*Assumptions!$C50)+('1.Revenue'!DO27*Assumptions!$C51))*DO6</f>
        <v>-1497755.7646387226</v>
      </c>
      <c r="DP10" s="110">
        <f>-((Production!DQ23*Assumptions!$C50)+('1.Revenue'!DP27*Assumptions!$C51))*DP6</f>
        <v>-1146214.5137874698</v>
      </c>
      <c r="DQ10" s="110">
        <f>-((Production!DR23*Assumptions!$C50)+('1.Revenue'!DQ27*Assumptions!$C51))*DQ6</f>
        <v>-746407.58330542909</v>
      </c>
      <c r="DR10" s="110">
        <f>-((Production!DS23*Assumptions!$C50)+('1.Revenue'!DR27*Assumptions!$C51))*DR6</f>
        <v>-1541080.8462416462</v>
      </c>
      <c r="DS10" s="110">
        <f>-((Production!DT23*Assumptions!$C50)+('1.Revenue'!DS27*Assumptions!$C51))*DS6</f>
        <v>-1541080.8462416462</v>
      </c>
      <c r="DT10" s="128"/>
    </row>
    <row r="11" spans="1:126" ht="15" x14ac:dyDescent="0.25">
      <c r="A11" s="9"/>
      <c r="B11" s="163" t="s">
        <v>310</v>
      </c>
      <c r="C11" s="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532"/>
      <c r="P11" s="695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695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687"/>
      <c r="AO11" s="110">
        <f>-Production!AP29*Assumptions!$C52*AO6</f>
        <v>-102098.34899499998</v>
      </c>
      <c r="AP11" s="110">
        <f>-Production!AQ29*Assumptions!$C52*AP6</f>
        <v>-204196.69798999996</v>
      </c>
      <c r="AQ11" s="110">
        <f>-Production!AR29*Assumptions!$C52*AQ6</f>
        <v>-408393.39597999991</v>
      </c>
      <c r="AR11" s="110">
        <f>-Production!AS29*Assumptions!$C52*AR6</f>
        <v>-510491.74497499986</v>
      </c>
      <c r="AS11" s="110">
        <f>-Production!AT29*Assumptions!$C52*AS6</f>
        <v>-204196.69798999996</v>
      </c>
      <c r="AT11" s="110">
        <f>-Production!AU29*Assumptions!$C52*AT6</f>
        <v>-204196.69798999996</v>
      </c>
      <c r="AU11" s="110">
        <f>-Production!AV29*Assumptions!$C52*AU6</f>
        <v>-408393.39597999991</v>
      </c>
      <c r="AV11" s="110">
        <f>-Production!AW29*Assumptions!$C52*AV6</f>
        <v>-102098.34899499998</v>
      </c>
      <c r="AW11" s="110">
        <f>-Production!AX29*Assumptions!$C52*AW6</f>
        <v>-306295.04698499991</v>
      </c>
      <c r="AX11" s="110">
        <f>-Production!AY29*Assumptions!$C52*AX6</f>
        <v>-306295.04698499991</v>
      </c>
      <c r="AY11" s="110">
        <f>-Production!AZ29*Assumptions!$C52*AY6</f>
        <v>-408393.39597999991</v>
      </c>
      <c r="AZ11" s="695">
        <f>-Production!BA29*Assumptions!$C52*AZ6</f>
        <v>-108530.54498168496</v>
      </c>
      <c r="BA11" s="110">
        <f>-Production!BB29*Assumptions!$C52*BA6</f>
        <v>-217061.08996336992</v>
      </c>
      <c r="BB11" s="110">
        <f>-Production!BC29*Assumptions!$C52*BB6</f>
        <v>-108530.54498168496</v>
      </c>
      <c r="BC11" s="110">
        <f>-Production!BD29*Assumptions!$C52*BC6</f>
        <v>-434122.17992673983</v>
      </c>
      <c r="BD11" s="110">
        <f>-Production!BE29*Assumptions!$C52*BD6</f>
        <v>-542652.72490842477</v>
      </c>
      <c r="BE11" s="110">
        <f>-Production!BF29*Assumptions!$C52*BE6</f>
        <v>-217061.08996336992</v>
      </c>
      <c r="BF11" s="110">
        <f>-Production!BG29*Assumptions!$C52*BF6</f>
        <v>-325591.63494505489</v>
      </c>
      <c r="BG11" s="110">
        <f>-Production!BH29*Assumptions!$C52*BG6</f>
        <v>-325591.63494505489</v>
      </c>
      <c r="BH11" s="110">
        <f>-Production!BI29*Assumptions!$C52*BH6</f>
        <v>-217061.08996336992</v>
      </c>
      <c r="BI11" s="110">
        <f>-Production!BJ29*Assumptions!$C52*BI6</f>
        <v>-325591.63494505489</v>
      </c>
      <c r="BJ11" s="110">
        <f>-Production!BK29*Assumptions!$C52*BJ6</f>
        <v>-325591.63494505489</v>
      </c>
      <c r="BK11" s="110">
        <f>-Production!BL29*Assumptions!$C52*BK6</f>
        <v>-325591.63494505489</v>
      </c>
      <c r="BL11" s="695">
        <f>-Production!BM29*Assumptions!$C52*BL6</f>
        <v>-230735.93863106222</v>
      </c>
      <c r="BM11" s="110">
        <f>-Production!BN29*Assumptions!$C52*BM6</f>
        <v>-230735.93863106222</v>
      </c>
      <c r="BN11" s="110">
        <f>-Production!BO29*Assumptions!$C52*BN6</f>
        <v>-115367.96931553111</v>
      </c>
      <c r="BO11" s="110">
        <f>-Production!BP29*Assumptions!$C52*BO6</f>
        <v>-461471.87726212444</v>
      </c>
      <c r="BP11" s="110">
        <f>-Production!BQ29*Assumptions!$C52*BP6</f>
        <v>-576839.84657765552</v>
      </c>
      <c r="BQ11" s="110">
        <f>-Production!BR29*Assumptions!$C52*BQ6</f>
        <v>-230735.93863106222</v>
      </c>
      <c r="BR11" s="110">
        <f>-Production!BS29*Assumptions!$C52*BR6</f>
        <v>-346103.9079465933</v>
      </c>
      <c r="BS11" s="110">
        <f>-Production!BT29*Assumptions!$C52*BS6</f>
        <v>-346103.9079465933</v>
      </c>
      <c r="BT11" s="110">
        <f>-Production!BU29*Assumptions!$C52*BT6</f>
        <v>-115367.96931553111</v>
      </c>
      <c r="BU11" s="110">
        <f>-Production!BV29*Assumptions!$C52*BU6</f>
        <v>-346103.9079465933</v>
      </c>
      <c r="BV11" s="110">
        <f>-Production!BW29*Assumptions!$C52*BV6</f>
        <v>-461471.87726212444</v>
      </c>
      <c r="BW11" s="110">
        <f>-Production!BX29*Assumptions!$C52*BW6</f>
        <v>-346103.9079465933</v>
      </c>
      <c r="BX11" s="695">
        <f>-Production!BY29*Assumptions!$C52*BX6</f>
        <v>-245272.30276481915</v>
      </c>
      <c r="BY11" s="110">
        <f>-Production!BZ29*Assumptions!$C52*BY6</f>
        <v>-122636.15138240957</v>
      </c>
      <c r="BZ11" s="110">
        <f>-Production!CA29*Assumptions!$C52*BZ6</f>
        <v>-245272.30276481915</v>
      </c>
      <c r="CA11" s="110">
        <f>-Production!CB29*Assumptions!$C52*CA6</f>
        <v>-490544.6055296383</v>
      </c>
      <c r="CB11" s="110">
        <f>-Production!CC29*Assumptions!$C52*CB6</f>
        <v>-613180.75691204786</v>
      </c>
      <c r="CC11" s="110">
        <f>-Production!CD29*Assumptions!$C52*CC6</f>
        <v>-245272.30276481915</v>
      </c>
      <c r="CD11" s="110">
        <f>-Production!CE29*Assumptions!$C52*CD6</f>
        <v>-367908.45414722868</v>
      </c>
      <c r="CE11" s="110">
        <f>-Production!CF29*Assumptions!$C52*CE6</f>
        <v>-367908.45414722868</v>
      </c>
      <c r="CF11" s="110">
        <f>-Production!CG29*Assumptions!$C52*CF6</f>
        <v>-122636.15138240957</v>
      </c>
      <c r="CG11" s="110">
        <f>-Production!CH29*Assumptions!$C52*CG6</f>
        <v>-367908.45414722868</v>
      </c>
      <c r="CH11" s="110">
        <f>-Production!CI29*Assumptions!$C52*CH6</f>
        <v>-367908.45414722868</v>
      </c>
      <c r="CI11" s="110">
        <f>-Production!CJ29*Assumptions!$C52*CI6</f>
        <v>-490544.6055296383</v>
      </c>
      <c r="CJ11" s="695">
        <f>-Production!CK29*Assumptions!$C52*CJ6</f>
        <v>-130362.22891950137</v>
      </c>
      <c r="CK11" s="110">
        <f>-Production!CL29*Assumptions!$C52*CK6</f>
        <v>-260724.45783900275</v>
      </c>
      <c r="CL11" s="110">
        <f>-Production!CM29*Assumptions!$C52*CL6</f>
        <v>-130362.22891950137</v>
      </c>
      <c r="CM11" s="110">
        <f>-Production!CN29*Assumptions!$C52*CM6</f>
        <v>-651811.14459750685</v>
      </c>
      <c r="CN11" s="110">
        <f>-Production!CO29*Assumptions!$C52*CN6</f>
        <v>-651811.14459750685</v>
      </c>
      <c r="CO11" s="110">
        <f>-Production!CP29*Assumptions!$C52*CO6</f>
        <v>-260724.45783900275</v>
      </c>
      <c r="CP11" s="110">
        <f>-Production!CQ29*Assumptions!$C52*CP6</f>
        <v>-260724.45783900275</v>
      </c>
      <c r="CQ11" s="110">
        <f>-Production!CR29*Assumptions!$C52*CQ6</f>
        <v>-521448.91567800549</v>
      </c>
      <c r="CR11" s="110">
        <f>-Production!CS29*Assumptions!$C52*CR6</f>
        <v>-130362.22891950137</v>
      </c>
      <c r="CS11" s="110">
        <f>-Production!CT29*Assumptions!$C52*CS6</f>
        <v>-391086.68675850407</v>
      </c>
      <c r="CT11" s="110">
        <f>-Production!CU29*Assumptions!$C52*CT6</f>
        <v>-391086.68675850407</v>
      </c>
      <c r="CU11" s="110">
        <f>-Production!CV29*Assumptions!$C52*CU6</f>
        <v>-521448.91567800549</v>
      </c>
      <c r="CV11" s="695">
        <f>-Production!CW29*Assumptions!$C52*CV6</f>
        <v>-138575.04934142996</v>
      </c>
      <c r="CW11" s="110">
        <f>-Production!CX29*Assumptions!$C52*CW6</f>
        <v>-277150.09868285991</v>
      </c>
      <c r="CX11" s="110">
        <f>-Production!CY29*Assumptions!$C52*CX6</f>
        <v>-138575.04934142996</v>
      </c>
      <c r="CY11" s="110">
        <f>-Production!CZ29*Assumptions!$C52*CY6</f>
        <v>-554300.19736571983</v>
      </c>
      <c r="CZ11" s="110">
        <f>-Production!DA29*Assumptions!$C52*CZ6</f>
        <v>-692875.24670714966</v>
      </c>
      <c r="DA11" s="110">
        <f>-Production!DB29*Assumptions!$C52*DA6</f>
        <v>-277150.09868285991</v>
      </c>
      <c r="DB11" s="110">
        <f>-Production!DC29*Assumptions!$C52*DB6</f>
        <v>-415725.14802428981</v>
      </c>
      <c r="DC11" s="110">
        <f>-Production!DD29*Assumptions!$C52*DC6</f>
        <v>-415725.14802428981</v>
      </c>
      <c r="DD11" s="110">
        <f>-Production!DE29*Assumptions!$C52*DD6</f>
        <v>-277150.09868285991</v>
      </c>
      <c r="DE11" s="110">
        <f>-Production!DF29*Assumptions!$C52*DE6</f>
        <v>-415725.14802428981</v>
      </c>
      <c r="DF11" s="110">
        <f>-Production!DG29*Assumptions!$C52*DF6</f>
        <v>-415725.14802428981</v>
      </c>
      <c r="DG11" s="110">
        <f>-Production!DH29*Assumptions!$C52*DG6</f>
        <v>-415725.14802428981</v>
      </c>
      <c r="DH11" s="695">
        <f>-Production!DI29*Assumptions!$C52*DH6</f>
        <v>-294610.55489988008</v>
      </c>
      <c r="DI11" s="110">
        <f>-Production!DJ29*Assumptions!$C52*DI6</f>
        <v>-147305.27744994004</v>
      </c>
      <c r="DJ11" s="110">
        <f>-Production!DK29*Assumptions!$C52*DJ6</f>
        <v>-294610.55489988008</v>
      </c>
      <c r="DK11" s="110">
        <f>-Production!DL29*Assumptions!$C52*DK6</f>
        <v>-589221.10979976016</v>
      </c>
      <c r="DL11" s="110">
        <f>-Production!DM29*Assumptions!$C52*DL6</f>
        <v>-736526.38724970014</v>
      </c>
      <c r="DM11" s="110">
        <f>-Production!DN29*Assumptions!$C52*DM6</f>
        <v>-294610.55489988008</v>
      </c>
      <c r="DN11" s="110">
        <f>-Production!DO29*Assumptions!$C52*DN6</f>
        <v>-441915.83234982006</v>
      </c>
      <c r="DO11" s="110">
        <f>-Production!DP29*Assumptions!$C52*DO6</f>
        <v>-441915.83234982006</v>
      </c>
      <c r="DP11" s="110">
        <f>-Production!DQ29*Assumptions!$C52*DP6</f>
        <v>-147305.27744994004</v>
      </c>
      <c r="DQ11" s="110">
        <f>-Production!DR29*Assumptions!$C52*DQ6</f>
        <v>-441915.83234982006</v>
      </c>
      <c r="DR11" s="110">
        <f>-Production!DS29*Assumptions!$C52*DR6</f>
        <v>-589221.10979976016</v>
      </c>
      <c r="DS11" s="110">
        <f>-Production!DT29*Assumptions!$C52*DS6</f>
        <v>-441915.83234982006</v>
      </c>
      <c r="DT11" s="128"/>
    </row>
    <row r="12" spans="1:126" ht="17.25" thickBot="1" x14ac:dyDescent="0.35">
      <c r="A12" s="166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728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728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728"/>
      <c r="AN12" s="1320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728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728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728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728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728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728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728"/>
      <c r="DT12" s="3"/>
    </row>
    <row r="13" spans="1:126" x14ac:dyDescent="0.2"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3"/>
    </row>
    <row r="14" spans="1:126" x14ac:dyDescent="0.2">
      <c r="DT14" s="3"/>
    </row>
  </sheetData>
  <mergeCells count="11">
    <mergeCell ref="A1:B3"/>
    <mergeCell ref="BX2:CI2"/>
    <mergeCell ref="CJ2:CU2"/>
    <mergeCell ref="CV2:DG2"/>
    <mergeCell ref="DH2:DS2"/>
    <mergeCell ref="BL2:BW2"/>
    <mergeCell ref="P2:AA2"/>
    <mergeCell ref="AB2:AM2"/>
    <mergeCell ref="AN2:AY2"/>
    <mergeCell ref="AZ2:BK2"/>
    <mergeCell ref="D2:O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V54"/>
  <sheetViews>
    <sheetView zoomScale="64" zoomScaleNormal="64" zoomScalePageLayoutView="85" workbookViewId="0">
      <pane xSplit="2" ySplit="3" topLeftCell="O22" activePane="bottomRight" state="frozen"/>
      <selection pane="topRight" activeCell="C1" sqref="C1"/>
      <selection pane="bottomLeft" activeCell="A4" sqref="A4"/>
      <selection pane="bottomRight" activeCell="AJ1" sqref="AB1:DS53"/>
    </sheetView>
  </sheetViews>
  <sheetFormatPr defaultColWidth="11.7109375" defaultRowHeight="12.75" x14ac:dyDescent="0.2"/>
  <cols>
    <col min="1" max="1" width="3" style="2" customWidth="1"/>
    <col min="2" max="2" width="34.42578125" style="2" customWidth="1"/>
    <col min="3" max="3" width="7.28515625" style="2" customWidth="1"/>
    <col min="4" max="38" width="11.7109375" style="2"/>
    <col min="39" max="39" width="12" style="2" bestFit="1" customWidth="1"/>
    <col min="40" max="16384" width="11.7109375" style="2"/>
  </cols>
  <sheetData>
    <row r="1" spans="1:126" ht="12.75" customHeight="1" x14ac:dyDescent="0.2">
      <c r="A1" s="1427" t="s">
        <v>181</v>
      </c>
      <c r="B1" s="1427"/>
      <c r="C1" s="1427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744"/>
      <c r="P1" s="1184"/>
      <c r="Q1" s="286"/>
      <c r="R1" s="286"/>
      <c r="S1" s="3"/>
      <c r="T1" s="3"/>
      <c r="U1" s="3"/>
      <c r="V1" s="3"/>
      <c r="W1" s="3"/>
      <c r="X1" s="3"/>
      <c r="Y1" s="3"/>
      <c r="Z1" s="3"/>
      <c r="AA1" s="500"/>
      <c r="AB1" s="788"/>
      <c r="AC1" s="3"/>
      <c r="AD1" s="3"/>
      <c r="AE1" s="3"/>
      <c r="AF1" s="3"/>
      <c r="AG1" s="3"/>
      <c r="AH1" s="3"/>
      <c r="AI1" s="3"/>
      <c r="AJ1" s="3"/>
      <c r="AK1" s="3"/>
      <c r="AL1" s="3"/>
      <c r="AM1" s="500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500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500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500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500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500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500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500"/>
    </row>
    <row r="2" spans="1:126" ht="39" customHeight="1" x14ac:dyDescent="0.2">
      <c r="A2" s="1427"/>
      <c r="B2" s="1427"/>
      <c r="C2" s="1427"/>
      <c r="D2" s="1420" t="s">
        <v>507</v>
      </c>
      <c r="E2" s="1420"/>
      <c r="F2" s="1420"/>
      <c r="G2" s="1420"/>
      <c r="H2" s="1420"/>
      <c r="I2" s="1420"/>
      <c r="J2" s="1420"/>
      <c r="K2" s="1420"/>
      <c r="L2" s="1420"/>
      <c r="M2" s="1420"/>
      <c r="N2" s="1420"/>
      <c r="O2" s="1421"/>
      <c r="P2" s="1418" t="s">
        <v>508</v>
      </c>
      <c r="Q2" s="1415"/>
      <c r="R2" s="1415"/>
      <c r="S2" s="1415"/>
      <c r="T2" s="1415"/>
      <c r="U2" s="1415"/>
      <c r="V2" s="1415"/>
      <c r="W2" s="1415"/>
      <c r="X2" s="1415"/>
      <c r="Y2" s="1415"/>
      <c r="Z2" s="1415"/>
      <c r="AA2" s="1416"/>
      <c r="AB2" s="1418" t="s">
        <v>509</v>
      </c>
      <c r="AC2" s="1415"/>
      <c r="AD2" s="1415"/>
      <c r="AE2" s="1415"/>
      <c r="AF2" s="1415"/>
      <c r="AG2" s="1415"/>
      <c r="AH2" s="1415"/>
      <c r="AI2" s="1415"/>
      <c r="AJ2" s="1415"/>
      <c r="AK2" s="1415"/>
      <c r="AL2" s="1415"/>
      <c r="AM2" s="1416"/>
      <c r="AN2" s="1415" t="s">
        <v>510</v>
      </c>
      <c r="AO2" s="1415"/>
      <c r="AP2" s="1415"/>
      <c r="AQ2" s="1415"/>
      <c r="AR2" s="1415"/>
      <c r="AS2" s="1415"/>
      <c r="AT2" s="1415"/>
      <c r="AU2" s="1415"/>
      <c r="AV2" s="1415"/>
      <c r="AW2" s="1415"/>
      <c r="AX2" s="1415"/>
      <c r="AY2" s="1416"/>
      <c r="AZ2" s="1415" t="s">
        <v>511</v>
      </c>
      <c r="BA2" s="1415"/>
      <c r="BB2" s="1415"/>
      <c r="BC2" s="1415"/>
      <c r="BD2" s="1415"/>
      <c r="BE2" s="1415"/>
      <c r="BF2" s="1415"/>
      <c r="BG2" s="1415"/>
      <c r="BH2" s="1415"/>
      <c r="BI2" s="1415"/>
      <c r="BJ2" s="1415"/>
      <c r="BK2" s="1416"/>
      <c r="BL2" s="1415" t="s">
        <v>512</v>
      </c>
      <c r="BM2" s="1415"/>
      <c r="BN2" s="1415"/>
      <c r="BO2" s="1415"/>
      <c r="BP2" s="1415"/>
      <c r="BQ2" s="1415"/>
      <c r="BR2" s="1415"/>
      <c r="BS2" s="1415"/>
      <c r="BT2" s="1415"/>
      <c r="BU2" s="1415"/>
      <c r="BV2" s="1415"/>
      <c r="BW2" s="1416"/>
      <c r="BX2" s="1415" t="s">
        <v>513</v>
      </c>
      <c r="BY2" s="1415"/>
      <c r="BZ2" s="1415"/>
      <c r="CA2" s="1415"/>
      <c r="CB2" s="1415"/>
      <c r="CC2" s="1415"/>
      <c r="CD2" s="1415"/>
      <c r="CE2" s="1415"/>
      <c r="CF2" s="1415"/>
      <c r="CG2" s="1415"/>
      <c r="CH2" s="1415"/>
      <c r="CI2" s="1416"/>
      <c r="CJ2" s="1415" t="s">
        <v>514</v>
      </c>
      <c r="CK2" s="1415"/>
      <c r="CL2" s="1415"/>
      <c r="CM2" s="1415"/>
      <c r="CN2" s="1415"/>
      <c r="CO2" s="1415"/>
      <c r="CP2" s="1415"/>
      <c r="CQ2" s="1415"/>
      <c r="CR2" s="1415"/>
      <c r="CS2" s="1415"/>
      <c r="CT2" s="1415"/>
      <c r="CU2" s="1416"/>
      <c r="CV2" s="1415" t="s">
        <v>515</v>
      </c>
      <c r="CW2" s="1415"/>
      <c r="CX2" s="1415"/>
      <c r="CY2" s="1415"/>
      <c r="CZ2" s="1415"/>
      <c r="DA2" s="1415"/>
      <c r="DB2" s="1415"/>
      <c r="DC2" s="1415"/>
      <c r="DD2" s="1415"/>
      <c r="DE2" s="1415"/>
      <c r="DF2" s="1415"/>
      <c r="DG2" s="1416"/>
      <c r="DH2" s="1415" t="s">
        <v>516</v>
      </c>
      <c r="DI2" s="1415"/>
      <c r="DJ2" s="1415"/>
      <c r="DK2" s="1415"/>
      <c r="DL2" s="1415"/>
      <c r="DM2" s="1415"/>
      <c r="DN2" s="1415"/>
      <c r="DO2" s="1415"/>
      <c r="DP2" s="1415"/>
      <c r="DQ2" s="1415"/>
      <c r="DR2" s="1415"/>
      <c r="DS2" s="1416"/>
      <c r="DT2" s="70"/>
      <c r="DU2" s="70"/>
      <c r="DV2" s="70"/>
    </row>
    <row r="3" spans="1:126" ht="12.75" customHeight="1" x14ac:dyDescent="0.25">
      <c r="A3" s="286"/>
      <c r="B3" s="286"/>
      <c r="C3" s="7"/>
      <c r="D3" s="484" t="s">
        <v>175</v>
      </c>
      <c r="E3" s="484" t="s">
        <v>176</v>
      </c>
      <c r="F3" s="484" t="s">
        <v>177</v>
      </c>
      <c r="G3" s="484" t="s">
        <v>178</v>
      </c>
      <c r="H3" s="484" t="s">
        <v>167</v>
      </c>
      <c r="I3" s="484" t="s">
        <v>168</v>
      </c>
      <c r="J3" s="484" t="s">
        <v>169</v>
      </c>
      <c r="K3" s="484" t="s">
        <v>170</v>
      </c>
      <c r="L3" s="484" t="s">
        <v>171</v>
      </c>
      <c r="M3" s="484" t="s">
        <v>172</v>
      </c>
      <c r="N3" s="484" t="s">
        <v>173</v>
      </c>
      <c r="O3" s="694" t="s">
        <v>174</v>
      </c>
      <c r="P3" s="541" t="s">
        <v>175</v>
      </c>
      <c r="Q3" s="272" t="s">
        <v>176</v>
      </c>
      <c r="R3" s="272" t="s">
        <v>177</v>
      </c>
      <c r="S3" s="272" t="s">
        <v>178</v>
      </c>
      <c r="T3" s="272" t="s">
        <v>167</v>
      </c>
      <c r="U3" s="272" t="s">
        <v>168</v>
      </c>
      <c r="V3" s="272" t="s">
        <v>169</v>
      </c>
      <c r="W3" s="272" t="s">
        <v>170</v>
      </c>
      <c r="X3" s="272" t="s">
        <v>171</v>
      </c>
      <c r="Y3" s="272" t="s">
        <v>172</v>
      </c>
      <c r="Z3" s="272" t="s">
        <v>173</v>
      </c>
      <c r="AA3" s="603" t="s">
        <v>174</v>
      </c>
      <c r="AB3" s="541" t="s">
        <v>175</v>
      </c>
      <c r="AC3" s="272" t="s">
        <v>176</v>
      </c>
      <c r="AD3" s="272" t="s">
        <v>177</v>
      </c>
      <c r="AE3" s="272" t="s">
        <v>178</v>
      </c>
      <c r="AF3" s="272" t="s">
        <v>167</v>
      </c>
      <c r="AG3" s="272" t="s">
        <v>168</v>
      </c>
      <c r="AH3" s="272" t="s">
        <v>169</v>
      </c>
      <c r="AI3" s="272" t="s">
        <v>170</v>
      </c>
      <c r="AJ3" s="272" t="s">
        <v>171</v>
      </c>
      <c r="AK3" s="272" t="s">
        <v>172</v>
      </c>
      <c r="AL3" s="272" t="s">
        <v>173</v>
      </c>
      <c r="AM3" s="603" t="s">
        <v>174</v>
      </c>
      <c r="AN3" s="272" t="s">
        <v>175</v>
      </c>
      <c r="AO3" s="272" t="s">
        <v>176</v>
      </c>
      <c r="AP3" s="272" t="s">
        <v>177</v>
      </c>
      <c r="AQ3" s="272" t="s">
        <v>178</v>
      </c>
      <c r="AR3" s="272" t="s">
        <v>167</v>
      </c>
      <c r="AS3" s="272" t="s">
        <v>168</v>
      </c>
      <c r="AT3" s="272" t="s">
        <v>169</v>
      </c>
      <c r="AU3" s="272" t="s">
        <v>170</v>
      </c>
      <c r="AV3" s="272" t="s">
        <v>171</v>
      </c>
      <c r="AW3" s="272" t="s">
        <v>172</v>
      </c>
      <c r="AX3" s="272" t="s">
        <v>173</v>
      </c>
      <c r="AY3" s="603" t="s">
        <v>174</v>
      </c>
      <c r="AZ3" s="272" t="s">
        <v>175</v>
      </c>
      <c r="BA3" s="272" t="s">
        <v>176</v>
      </c>
      <c r="BB3" s="272" t="s">
        <v>177</v>
      </c>
      <c r="BC3" s="272" t="s">
        <v>178</v>
      </c>
      <c r="BD3" s="272" t="s">
        <v>167</v>
      </c>
      <c r="BE3" s="272" t="s">
        <v>168</v>
      </c>
      <c r="BF3" s="272" t="s">
        <v>169</v>
      </c>
      <c r="BG3" s="272" t="s">
        <v>170</v>
      </c>
      <c r="BH3" s="272" t="s">
        <v>171</v>
      </c>
      <c r="BI3" s="272" t="s">
        <v>172</v>
      </c>
      <c r="BJ3" s="272" t="s">
        <v>173</v>
      </c>
      <c r="BK3" s="603" t="s">
        <v>174</v>
      </c>
      <c r="BL3" s="272" t="s">
        <v>175</v>
      </c>
      <c r="BM3" s="272" t="s">
        <v>176</v>
      </c>
      <c r="BN3" s="272" t="s">
        <v>177</v>
      </c>
      <c r="BO3" s="272" t="s">
        <v>178</v>
      </c>
      <c r="BP3" s="272" t="s">
        <v>167</v>
      </c>
      <c r="BQ3" s="272" t="s">
        <v>168</v>
      </c>
      <c r="BR3" s="272" t="s">
        <v>169</v>
      </c>
      <c r="BS3" s="272" t="s">
        <v>170</v>
      </c>
      <c r="BT3" s="272" t="s">
        <v>171</v>
      </c>
      <c r="BU3" s="272" t="s">
        <v>172</v>
      </c>
      <c r="BV3" s="272" t="s">
        <v>173</v>
      </c>
      <c r="BW3" s="603" t="s">
        <v>174</v>
      </c>
      <c r="BX3" s="272" t="s">
        <v>175</v>
      </c>
      <c r="BY3" s="272" t="s">
        <v>176</v>
      </c>
      <c r="BZ3" s="272" t="s">
        <v>177</v>
      </c>
      <c r="CA3" s="272" t="s">
        <v>178</v>
      </c>
      <c r="CB3" s="272" t="s">
        <v>167</v>
      </c>
      <c r="CC3" s="272" t="s">
        <v>168</v>
      </c>
      <c r="CD3" s="272" t="s">
        <v>169</v>
      </c>
      <c r="CE3" s="272" t="s">
        <v>170</v>
      </c>
      <c r="CF3" s="272" t="s">
        <v>171</v>
      </c>
      <c r="CG3" s="272" t="s">
        <v>172</v>
      </c>
      <c r="CH3" s="272" t="s">
        <v>173</v>
      </c>
      <c r="CI3" s="603" t="s">
        <v>174</v>
      </c>
      <c r="CJ3" s="272" t="s">
        <v>175</v>
      </c>
      <c r="CK3" s="272" t="s">
        <v>176</v>
      </c>
      <c r="CL3" s="272" t="s">
        <v>177</v>
      </c>
      <c r="CM3" s="272" t="s">
        <v>178</v>
      </c>
      <c r="CN3" s="272" t="s">
        <v>167</v>
      </c>
      <c r="CO3" s="272" t="s">
        <v>168</v>
      </c>
      <c r="CP3" s="272" t="s">
        <v>169</v>
      </c>
      <c r="CQ3" s="272" t="s">
        <v>170</v>
      </c>
      <c r="CR3" s="272" t="s">
        <v>171</v>
      </c>
      <c r="CS3" s="272" t="s">
        <v>172</v>
      </c>
      <c r="CT3" s="272" t="s">
        <v>173</v>
      </c>
      <c r="CU3" s="603" t="s">
        <v>174</v>
      </c>
      <c r="CV3" s="272" t="s">
        <v>175</v>
      </c>
      <c r="CW3" s="272" t="s">
        <v>176</v>
      </c>
      <c r="CX3" s="272" t="s">
        <v>177</v>
      </c>
      <c r="CY3" s="272" t="s">
        <v>178</v>
      </c>
      <c r="CZ3" s="272" t="s">
        <v>167</v>
      </c>
      <c r="DA3" s="272" t="s">
        <v>168</v>
      </c>
      <c r="DB3" s="272" t="s">
        <v>169</v>
      </c>
      <c r="DC3" s="272" t="s">
        <v>170</v>
      </c>
      <c r="DD3" s="272" t="s">
        <v>171</v>
      </c>
      <c r="DE3" s="272" t="s">
        <v>172</v>
      </c>
      <c r="DF3" s="272" t="s">
        <v>173</v>
      </c>
      <c r="DG3" s="603" t="s">
        <v>174</v>
      </c>
      <c r="DH3" s="272" t="s">
        <v>175</v>
      </c>
      <c r="DI3" s="272" t="s">
        <v>176</v>
      </c>
      <c r="DJ3" s="272" t="s">
        <v>177</v>
      </c>
      <c r="DK3" s="272" t="s">
        <v>178</v>
      </c>
      <c r="DL3" s="272" t="s">
        <v>167</v>
      </c>
      <c r="DM3" s="272" t="s">
        <v>168</v>
      </c>
      <c r="DN3" s="272" t="s">
        <v>169</v>
      </c>
      <c r="DO3" s="272" t="s">
        <v>170</v>
      </c>
      <c r="DP3" s="272" t="s">
        <v>171</v>
      </c>
      <c r="DQ3" s="272" t="s">
        <v>172</v>
      </c>
      <c r="DR3" s="272" t="s">
        <v>173</v>
      </c>
      <c r="DS3" s="603" t="s">
        <v>174</v>
      </c>
    </row>
    <row r="4" spans="1:126" hidden="1" x14ac:dyDescent="0.2">
      <c r="B4" s="21" t="s">
        <v>88</v>
      </c>
      <c r="C4" s="20"/>
      <c r="D4" s="22">
        <f>Assumptions!$E5</f>
        <v>14</v>
      </c>
      <c r="E4" s="22">
        <f>Assumptions!$E5</f>
        <v>14</v>
      </c>
      <c r="F4" s="22">
        <f>Assumptions!$E5</f>
        <v>14</v>
      </c>
      <c r="G4" s="22">
        <f>Assumptions!$E5</f>
        <v>14</v>
      </c>
      <c r="H4" s="22">
        <f>Assumptions!$E5</f>
        <v>14</v>
      </c>
      <c r="I4" s="22">
        <f>Assumptions!$E5</f>
        <v>14</v>
      </c>
      <c r="J4" s="22">
        <f>Assumptions!$E5</f>
        <v>14</v>
      </c>
      <c r="K4" s="22">
        <f>Assumptions!$E5</f>
        <v>14</v>
      </c>
      <c r="L4" s="22">
        <f>Assumptions!$E5</f>
        <v>14</v>
      </c>
      <c r="M4" s="22">
        <f>Assumptions!$E5</f>
        <v>14</v>
      </c>
      <c r="N4" s="22">
        <f>Assumptions!$E5</f>
        <v>14</v>
      </c>
      <c r="O4" s="604">
        <f>Assumptions!$E5</f>
        <v>14</v>
      </c>
      <c r="P4" s="1185">
        <f>Assumptions!$F5</f>
        <v>14.84</v>
      </c>
      <c r="Q4" s="22">
        <f>Assumptions!$F5</f>
        <v>14.84</v>
      </c>
      <c r="R4" s="22">
        <f>Assumptions!$F5</f>
        <v>14.84</v>
      </c>
      <c r="S4" s="22">
        <f>Assumptions!$F5</f>
        <v>14.84</v>
      </c>
      <c r="T4" s="22">
        <f>Assumptions!$F5</f>
        <v>14.84</v>
      </c>
      <c r="U4" s="22">
        <f>Assumptions!$F5</f>
        <v>14.84</v>
      </c>
      <c r="V4" s="22">
        <f>Assumptions!$F5</f>
        <v>14.84</v>
      </c>
      <c r="W4" s="22">
        <f>Assumptions!$F5</f>
        <v>14.84</v>
      </c>
      <c r="X4" s="22">
        <f>Assumptions!$F5</f>
        <v>14.84</v>
      </c>
      <c r="Y4" s="22">
        <f>Assumptions!$F5</f>
        <v>14.84</v>
      </c>
      <c r="Z4" s="22">
        <f>Assumptions!$F5</f>
        <v>14.84</v>
      </c>
      <c r="AA4" s="604">
        <f>Assumptions!$F5</f>
        <v>14.84</v>
      </c>
      <c r="AB4" s="1185">
        <f>Assumptions!$G5</f>
        <v>15.730400000000001</v>
      </c>
      <c r="AC4" s="22">
        <f>Assumptions!$G5</f>
        <v>15.730400000000001</v>
      </c>
      <c r="AD4" s="22">
        <f>Assumptions!$G5</f>
        <v>15.730400000000001</v>
      </c>
      <c r="AE4" s="22">
        <f>Assumptions!$G5</f>
        <v>15.730400000000001</v>
      </c>
      <c r="AF4" s="22">
        <f>Assumptions!$G5</f>
        <v>15.730400000000001</v>
      </c>
      <c r="AG4" s="22">
        <f>Assumptions!$G5</f>
        <v>15.730400000000001</v>
      </c>
      <c r="AH4" s="22">
        <f>Assumptions!$G5</f>
        <v>15.730400000000001</v>
      </c>
      <c r="AI4" s="22">
        <f>Assumptions!$G5</f>
        <v>15.730400000000001</v>
      </c>
      <c r="AJ4" s="22">
        <f>Assumptions!$G5</f>
        <v>15.730400000000001</v>
      </c>
      <c r="AK4" s="22">
        <f>Assumptions!$G5</f>
        <v>15.730400000000001</v>
      </c>
      <c r="AL4" s="22">
        <f>Assumptions!$G5</f>
        <v>15.730400000000001</v>
      </c>
      <c r="AM4" s="604">
        <f>Assumptions!$G5</f>
        <v>15.730400000000001</v>
      </c>
      <c r="AN4" s="686">
        <f>Assumptions!$H5</f>
        <v>16.674224000000002</v>
      </c>
      <c r="AO4" s="22">
        <f>Assumptions!$H5</f>
        <v>16.674224000000002</v>
      </c>
      <c r="AP4" s="22">
        <f>Assumptions!$H5</f>
        <v>16.674224000000002</v>
      </c>
      <c r="AQ4" s="22">
        <f>Assumptions!$H5</f>
        <v>16.674224000000002</v>
      </c>
      <c r="AR4" s="22">
        <f>Assumptions!$H5</f>
        <v>16.674224000000002</v>
      </c>
      <c r="AS4" s="22">
        <f>Assumptions!$H5</f>
        <v>16.674224000000002</v>
      </c>
      <c r="AT4" s="22">
        <f>Assumptions!$H5</f>
        <v>16.674224000000002</v>
      </c>
      <c r="AU4" s="22">
        <f>Assumptions!$H5</f>
        <v>16.674224000000002</v>
      </c>
      <c r="AV4" s="22">
        <f>Assumptions!$H5</f>
        <v>16.674224000000002</v>
      </c>
      <c r="AW4" s="22">
        <f>Assumptions!$H5</f>
        <v>16.674224000000002</v>
      </c>
      <c r="AX4" s="22">
        <f>Assumptions!$H5</f>
        <v>16.674224000000002</v>
      </c>
      <c r="AY4" s="604">
        <f>Assumptions!$H5</f>
        <v>16.674224000000002</v>
      </c>
      <c r="AZ4" s="686">
        <f>Assumptions!$I5</f>
        <v>17.674677440000004</v>
      </c>
      <c r="BA4" s="22">
        <f>Assumptions!$I5</f>
        <v>17.674677440000004</v>
      </c>
      <c r="BB4" s="22">
        <f>Assumptions!$I5</f>
        <v>17.674677440000004</v>
      </c>
      <c r="BC4" s="22">
        <f>Assumptions!$I5</f>
        <v>17.674677440000004</v>
      </c>
      <c r="BD4" s="22">
        <f>Assumptions!$I5</f>
        <v>17.674677440000004</v>
      </c>
      <c r="BE4" s="22">
        <f>Assumptions!$I5</f>
        <v>17.674677440000004</v>
      </c>
      <c r="BF4" s="22">
        <f>Assumptions!$I5</f>
        <v>17.674677440000004</v>
      </c>
      <c r="BG4" s="22">
        <f>Assumptions!$I5</f>
        <v>17.674677440000004</v>
      </c>
      <c r="BH4" s="22">
        <f>Assumptions!$I5</f>
        <v>17.674677440000004</v>
      </c>
      <c r="BI4" s="22">
        <f>Assumptions!$I5</f>
        <v>17.674677440000004</v>
      </c>
      <c r="BJ4" s="22">
        <f>Assumptions!$I5</f>
        <v>17.674677440000004</v>
      </c>
      <c r="BK4" s="604">
        <f>Assumptions!$I5</f>
        <v>17.674677440000004</v>
      </c>
      <c r="BL4" s="686">
        <f>Assumptions!$J5</f>
        <v>18.735158086400006</v>
      </c>
      <c r="BM4" s="22">
        <f>Assumptions!$J5</f>
        <v>18.735158086400006</v>
      </c>
      <c r="BN4" s="22">
        <f>Assumptions!$J5</f>
        <v>18.735158086400006</v>
      </c>
      <c r="BO4" s="22">
        <f>Assumptions!$J5</f>
        <v>18.735158086400006</v>
      </c>
      <c r="BP4" s="22">
        <f>Assumptions!$J5</f>
        <v>18.735158086400006</v>
      </c>
      <c r="BQ4" s="22">
        <f>Assumptions!$J5</f>
        <v>18.735158086400006</v>
      </c>
      <c r="BR4" s="22">
        <f>Assumptions!$J5</f>
        <v>18.735158086400006</v>
      </c>
      <c r="BS4" s="22">
        <f>Assumptions!$J5</f>
        <v>18.735158086400006</v>
      </c>
      <c r="BT4" s="22">
        <f>Assumptions!$J5</f>
        <v>18.735158086400006</v>
      </c>
      <c r="BU4" s="22">
        <f>Assumptions!$J5</f>
        <v>18.735158086400006</v>
      </c>
      <c r="BV4" s="22">
        <f>Assumptions!$J5</f>
        <v>18.735158086400006</v>
      </c>
      <c r="BW4" s="604">
        <f>Assumptions!$J5</f>
        <v>18.735158086400006</v>
      </c>
      <c r="BX4" s="686">
        <f>Assumptions!$K5</f>
        <v>19.859267571584006</v>
      </c>
      <c r="BY4" s="22">
        <f>Assumptions!$K5</f>
        <v>19.859267571584006</v>
      </c>
      <c r="BZ4" s="22">
        <f>Assumptions!$K5</f>
        <v>19.859267571584006</v>
      </c>
      <c r="CA4" s="22">
        <f>Assumptions!$K5</f>
        <v>19.859267571584006</v>
      </c>
      <c r="CB4" s="22">
        <f>Assumptions!$K5</f>
        <v>19.859267571584006</v>
      </c>
      <c r="CC4" s="22">
        <f>Assumptions!$K5</f>
        <v>19.859267571584006</v>
      </c>
      <c r="CD4" s="22">
        <f>Assumptions!$K5</f>
        <v>19.859267571584006</v>
      </c>
      <c r="CE4" s="22">
        <f>Assumptions!$K5</f>
        <v>19.859267571584006</v>
      </c>
      <c r="CF4" s="22">
        <f>Assumptions!$K5</f>
        <v>19.859267571584006</v>
      </c>
      <c r="CG4" s="22">
        <f>Assumptions!$K5</f>
        <v>19.859267571584006</v>
      </c>
      <c r="CH4" s="22">
        <f>Assumptions!$K5</f>
        <v>19.859267571584006</v>
      </c>
      <c r="CI4" s="604">
        <f>Assumptions!$K5</f>
        <v>19.859267571584006</v>
      </c>
      <c r="CJ4" s="686">
        <f>Assumptions!$L5</f>
        <v>21.050823625879048</v>
      </c>
      <c r="CK4" s="22">
        <f>Assumptions!$L5</f>
        <v>21.050823625879048</v>
      </c>
      <c r="CL4" s="22">
        <f>Assumptions!$L5</f>
        <v>21.050823625879048</v>
      </c>
      <c r="CM4" s="22">
        <f>Assumptions!$L5</f>
        <v>21.050823625879048</v>
      </c>
      <c r="CN4" s="22">
        <f>Assumptions!$L5</f>
        <v>21.050823625879048</v>
      </c>
      <c r="CO4" s="22">
        <f>Assumptions!$L5</f>
        <v>21.050823625879048</v>
      </c>
      <c r="CP4" s="22">
        <f>Assumptions!$L5</f>
        <v>21.050823625879048</v>
      </c>
      <c r="CQ4" s="22">
        <f>Assumptions!$L5</f>
        <v>21.050823625879048</v>
      </c>
      <c r="CR4" s="22">
        <f>Assumptions!$L5</f>
        <v>21.050823625879048</v>
      </c>
      <c r="CS4" s="22">
        <f>Assumptions!$L5</f>
        <v>21.050823625879048</v>
      </c>
      <c r="CT4" s="22">
        <f>Assumptions!$L5</f>
        <v>21.050823625879048</v>
      </c>
      <c r="CU4" s="604">
        <f>Assumptions!$L5</f>
        <v>21.050823625879048</v>
      </c>
      <c r="CV4" s="686">
        <f>Assumptions!$M5</f>
        <v>22.313873043431791</v>
      </c>
      <c r="CW4" s="22">
        <f>Assumptions!$M5</f>
        <v>22.313873043431791</v>
      </c>
      <c r="CX4" s="22">
        <f>Assumptions!$M5</f>
        <v>22.313873043431791</v>
      </c>
      <c r="CY4" s="22">
        <f>Assumptions!$M5</f>
        <v>22.313873043431791</v>
      </c>
      <c r="CZ4" s="22">
        <f>Assumptions!$M5</f>
        <v>22.313873043431791</v>
      </c>
      <c r="DA4" s="22">
        <f>Assumptions!$M5</f>
        <v>22.313873043431791</v>
      </c>
      <c r="DB4" s="22">
        <f>Assumptions!$M5</f>
        <v>22.313873043431791</v>
      </c>
      <c r="DC4" s="22">
        <f>Assumptions!$M5</f>
        <v>22.313873043431791</v>
      </c>
      <c r="DD4" s="22">
        <f>Assumptions!$M5</f>
        <v>22.313873043431791</v>
      </c>
      <c r="DE4" s="22">
        <f>Assumptions!$M5</f>
        <v>22.313873043431791</v>
      </c>
      <c r="DF4" s="22">
        <f>Assumptions!$M5</f>
        <v>22.313873043431791</v>
      </c>
      <c r="DG4" s="604">
        <f>Assumptions!$M5</f>
        <v>22.313873043431791</v>
      </c>
      <c r="DH4" s="686">
        <f>Assumptions!$N5</f>
        <v>23.652705426037699</v>
      </c>
      <c r="DI4" s="22">
        <f>Assumptions!$N5</f>
        <v>23.652705426037699</v>
      </c>
      <c r="DJ4" s="22">
        <f>Assumptions!$N5</f>
        <v>23.652705426037699</v>
      </c>
      <c r="DK4" s="22">
        <f>Assumptions!$N5</f>
        <v>23.652705426037699</v>
      </c>
      <c r="DL4" s="22">
        <f>Assumptions!$N5</f>
        <v>23.652705426037699</v>
      </c>
      <c r="DM4" s="22">
        <f>Assumptions!$N5</f>
        <v>23.652705426037699</v>
      </c>
      <c r="DN4" s="22">
        <f>Assumptions!$N5</f>
        <v>23.652705426037699</v>
      </c>
      <c r="DO4" s="22">
        <f>Assumptions!$N5</f>
        <v>23.652705426037699</v>
      </c>
      <c r="DP4" s="22">
        <f>Assumptions!$N5</f>
        <v>23.652705426037699</v>
      </c>
      <c r="DQ4" s="22">
        <f>Assumptions!$N5</f>
        <v>23.652705426037699</v>
      </c>
      <c r="DR4" s="22">
        <f>Assumptions!$N5</f>
        <v>23.652705426037699</v>
      </c>
      <c r="DS4" s="604">
        <f>Assumptions!$N5</f>
        <v>23.652705426037699</v>
      </c>
    </row>
    <row r="5" spans="1:126" hidden="1" x14ac:dyDescent="0.2">
      <c r="B5" s="21" t="s">
        <v>89</v>
      </c>
      <c r="C5" s="20"/>
      <c r="D5" s="22">
        <f>Assumptions!$E6</f>
        <v>16</v>
      </c>
      <c r="E5" s="22">
        <f>Assumptions!$E6</f>
        <v>16</v>
      </c>
      <c r="F5" s="22">
        <f>Assumptions!$E6</f>
        <v>16</v>
      </c>
      <c r="G5" s="22">
        <f>Assumptions!$E6</f>
        <v>16</v>
      </c>
      <c r="H5" s="22">
        <f>Assumptions!$E6</f>
        <v>16</v>
      </c>
      <c r="I5" s="22">
        <f>Assumptions!$E6</f>
        <v>16</v>
      </c>
      <c r="J5" s="22">
        <f>Assumptions!$E6</f>
        <v>16</v>
      </c>
      <c r="K5" s="22">
        <f>Assumptions!$E6</f>
        <v>16</v>
      </c>
      <c r="L5" s="22">
        <f>Assumptions!$E6</f>
        <v>16</v>
      </c>
      <c r="M5" s="22">
        <f>Assumptions!$E6</f>
        <v>16</v>
      </c>
      <c r="N5" s="22">
        <f>Assumptions!$E6</f>
        <v>16</v>
      </c>
      <c r="O5" s="604">
        <f>Assumptions!$E6</f>
        <v>16</v>
      </c>
      <c r="P5" s="1185">
        <f>Assumptions!$F6</f>
        <v>16.96</v>
      </c>
      <c r="Q5" s="22">
        <f>Assumptions!$F6</f>
        <v>16.96</v>
      </c>
      <c r="R5" s="22">
        <f>Assumptions!$F6</f>
        <v>16.96</v>
      </c>
      <c r="S5" s="22">
        <f>Assumptions!$F6</f>
        <v>16.96</v>
      </c>
      <c r="T5" s="22">
        <f>Assumptions!$F6</f>
        <v>16.96</v>
      </c>
      <c r="U5" s="22">
        <f>Assumptions!$F6</f>
        <v>16.96</v>
      </c>
      <c r="V5" s="22">
        <f>Assumptions!$F6</f>
        <v>16.96</v>
      </c>
      <c r="W5" s="22">
        <f>Assumptions!$F6</f>
        <v>16.96</v>
      </c>
      <c r="X5" s="22">
        <f>Assumptions!$F6</f>
        <v>16.96</v>
      </c>
      <c r="Y5" s="22">
        <f>Assumptions!$F6</f>
        <v>16.96</v>
      </c>
      <c r="Z5" s="22">
        <f>Assumptions!$F6</f>
        <v>16.96</v>
      </c>
      <c r="AA5" s="604">
        <f>Assumptions!$F6</f>
        <v>16.96</v>
      </c>
      <c r="AB5" s="1185">
        <f>Assumptions!$G6</f>
        <v>17.977600000000002</v>
      </c>
      <c r="AC5" s="22">
        <f>Assumptions!$G6</f>
        <v>17.977600000000002</v>
      </c>
      <c r="AD5" s="22">
        <f>Assumptions!$G6</f>
        <v>17.977600000000002</v>
      </c>
      <c r="AE5" s="22">
        <f>Assumptions!$G6</f>
        <v>17.977600000000002</v>
      </c>
      <c r="AF5" s="22">
        <f>Assumptions!$G6</f>
        <v>17.977600000000002</v>
      </c>
      <c r="AG5" s="22">
        <f>Assumptions!$G6</f>
        <v>17.977600000000002</v>
      </c>
      <c r="AH5" s="22">
        <f>Assumptions!$G6</f>
        <v>17.977600000000002</v>
      </c>
      <c r="AI5" s="22">
        <f>Assumptions!$G6</f>
        <v>17.977600000000002</v>
      </c>
      <c r="AJ5" s="22">
        <f>Assumptions!$G6</f>
        <v>17.977600000000002</v>
      </c>
      <c r="AK5" s="22">
        <f>Assumptions!$G6</f>
        <v>17.977600000000002</v>
      </c>
      <c r="AL5" s="22">
        <f>Assumptions!$G6</f>
        <v>17.977600000000002</v>
      </c>
      <c r="AM5" s="604">
        <f>Assumptions!$G6</f>
        <v>17.977600000000002</v>
      </c>
      <c r="AN5" s="686">
        <f>Assumptions!$H6</f>
        <v>19.056256000000005</v>
      </c>
      <c r="AO5" s="22">
        <f>Assumptions!$H6</f>
        <v>19.056256000000005</v>
      </c>
      <c r="AP5" s="22">
        <f>Assumptions!$H6</f>
        <v>19.056256000000005</v>
      </c>
      <c r="AQ5" s="22">
        <f>Assumptions!$H6</f>
        <v>19.056256000000005</v>
      </c>
      <c r="AR5" s="22">
        <f>Assumptions!$H6</f>
        <v>19.056256000000005</v>
      </c>
      <c r="AS5" s="22">
        <f>Assumptions!$H6</f>
        <v>19.056256000000005</v>
      </c>
      <c r="AT5" s="22">
        <f>Assumptions!$H6</f>
        <v>19.056256000000005</v>
      </c>
      <c r="AU5" s="22">
        <f>Assumptions!$H6</f>
        <v>19.056256000000005</v>
      </c>
      <c r="AV5" s="22">
        <f>Assumptions!$H6</f>
        <v>19.056256000000005</v>
      </c>
      <c r="AW5" s="22">
        <f>Assumptions!$H6</f>
        <v>19.056256000000005</v>
      </c>
      <c r="AX5" s="22">
        <f>Assumptions!$H6</f>
        <v>19.056256000000005</v>
      </c>
      <c r="AY5" s="604">
        <f>Assumptions!$H6</f>
        <v>19.056256000000005</v>
      </c>
      <c r="AZ5" s="686">
        <f>Assumptions!$I6</f>
        <v>20.199631360000005</v>
      </c>
      <c r="BA5" s="22">
        <f>Assumptions!$I6</f>
        <v>20.199631360000005</v>
      </c>
      <c r="BB5" s="22">
        <f>Assumptions!$I6</f>
        <v>20.199631360000005</v>
      </c>
      <c r="BC5" s="22">
        <f>Assumptions!$I6</f>
        <v>20.199631360000005</v>
      </c>
      <c r="BD5" s="22">
        <f>Assumptions!$I6</f>
        <v>20.199631360000005</v>
      </c>
      <c r="BE5" s="22">
        <f>Assumptions!$I6</f>
        <v>20.199631360000005</v>
      </c>
      <c r="BF5" s="22">
        <f>Assumptions!$I6</f>
        <v>20.199631360000005</v>
      </c>
      <c r="BG5" s="22">
        <f>Assumptions!$I6</f>
        <v>20.199631360000005</v>
      </c>
      <c r="BH5" s="22">
        <f>Assumptions!$I6</f>
        <v>20.199631360000005</v>
      </c>
      <c r="BI5" s="22">
        <f>Assumptions!$I6</f>
        <v>20.199631360000005</v>
      </c>
      <c r="BJ5" s="22">
        <f>Assumptions!$I6</f>
        <v>20.199631360000005</v>
      </c>
      <c r="BK5" s="604">
        <f>Assumptions!$I6</f>
        <v>20.199631360000005</v>
      </c>
      <c r="BL5" s="686">
        <f>Assumptions!$J6</f>
        <v>21.411609241600008</v>
      </c>
      <c r="BM5" s="22">
        <f>Assumptions!$J6</f>
        <v>21.411609241600008</v>
      </c>
      <c r="BN5" s="22">
        <f>Assumptions!$J6</f>
        <v>21.411609241600008</v>
      </c>
      <c r="BO5" s="22">
        <f>Assumptions!$J6</f>
        <v>21.411609241600008</v>
      </c>
      <c r="BP5" s="22">
        <f>Assumptions!$J6</f>
        <v>21.411609241600008</v>
      </c>
      <c r="BQ5" s="22">
        <f>Assumptions!$J6</f>
        <v>21.411609241600008</v>
      </c>
      <c r="BR5" s="22">
        <f>Assumptions!$J6</f>
        <v>21.411609241600008</v>
      </c>
      <c r="BS5" s="22">
        <f>Assumptions!$J6</f>
        <v>21.411609241600008</v>
      </c>
      <c r="BT5" s="22">
        <f>Assumptions!$J6</f>
        <v>21.411609241600008</v>
      </c>
      <c r="BU5" s="22">
        <f>Assumptions!$J6</f>
        <v>21.411609241600008</v>
      </c>
      <c r="BV5" s="22">
        <f>Assumptions!$J6</f>
        <v>21.411609241600008</v>
      </c>
      <c r="BW5" s="604">
        <f>Assumptions!$J6</f>
        <v>21.411609241600008</v>
      </c>
      <c r="BX5" s="686">
        <f>Assumptions!$K6</f>
        <v>22.696305796096009</v>
      </c>
      <c r="BY5" s="22">
        <f>Assumptions!$K6</f>
        <v>22.696305796096009</v>
      </c>
      <c r="BZ5" s="22">
        <f>Assumptions!$K6</f>
        <v>22.696305796096009</v>
      </c>
      <c r="CA5" s="22">
        <f>Assumptions!$K6</f>
        <v>22.696305796096009</v>
      </c>
      <c r="CB5" s="22">
        <f>Assumptions!$K6</f>
        <v>22.696305796096009</v>
      </c>
      <c r="CC5" s="22">
        <f>Assumptions!$K6</f>
        <v>22.696305796096009</v>
      </c>
      <c r="CD5" s="22">
        <f>Assumptions!$K6</f>
        <v>22.696305796096009</v>
      </c>
      <c r="CE5" s="22">
        <f>Assumptions!$K6</f>
        <v>22.696305796096009</v>
      </c>
      <c r="CF5" s="22">
        <f>Assumptions!$K6</f>
        <v>22.696305796096009</v>
      </c>
      <c r="CG5" s="22">
        <f>Assumptions!$K6</f>
        <v>22.696305796096009</v>
      </c>
      <c r="CH5" s="22">
        <f>Assumptions!$K6</f>
        <v>22.696305796096009</v>
      </c>
      <c r="CI5" s="604">
        <f>Assumptions!$K6</f>
        <v>22.696305796096009</v>
      </c>
      <c r="CJ5" s="686">
        <f>Assumptions!$L6</f>
        <v>24.05808414386177</v>
      </c>
      <c r="CK5" s="22">
        <f>Assumptions!$L6</f>
        <v>24.05808414386177</v>
      </c>
      <c r="CL5" s="22">
        <f>Assumptions!$L6</f>
        <v>24.05808414386177</v>
      </c>
      <c r="CM5" s="22">
        <f>Assumptions!$L6</f>
        <v>24.05808414386177</v>
      </c>
      <c r="CN5" s="22">
        <f>Assumptions!$L6</f>
        <v>24.05808414386177</v>
      </c>
      <c r="CO5" s="22">
        <f>Assumptions!$L6</f>
        <v>24.05808414386177</v>
      </c>
      <c r="CP5" s="22">
        <f>Assumptions!$L6</f>
        <v>24.05808414386177</v>
      </c>
      <c r="CQ5" s="22">
        <f>Assumptions!$L6</f>
        <v>24.05808414386177</v>
      </c>
      <c r="CR5" s="22">
        <f>Assumptions!$L6</f>
        <v>24.05808414386177</v>
      </c>
      <c r="CS5" s="22">
        <f>Assumptions!$L6</f>
        <v>24.05808414386177</v>
      </c>
      <c r="CT5" s="22">
        <f>Assumptions!$L6</f>
        <v>24.05808414386177</v>
      </c>
      <c r="CU5" s="604">
        <f>Assumptions!$L6</f>
        <v>24.05808414386177</v>
      </c>
      <c r="CV5" s="686">
        <f>Assumptions!$M6</f>
        <v>25.501569192493477</v>
      </c>
      <c r="CW5" s="22">
        <f>Assumptions!$M6</f>
        <v>25.501569192493477</v>
      </c>
      <c r="CX5" s="22">
        <f>Assumptions!$M6</f>
        <v>25.501569192493477</v>
      </c>
      <c r="CY5" s="22">
        <f>Assumptions!$M6</f>
        <v>25.501569192493477</v>
      </c>
      <c r="CZ5" s="22">
        <f>Assumptions!$M6</f>
        <v>25.501569192493477</v>
      </c>
      <c r="DA5" s="22">
        <f>Assumptions!$M6</f>
        <v>25.501569192493477</v>
      </c>
      <c r="DB5" s="22">
        <f>Assumptions!$M6</f>
        <v>25.501569192493477</v>
      </c>
      <c r="DC5" s="22">
        <f>Assumptions!$M6</f>
        <v>25.501569192493477</v>
      </c>
      <c r="DD5" s="22">
        <f>Assumptions!$M6</f>
        <v>25.501569192493477</v>
      </c>
      <c r="DE5" s="22">
        <f>Assumptions!$M6</f>
        <v>25.501569192493477</v>
      </c>
      <c r="DF5" s="22">
        <f>Assumptions!$M6</f>
        <v>25.501569192493477</v>
      </c>
      <c r="DG5" s="604">
        <f>Assumptions!$M6</f>
        <v>25.501569192493477</v>
      </c>
      <c r="DH5" s="686">
        <f>Assumptions!$N6</f>
        <v>27.031663344043086</v>
      </c>
      <c r="DI5" s="22">
        <f>Assumptions!$N6</f>
        <v>27.031663344043086</v>
      </c>
      <c r="DJ5" s="22">
        <f>Assumptions!$N6</f>
        <v>27.031663344043086</v>
      </c>
      <c r="DK5" s="22">
        <f>Assumptions!$N6</f>
        <v>27.031663344043086</v>
      </c>
      <c r="DL5" s="22">
        <f>Assumptions!$N6</f>
        <v>27.031663344043086</v>
      </c>
      <c r="DM5" s="22">
        <f>Assumptions!$N6</f>
        <v>27.031663344043086</v>
      </c>
      <c r="DN5" s="22">
        <f>Assumptions!$N6</f>
        <v>27.031663344043086</v>
      </c>
      <c r="DO5" s="22">
        <f>Assumptions!$N6</f>
        <v>27.031663344043086</v>
      </c>
      <c r="DP5" s="22">
        <f>Assumptions!$N6</f>
        <v>27.031663344043086</v>
      </c>
      <c r="DQ5" s="22">
        <f>Assumptions!$N6</f>
        <v>27.031663344043086</v>
      </c>
      <c r="DR5" s="22">
        <f>Assumptions!$N6</f>
        <v>27.031663344043086</v>
      </c>
      <c r="DS5" s="604">
        <f>Assumptions!$N6</f>
        <v>27.031663344043086</v>
      </c>
    </row>
    <row r="6" spans="1:126" ht="2.25" customHeight="1" x14ac:dyDescent="0.2">
      <c r="B6" s="21" t="s">
        <v>311</v>
      </c>
      <c r="C6" s="20"/>
      <c r="D6" s="22">
        <f>Assumptions!$E7</f>
        <v>1</v>
      </c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604">
        <f>Assumptions!$E7</f>
        <v>1</v>
      </c>
      <c r="P6" s="1185">
        <f>Assumptions!$F7</f>
        <v>1.0629999999999999</v>
      </c>
      <c r="Q6" s="22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604">
        <f>Assumptions!$F7</f>
        <v>1.0629999999999999</v>
      </c>
      <c r="AB6" s="1185">
        <f>Assumptions!$G7</f>
        <v>1.1299689999999998</v>
      </c>
      <c r="AC6" s="22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604">
        <f>Assumptions!$G7</f>
        <v>1.1299689999999998</v>
      </c>
      <c r="AN6" s="686">
        <f>Assumptions!$H7</f>
        <v>1.2011570469999997</v>
      </c>
      <c r="AO6" s="22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604">
        <f>Assumptions!$H7</f>
        <v>1.2011570469999997</v>
      </c>
      <c r="AZ6" s="686">
        <f>Assumptions!$I7</f>
        <v>1.2768299409609996</v>
      </c>
      <c r="BA6" s="22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604">
        <f>Assumptions!$I7</f>
        <v>1.2768299409609996</v>
      </c>
      <c r="BL6" s="686">
        <f>Assumptions!$J7</f>
        <v>1.3572702272415424</v>
      </c>
      <c r="BM6" s="22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604">
        <f>Assumptions!$J7</f>
        <v>1.3572702272415424</v>
      </c>
      <c r="BX6" s="686">
        <f>Assumptions!$K7</f>
        <v>1.4427782515577596</v>
      </c>
      <c r="BY6" s="22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604">
        <f>Assumptions!$K7</f>
        <v>1.4427782515577596</v>
      </c>
      <c r="CJ6" s="686">
        <f>Assumptions!$L7</f>
        <v>1.5336732814058984</v>
      </c>
      <c r="CK6" s="22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604">
        <f>Assumptions!$L7</f>
        <v>1.5336732814058984</v>
      </c>
      <c r="CV6" s="686">
        <f>Assumptions!$M7</f>
        <v>1.6302946981344699</v>
      </c>
      <c r="CW6" s="22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604">
        <f>Assumptions!$M7</f>
        <v>1.6302946981344699</v>
      </c>
      <c r="DH6" s="686">
        <f>Assumptions!$N7</f>
        <v>1.7330032641169415</v>
      </c>
      <c r="DI6" s="22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604">
        <f>Assumptions!$N7</f>
        <v>1.7330032641169415</v>
      </c>
    </row>
    <row r="7" spans="1:126" ht="7.5" customHeight="1" x14ac:dyDescent="0.25">
      <c r="A7" s="5"/>
      <c r="B7" s="13"/>
      <c r="D7" s="736"/>
      <c r="E7" s="736"/>
      <c r="F7" s="745"/>
      <c r="G7" s="736"/>
      <c r="H7" s="736"/>
      <c r="I7" s="736"/>
      <c r="J7" s="736"/>
      <c r="K7" s="736"/>
      <c r="L7" s="736"/>
      <c r="M7" s="736"/>
      <c r="N7" s="736"/>
      <c r="O7" s="737"/>
      <c r="P7" s="788"/>
      <c r="Q7" s="3"/>
      <c r="R7" s="205"/>
      <c r="S7" s="3"/>
      <c r="T7" s="3"/>
      <c r="U7" s="3"/>
      <c r="V7" s="3"/>
      <c r="W7" s="3"/>
      <c r="X7" s="3"/>
      <c r="Y7" s="3"/>
      <c r="Z7" s="3"/>
      <c r="AA7" s="500"/>
      <c r="AB7" s="788"/>
      <c r="AC7" s="3"/>
      <c r="AD7" s="205"/>
      <c r="AE7" s="3"/>
      <c r="AF7" s="3"/>
      <c r="AG7" s="3"/>
      <c r="AH7" s="3"/>
      <c r="AI7" s="3"/>
      <c r="AJ7" s="3"/>
      <c r="AK7" s="3"/>
      <c r="AL7" s="3"/>
      <c r="AM7" s="500"/>
      <c r="AN7" s="3"/>
      <c r="AO7" s="3"/>
      <c r="AP7" s="205"/>
      <c r="AQ7" s="3"/>
      <c r="AR7" s="3"/>
      <c r="AS7" s="3"/>
      <c r="AT7" s="3"/>
      <c r="AU7" s="3"/>
      <c r="AV7" s="3"/>
      <c r="AW7" s="3"/>
      <c r="AX7" s="3"/>
      <c r="AY7" s="500"/>
      <c r="AZ7" s="3"/>
      <c r="BA7" s="3"/>
      <c r="BB7" s="205"/>
      <c r="BC7" s="3"/>
      <c r="BD7" s="3"/>
      <c r="BE7" s="3"/>
      <c r="BF7" s="3"/>
      <c r="BG7" s="3"/>
      <c r="BH7" s="3"/>
      <c r="BI7" s="3"/>
      <c r="BJ7" s="3"/>
      <c r="BK7" s="500"/>
      <c r="BL7" s="3"/>
      <c r="BM7" s="3"/>
      <c r="BN7" s="205"/>
      <c r="BO7" s="3"/>
      <c r="BP7" s="3"/>
      <c r="BQ7" s="3"/>
      <c r="BR7" s="3"/>
      <c r="BS7" s="3"/>
      <c r="BT7" s="3"/>
      <c r="BU7" s="3"/>
      <c r="BV7" s="3"/>
      <c r="BW7" s="500"/>
      <c r="BX7" s="3"/>
      <c r="BY7" s="3"/>
      <c r="BZ7" s="205"/>
      <c r="CA7" s="3"/>
      <c r="CB7" s="3"/>
      <c r="CC7" s="3"/>
      <c r="CD7" s="3"/>
      <c r="CE7" s="3"/>
      <c r="CF7" s="3"/>
      <c r="CG7" s="3"/>
      <c r="CH7" s="3"/>
      <c r="CI7" s="500"/>
      <c r="CJ7" s="3"/>
      <c r="CK7" s="3"/>
      <c r="CL7" s="205"/>
      <c r="CM7" s="3"/>
      <c r="CN7" s="3"/>
      <c r="CO7" s="3"/>
      <c r="CP7" s="3"/>
      <c r="CQ7" s="3"/>
      <c r="CR7" s="3"/>
      <c r="CS7" s="3"/>
      <c r="CT7" s="3"/>
      <c r="CU7" s="500"/>
      <c r="CV7" s="3"/>
      <c r="CW7" s="3"/>
      <c r="CX7" s="205"/>
      <c r="CY7" s="3"/>
      <c r="CZ7" s="3"/>
      <c r="DA7" s="3"/>
      <c r="DB7" s="3"/>
      <c r="DC7" s="3"/>
      <c r="DD7" s="3"/>
      <c r="DE7" s="3"/>
      <c r="DF7" s="3"/>
      <c r="DG7" s="500"/>
      <c r="DH7" s="3"/>
      <c r="DI7" s="3"/>
      <c r="DJ7" s="205"/>
      <c r="DK7" s="3"/>
      <c r="DL7" s="3"/>
      <c r="DM7" s="3"/>
      <c r="DN7" s="3"/>
      <c r="DO7" s="3"/>
      <c r="DP7" s="3"/>
      <c r="DQ7" s="3"/>
      <c r="DR7" s="3"/>
      <c r="DS7" s="500"/>
    </row>
    <row r="8" spans="1:126" ht="15.75" x14ac:dyDescent="0.25">
      <c r="A8" s="127"/>
      <c r="B8" s="168" t="s">
        <v>188</v>
      </c>
      <c r="D8" s="736"/>
      <c r="E8" s="736"/>
      <c r="F8" s="745"/>
      <c r="G8" s="736"/>
      <c r="H8" s="736"/>
      <c r="I8" s="736"/>
      <c r="J8" s="736"/>
      <c r="K8" s="736"/>
      <c r="L8" s="736"/>
      <c r="M8" s="736"/>
      <c r="N8" s="736"/>
      <c r="O8" s="737"/>
      <c r="P8" s="788"/>
      <c r="Q8" s="3"/>
      <c r="R8" s="205"/>
      <c r="S8" s="3"/>
      <c r="T8" s="3"/>
      <c r="U8" s="3"/>
      <c r="V8" s="3"/>
      <c r="W8" s="3"/>
      <c r="X8" s="3"/>
      <c r="Y8" s="3"/>
      <c r="Z8" s="3"/>
      <c r="AA8" s="500"/>
      <c r="AB8" s="788"/>
      <c r="AC8" s="3"/>
      <c r="AD8" s="205"/>
      <c r="AE8" s="3"/>
      <c r="AF8" s="3"/>
      <c r="AG8" s="3"/>
      <c r="AH8" s="3"/>
      <c r="AI8" s="3"/>
      <c r="AJ8" s="3"/>
      <c r="AK8" s="3"/>
      <c r="AL8" s="3"/>
      <c r="AM8" s="500"/>
      <c r="AN8" s="3"/>
      <c r="AO8" s="3"/>
      <c r="AP8" s="205"/>
      <c r="AQ8" s="3"/>
      <c r="AR8" s="3"/>
      <c r="AS8" s="3"/>
      <c r="AT8" s="3"/>
      <c r="AU8" s="3"/>
      <c r="AV8" s="3"/>
      <c r="AW8" s="3"/>
      <c r="AX8" s="3"/>
      <c r="AY8" s="500"/>
      <c r="AZ8" s="3"/>
      <c r="BA8" s="3"/>
      <c r="BB8" s="205"/>
      <c r="BC8" s="3"/>
      <c r="BD8" s="3"/>
      <c r="BE8" s="3"/>
      <c r="BF8" s="3"/>
      <c r="BG8" s="3"/>
      <c r="BH8" s="3"/>
      <c r="BI8" s="3"/>
      <c r="BJ8" s="3"/>
      <c r="BK8" s="500"/>
      <c r="BL8" s="3"/>
      <c r="BM8" s="3"/>
      <c r="BN8" s="205"/>
      <c r="BO8" s="3"/>
      <c r="BP8" s="3"/>
      <c r="BQ8" s="3"/>
      <c r="BR8" s="3"/>
      <c r="BS8" s="3"/>
      <c r="BT8" s="3"/>
      <c r="BU8" s="3"/>
      <c r="BV8" s="3"/>
      <c r="BW8" s="500"/>
      <c r="BX8" s="3"/>
      <c r="BY8" s="3"/>
      <c r="BZ8" s="205"/>
      <c r="CA8" s="3"/>
      <c r="CB8" s="3"/>
      <c r="CC8" s="3"/>
      <c r="CD8" s="3"/>
      <c r="CE8" s="3"/>
      <c r="CF8" s="3"/>
      <c r="CG8" s="3"/>
      <c r="CH8" s="3"/>
      <c r="CI8" s="500"/>
      <c r="CJ8" s="3"/>
      <c r="CK8" s="3"/>
      <c r="CL8" s="205"/>
      <c r="CM8" s="3"/>
      <c r="CN8" s="3"/>
      <c r="CO8" s="3"/>
      <c r="CP8" s="3"/>
      <c r="CQ8" s="3"/>
      <c r="CR8" s="3"/>
      <c r="CS8" s="3"/>
      <c r="CT8" s="3"/>
      <c r="CU8" s="500"/>
      <c r="CV8" s="3"/>
      <c r="CW8" s="3"/>
      <c r="CX8" s="205"/>
      <c r="CY8" s="3"/>
      <c r="CZ8" s="3"/>
      <c r="DA8" s="3"/>
      <c r="DB8" s="3"/>
      <c r="DC8" s="3"/>
      <c r="DD8" s="3"/>
      <c r="DE8" s="3"/>
      <c r="DF8" s="3"/>
      <c r="DG8" s="500"/>
      <c r="DH8" s="3"/>
      <c r="DI8" s="3"/>
      <c r="DJ8" s="205"/>
      <c r="DK8" s="3"/>
      <c r="DL8" s="3"/>
      <c r="DM8" s="3"/>
      <c r="DN8" s="3"/>
      <c r="DO8" s="3"/>
      <c r="DP8" s="3"/>
      <c r="DQ8" s="3"/>
      <c r="DR8" s="3"/>
      <c r="DS8" s="500"/>
    </row>
    <row r="9" spans="1:126" ht="15" x14ac:dyDescent="0.25">
      <c r="B9" s="162" t="s">
        <v>190</v>
      </c>
      <c r="C9" s="7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86"/>
      <c r="P9" s="344">
        <v>0</v>
      </c>
      <c r="Q9" s="344">
        <v>0</v>
      </c>
      <c r="R9" s="344">
        <v>0</v>
      </c>
      <c r="S9" s="344">
        <v>0</v>
      </c>
      <c r="T9" s="344">
        <v>0</v>
      </c>
      <c r="U9" s="344">
        <v>0</v>
      </c>
      <c r="V9" s="344">
        <v>0</v>
      </c>
      <c r="W9" s="344">
        <v>0</v>
      </c>
      <c r="X9" s="108">
        <v>0</v>
      </c>
      <c r="Y9" s="108">
        <v>0</v>
      </c>
      <c r="Z9" s="108">
        <v>0</v>
      </c>
      <c r="AA9" s="110"/>
      <c r="AB9" s="344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10"/>
      <c r="AN9" s="109"/>
      <c r="AO9" s="108">
        <f>SUM(HR!AQ14:AQ19)</f>
        <v>-224165.93389637495</v>
      </c>
      <c r="AP9" s="108">
        <f>SUM(HR!AR14:AR19)</f>
        <v>-224165.93389637495</v>
      </c>
      <c r="AQ9" s="108">
        <f>SUM(HR!AS14:AS19)</f>
        <v>-224165.93389637495</v>
      </c>
      <c r="AR9" s="108">
        <f>SUM(HR!AT14:AT19)</f>
        <v>-224165.93389637495</v>
      </c>
      <c r="AS9" s="108">
        <f>SUM(HR!AU14:AU19)</f>
        <v>-224165.93389637495</v>
      </c>
      <c r="AT9" s="108">
        <f>SUM(HR!AV14:AV19)</f>
        <v>-224165.93389637495</v>
      </c>
      <c r="AU9" s="108">
        <f>SUM(HR!AW14:AW19)</f>
        <v>-224165.93389637495</v>
      </c>
      <c r="AV9" s="108">
        <f>SUM(HR!AX14:AX19)</f>
        <v>-224165.93389637495</v>
      </c>
      <c r="AW9" s="108">
        <f>SUM(HR!AY14:AY19)</f>
        <v>-224165.93389637495</v>
      </c>
      <c r="AX9" s="108">
        <f>SUM(HR!AZ14:AZ19)</f>
        <v>-224165.93389637495</v>
      </c>
      <c r="AY9" s="110">
        <f>SUM(HR!BA14:BA19)</f>
        <v>-224165.93389637495</v>
      </c>
      <c r="AZ9" s="109">
        <f>SUM(HR!BB14:BB19)</f>
        <v>-292021.64774728857</v>
      </c>
      <c r="BA9" s="108">
        <f>SUM(HR!BC14:BC19)</f>
        <v>-292021.64774728857</v>
      </c>
      <c r="BB9" s="108">
        <f>SUM(HR!BD14:BD19)</f>
        <v>-292021.64774728857</v>
      </c>
      <c r="BC9" s="108">
        <f>SUM(HR!BE14:BE19)</f>
        <v>-292021.64774728857</v>
      </c>
      <c r="BD9" s="108">
        <f>SUM(HR!BF14:BF19)</f>
        <v>-292021.64774728857</v>
      </c>
      <c r="BE9" s="108">
        <f>SUM(HR!BG14:BG19)</f>
        <v>-292021.64774728857</v>
      </c>
      <c r="BF9" s="108">
        <f>SUM(HR!BH14:BH19)</f>
        <v>-292021.64774728857</v>
      </c>
      <c r="BG9" s="108">
        <f>SUM(HR!BI14:BI19)</f>
        <v>-292021.64774728857</v>
      </c>
      <c r="BH9" s="108">
        <f>SUM(HR!BJ14:BJ19)</f>
        <v>-292021.64774728857</v>
      </c>
      <c r="BI9" s="108">
        <f>SUM(HR!BK14:BK19)</f>
        <v>-292021.64774728857</v>
      </c>
      <c r="BJ9" s="108">
        <f>SUM(HR!BL14:BL19)</f>
        <v>-292021.64774728857</v>
      </c>
      <c r="BK9" s="110">
        <f>SUM(HR!BM14:BM19)</f>
        <v>-292021.64774728857</v>
      </c>
      <c r="BL9" s="109">
        <f>SUM(HR!BN14:BN19)</f>
        <v>-310419.01155536773</v>
      </c>
      <c r="BM9" s="108">
        <f>SUM(HR!BO14:BO19)</f>
        <v>-310419.01155536773</v>
      </c>
      <c r="BN9" s="108">
        <f>SUM(HR!BP14:BP19)</f>
        <v>-310419.01155536773</v>
      </c>
      <c r="BO9" s="108">
        <f>SUM(HR!BQ14:BQ19)</f>
        <v>-310419.01155536773</v>
      </c>
      <c r="BP9" s="108">
        <f>SUM(HR!BR14:BR19)</f>
        <v>-310419.01155536773</v>
      </c>
      <c r="BQ9" s="108">
        <f>SUM(HR!BS14:BS19)</f>
        <v>-310419.01155536773</v>
      </c>
      <c r="BR9" s="108">
        <f>SUM(HR!BT14:BT19)</f>
        <v>-310419.01155536773</v>
      </c>
      <c r="BS9" s="108">
        <f>SUM(HR!BU14:BU19)</f>
        <v>-310419.01155536773</v>
      </c>
      <c r="BT9" s="108">
        <f>SUM(HR!BV14:BV19)</f>
        <v>-310419.01155536773</v>
      </c>
      <c r="BU9" s="108">
        <f>SUM(HR!BW14:BW19)</f>
        <v>-310419.01155536773</v>
      </c>
      <c r="BV9" s="108">
        <f>SUM(HR!BX14:BX19)</f>
        <v>-310419.01155536773</v>
      </c>
      <c r="BW9" s="110">
        <f>SUM(HR!BY14:BY19)</f>
        <v>-310419.01155536773</v>
      </c>
      <c r="BX9" s="109">
        <f>SUM(HR!BZ14:BZ19)</f>
        <v>-329975.40928335593</v>
      </c>
      <c r="BY9" s="108">
        <f>SUM(HR!CA14:CA19)</f>
        <v>-329975.40928335593</v>
      </c>
      <c r="BZ9" s="108">
        <f>SUM(HR!CB14:CB19)</f>
        <v>-329975.40928335593</v>
      </c>
      <c r="CA9" s="108">
        <f>SUM(HR!CC14:CC19)</f>
        <v>-329975.40928335593</v>
      </c>
      <c r="CB9" s="108">
        <f>SUM(HR!CD14:CD19)</f>
        <v>-329975.40928335593</v>
      </c>
      <c r="CC9" s="108">
        <f>SUM(HR!CE14:CE19)</f>
        <v>-329975.40928335593</v>
      </c>
      <c r="CD9" s="108">
        <f>SUM(HR!CF14:CF19)</f>
        <v>-329975.40928335593</v>
      </c>
      <c r="CE9" s="108">
        <f>SUM(HR!CG14:CG19)</f>
        <v>-329975.40928335593</v>
      </c>
      <c r="CF9" s="108">
        <f>SUM(HR!CH14:CH19)</f>
        <v>-329975.40928335593</v>
      </c>
      <c r="CG9" s="108">
        <f>SUM(HR!CI14:CI19)</f>
        <v>-329975.40928335593</v>
      </c>
      <c r="CH9" s="108">
        <f>SUM(HR!CJ14:CJ19)</f>
        <v>-329975.40928335593</v>
      </c>
      <c r="CI9" s="110">
        <f>SUM(HR!CK14:CK19)</f>
        <v>-329975.40928335593</v>
      </c>
      <c r="CJ9" s="109">
        <f>SUM(HR!CL14:CL19)</f>
        <v>-350763.86006820737</v>
      </c>
      <c r="CK9" s="108">
        <f>SUM(HR!CM14:CM19)</f>
        <v>-350763.86006820737</v>
      </c>
      <c r="CL9" s="108">
        <f>SUM(HR!CN14:CN19)</f>
        <v>-350763.86006820737</v>
      </c>
      <c r="CM9" s="108">
        <f>SUM(HR!CO14:CO19)</f>
        <v>-350763.86006820737</v>
      </c>
      <c r="CN9" s="108">
        <f>SUM(HR!CP14:CP19)</f>
        <v>-350763.86006820737</v>
      </c>
      <c r="CO9" s="108">
        <f>SUM(HR!CQ14:CQ19)</f>
        <v>-350763.86006820737</v>
      </c>
      <c r="CP9" s="108">
        <f>SUM(HR!CR14:CR19)</f>
        <v>-350763.86006820737</v>
      </c>
      <c r="CQ9" s="108">
        <f>SUM(HR!CS14:CS19)</f>
        <v>-350763.86006820737</v>
      </c>
      <c r="CR9" s="108">
        <f>SUM(HR!CT14:CT19)</f>
        <v>-350763.86006820737</v>
      </c>
      <c r="CS9" s="108">
        <f>SUM(HR!CU14:CU19)</f>
        <v>-350763.86006820737</v>
      </c>
      <c r="CT9" s="108">
        <f>SUM(HR!CV14:CV19)</f>
        <v>-350763.86006820737</v>
      </c>
      <c r="CU9" s="110">
        <f>SUM(HR!CW14:CW19)</f>
        <v>-350763.86006820737</v>
      </c>
      <c r="CV9" s="109">
        <f>SUM(HR!CX14:CX19)</f>
        <v>-372861.98325250437</v>
      </c>
      <c r="CW9" s="108">
        <f>SUM(HR!CY14:CY19)</f>
        <v>-372861.98325250437</v>
      </c>
      <c r="CX9" s="108">
        <f>SUM(HR!CZ14:CZ19)</f>
        <v>-372861.98325250437</v>
      </c>
      <c r="CY9" s="108">
        <f>SUM(HR!DA14:DA19)</f>
        <v>-372861.98325250437</v>
      </c>
      <c r="CZ9" s="108">
        <f>SUM(HR!DB14:DB19)</f>
        <v>-372861.98325250437</v>
      </c>
      <c r="DA9" s="108">
        <f>SUM(HR!DC14:DC19)</f>
        <v>-372861.98325250437</v>
      </c>
      <c r="DB9" s="108">
        <f>SUM(HR!DD14:DD19)</f>
        <v>-372861.98325250437</v>
      </c>
      <c r="DC9" s="108">
        <f>SUM(HR!DE14:DE19)</f>
        <v>-372861.98325250437</v>
      </c>
      <c r="DD9" s="108">
        <f>SUM(HR!DF14:DF19)</f>
        <v>-372861.98325250437</v>
      </c>
      <c r="DE9" s="108">
        <f>SUM(HR!DG14:DG19)</f>
        <v>-372861.98325250437</v>
      </c>
      <c r="DF9" s="108">
        <f>SUM(HR!DH14:DH19)</f>
        <v>-372861.98325250437</v>
      </c>
      <c r="DG9" s="110">
        <f>SUM(HR!DI14:DI19)</f>
        <v>-372861.98325250437</v>
      </c>
      <c r="DH9" s="109">
        <f>SUM(HR!DJ14:DJ19)</f>
        <v>-396352.28819741216</v>
      </c>
      <c r="DI9" s="108">
        <f>SUM(HR!DK14:DK19)</f>
        <v>-396352.28819741216</v>
      </c>
      <c r="DJ9" s="108">
        <f>SUM(HR!DL14:DL19)</f>
        <v>-396352.28819741216</v>
      </c>
      <c r="DK9" s="108">
        <f>SUM(HR!DM14:DM19)</f>
        <v>-396352.28819741216</v>
      </c>
      <c r="DL9" s="108">
        <f>SUM(HR!DN14:DN19)</f>
        <v>-396352.28819741216</v>
      </c>
      <c r="DM9" s="108">
        <f>SUM(HR!DO14:DO19)</f>
        <v>-396352.28819741216</v>
      </c>
      <c r="DN9" s="108">
        <f>SUM(HR!DP14:DP19)</f>
        <v>-396352.28819741216</v>
      </c>
      <c r="DO9" s="108">
        <f>SUM(HR!DQ14:DQ19)</f>
        <v>-396352.28819741216</v>
      </c>
      <c r="DP9" s="108">
        <f>SUM(HR!DR14:DR19)</f>
        <v>-396352.28819741216</v>
      </c>
      <c r="DQ9" s="108">
        <f>SUM(HR!DS14:DS19)</f>
        <v>-396352.28819741216</v>
      </c>
      <c r="DR9" s="108">
        <f>SUM(HR!DT14:DT19)</f>
        <v>-396352.28819741216</v>
      </c>
      <c r="DS9" s="110">
        <f>SUM(HR!DU14:DU19)</f>
        <v>-396352.28819741216</v>
      </c>
    </row>
    <row r="10" spans="1:126" ht="15" x14ac:dyDescent="0.25">
      <c r="B10" s="162" t="s">
        <v>1379</v>
      </c>
      <c r="C10" s="7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86"/>
      <c r="P10" s="344">
        <v>0</v>
      </c>
      <c r="Q10" s="344">
        <v>0</v>
      </c>
      <c r="R10" s="344">
        <v>0</v>
      </c>
      <c r="S10" s="344">
        <v>0</v>
      </c>
      <c r="T10" s="344">
        <v>0</v>
      </c>
      <c r="U10" s="344">
        <v>0</v>
      </c>
      <c r="V10" s="344">
        <v>0</v>
      </c>
      <c r="W10" s="344">
        <v>0</v>
      </c>
      <c r="X10" s="108">
        <v>0</v>
      </c>
      <c r="Y10" s="108">
        <v>0</v>
      </c>
      <c r="Z10" s="108">
        <v>0</v>
      </c>
      <c r="AA10" s="110"/>
      <c r="AB10" s="344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10"/>
      <c r="AN10" s="109"/>
      <c r="AO10" s="108">
        <f>-Elec!$N$18-Elec!$N$19-Elec!$N$20*Elec!$I$30</f>
        <v>-63445.408008998427</v>
      </c>
      <c r="AP10" s="108">
        <f>-Elec!$N$18-Elec!$N$19-Elec!$N$20*Elec!$I$30</f>
        <v>-63445.408008998427</v>
      </c>
      <c r="AQ10" s="108">
        <f>-Elec!$N$18-Elec!$N$19-Elec!$N$20*Elec!$I$30</f>
        <v>-63445.408008998427</v>
      </c>
      <c r="AR10" s="108">
        <f>-Elec!$N$18-Elec!$N$19-Elec!$N$20*Elec!$I$30</f>
        <v>-63445.408008998427</v>
      </c>
      <c r="AS10" s="108">
        <f>-Elec!$N$18-Elec!$N$19-Elec!$N$20*Elec!$I$30</f>
        <v>-63445.408008998427</v>
      </c>
      <c r="AT10" s="108">
        <f>-Elec!$N$18-Elec!$N$19-Elec!$N$20*Elec!$I$30</f>
        <v>-63445.408008998427</v>
      </c>
      <c r="AU10" s="108">
        <f>-Elec!$N$18-Elec!$N$19-Elec!$N$20*Elec!$I$30</f>
        <v>-63445.408008998427</v>
      </c>
      <c r="AV10" s="108">
        <f>-Elec!$N$18-Elec!$N$19-Elec!$N$20*Elec!$I$30</f>
        <v>-63445.408008998427</v>
      </c>
      <c r="AW10" s="108">
        <f>-Elec!$N$18-Elec!$N$19-Elec!$N$20*Elec!$I$30</f>
        <v>-63445.408008998427</v>
      </c>
      <c r="AX10" s="108">
        <f>-Elec!$N$18-Elec!$N$19-Elec!$N$20*Elec!$I$30</f>
        <v>-63445.408008998427</v>
      </c>
      <c r="AY10" s="110">
        <f>-Elec!$N$18-Elec!$N$19-Elec!$N$20*Elec!$I$30</f>
        <v>-63445.408008998427</v>
      </c>
      <c r="AZ10" s="109">
        <f>-Elec!$P$18-Elec!$P$19-Elec!$P$20*Elec!$I$30</f>
        <v>-69789.948809898284</v>
      </c>
      <c r="BA10" s="108">
        <f>-Elec!$P$18-Elec!$P$19-Elec!$P$20*Elec!$I$30</f>
        <v>-69789.948809898284</v>
      </c>
      <c r="BB10" s="108">
        <f>-Elec!$P$18-Elec!$P$19-Elec!$P$20*Elec!$I$30</f>
        <v>-69789.948809898284</v>
      </c>
      <c r="BC10" s="108">
        <f>-Elec!$P$18-Elec!$P$19-Elec!$P$20*Elec!$I$30</f>
        <v>-69789.948809898284</v>
      </c>
      <c r="BD10" s="108">
        <f>-Elec!$P$18-Elec!$P$19-Elec!$P$20*Elec!$I$30</f>
        <v>-69789.948809898284</v>
      </c>
      <c r="BE10" s="108">
        <f>-Elec!$P$18-Elec!$P$19-Elec!$P$20*Elec!$I$30</f>
        <v>-69789.948809898284</v>
      </c>
      <c r="BF10" s="108">
        <f>-Elec!$P$18-Elec!$P$19-Elec!$P$20*Elec!$I$30</f>
        <v>-69789.948809898284</v>
      </c>
      <c r="BG10" s="108">
        <f>-Elec!$P$18-Elec!$P$19-Elec!$P$20*Elec!$I$30</f>
        <v>-69789.948809898284</v>
      </c>
      <c r="BH10" s="108">
        <f>-Elec!$P$18-Elec!$P$19-Elec!$P$20*Elec!$I$30</f>
        <v>-69789.948809898284</v>
      </c>
      <c r="BI10" s="108">
        <f>-Elec!$P$18-Elec!$P$19-Elec!$P$20*Elec!$I$30</f>
        <v>-69789.948809898284</v>
      </c>
      <c r="BJ10" s="108">
        <f>-Elec!$P$18-Elec!$P$19-Elec!$P$20*Elec!$I$30</f>
        <v>-69789.948809898284</v>
      </c>
      <c r="BK10" s="110">
        <f>-Elec!$P$18-Elec!$P$19-Elec!$P$20*Elec!$I$30</f>
        <v>-69789.948809898284</v>
      </c>
      <c r="BL10" s="109">
        <f>-Elec!$R$18-Elec!$R$19-Elec!$R$20*Elec!$I$30</f>
        <v>-76768.943690888118</v>
      </c>
      <c r="BM10" s="108">
        <f>-Elec!$R$18-Elec!$R$19-Elec!$R$20*Elec!$I$30</f>
        <v>-76768.943690888118</v>
      </c>
      <c r="BN10" s="108">
        <f>-Elec!$R$18-Elec!$R$19-Elec!$R$20*Elec!$I$30</f>
        <v>-76768.943690888118</v>
      </c>
      <c r="BO10" s="108">
        <f>-Elec!$R$18-Elec!$R$19-Elec!$R$20*Elec!$I$30</f>
        <v>-76768.943690888118</v>
      </c>
      <c r="BP10" s="108">
        <f>-Elec!$R$18-Elec!$R$19-Elec!$R$20*Elec!$I$30</f>
        <v>-76768.943690888118</v>
      </c>
      <c r="BQ10" s="108">
        <f>-Elec!$R$18-Elec!$R$19-Elec!$R$20*Elec!$I$30</f>
        <v>-76768.943690888118</v>
      </c>
      <c r="BR10" s="108">
        <f>-Elec!$R$18-Elec!$R$19-Elec!$R$20*Elec!$I$30</f>
        <v>-76768.943690888118</v>
      </c>
      <c r="BS10" s="108">
        <f>-Elec!$R$18-Elec!$R$19-Elec!$R$20*Elec!$I$30</f>
        <v>-76768.943690888118</v>
      </c>
      <c r="BT10" s="108">
        <f>-Elec!$R$18-Elec!$R$19-Elec!$R$20*Elec!$I$30</f>
        <v>-76768.943690888118</v>
      </c>
      <c r="BU10" s="108">
        <f>-Elec!$R$18-Elec!$R$19-Elec!$R$20*Elec!$I$30</f>
        <v>-76768.943690888118</v>
      </c>
      <c r="BV10" s="108">
        <f>-Elec!$R$18-Elec!$R$19-Elec!$R$20*Elec!$I$30</f>
        <v>-76768.943690888118</v>
      </c>
      <c r="BW10" s="110">
        <f>-Elec!$R$18-Elec!$R$19-Elec!$R$20*Elec!$I$30</f>
        <v>-76768.943690888118</v>
      </c>
      <c r="BX10" s="109">
        <f>-Elec!$T$18-Elec!$T$19-Elec!$T$20*Elec!$I$30</f>
        <v>-84445.83805997693</v>
      </c>
      <c r="BY10" s="108">
        <f>-Elec!$T$18-Elec!$T$19-Elec!$T$20*Elec!$I$30</f>
        <v>-84445.83805997693</v>
      </c>
      <c r="BZ10" s="108">
        <f>-Elec!$T$18-Elec!$T$19-Elec!$T$20*Elec!$I$30</f>
        <v>-84445.83805997693</v>
      </c>
      <c r="CA10" s="108">
        <f>-Elec!$T$18-Elec!$T$19-Elec!$T$20*Elec!$I$30</f>
        <v>-84445.83805997693</v>
      </c>
      <c r="CB10" s="108">
        <f>-Elec!$T$18-Elec!$T$19-Elec!$T$20*Elec!$I$30</f>
        <v>-84445.83805997693</v>
      </c>
      <c r="CC10" s="108">
        <f>-Elec!$T$18-Elec!$T$19-Elec!$T$20*Elec!$I$30</f>
        <v>-84445.83805997693</v>
      </c>
      <c r="CD10" s="108">
        <f>-Elec!$T$18-Elec!$T$19-Elec!$T$20*Elec!$I$30</f>
        <v>-84445.83805997693</v>
      </c>
      <c r="CE10" s="108">
        <f>-Elec!$T$18-Elec!$T$19-Elec!$T$20*Elec!$I$30</f>
        <v>-84445.83805997693</v>
      </c>
      <c r="CF10" s="108">
        <f>-Elec!$T$18-Elec!$T$19-Elec!$T$20*Elec!$I$30</f>
        <v>-84445.83805997693</v>
      </c>
      <c r="CG10" s="108">
        <f>-Elec!$T$18-Elec!$T$19-Elec!$T$20*Elec!$I$30</f>
        <v>-84445.83805997693</v>
      </c>
      <c r="CH10" s="108">
        <f>-Elec!$T$18-Elec!$T$19-Elec!$T$20*Elec!$I$30</f>
        <v>-84445.83805997693</v>
      </c>
      <c r="CI10" s="110">
        <f>-Elec!$T$18-Elec!$T$19-Elec!$T$20*Elec!$I$30</f>
        <v>-84445.83805997693</v>
      </c>
      <c r="CJ10" s="109">
        <f>-Elec!$V$18-Elec!$V$19-Elec!$V$20*Elec!$I$30</f>
        <v>-92890.421865974626</v>
      </c>
      <c r="CK10" s="108">
        <f>-Elec!$V$18-Elec!$V$19-Elec!$V$20*Elec!$I$30</f>
        <v>-92890.421865974626</v>
      </c>
      <c r="CL10" s="108">
        <f>-Elec!$V$18-Elec!$V$19-Elec!$V$20*Elec!$I$30</f>
        <v>-92890.421865974626</v>
      </c>
      <c r="CM10" s="108">
        <f>-Elec!$V$18-Elec!$V$19-Elec!$V$20*Elec!$I$30</f>
        <v>-92890.421865974626</v>
      </c>
      <c r="CN10" s="108">
        <f>-Elec!$V$18-Elec!$V$19-Elec!$V$20*Elec!$I$30</f>
        <v>-92890.421865974626</v>
      </c>
      <c r="CO10" s="108">
        <f>-Elec!$V$18-Elec!$V$19-Elec!$V$20*Elec!$I$30</f>
        <v>-92890.421865974626</v>
      </c>
      <c r="CP10" s="108">
        <f>-Elec!$V$18-Elec!$V$19-Elec!$V$20*Elec!$I$30</f>
        <v>-92890.421865974626</v>
      </c>
      <c r="CQ10" s="108">
        <f>-Elec!$V$18-Elec!$V$19-Elec!$V$20*Elec!$I$30</f>
        <v>-92890.421865974626</v>
      </c>
      <c r="CR10" s="108">
        <f>-Elec!$V$18-Elec!$V$19-Elec!$V$20*Elec!$I$30</f>
        <v>-92890.421865974626</v>
      </c>
      <c r="CS10" s="108">
        <f>-Elec!$V$18-Elec!$V$19-Elec!$V$20*Elec!$I$30</f>
        <v>-92890.421865974626</v>
      </c>
      <c r="CT10" s="108">
        <f>-Elec!$V$18-Elec!$V$19-Elec!$V$20*Elec!$I$30</f>
        <v>-92890.421865974626</v>
      </c>
      <c r="CU10" s="110">
        <f>-Elec!$V$18-Elec!$V$19-Elec!$V$20*Elec!$I$30</f>
        <v>-92890.421865974626</v>
      </c>
      <c r="CV10" s="109">
        <f>-Elec!$X$18-Elec!$X$19-Elec!$X$20*Elec!$I$30</f>
        <v>-102179.4640525721</v>
      </c>
      <c r="CW10" s="108">
        <f>-Elec!$X$18-Elec!$X$19-Elec!$X$20*Elec!$I$30</f>
        <v>-102179.4640525721</v>
      </c>
      <c r="CX10" s="108">
        <f>-Elec!$X$18-Elec!$X$19-Elec!$X$20*Elec!$I$30</f>
        <v>-102179.4640525721</v>
      </c>
      <c r="CY10" s="108">
        <f>-Elec!$X$18-Elec!$X$19-Elec!$X$20*Elec!$I$30</f>
        <v>-102179.4640525721</v>
      </c>
      <c r="CZ10" s="108">
        <f>-Elec!$X$18-Elec!$X$19-Elec!$X$20*Elec!$I$30</f>
        <v>-102179.4640525721</v>
      </c>
      <c r="DA10" s="108">
        <f>-Elec!$X$18-Elec!$X$19-Elec!$X$20*Elec!$I$30</f>
        <v>-102179.4640525721</v>
      </c>
      <c r="DB10" s="108">
        <f>-Elec!$X$18-Elec!$X$19-Elec!$X$20*Elec!$I$30</f>
        <v>-102179.4640525721</v>
      </c>
      <c r="DC10" s="108">
        <f>-Elec!$X$18-Elec!$X$19-Elec!$X$20*Elec!$I$30</f>
        <v>-102179.4640525721</v>
      </c>
      <c r="DD10" s="108">
        <f>-Elec!$X$18-Elec!$X$19-Elec!$X$20*Elec!$I$30</f>
        <v>-102179.4640525721</v>
      </c>
      <c r="DE10" s="108">
        <f>-Elec!$X$18-Elec!$X$19-Elec!$X$20*Elec!$I$30</f>
        <v>-102179.4640525721</v>
      </c>
      <c r="DF10" s="108">
        <f>-Elec!$X$18-Elec!$X$19-Elec!$X$20*Elec!$I$30</f>
        <v>-102179.4640525721</v>
      </c>
      <c r="DG10" s="110">
        <f>-Elec!$X$18-Elec!$X$19-Elec!$X$20*Elec!$I$30</f>
        <v>-102179.4640525721</v>
      </c>
      <c r="DH10" s="109">
        <f>-Elec!$Z$18-Elec!$Z$19-Elec!$Z$20*Elec!$I$30</f>
        <v>-112397.41045782933</v>
      </c>
      <c r="DI10" s="108">
        <f>-Elec!$Z$18-Elec!$Z$19-Elec!$Z$20*Elec!$I$30</f>
        <v>-112397.41045782933</v>
      </c>
      <c r="DJ10" s="108">
        <f>-Elec!$Z$18-Elec!$Z$19-Elec!$Z$20*Elec!$I$30</f>
        <v>-112397.41045782933</v>
      </c>
      <c r="DK10" s="108">
        <f>-Elec!$Z$18-Elec!$Z$19-Elec!$Z$20*Elec!$I$30</f>
        <v>-112397.41045782933</v>
      </c>
      <c r="DL10" s="108">
        <f>-Elec!$Z$18-Elec!$Z$19-Elec!$Z$20*Elec!$I$30</f>
        <v>-112397.41045782933</v>
      </c>
      <c r="DM10" s="108">
        <f>-Elec!$Z$18-Elec!$Z$19-Elec!$Z$20*Elec!$I$30</f>
        <v>-112397.41045782933</v>
      </c>
      <c r="DN10" s="108">
        <f>-Elec!$Z$18-Elec!$Z$19-Elec!$Z$20*Elec!$I$30</f>
        <v>-112397.41045782933</v>
      </c>
      <c r="DO10" s="108">
        <f>-Elec!$Z$18-Elec!$Z$19-Elec!$Z$20*Elec!$I$30</f>
        <v>-112397.41045782933</v>
      </c>
      <c r="DP10" s="108">
        <f>-Elec!$Z$18-Elec!$Z$19-Elec!$Z$20*Elec!$I$30</f>
        <v>-112397.41045782933</v>
      </c>
      <c r="DQ10" s="108">
        <f>-Elec!$Z$18-Elec!$Z$19-Elec!$Z$20*Elec!$I$30</f>
        <v>-112397.41045782933</v>
      </c>
      <c r="DR10" s="108">
        <f>-Elec!$Z$18-Elec!$Z$19-Elec!$Z$20*Elec!$I$30</f>
        <v>-112397.41045782933</v>
      </c>
      <c r="DS10" s="110">
        <f>-Elec!$Z$18-Elec!$Z$19-Elec!$Z$20*Elec!$I$30</f>
        <v>-112397.41045782933</v>
      </c>
    </row>
    <row r="11" spans="1:126" ht="15" x14ac:dyDescent="0.25">
      <c r="B11" s="162" t="s">
        <v>189</v>
      </c>
      <c r="C11" s="7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86"/>
      <c r="P11" s="344">
        <v>0</v>
      </c>
      <c r="Q11" s="344">
        <v>0</v>
      </c>
      <c r="R11" s="344">
        <v>0</v>
      </c>
      <c r="S11" s="344">
        <v>0</v>
      </c>
      <c r="T11" s="344">
        <v>0</v>
      </c>
      <c r="U11" s="344">
        <v>0</v>
      </c>
      <c r="V11" s="344">
        <v>0</v>
      </c>
      <c r="W11" s="344">
        <v>0</v>
      </c>
      <c r="X11" s="108">
        <v>0</v>
      </c>
      <c r="Y11" s="108">
        <v>0</v>
      </c>
      <c r="Z11" s="108">
        <v>0</v>
      </c>
      <c r="AA11" s="110"/>
      <c r="AB11" s="1404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695"/>
      <c r="AN11" s="109"/>
      <c r="AO11" s="109">
        <f>-((Production!AP22*Assumptions!$C$53)+(Production!AP28*Assumptions!$C$54))*AO6</f>
        <v>-216504.27484255988</v>
      </c>
      <c r="AP11" s="109">
        <f>-((Production!AQ22*Assumptions!$C$53)+(Production!AQ28*Assumptions!$C$54))*AP6</f>
        <v>-205138.3690215993</v>
      </c>
      <c r="AQ11" s="109">
        <f>-((Production!AR22*Assumptions!$C$53)+(Production!AR28*Assumptions!$C$54))*AQ6</f>
        <v>-576673.95768106135</v>
      </c>
      <c r="AR11" s="109">
        <f>-((Production!AS22*Assumptions!$C$53)+(Production!AS28*Assumptions!$C$54))*AR6</f>
        <v>-685929.17900410632</v>
      </c>
      <c r="AS11" s="109">
        <f>-((Production!AT22*Assumptions!$C$53)+(Production!AT28*Assumptions!$C$54))*AS6</f>
        <v>-272579.80697667639</v>
      </c>
      <c r="AT11" s="109">
        <f>-((Production!AU22*Assumptions!$C$53)+(Production!AU28*Assumptions!$C$54))*AT6</f>
        <v>-392686.32334195217</v>
      </c>
      <c r="AU11" s="109">
        <f>-((Production!AV22*Assumptions!$C$53)+(Production!AV28*Assumptions!$C$54))*AU6</f>
        <v>-457429.28533358203</v>
      </c>
      <c r="AV11" s="109">
        <f>-((Production!AW22*Assumptions!$C$53)+(Production!AW28*Assumptions!$C$54))*AV6</f>
        <v>-161024.17111702738</v>
      </c>
      <c r="AW11" s="109">
        <f>-((Production!AX22*Assumptions!$C$53)+(Production!AX28*Assumptions!$C$54))*AW6</f>
        <v>-420339.62918573513</v>
      </c>
      <c r="AX11" s="109">
        <f>-((Production!AY22*Assumptions!$C$53)+(Production!AY28*Assumptions!$C$54))*AX6</f>
        <v>-461242.43945534166</v>
      </c>
      <c r="AY11" s="695">
        <f>-((Production!AZ22*Assumptions!$C$53)+(Production!AZ28*Assumptions!$C$54))*AY6</f>
        <v>-479168.48521359352</v>
      </c>
      <c r="AZ11" s="109">
        <f>-((Production!BA22*Assumptions!$C$53)+(Production!BA28*Assumptions!$C$54))*AZ6</f>
        <v>-225966.76037009995</v>
      </c>
      <c r="BA11" s="109">
        <f>-((Production!BB22*Assumptions!$C$53)+(Production!BB28*Assumptions!$C$54))*BA6</f>
        <v>-230144.04415764112</v>
      </c>
      <c r="BB11" s="109">
        <f>-((Production!BC22*Assumptions!$C$53)+(Production!BC28*Assumptions!$C$54))*BB6</f>
        <v>-218062.08626996004</v>
      </c>
      <c r="BC11" s="109">
        <f>-((Production!BD22*Assumptions!$C$53)+(Production!BD28*Assumptions!$C$54))*BC6</f>
        <v>-613004.41701496823</v>
      </c>
      <c r="BD11" s="109">
        <f>-((Production!BE22*Assumptions!$C$53)+(Production!BE28*Assumptions!$C$54))*BD6</f>
        <v>-729142.71728136495</v>
      </c>
      <c r="BE11" s="109">
        <f>-((Production!BF22*Assumptions!$C$53)+(Production!BF28*Assumptions!$C$54))*BE6</f>
        <v>-289752.33481620695</v>
      </c>
      <c r="BF11" s="109">
        <f>-((Production!BG22*Assumptions!$C$53)+(Production!BG28*Assumptions!$C$54))*BF6</f>
        <v>-417425.56171249511</v>
      </c>
      <c r="BG11" s="109">
        <f>-((Production!BH22*Assumptions!$C$53)+(Production!BH28*Assumptions!$C$54))*BG6</f>
        <v>-486247.3303095976</v>
      </c>
      <c r="BH11" s="109">
        <f>-((Production!BI22*Assumptions!$C$53)+(Production!BI28*Assumptions!$C$54))*BH6</f>
        <v>-171168.69389740008</v>
      </c>
      <c r="BI11" s="109">
        <f>-((Production!BJ22*Assumptions!$C$53)+(Production!BJ28*Assumptions!$C$54))*BI6</f>
        <v>-446821.02582443645</v>
      </c>
      <c r="BJ11" s="109">
        <f>-((Production!BK22*Assumptions!$C$53)+(Production!BK28*Assumptions!$C$54))*BJ6</f>
        <v>-490300.71314102813</v>
      </c>
      <c r="BK11" s="695">
        <f>-((Production!BL22*Assumptions!$C$53)+(Production!BL28*Assumptions!$C$54))*BK6</f>
        <v>-509356.09978204983</v>
      </c>
      <c r="BL11" s="109">
        <f>-((Production!BM22*Assumptions!$C$53)+(Production!BM28*Assumptions!$C$54))*BL6</f>
        <v>-240202.66627341625</v>
      </c>
      <c r="BM11" s="109">
        <f>-((Production!BN22*Assumptions!$C$53)+(Production!BN28*Assumptions!$C$54))*BM6</f>
        <v>-244643.11893957251</v>
      </c>
      <c r="BN11" s="109">
        <f>-((Production!BO22*Assumptions!$C$53)+(Production!BO28*Assumptions!$C$54))*BN6</f>
        <v>-231799.99770496751</v>
      </c>
      <c r="BO11" s="109">
        <f>-((Production!BP22*Assumptions!$C$53)+(Production!BP28*Assumptions!$C$54))*BO6</f>
        <v>-651623.6952869111</v>
      </c>
      <c r="BP11" s="109">
        <f>-((Production!BQ22*Assumptions!$C$53)+(Production!BQ28*Assumptions!$C$54))*BP6</f>
        <v>-775078.70847009087</v>
      </c>
      <c r="BQ11" s="109">
        <f>-((Production!BR22*Assumptions!$C$53)+(Production!BR28*Assumptions!$C$54))*BQ6</f>
        <v>-308006.73190962797</v>
      </c>
      <c r="BR11" s="109">
        <f>-((Production!BS22*Assumptions!$C$53)+(Production!BS28*Assumptions!$C$54))*BR6</f>
        <v>-443723.37210038229</v>
      </c>
      <c r="BS11" s="109">
        <f>-((Production!BT22*Assumptions!$C$53)+(Production!BT28*Assumptions!$C$54))*BS6</f>
        <v>-516880.91211910226</v>
      </c>
      <c r="BT11" s="109">
        <f>-((Production!BU22*Assumptions!$C$53)+(Production!BU28*Assumptions!$C$54))*BT6</f>
        <v>-181952.32161293627</v>
      </c>
      <c r="BU11" s="109">
        <f>-((Production!BV22*Assumptions!$C$53)+(Production!BV28*Assumptions!$C$54))*BU6</f>
        <v>-474970.7504513759</v>
      </c>
      <c r="BV11" s="109">
        <f>-((Production!BW22*Assumptions!$C$53)+(Production!BW28*Assumptions!$C$54))*BV6</f>
        <v>-521189.65806891286</v>
      </c>
      <c r="BW11" s="695">
        <f>-((Production!BX22*Assumptions!$C$53)+(Production!BX28*Assumptions!$C$54))*BW6</f>
        <v>-541445.53406831902</v>
      </c>
      <c r="BX11" s="109">
        <f>-((Production!BY22*Assumptions!$C$53)+(Production!BY28*Assumptions!$C$54))*BX6</f>
        <v>-255335.43424864145</v>
      </c>
      <c r="BY11" s="109">
        <f>-((Production!BZ22*Assumptions!$C$53)+(Production!BZ28*Assumptions!$C$54))*BY6</f>
        <v>-260055.63543276556</v>
      </c>
      <c r="BZ11" s="109">
        <f>-((Production!CA22*Assumptions!$C$53)+(Production!CA28*Assumptions!$C$54))*BZ6</f>
        <v>-246403.39756038046</v>
      </c>
      <c r="CA11" s="109">
        <f>-((Production!CB22*Assumptions!$C$53)+(Production!CB28*Assumptions!$C$54))*CA6</f>
        <v>-692675.98808998649</v>
      </c>
      <c r="CB11" s="109">
        <f>-((Production!CC22*Assumptions!$C$53)+(Production!CC28*Assumptions!$C$54))*CB6</f>
        <v>-823908.66710370663</v>
      </c>
      <c r="CC11" s="109">
        <f>-((Production!CD22*Assumptions!$C$53)+(Production!CD28*Assumptions!$C$54))*CC6</f>
        <v>-327411.15601993457</v>
      </c>
      <c r="CD11" s="109">
        <f>-((Production!CE22*Assumptions!$C$53)+(Production!CE28*Assumptions!$C$54))*CD6</f>
        <v>-471677.94454270636</v>
      </c>
      <c r="CE11" s="109">
        <f>-((Production!CF22*Assumptions!$C$53)+(Production!CF28*Assumptions!$C$54))*CE6</f>
        <v>-549444.4095826057</v>
      </c>
      <c r="CF11" s="109">
        <f>-((Production!CG22*Assumptions!$C$53)+(Production!CG28*Assumptions!$C$54))*CF6</f>
        <v>-193415.31787455126</v>
      </c>
      <c r="CG11" s="109">
        <f>-((Production!CH22*Assumptions!$C$53)+(Production!CH28*Assumptions!$C$54))*CG6</f>
        <v>-504893.90772981255</v>
      </c>
      <c r="CH11" s="109">
        <f>-((Production!CI22*Assumptions!$C$53)+(Production!CI28*Assumptions!$C$54))*CH6</f>
        <v>-554024.60652725433</v>
      </c>
      <c r="CI11" s="695">
        <f>-((Production!CJ22*Assumptions!$C$53)+(Production!CJ28*Assumptions!$C$54))*CI6</f>
        <v>-575556.60271462309</v>
      </c>
      <c r="CJ11" s="109">
        <f>-((Production!CK22*Assumptions!$C$53)+(Production!CK28*Assumptions!$C$54))*CJ6</f>
        <v>-271421.56660630589</v>
      </c>
      <c r="CK11" s="109">
        <f>-((Production!CL22*Assumptions!$C$53)+(Production!CL28*Assumptions!$C$54))*CK6</f>
        <v>-276439.14046502981</v>
      </c>
      <c r="CL11" s="109">
        <f>-((Production!CM22*Assumptions!$C$53)+(Production!CM28*Assumptions!$C$54))*CL6</f>
        <v>-261926.81160668441</v>
      </c>
      <c r="CM11" s="109">
        <f>-((Production!CN22*Assumptions!$C$53)+(Production!CN28*Assumptions!$C$54))*CM6</f>
        <v>-736314.57533965562</v>
      </c>
      <c r="CN11" s="109">
        <f>-((Production!CO22*Assumptions!$C$53)+(Production!CO28*Assumptions!$C$54))*CN6</f>
        <v>-875814.91313124006</v>
      </c>
      <c r="CO11" s="109">
        <f>-((Production!CP22*Assumptions!$C$53)+(Production!CP28*Assumptions!$C$54))*CO6</f>
        <v>-348038.05884919042</v>
      </c>
      <c r="CP11" s="109">
        <f>-((Production!CQ22*Assumptions!$C$53)+(Production!CQ28*Assumptions!$C$54))*CP6</f>
        <v>-501393.65504889685</v>
      </c>
      <c r="CQ11" s="109">
        <f>-((Production!CR22*Assumptions!$C$53)+(Production!CR28*Assumptions!$C$54))*CQ6</f>
        <v>-584059.40738630982</v>
      </c>
      <c r="CR11" s="109">
        <f>-((Production!CS22*Assumptions!$C$53)+(Production!CS28*Assumptions!$C$54))*CR6</f>
        <v>-205600.482900648</v>
      </c>
      <c r="CS11" s="109">
        <f>-((Production!CT22*Assumptions!$C$53)+(Production!CT28*Assumptions!$C$54))*CS6</f>
        <v>-536702.2239167908</v>
      </c>
      <c r="CT11" s="109">
        <f>-((Production!CU22*Assumptions!$C$53)+(Production!CU28*Assumptions!$C$54))*CT6</f>
        <v>-588928.15673847136</v>
      </c>
      <c r="CU11" s="695">
        <f>-((Production!CV22*Assumptions!$C$53)+(Production!CV28*Assumptions!$C$54))*CU6</f>
        <v>-611816.66868564428</v>
      </c>
      <c r="CV11" s="109">
        <f>-((Production!CW22*Assumptions!$C$53)+(Production!CW28*Assumptions!$C$54))*CV6</f>
        <v>-288521.12530250312</v>
      </c>
      <c r="CW11" s="109">
        <f>-((Production!CX22*Assumptions!$C$53)+(Production!CX28*Assumptions!$C$54))*CW6</f>
        <v>-293854.80631432665</v>
      </c>
      <c r="CX11" s="109">
        <f>-((Production!CY22*Assumptions!$C$53)+(Production!CY28*Assumptions!$C$54))*CX6</f>
        <v>-278428.20073790551</v>
      </c>
      <c r="CY11" s="109">
        <f>-((Production!CZ22*Assumptions!$C$53)+(Production!CZ28*Assumptions!$C$54))*CY6</f>
        <v>-782702.39358605398</v>
      </c>
      <c r="CZ11" s="109">
        <f>-((Production!DA22*Assumptions!$C$53)+(Production!DA28*Assumptions!$C$54))*CZ6</f>
        <v>-930991.25265850814</v>
      </c>
      <c r="DA11" s="109">
        <f>-((Production!DB22*Assumptions!$C$53)+(Production!DB28*Assumptions!$C$54))*DA6</f>
        <v>-369964.4565566894</v>
      </c>
      <c r="DB11" s="109">
        <f>-((Production!DC22*Assumptions!$C$53)+(Production!DC28*Assumptions!$C$54))*DB6</f>
        <v>-532981.45531697734</v>
      </c>
      <c r="DC11" s="109">
        <f>-((Production!DD22*Assumptions!$C$53)+(Production!DD28*Assumptions!$C$54))*DC6</f>
        <v>-620855.15005164733</v>
      </c>
      <c r="DD11" s="109">
        <f>-((Production!DE22*Assumptions!$C$53)+(Production!DE28*Assumptions!$C$54))*DD6</f>
        <v>-218553.31332338881</v>
      </c>
      <c r="DE11" s="109">
        <f>-((Production!DF22*Assumptions!$C$53)+(Production!DF28*Assumptions!$C$54))*DE6</f>
        <v>-570514.46402354853</v>
      </c>
      <c r="DF11" s="109">
        <f>-((Production!DG22*Assumptions!$C$53)+(Production!DG28*Assumptions!$C$54))*DF6</f>
        <v>-626030.63061299501</v>
      </c>
      <c r="DG11" s="695">
        <f>-((Production!DH22*Assumptions!$C$53)+(Production!DH28*Assumptions!$C$54))*DG6</f>
        <v>-650361.11881283985</v>
      </c>
      <c r="DH11" s="109">
        <f>-((Production!DI22*Assumptions!$C$53)+(Production!DI28*Assumptions!$C$54))*DH6</f>
        <v>-306697.95619656082</v>
      </c>
      <c r="DI11" s="109">
        <f>-((Production!DJ22*Assumptions!$C$53)+(Production!DJ28*Assumptions!$C$54))*DI6</f>
        <v>-312367.65911212924</v>
      </c>
      <c r="DJ11" s="109">
        <f>-((Production!DK22*Assumptions!$C$53)+(Production!DK28*Assumptions!$C$54))*DJ6</f>
        <v>-295969.17738439358</v>
      </c>
      <c r="DK11" s="109">
        <f>-((Production!DL22*Assumptions!$C$53)+(Production!DL28*Assumptions!$C$54))*DK6</f>
        <v>-832012.64438197529</v>
      </c>
      <c r="DL11" s="109">
        <f>-((Production!DM22*Assumptions!$C$53)+(Production!DM28*Assumptions!$C$54))*DL6</f>
        <v>-989643.70157599414</v>
      </c>
      <c r="DM11" s="109">
        <f>-((Production!DN22*Assumptions!$C$53)+(Production!DN28*Assumptions!$C$54))*DM6</f>
        <v>-393272.21731976082</v>
      </c>
      <c r="DN11" s="109">
        <f>-((Production!DO22*Assumptions!$C$53)+(Production!DO28*Assumptions!$C$54))*DN6</f>
        <v>-566559.28700194682</v>
      </c>
      <c r="DO11" s="109">
        <f>-((Production!DP22*Assumptions!$C$53)+(Production!DP28*Assumptions!$C$54))*DO6</f>
        <v>-659969.02450490103</v>
      </c>
      <c r="DP11" s="109">
        <f>-((Production!DQ22*Assumptions!$C$53)+(Production!DQ28*Assumptions!$C$54))*DP6</f>
        <v>-232322.17206276229</v>
      </c>
      <c r="DQ11" s="109">
        <f>-((Production!DR22*Assumptions!$C$53)+(Production!DR28*Assumptions!$C$54))*DQ6</f>
        <v>-606456.87525703211</v>
      </c>
      <c r="DR11" s="109">
        <f>-((Production!DS22*Assumptions!$C$53)+(Production!DS28*Assumptions!$C$54))*DR6</f>
        <v>-665470.56034161372</v>
      </c>
      <c r="DS11" s="695">
        <f>-((Production!DT22*Assumptions!$C$53)+(Production!DT28*Assumptions!$C$54))*DS6</f>
        <v>-691333.86929804878</v>
      </c>
    </row>
    <row r="12" spans="1:126" ht="15" x14ac:dyDescent="0.25">
      <c r="B12" s="162" t="s">
        <v>267</v>
      </c>
      <c r="C12" s="7">
        <v>-20000</v>
      </c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86"/>
      <c r="P12" s="344">
        <v>0</v>
      </c>
      <c r="Q12" s="344">
        <v>0</v>
      </c>
      <c r="R12" s="344">
        <v>0</v>
      </c>
      <c r="S12" s="344">
        <v>0</v>
      </c>
      <c r="T12" s="344">
        <v>0</v>
      </c>
      <c r="U12" s="344">
        <v>0</v>
      </c>
      <c r="V12" s="344">
        <v>0</v>
      </c>
      <c r="W12" s="344">
        <v>0</v>
      </c>
      <c r="X12" s="108">
        <v>0</v>
      </c>
      <c r="Y12" s="108">
        <v>0</v>
      </c>
      <c r="Z12" s="108">
        <v>0</v>
      </c>
      <c r="AA12" s="110"/>
      <c r="AB12" s="344">
        <v>0</v>
      </c>
      <c r="AC12" s="108">
        <v>0</v>
      </c>
      <c r="AD12" s="108"/>
      <c r="AE12" s="108"/>
      <c r="AF12" s="108"/>
      <c r="AG12" s="108"/>
      <c r="AH12" s="108"/>
      <c r="AI12" s="108"/>
      <c r="AJ12" s="108"/>
      <c r="AK12" s="108"/>
      <c r="AL12" s="108"/>
      <c r="AM12" s="110"/>
      <c r="AN12" s="109"/>
      <c r="AO12" s="108">
        <f t="shared" ref="AO12:AY12" si="0">$C12*AO$6</f>
        <v>-24023.140939999994</v>
      </c>
      <c r="AP12" s="108">
        <f t="shared" si="0"/>
        <v>-24023.140939999994</v>
      </c>
      <c r="AQ12" s="108">
        <f t="shared" si="0"/>
        <v>-24023.140939999994</v>
      </c>
      <c r="AR12" s="108">
        <f t="shared" si="0"/>
        <v>-24023.140939999994</v>
      </c>
      <c r="AS12" s="108">
        <f t="shared" si="0"/>
        <v>-24023.140939999994</v>
      </c>
      <c r="AT12" s="108">
        <f t="shared" si="0"/>
        <v>-24023.140939999994</v>
      </c>
      <c r="AU12" s="108">
        <f t="shared" si="0"/>
        <v>-24023.140939999994</v>
      </c>
      <c r="AV12" s="108">
        <f t="shared" si="0"/>
        <v>-24023.140939999994</v>
      </c>
      <c r="AW12" s="108">
        <f t="shared" si="0"/>
        <v>-24023.140939999994</v>
      </c>
      <c r="AX12" s="108">
        <f t="shared" si="0"/>
        <v>-24023.140939999994</v>
      </c>
      <c r="AY12" s="110">
        <f t="shared" si="0"/>
        <v>-24023.140939999994</v>
      </c>
      <c r="AZ12" s="109">
        <v>0</v>
      </c>
      <c r="BA12" s="108">
        <v>0</v>
      </c>
      <c r="BB12" s="108">
        <f t="shared" ref="BB12:BK12" si="1">$C12*BB$6</f>
        <v>-25536.598819219991</v>
      </c>
      <c r="BC12" s="108">
        <f t="shared" si="1"/>
        <v>-25536.598819219991</v>
      </c>
      <c r="BD12" s="108">
        <f t="shared" si="1"/>
        <v>-25536.598819219991</v>
      </c>
      <c r="BE12" s="108">
        <f t="shared" si="1"/>
        <v>-25536.598819219991</v>
      </c>
      <c r="BF12" s="108">
        <f t="shared" si="1"/>
        <v>-25536.598819219991</v>
      </c>
      <c r="BG12" s="108">
        <f t="shared" si="1"/>
        <v>-25536.598819219991</v>
      </c>
      <c r="BH12" s="108">
        <f t="shared" si="1"/>
        <v>-25536.598819219991</v>
      </c>
      <c r="BI12" s="108">
        <f t="shared" si="1"/>
        <v>-25536.598819219991</v>
      </c>
      <c r="BJ12" s="108">
        <f t="shared" si="1"/>
        <v>-25536.598819219991</v>
      </c>
      <c r="BK12" s="110">
        <f t="shared" si="1"/>
        <v>-25536.598819219991</v>
      </c>
      <c r="BL12" s="109">
        <v>0</v>
      </c>
      <c r="BM12" s="108">
        <v>0</v>
      </c>
      <c r="BN12" s="108">
        <f t="shared" ref="BN12:BW12" si="2">$C12*BN$6</f>
        <v>-27145.40454483085</v>
      </c>
      <c r="BO12" s="108">
        <f t="shared" si="2"/>
        <v>-27145.40454483085</v>
      </c>
      <c r="BP12" s="108">
        <f t="shared" si="2"/>
        <v>-27145.40454483085</v>
      </c>
      <c r="BQ12" s="108">
        <f t="shared" si="2"/>
        <v>-27145.40454483085</v>
      </c>
      <c r="BR12" s="108">
        <f t="shared" si="2"/>
        <v>-27145.40454483085</v>
      </c>
      <c r="BS12" s="108">
        <f t="shared" si="2"/>
        <v>-27145.40454483085</v>
      </c>
      <c r="BT12" s="108">
        <f t="shared" si="2"/>
        <v>-27145.40454483085</v>
      </c>
      <c r="BU12" s="108">
        <f t="shared" si="2"/>
        <v>-27145.40454483085</v>
      </c>
      <c r="BV12" s="108">
        <f t="shared" si="2"/>
        <v>-27145.40454483085</v>
      </c>
      <c r="BW12" s="110">
        <f t="shared" si="2"/>
        <v>-27145.40454483085</v>
      </c>
      <c r="BX12" s="109">
        <v>0</v>
      </c>
      <c r="BY12" s="108">
        <v>0</v>
      </c>
      <c r="BZ12" s="108">
        <f t="shared" ref="BZ12:CI12" si="3">$C12*BZ$6</f>
        <v>-28855.565031155191</v>
      </c>
      <c r="CA12" s="108">
        <f t="shared" si="3"/>
        <v>-28855.565031155191</v>
      </c>
      <c r="CB12" s="108">
        <f t="shared" si="3"/>
        <v>-28855.565031155191</v>
      </c>
      <c r="CC12" s="108">
        <f t="shared" si="3"/>
        <v>-28855.565031155191</v>
      </c>
      <c r="CD12" s="108">
        <f t="shared" si="3"/>
        <v>-28855.565031155191</v>
      </c>
      <c r="CE12" s="108">
        <f t="shared" si="3"/>
        <v>-28855.565031155191</v>
      </c>
      <c r="CF12" s="108">
        <f t="shared" si="3"/>
        <v>-28855.565031155191</v>
      </c>
      <c r="CG12" s="108">
        <f t="shared" si="3"/>
        <v>-28855.565031155191</v>
      </c>
      <c r="CH12" s="108">
        <f t="shared" si="3"/>
        <v>-28855.565031155191</v>
      </c>
      <c r="CI12" s="110">
        <f t="shared" si="3"/>
        <v>-28855.565031155191</v>
      </c>
      <c r="CJ12" s="109">
        <v>0</v>
      </c>
      <c r="CK12" s="108">
        <v>0</v>
      </c>
      <c r="CL12" s="108">
        <f t="shared" ref="CL12:CU12" si="4">$C12*CL$6</f>
        <v>-30673.465628117967</v>
      </c>
      <c r="CM12" s="108">
        <f t="shared" si="4"/>
        <v>-30673.465628117967</v>
      </c>
      <c r="CN12" s="108">
        <f t="shared" si="4"/>
        <v>-30673.465628117967</v>
      </c>
      <c r="CO12" s="108">
        <f t="shared" si="4"/>
        <v>-30673.465628117967</v>
      </c>
      <c r="CP12" s="108">
        <f t="shared" si="4"/>
        <v>-30673.465628117967</v>
      </c>
      <c r="CQ12" s="108">
        <f t="shared" si="4"/>
        <v>-30673.465628117967</v>
      </c>
      <c r="CR12" s="108">
        <f t="shared" si="4"/>
        <v>-30673.465628117967</v>
      </c>
      <c r="CS12" s="108">
        <f t="shared" si="4"/>
        <v>-30673.465628117967</v>
      </c>
      <c r="CT12" s="108">
        <f t="shared" si="4"/>
        <v>-30673.465628117967</v>
      </c>
      <c r="CU12" s="110">
        <f t="shared" si="4"/>
        <v>-30673.465628117967</v>
      </c>
      <c r="CV12" s="109">
        <v>0</v>
      </c>
      <c r="CW12" s="108">
        <v>0</v>
      </c>
      <c r="CX12" s="108">
        <f t="shared" ref="CX12:DG12" si="5">$C12*CX$6</f>
        <v>-32605.893962689399</v>
      </c>
      <c r="CY12" s="108">
        <f t="shared" si="5"/>
        <v>-32605.893962689399</v>
      </c>
      <c r="CZ12" s="108">
        <f t="shared" si="5"/>
        <v>-32605.893962689399</v>
      </c>
      <c r="DA12" s="108">
        <f t="shared" si="5"/>
        <v>-32605.893962689399</v>
      </c>
      <c r="DB12" s="108">
        <f t="shared" si="5"/>
        <v>-32605.893962689399</v>
      </c>
      <c r="DC12" s="108">
        <f t="shared" si="5"/>
        <v>-32605.893962689399</v>
      </c>
      <c r="DD12" s="108">
        <f t="shared" si="5"/>
        <v>-32605.893962689399</v>
      </c>
      <c r="DE12" s="108">
        <f t="shared" si="5"/>
        <v>-32605.893962689399</v>
      </c>
      <c r="DF12" s="108">
        <f t="shared" si="5"/>
        <v>-32605.893962689399</v>
      </c>
      <c r="DG12" s="110">
        <f t="shared" si="5"/>
        <v>-32605.893962689399</v>
      </c>
      <c r="DH12" s="109">
        <v>0</v>
      </c>
      <c r="DI12" s="108">
        <v>0</v>
      </c>
      <c r="DJ12" s="108">
        <f t="shared" ref="DJ12:DS12" si="6">$C12*DJ$6</f>
        <v>-34660.06528233883</v>
      </c>
      <c r="DK12" s="108">
        <f t="shared" si="6"/>
        <v>-34660.06528233883</v>
      </c>
      <c r="DL12" s="108">
        <f t="shared" si="6"/>
        <v>-34660.06528233883</v>
      </c>
      <c r="DM12" s="108">
        <f t="shared" si="6"/>
        <v>-34660.06528233883</v>
      </c>
      <c r="DN12" s="108">
        <f t="shared" si="6"/>
        <v>-34660.06528233883</v>
      </c>
      <c r="DO12" s="108">
        <f t="shared" si="6"/>
        <v>-34660.06528233883</v>
      </c>
      <c r="DP12" s="108">
        <f t="shared" si="6"/>
        <v>-34660.06528233883</v>
      </c>
      <c r="DQ12" s="108">
        <f t="shared" si="6"/>
        <v>-34660.06528233883</v>
      </c>
      <c r="DR12" s="108">
        <f t="shared" si="6"/>
        <v>-34660.06528233883</v>
      </c>
      <c r="DS12" s="110">
        <f t="shared" si="6"/>
        <v>-34660.06528233883</v>
      </c>
    </row>
    <row r="13" spans="1:126" ht="15" x14ac:dyDescent="0.25">
      <c r="B13" s="162" t="s">
        <v>191</v>
      </c>
      <c r="C13" s="1123">
        <f>-2000/12</f>
        <v>-166.66666666666666</v>
      </c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86"/>
      <c r="P13" s="344">
        <v>0</v>
      </c>
      <c r="Q13" s="344">
        <v>0</v>
      </c>
      <c r="R13" s="344">
        <v>0</v>
      </c>
      <c r="S13" s="344">
        <v>0</v>
      </c>
      <c r="T13" s="344">
        <v>0</v>
      </c>
      <c r="U13" s="344">
        <v>0</v>
      </c>
      <c r="V13" s="344">
        <v>0</v>
      </c>
      <c r="W13" s="344">
        <v>0</v>
      </c>
      <c r="X13" s="108">
        <v>0</v>
      </c>
      <c r="Y13" s="108">
        <v>0</v>
      </c>
      <c r="Z13" s="108">
        <v>0</v>
      </c>
      <c r="AA13" s="110"/>
      <c r="AB13" s="344"/>
      <c r="AC13" s="108"/>
      <c r="AD13" s="108"/>
      <c r="AE13" s="108">
        <v>0</v>
      </c>
      <c r="AF13" s="108">
        <v>0</v>
      </c>
      <c r="AG13" s="108">
        <v>0</v>
      </c>
      <c r="AH13" s="108">
        <v>0</v>
      </c>
      <c r="AI13" s="108">
        <v>0</v>
      </c>
      <c r="AJ13" s="108">
        <v>0</v>
      </c>
      <c r="AK13" s="109"/>
      <c r="AL13" s="108"/>
      <c r="AM13" s="110"/>
      <c r="AN13" s="695"/>
      <c r="AO13" s="110">
        <f>SUM(HR!$D$14:$D$19)*'3. Variable Costs'!$C$13*AO6</f>
        <v>-4204.0496644999994</v>
      </c>
      <c r="AP13" s="110">
        <f>SUM(HR!$D$14:$D$19)*'3. Variable Costs'!$C$13*AP6</f>
        <v>-4204.0496644999994</v>
      </c>
      <c r="AQ13" s="110">
        <f>SUM(HR!$D$14:$D$19)*'3. Variable Costs'!$C$13*AQ6</f>
        <v>-4204.0496644999994</v>
      </c>
      <c r="AR13" s="110">
        <f>SUM(HR!$D$14:$D$19)*'3. Variable Costs'!$C$13*AR6</f>
        <v>-4204.0496644999994</v>
      </c>
      <c r="AS13" s="110">
        <f>SUM(HR!$D$14:$D$19)*'3. Variable Costs'!$C$13*AS6</f>
        <v>-4204.0496644999994</v>
      </c>
      <c r="AT13" s="110">
        <f>SUM(HR!$D$14:$D$19)*'3. Variable Costs'!$C$13*AT6</f>
        <v>-4204.0496644999994</v>
      </c>
      <c r="AU13" s="110">
        <f>SUM(HR!$D$14:$D$19)*'3. Variable Costs'!$C$13*AU6</f>
        <v>-4204.0496644999994</v>
      </c>
      <c r="AV13" s="110">
        <f>SUM(HR!$D$14:$D$19)*'3. Variable Costs'!$C$13*AV6</f>
        <v>-4204.0496644999994</v>
      </c>
      <c r="AW13" s="110">
        <f>SUM(HR!$D$14:$D$19)*'3. Variable Costs'!$C$13*AW6</f>
        <v>-4204.0496644999994</v>
      </c>
      <c r="AX13" s="110">
        <f>SUM(HR!$D$14:$D$19)*'3. Variable Costs'!$C$13*AX6</f>
        <v>-4204.0496644999994</v>
      </c>
      <c r="AY13" s="110">
        <f>SUM(HR!$D$14:$D$19)*'3. Variable Costs'!$C$13*AY6</f>
        <v>-4204.0496644999994</v>
      </c>
      <c r="AZ13" s="695">
        <f>SUM(HR!$D$14:$D$19)*'3. Variable Costs'!$C$13*AZ6</f>
        <v>-4468.9047933634984</v>
      </c>
      <c r="BA13" s="110">
        <f>SUM(HR!$D$14:$D$19)*'3. Variable Costs'!$C$13*BA6</f>
        <v>-4468.9047933634984</v>
      </c>
      <c r="BB13" s="110">
        <f>SUM(HR!$D$14:$D$19)*'3. Variable Costs'!$C$13*BB6</f>
        <v>-4468.9047933634984</v>
      </c>
      <c r="BC13" s="110">
        <f>SUM(HR!$D$14:$D$19)*'3. Variable Costs'!$C$13*BC6</f>
        <v>-4468.9047933634984</v>
      </c>
      <c r="BD13" s="110">
        <f>SUM(HR!$D$14:$D$19)*'3. Variable Costs'!$C$13*BD6</f>
        <v>-4468.9047933634984</v>
      </c>
      <c r="BE13" s="110">
        <f>SUM(HR!$D$14:$D$19)*'3. Variable Costs'!$C$13*BE6</f>
        <v>-4468.9047933634984</v>
      </c>
      <c r="BF13" s="110">
        <f>SUM(HR!$D$14:$D$19)*'3. Variable Costs'!$C$13*BF6</f>
        <v>-4468.9047933634984</v>
      </c>
      <c r="BG13" s="110">
        <f>SUM(HR!$D$14:$D$19)*'3. Variable Costs'!$C$13*BG6</f>
        <v>-4468.9047933634984</v>
      </c>
      <c r="BH13" s="110">
        <f>SUM(HR!$D$14:$D$19)*'3. Variable Costs'!$C$13*BH6</f>
        <v>-4468.9047933634984</v>
      </c>
      <c r="BI13" s="110">
        <f>SUM(HR!$D$14:$D$19)*'3. Variable Costs'!$C$13*BI6</f>
        <v>-4468.9047933634984</v>
      </c>
      <c r="BJ13" s="110">
        <f>SUM(HR!$D$14:$D$19)*'3. Variable Costs'!$C$13*BJ6</f>
        <v>-4468.9047933634984</v>
      </c>
      <c r="BK13" s="110">
        <f>SUM(HR!$D$14:$D$19)*'3. Variable Costs'!$C$13*BK6</f>
        <v>-4468.9047933634984</v>
      </c>
      <c r="BL13" s="695">
        <f>SUM(HR!$D$14:$D$19)*'3. Variable Costs'!$C$13*BL6</f>
        <v>-4750.4457953453984</v>
      </c>
      <c r="BM13" s="110">
        <f>SUM(HR!$D$14:$D$19)*'3. Variable Costs'!$C$13*BM6</f>
        <v>-4750.4457953453984</v>
      </c>
      <c r="BN13" s="110">
        <f>SUM(HR!$D$14:$D$19)*'3. Variable Costs'!$C$13*BN6</f>
        <v>-4750.4457953453984</v>
      </c>
      <c r="BO13" s="110">
        <f>SUM(HR!$D$14:$D$19)*'3. Variable Costs'!$C$13*BO6</f>
        <v>-4750.4457953453984</v>
      </c>
      <c r="BP13" s="110">
        <f>SUM(HR!$D$14:$D$19)*'3. Variable Costs'!$C$13*BP6</f>
        <v>-4750.4457953453984</v>
      </c>
      <c r="BQ13" s="110">
        <f>SUM(HR!$D$14:$D$19)*'3. Variable Costs'!$C$13*BQ6</f>
        <v>-4750.4457953453984</v>
      </c>
      <c r="BR13" s="110">
        <f>SUM(HR!$D$14:$D$19)*'3. Variable Costs'!$C$13*BR6</f>
        <v>-4750.4457953453984</v>
      </c>
      <c r="BS13" s="110">
        <f>SUM(HR!$D$14:$D$19)*'3. Variable Costs'!$C$13*BS6</f>
        <v>-4750.4457953453984</v>
      </c>
      <c r="BT13" s="110">
        <f>SUM(HR!$D$14:$D$19)*'3. Variable Costs'!$C$13*BT6</f>
        <v>-4750.4457953453984</v>
      </c>
      <c r="BU13" s="110">
        <f>SUM(HR!$D$14:$D$19)*'3. Variable Costs'!$C$13*BU6</f>
        <v>-4750.4457953453984</v>
      </c>
      <c r="BV13" s="110">
        <f>SUM(HR!$D$14:$D$19)*'3. Variable Costs'!$C$13*BV6</f>
        <v>-4750.4457953453984</v>
      </c>
      <c r="BW13" s="110">
        <f>SUM(HR!$D$14:$D$19)*'3. Variable Costs'!$C$13*BW6</f>
        <v>-4750.4457953453984</v>
      </c>
      <c r="BX13" s="695">
        <f>SUM(HR!$D$14:$D$19)*'3. Variable Costs'!$C$13*BX6</f>
        <v>-5049.7238804521585</v>
      </c>
      <c r="BY13" s="110">
        <f>SUM(HR!$D$14:$D$19)*'3. Variable Costs'!$C$13*BY6</f>
        <v>-5049.7238804521585</v>
      </c>
      <c r="BZ13" s="110">
        <f>SUM(HR!$D$14:$D$19)*'3. Variable Costs'!$C$13*BZ6</f>
        <v>-5049.7238804521585</v>
      </c>
      <c r="CA13" s="110">
        <f>SUM(HR!$D$14:$D$19)*'3. Variable Costs'!$C$13*CA6</f>
        <v>-5049.7238804521585</v>
      </c>
      <c r="CB13" s="110">
        <f>SUM(HR!$D$14:$D$19)*'3. Variable Costs'!$C$13*CB6</f>
        <v>-5049.7238804521585</v>
      </c>
      <c r="CC13" s="110">
        <f>SUM(HR!$D$14:$D$19)*'3. Variable Costs'!$C$13*CC6</f>
        <v>-5049.7238804521585</v>
      </c>
      <c r="CD13" s="110">
        <f>SUM(HR!$D$14:$D$19)*'3. Variable Costs'!$C$13*CD6</f>
        <v>-5049.7238804521585</v>
      </c>
      <c r="CE13" s="110">
        <f>SUM(HR!$D$14:$D$19)*'3. Variable Costs'!$C$13*CE6</f>
        <v>-5049.7238804521585</v>
      </c>
      <c r="CF13" s="110">
        <f>SUM(HR!$D$14:$D$19)*'3. Variable Costs'!$C$13*CF6</f>
        <v>-5049.7238804521585</v>
      </c>
      <c r="CG13" s="110">
        <f>SUM(HR!$D$14:$D$19)*'3. Variable Costs'!$C$13*CG6</f>
        <v>-5049.7238804521585</v>
      </c>
      <c r="CH13" s="110">
        <f>SUM(HR!$D$14:$D$19)*'3. Variable Costs'!$C$13*CH6</f>
        <v>-5049.7238804521585</v>
      </c>
      <c r="CI13" s="110">
        <f>SUM(HR!$D$14:$D$19)*'3. Variable Costs'!$C$13*CI6</f>
        <v>-5049.7238804521585</v>
      </c>
      <c r="CJ13" s="695">
        <f>SUM(HR!$D$14:$D$19)*'3. Variable Costs'!$C$13*CJ6</f>
        <v>-5367.8564849206441</v>
      </c>
      <c r="CK13" s="110">
        <f>SUM(HR!$D$14:$D$19)*'3. Variable Costs'!$C$13*CK6</f>
        <v>-5367.8564849206441</v>
      </c>
      <c r="CL13" s="110">
        <f>SUM(HR!$D$14:$D$19)*'3. Variable Costs'!$C$13*CL6</f>
        <v>-5367.8564849206441</v>
      </c>
      <c r="CM13" s="110">
        <f>SUM(HR!$D$14:$D$19)*'3. Variable Costs'!$C$13*CM6</f>
        <v>-5367.8564849206441</v>
      </c>
      <c r="CN13" s="110">
        <f>SUM(HR!$D$14:$D$19)*'3. Variable Costs'!$C$13*CN6</f>
        <v>-5367.8564849206441</v>
      </c>
      <c r="CO13" s="110">
        <f>SUM(HR!$D$14:$D$19)*'3. Variable Costs'!$C$13*CO6</f>
        <v>-5367.8564849206441</v>
      </c>
      <c r="CP13" s="110">
        <f>SUM(HR!$D$14:$D$19)*'3. Variable Costs'!$C$13*CP6</f>
        <v>-5367.8564849206441</v>
      </c>
      <c r="CQ13" s="110">
        <f>SUM(HR!$D$14:$D$19)*'3. Variable Costs'!$C$13*CQ6</f>
        <v>-5367.8564849206441</v>
      </c>
      <c r="CR13" s="110">
        <f>SUM(HR!$D$14:$D$19)*'3. Variable Costs'!$C$13*CR6</f>
        <v>-5367.8564849206441</v>
      </c>
      <c r="CS13" s="110">
        <f>SUM(HR!$D$14:$D$19)*'3. Variable Costs'!$C$13*CS6</f>
        <v>-5367.8564849206441</v>
      </c>
      <c r="CT13" s="110">
        <f>SUM(HR!$D$14:$D$19)*'3. Variable Costs'!$C$13*CT6</f>
        <v>-5367.8564849206441</v>
      </c>
      <c r="CU13" s="110">
        <f>SUM(HR!$D$14:$D$19)*'3. Variable Costs'!$C$13*CU6</f>
        <v>-5367.8564849206441</v>
      </c>
      <c r="CV13" s="695">
        <f>SUM(HR!$D$14:$D$19)*'3. Variable Costs'!$C$13*CV6</f>
        <v>-5706.0314434706452</v>
      </c>
      <c r="CW13" s="110">
        <f>SUM(HR!$D$14:$D$19)*'3. Variable Costs'!$C$13*CW6</f>
        <v>-5706.0314434706452</v>
      </c>
      <c r="CX13" s="110">
        <f>SUM(HR!$D$14:$D$19)*'3. Variable Costs'!$C$13*CX6</f>
        <v>-5706.0314434706452</v>
      </c>
      <c r="CY13" s="110">
        <f>SUM(HR!$D$14:$D$19)*'3. Variable Costs'!$C$13*CY6</f>
        <v>-5706.0314434706452</v>
      </c>
      <c r="CZ13" s="110">
        <f>SUM(HR!$D$14:$D$19)*'3. Variable Costs'!$C$13*CZ6</f>
        <v>-5706.0314434706452</v>
      </c>
      <c r="DA13" s="110">
        <f>SUM(HR!$D$14:$D$19)*'3. Variable Costs'!$C$13*DA6</f>
        <v>-5706.0314434706452</v>
      </c>
      <c r="DB13" s="110">
        <f>SUM(HR!$D$14:$D$19)*'3. Variable Costs'!$C$13*DB6</f>
        <v>-5706.0314434706452</v>
      </c>
      <c r="DC13" s="110">
        <f>SUM(HR!$D$14:$D$19)*'3. Variable Costs'!$C$13*DC6</f>
        <v>-5706.0314434706452</v>
      </c>
      <c r="DD13" s="110">
        <f>SUM(HR!$D$14:$D$19)*'3. Variable Costs'!$C$13*DD6</f>
        <v>-5706.0314434706452</v>
      </c>
      <c r="DE13" s="110">
        <f>SUM(HR!$D$14:$D$19)*'3. Variable Costs'!$C$13*DE6</f>
        <v>-5706.0314434706452</v>
      </c>
      <c r="DF13" s="110">
        <f>SUM(HR!$D$14:$D$19)*'3. Variable Costs'!$C$13*DF6</f>
        <v>-5706.0314434706452</v>
      </c>
      <c r="DG13" s="110">
        <f>SUM(HR!$D$14:$D$19)*'3. Variable Costs'!$C$13*DG6</f>
        <v>-5706.0314434706452</v>
      </c>
      <c r="DH13" s="695">
        <f>SUM(HR!$D$14:$D$19)*'3. Variable Costs'!$C$13*DH6</f>
        <v>-6065.5114244092956</v>
      </c>
      <c r="DI13" s="110">
        <f>SUM(HR!$D$14:$D$19)*'3. Variable Costs'!$C$13*DI6</f>
        <v>-6065.5114244092956</v>
      </c>
      <c r="DJ13" s="110">
        <f>SUM(HR!$D$14:$D$19)*'3. Variable Costs'!$C$13*DJ6</f>
        <v>-6065.5114244092956</v>
      </c>
      <c r="DK13" s="110">
        <f>SUM(HR!$D$14:$D$19)*'3. Variable Costs'!$C$13*DK6</f>
        <v>-6065.5114244092956</v>
      </c>
      <c r="DL13" s="110">
        <f>SUM(HR!$D$14:$D$19)*'3. Variable Costs'!$C$13*DL6</f>
        <v>-6065.5114244092956</v>
      </c>
      <c r="DM13" s="110">
        <f>SUM(HR!$D$14:$D$19)*'3. Variable Costs'!$C$13*DM6</f>
        <v>-6065.5114244092956</v>
      </c>
      <c r="DN13" s="110">
        <f>SUM(HR!$D$14:$D$19)*'3. Variable Costs'!$C$13*DN6</f>
        <v>-6065.5114244092956</v>
      </c>
      <c r="DO13" s="110">
        <f>SUM(HR!$D$14:$D$19)*'3. Variable Costs'!$C$13*DO6</f>
        <v>-6065.5114244092956</v>
      </c>
      <c r="DP13" s="110">
        <f>SUM(HR!$D$14:$D$19)*'3. Variable Costs'!$C$13*DP6</f>
        <v>-6065.5114244092956</v>
      </c>
      <c r="DQ13" s="110">
        <f>SUM(HR!$D$14:$D$19)*'3. Variable Costs'!$C$13*DQ6</f>
        <v>-6065.5114244092956</v>
      </c>
      <c r="DR13" s="110">
        <f>SUM(HR!$D$14:$D$19)*'3. Variable Costs'!$C$13*DR6</f>
        <v>-6065.5114244092956</v>
      </c>
      <c r="DS13" s="110">
        <f>SUM(HR!$D$14:$D$19)*'3. Variable Costs'!$C$13*DS6</f>
        <v>-6065.5114244092956</v>
      </c>
    </row>
    <row r="14" spans="1:126" ht="15" x14ac:dyDescent="0.25">
      <c r="B14" s="162" t="s">
        <v>1380</v>
      </c>
      <c r="C14" s="7">
        <v>-250</v>
      </c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86"/>
      <c r="P14" s="344">
        <v>0</v>
      </c>
      <c r="Q14" s="344">
        <v>0</v>
      </c>
      <c r="R14" s="344">
        <v>0</v>
      </c>
      <c r="S14" s="344">
        <v>0</v>
      </c>
      <c r="T14" s="344">
        <v>0</v>
      </c>
      <c r="U14" s="344">
        <v>0</v>
      </c>
      <c r="V14" s="344">
        <v>0</v>
      </c>
      <c r="W14" s="344">
        <v>0</v>
      </c>
      <c r="X14" s="108">
        <v>0</v>
      </c>
      <c r="Y14" s="108">
        <v>0</v>
      </c>
      <c r="Z14" s="108">
        <v>0</v>
      </c>
      <c r="AA14" s="110"/>
      <c r="AB14" s="344">
        <v>0</v>
      </c>
      <c r="AC14" s="108">
        <v>0</v>
      </c>
      <c r="AD14" s="108">
        <v>0</v>
      </c>
      <c r="AE14" s="108"/>
      <c r="AF14" s="108">
        <v>0</v>
      </c>
      <c r="AG14" s="108">
        <v>0</v>
      </c>
      <c r="AH14" s="108">
        <v>0</v>
      </c>
      <c r="AI14" s="108"/>
      <c r="AJ14" s="108">
        <v>0</v>
      </c>
      <c r="AK14" s="108">
        <v>0</v>
      </c>
      <c r="AL14" s="108">
        <v>0</v>
      </c>
      <c r="AM14" s="110"/>
      <c r="AN14" s="109">
        <v>0</v>
      </c>
      <c r="AO14" s="110">
        <f>SUM(HR!$D$14:$D$19)*'3. Variable Costs'!$C$14*AO6</f>
        <v>-6306.0744967499986</v>
      </c>
      <c r="AP14" s="110">
        <f>SUM(HR!$D$14:$D$19)*'3. Variable Costs'!$C$14*AP6</f>
        <v>-6306.0744967499986</v>
      </c>
      <c r="AQ14" s="110">
        <f>SUM(HR!$D$14:$D$19)*'3. Variable Costs'!$C$14*AQ6</f>
        <v>-6306.0744967499986</v>
      </c>
      <c r="AR14" s="110">
        <f>SUM(HR!$D$14:$D$19)*'3. Variable Costs'!$C$14*AR6</f>
        <v>-6306.0744967499986</v>
      </c>
      <c r="AS14" s="110">
        <f>SUM(HR!$D$14:$D$19)*'3. Variable Costs'!$C$14*AS6</f>
        <v>-6306.0744967499986</v>
      </c>
      <c r="AT14" s="110">
        <f>SUM(HR!$D$14:$D$19)*'3. Variable Costs'!$C$14*AT6</f>
        <v>-6306.0744967499986</v>
      </c>
      <c r="AU14" s="110">
        <f>SUM(HR!$D$14:$D$19)*'3. Variable Costs'!$C$14*AU6</f>
        <v>-6306.0744967499986</v>
      </c>
      <c r="AV14" s="110">
        <f>SUM(HR!$D$14:$D$19)*'3. Variable Costs'!$C$14*AV6</f>
        <v>-6306.0744967499986</v>
      </c>
      <c r="AW14" s="110">
        <f>SUM(HR!$D$14:$D$19)*'3. Variable Costs'!$C$14*AW6</f>
        <v>-6306.0744967499986</v>
      </c>
      <c r="AX14" s="110">
        <f>SUM(HR!$D$14:$D$19)*'3. Variable Costs'!$C$14*AX6</f>
        <v>-6306.0744967499986</v>
      </c>
      <c r="AY14" s="110">
        <f>SUM(HR!$D$14:$D$19)*'3. Variable Costs'!$C$14*AY6</f>
        <v>-6306.0744967499986</v>
      </c>
      <c r="AZ14" s="695">
        <f>SUM(HR!$D$14:$D$19)*'3. Variable Costs'!$C$14*AZ6</f>
        <v>-6703.357190045248</v>
      </c>
      <c r="BA14" s="110">
        <f>SUM(HR!$D$14:$D$19)*'3. Variable Costs'!$C$14*BA6</f>
        <v>-6703.357190045248</v>
      </c>
      <c r="BB14" s="110">
        <f>SUM(HR!$D$14:$D$19)*'3. Variable Costs'!$C$14*BB6</f>
        <v>-6703.357190045248</v>
      </c>
      <c r="BC14" s="110">
        <f>SUM(HR!$D$14:$D$19)*'3. Variable Costs'!$C$14*BC6</f>
        <v>-6703.357190045248</v>
      </c>
      <c r="BD14" s="110">
        <f>SUM(HR!$D$14:$D$19)*'3. Variable Costs'!$C$14*BD6</f>
        <v>-6703.357190045248</v>
      </c>
      <c r="BE14" s="110">
        <f>SUM(HR!$D$14:$D$19)*'3. Variable Costs'!$C$14*BE6</f>
        <v>-6703.357190045248</v>
      </c>
      <c r="BF14" s="110">
        <f>SUM(HR!$D$14:$D$19)*'3. Variable Costs'!$C$14*BF6</f>
        <v>-6703.357190045248</v>
      </c>
      <c r="BG14" s="110">
        <f>SUM(HR!$D$14:$D$19)*'3. Variable Costs'!$C$14*BG6</f>
        <v>-6703.357190045248</v>
      </c>
      <c r="BH14" s="110">
        <f>SUM(HR!$D$14:$D$19)*'3. Variable Costs'!$C$14*BH6</f>
        <v>-6703.357190045248</v>
      </c>
      <c r="BI14" s="110">
        <f>SUM(HR!$D$14:$D$19)*'3. Variable Costs'!$C$14*BI6</f>
        <v>-6703.357190045248</v>
      </c>
      <c r="BJ14" s="110">
        <f>SUM(HR!$D$14:$D$19)*'3. Variable Costs'!$C$14*BJ6</f>
        <v>-6703.357190045248</v>
      </c>
      <c r="BK14" s="110">
        <f>SUM(HR!$D$14:$D$19)*'3. Variable Costs'!$C$14*BK6</f>
        <v>-6703.357190045248</v>
      </c>
      <c r="BL14" s="695">
        <f>SUM(HR!$D$14:$D$19)*'3. Variable Costs'!$C$14*BL6</f>
        <v>-7125.6686930180977</v>
      </c>
      <c r="BM14" s="110">
        <f>SUM(HR!$D$14:$D$19)*'3. Variable Costs'!$C$14*BM6</f>
        <v>-7125.6686930180977</v>
      </c>
      <c r="BN14" s="110">
        <f>SUM(HR!$D$14:$D$19)*'3. Variable Costs'!$C$14*BN6</f>
        <v>-7125.6686930180977</v>
      </c>
      <c r="BO14" s="110">
        <f>SUM(HR!$D$14:$D$19)*'3. Variable Costs'!$C$14*BO6</f>
        <v>-7125.6686930180977</v>
      </c>
      <c r="BP14" s="110">
        <f>SUM(HR!$D$14:$D$19)*'3. Variable Costs'!$C$14*BP6</f>
        <v>-7125.6686930180977</v>
      </c>
      <c r="BQ14" s="110">
        <f>SUM(HR!$D$14:$D$19)*'3. Variable Costs'!$C$14*BQ6</f>
        <v>-7125.6686930180977</v>
      </c>
      <c r="BR14" s="110">
        <f>SUM(HR!$D$14:$D$19)*'3. Variable Costs'!$C$14*BR6</f>
        <v>-7125.6686930180977</v>
      </c>
      <c r="BS14" s="110">
        <f>SUM(HR!$D$14:$D$19)*'3. Variable Costs'!$C$14*BS6</f>
        <v>-7125.6686930180977</v>
      </c>
      <c r="BT14" s="110">
        <f>SUM(HR!$D$14:$D$19)*'3. Variable Costs'!$C$14*BT6</f>
        <v>-7125.6686930180977</v>
      </c>
      <c r="BU14" s="110">
        <f>SUM(HR!$D$14:$D$19)*'3. Variable Costs'!$C$14*BU6</f>
        <v>-7125.6686930180977</v>
      </c>
      <c r="BV14" s="110">
        <f>SUM(HR!$D$14:$D$19)*'3. Variable Costs'!$C$14*BV6</f>
        <v>-7125.6686930180977</v>
      </c>
      <c r="BW14" s="110">
        <f>SUM(HR!$D$14:$D$19)*'3. Variable Costs'!$C$14*BW6</f>
        <v>-7125.6686930180977</v>
      </c>
      <c r="BX14" s="695">
        <f>SUM(HR!$D$14:$D$19)*'3. Variable Costs'!$C$14*BX6</f>
        <v>-7574.5858206782377</v>
      </c>
      <c r="BY14" s="110">
        <f>SUM(HR!$D$14:$D$19)*'3. Variable Costs'!$C$14*BY6</f>
        <v>-7574.5858206782377</v>
      </c>
      <c r="BZ14" s="110">
        <f>SUM(HR!$D$14:$D$19)*'3. Variable Costs'!$C$14*BZ6</f>
        <v>-7574.5858206782377</v>
      </c>
      <c r="CA14" s="110">
        <f>SUM(HR!$D$14:$D$19)*'3. Variable Costs'!$C$14*CA6</f>
        <v>-7574.5858206782377</v>
      </c>
      <c r="CB14" s="110">
        <f>SUM(HR!$D$14:$D$19)*'3. Variable Costs'!$C$14*CB6</f>
        <v>-7574.5858206782377</v>
      </c>
      <c r="CC14" s="110">
        <f>SUM(HR!$D$14:$D$19)*'3. Variable Costs'!$C$14*CC6</f>
        <v>-7574.5858206782377</v>
      </c>
      <c r="CD14" s="110">
        <f>SUM(HR!$D$14:$D$19)*'3. Variable Costs'!$C$14*CD6</f>
        <v>-7574.5858206782377</v>
      </c>
      <c r="CE14" s="110">
        <f>SUM(HR!$D$14:$D$19)*'3. Variable Costs'!$C$14*CE6</f>
        <v>-7574.5858206782377</v>
      </c>
      <c r="CF14" s="110">
        <f>SUM(HR!$D$14:$D$19)*'3. Variable Costs'!$C$14*CF6</f>
        <v>-7574.5858206782377</v>
      </c>
      <c r="CG14" s="110">
        <f>SUM(HR!$D$14:$D$19)*'3. Variable Costs'!$C$14*CG6</f>
        <v>-7574.5858206782377</v>
      </c>
      <c r="CH14" s="110">
        <f>SUM(HR!$D$14:$D$19)*'3. Variable Costs'!$C$14*CH6</f>
        <v>-7574.5858206782377</v>
      </c>
      <c r="CI14" s="110">
        <f>SUM(HR!$D$14:$D$19)*'3. Variable Costs'!$C$14*CI6</f>
        <v>-7574.5858206782377</v>
      </c>
      <c r="CJ14" s="695">
        <f>SUM(HR!$D$14:$D$19)*'3. Variable Costs'!$C$14*CJ6</f>
        <v>-8051.7847273809666</v>
      </c>
      <c r="CK14" s="110">
        <f>SUM(HR!$D$14:$D$19)*'3. Variable Costs'!$C$14*CK6</f>
        <v>-8051.7847273809666</v>
      </c>
      <c r="CL14" s="110">
        <f>SUM(HR!$D$14:$D$19)*'3. Variable Costs'!$C$14*CL6</f>
        <v>-8051.7847273809666</v>
      </c>
      <c r="CM14" s="110">
        <f>SUM(HR!$D$14:$D$19)*'3. Variable Costs'!$C$14*CM6</f>
        <v>-8051.7847273809666</v>
      </c>
      <c r="CN14" s="110">
        <f>SUM(HR!$D$14:$D$19)*'3. Variable Costs'!$C$14*CN6</f>
        <v>-8051.7847273809666</v>
      </c>
      <c r="CO14" s="110">
        <f>SUM(HR!$D$14:$D$19)*'3. Variable Costs'!$C$14*CO6</f>
        <v>-8051.7847273809666</v>
      </c>
      <c r="CP14" s="110">
        <f>SUM(HR!$D$14:$D$19)*'3. Variable Costs'!$C$14*CP6</f>
        <v>-8051.7847273809666</v>
      </c>
      <c r="CQ14" s="110">
        <f>SUM(HR!$D$14:$D$19)*'3. Variable Costs'!$C$14*CQ6</f>
        <v>-8051.7847273809666</v>
      </c>
      <c r="CR14" s="110">
        <f>SUM(HR!$D$14:$D$19)*'3. Variable Costs'!$C$14*CR6</f>
        <v>-8051.7847273809666</v>
      </c>
      <c r="CS14" s="110">
        <f>SUM(HR!$D$14:$D$19)*'3. Variable Costs'!$C$14*CS6</f>
        <v>-8051.7847273809666</v>
      </c>
      <c r="CT14" s="110">
        <f>SUM(HR!$D$14:$D$19)*'3. Variable Costs'!$C$14*CT6</f>
        <v>-8051.7847273809666</v>
      </c>
      <c r="CU14" s="110">
        <f>SUM(HR!$D$14:$D$19)*'3. Variable Costs'!$C$14*CU6</f>
        <v>-8051.7847273809666</v>
      </c>
      <c r="CV14" s="695">
        <f>SUM(HR!$D$14:$D$19)*'3. Variable Costs'!$C$14*CV6</f>
        <v>-8559.0471652059678</v>
      </c>
      <c r="CW14" s="110">
        <f>SUM(HR!$D$14:$D$19)*'3. Variable Costs'!$C$14*CW6</f>
        <v>-8559.0471652059678</v>
      </c>
      <c r="CX14" s="110">
        <f>SUM(HR!$D$14:$D$19)*'3. Variable Costs'!$C$14*CX6</f>
        <v>-8559.0471652059678</v>
      </c>
      <c r="CY14" s="110">
        <f>SUM(HR!$D$14:$D$19)*'3. Variable Costs'!$C$14*CY6</f>
        <v>-8559.0471652059678</v>
      </c>
      <c r="CZ14" s="110">
        <f>SUM(HR!$D$14:$D$19)*'3. Variable Costs'!$C$14*CZ6</f>
        <v>-8559.0471652059678</v>
      </c>
      <c r="DA14" s="110">
        <f>SUM(HR!$D$14:$D$19)*'3. Variable Costs'!$C$14*DA6</f>
        <v>-8559.0471652059678</v>
      </c>
      <c r="DB14" s="110">
        <f>SUM(HR!$D$14:$D$19)*'3. Variable Costs'!$C$14*DB6</f>
        <v>-8559.0471652059678</v>
      </c>
      <c r="DC14" s="110">
        <f>SUM(HR!$D$14:$D$19)*'3. Variable Costs'!$C$14*DC6</f>
        <v>-8559.0471652059678</v>
      </c>
      <c r="DD14" s="110">
        <f>SUM(HR!$D$14:$D$19)*'3. Variable Costs'!$C$14*DD6</f>
        <v>-8559.0471652059678</v>
      </c>
      <c r="DE14" s="110">
        <f>SUM(HR!$D$14:$D$19)*'3. Variable Costs'!$C$14*DE6</f>
        <v>-8559.0471652059678</v>
      </c>
      <c r="DF14" s="110">
        <f>SUM(HR!$D$14:$D$19)*'3. Variable Costs'!$C$14*DF6</f>
        <v>-8559.0471652059678</v>
      </c>
      <c r="DG14" s="110">
        <f>SUM(HR!$D$14:$D$19)*'3. Variable Costs'!$C$14*DG6</f>
        <v>-8559.0471652059678</v>
      </c>
      <c r="DH14" s="695">
        <f>SUM(HR!$D$14:$D$19)*'3. Variable Costs'!$C$14*DH6</f>
        <v>-9098.2671366139421</v>
      </c>
      <c r="DI14" s="110">
        <f>SUM(HR!$D$14:$D$19)*'3. Variable Costs'!$C$14*DI6</f>
        <v>-9098.2671366139421</v>
      </c>
      <c r="DJ14" s="110">
        <f>SUM(HR!$D$14:$D$19)*'3. Variable Costs'!$C$14*DJ6</f>
        <v>-9098.2671366139421</v>
      </c>
      <c r="DK14" s="110">
        <f>SUM(HR!$D$14:$D$19)*'3. Variable Costs'!$C$14*DK6</f>
        <v>-9098.2671366139421</v>
      </c>
      <c r="DL14" s="110">
        <f>SUM(HR!$D$14:$D$19)*'3. Variable Costs'!$C$14*DL6</f>
        <v>-9098.2671366139421</v>
      </c>
      <c r="DM14" s="110">
        <f>SUM(HR!$D$14:$D$19)*'3. Variable Costs'!$C$14*DM6</f>
        <v>-9098.2671366139421</v>
      </c>
      <c r="DN14" s="110">
        <f>SUM(HR!$D$14:$D$19)*'3. Variable Costs'!$C$14*DN6</f>
        <v>-9098.2671366139421</v>
      </c>
      <c r="DO14" s="110">
        <f>SUM(HR!$D$14:$D$19)*'3. Variable Costs'!$C$14*DO6</f>
        <v>-9098.2671366139421</v>
      </c>
      <c r="DP14" s="110">
        <f>SUM(HR!$D$14:$D$19)*'3. Variable Costs'!$C$14*DP6</f>
        <v>-9098.2671366139421</v>
      </c>
      <c r="DQ14" s="110">
        <f>SUM(HR!$D$14:$D$19)*'3. Variable Costs'!$C$14*DQ6</f>
        <v>-9098.2671366139421</v>
      </c>
      <c r="DR14" s="110">
        <f>SUM(HR!$D$14:$D$19)*'3. Variable Costs'!$C$14*DR6</f>
        <v>-9098.2671366139421</v>
      </c>
      <c r="DS14" s="110">
        <f>SUM(HR!$D$14:$D$19)*'3. Variable Costs'!$C$14*DS6</f>
        <v>-9098.2671366139421</v>
      </c>
    </row>
    <row r="15" spans="1:126" ht="15" x14ac:dyDescent="0.25">
      <c r="B15" s="162" t="s">
        <v>1393</v>
      </c>
      <c r="C15" s="7">
        <v>-155</v>
      </c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86"/>
      <c r="P15" s="344"/>
      <c r="Q15" s="344"/>
      <c r="R15" s="344"/>
      <c r="S15" s="344"/>
      <c r="T15" s="344"/>
      <c r="U15" s="344"/>
      <c r="V15" s="344"/>
      <c r="W15" s="344"/>
      <c r="X15" s="108"/>
      <c r="Y15" s="108"/>
      <c r="Z15" s="108"/>
      <c r="AA15" s="110"/>
      <c r="AB15" s="344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10"/>
      <c r="AN15" s="109"/>
      <c r="AO15" s="110">
        <f>SUM(HR!$D$14:$D$19)*'3. Variable Costs'!$C$15*AO6</f>
        <v>-3909.7661879849989</v>
      </c>
      <c r="AP15" s="110">
        <f>SUM(HR!$D$14:$D$19)*'3. Variable Costs'!$C$15*AP6</f>
        <v>-3909.7661879849989</v>
      </c>
      <c r="AQ15" s="110">
        <f>SUM(HR!$D$14:$D$19)*'3. Variable Costs'!$C$15*AQ6</f>
        <v>-3909.7661879849989</v>
      </c>
      <c r="AR15" s="110">
        <f>SUM(HR!$D$14:$D$19)*'3. Variable Costs'!$C$15*AR6</f>
        <v>-3909.7661879849989</v>
      </c>
      <c r="AS15" s="110">
        <f>SUM(HR!$D$14:$D$19)*'3. Variable Costs'!$C$15*AS6</f>
        <v>-3909.7661879849989</v>
      </c>
      <c r="AT15" s="110">
        <f>SUM(HR!$D$14:$D$19)*'3. Variable Costs'!$C$15*AT6</f>
        <v>-3909.7661879849989</v>
      </c>
      <c r="AU15" s="110">
        <f>SUM(HR!$D$14:$D$19)*'3. Variable Costs'!$C$15*AU6</f>
        <v>-3909.7661879849989</v>
      </c>
      <c r="AV15" s="110">
        <f>SUM(HR!$D$14:$D$19)*'3. Variable Costs'!$C$15*AV6</f>
        <v>-3909.7661879849989</v>
      </c>
      <c r="AW15" s="110">
        <f>SUM(HR!$D$14:$D$19)*'3. Variable Costs'!$C$15*AW6</f>
        <v>-3909.7661879849989</v>
      </c>
      <c r="AX15" s="110">
        <f>SUM(HR!$D$14:$D$19)*'3. Variable Costs'!$C$15*AX6</f>
        <v>-3909.7661879849989</v>
      </c>
      <c r="AY15" s="110">
        <f>SUM(HR!$D$14:$D$19)*'3. Variable Costs'!$C$15*AY6</f>
        <v>-3909.7661879849989</v>
      </c>
      <c r="AZ15" s="695">
        <f>SUM(HR!$D$14:$D$19)*'3. Variable Costs'!$C$15*AZ6</f>
        <v>-4156.0814578280533</v>
      </c>
      <c r="BA15" s="110">
        <f>SUM(HR!$D$14:$D$19)*'3. Variable Costs'!$C$15*BA6</f>
        <v>-4156.0814578280533</v>
      </c>
      <c r="BB15" s="110">
        <f>SUM(HR!$D$14:$D$19)*'3. Variable Costs'!$C$15*BB6</f>
        <v>-4156.0814578280533</v>
      </c>
      <c r="BC15" s="110">
        <f>SUM(HR!$D$14:$D$19)*'3. Variable Costs'!$C$15*BC6</f>
        <v>-4156.0814578280533</v>
      </c>
      <c r="BD15" s="110">
        <f>SUM(HR!$D$14:$D$19)*'3. Variable Costs'!$C$15*BD6</f>
        <v>-4156.0814578280533</v>
      </c>
      <c r="BE15" s="110">
        <f>SUM(HR!$D$14:$D$19)*'3. Variable Costs'!$C$15*BE6</f>
        <v>-4156.0814578280533</v>
      </c>
      <c r="BF15" s="110">
        <f>SUM(HR!$D$14:$D$19)*'3. Variable Costs'!$C$15*BF6</f>
        <v>-4156.0814578280533</v>
      </c>
      <c r="BG15" s="110">
        <f>SUM(HR!$D$14:$D$19)*'3. Variable Costs'!$C$15*BG6</f>
        <v>-4156.0814578280533</v>
      </c>
      <c r="BH15" s="110">
        <f>SUM(HR!$D$14:$D$19)*'3. Variable Costs'!$C$15*BH6</f>
        <v>-4156.0814578280533</v>
      </c>
      <c r="BI15" s="110">
        <f>SUM(HR!$D$14:$D$19)*'3. Variable Costs'!$C$15*BI6</f>
        <v>-4156.0814578280533</v>
      </c>
      <c r="BJ15" s="110">
        <f>SUM(HR!$D$14:$D$19)*'3. Variable Costs'!$C$15*BJ6</f>
        <v>-4156.0814578280533</v>
      </c>
      <c r="BK15" s="110">
        <f>SUM(HR!$D$14:$D$19)*'3. Variable Costs'!$C$15*BK6</f>
        <v>-4156.0814578280533</v>
      </c>
      <c r="BL15" s="695">
        <f>SUM(HR!$D$14:$D$19)*'3. Variable Costs'!$C$15*BL6</f>
        <v>-4417.9145896712207</v>
      </c>
      <c r="BM15" s="110">
        <f>SUM(HR!$D$14:$D$19)*'3. Variable Costs'!$C$15*BM6</f>
        <v>-4417.9145896712207</v>
      </c>
      <c r="BN15" s="110">
        <f>SUM(HR!$D$14:$D$19)*'3. Variable Costs'!$C$15*BN6</f>
        <v>-4417.9145896712207</v>
      </c>
      <c r="BO15" s="110">
        <f>SUM(HR!$D$14:$D$19)*'3. Variable Costs'!$C$15*BO6</f>
        <v>-4417.9145896712207</v>
      </c>
      <c r="BP15" s="110">
        <f>SUM(HR!$D$14:$D$19)*'3. Variable Costs'!$C$15*BP6</f>
        <v>-4417.9145896712207</v>
      </c>
      <c r="BQ15" s="110">
        <f>SUM(HR!$D$14:$D$19)*'3. Variable Costs'!$C$15*BQ6</f>
        <v>-4417.9145896712207</v>
      </c>
      <c r="BR15" s="110">
        <f>SUM(HR!$D$14:$D$19)*'3. Variable Costs'!$C$15*BR6</f>
        <v>-4417.9145896712207</v>
      </c>
      <c r="BS15" s="110">
        <f>SUM(HR!$D$14:$D$19)*'3. Variable Costs'!$C$15*BS6</f>
        <v>-4417.9145896712207</v>
      </c>
      <c r="BT15" s="110">
        <f>SUM(HR!$D$14:$D$19)*'3. Variable Costs'!$C$15*BT6</f>
        <v>-4417.9145896712207</v>
      </c>
      <c r="BU15" s="110">
        <f>SUM(HR!$D$14:$D$19)*'3. Variable Costs'!$C$15*BU6</f>
        <v>-4417.9145896712207</v>
      </c>
      <c r="BV15" s="110">
        <f>SUM(HR!$D$14:$D$19)*'3. Variable Costs'!$C$15*BV6</f>
        <v>-4417.9145896712207</v>
      </c>
      <c r="BW15" s="110">
        <f>SUM(HR!$D$14:$D$19)*'3. Variable Costs'!$C$15*BW6</f>
        <v>-4417.9145896712207</v>
      </c>
      <c r="BX15" s="695">
        <f>SUM(HR!$D$14:$D$19)*'3. Variable Costs'!$C$15*BX6</f>
        <v>-4696.2432088205078</v>
      </c>
      <c r="BY15" s="110">
        <f>SUM(HR!$D$14:$D$19)*'3. Variable Costs'!$C$15*BY6</f>
        <v>-4696.2432088205078</v>
      </c>
      <c r="BZ15" s="110">
        <f>SUM(HR!$D$14:$D$19)*'3. Variable Costs'!$C$15*BZ6</f>
        <v>-4696.2432088205078</v>
      </c>
      <c r="CA15" s="110">
        <f>SUM(HR!$D$14:$D$19)*'3. Variable Costs'!$C$15*CA6</f>
        <v>-4696.2432088205078</v>
      </c>
      <c r="CB15" s="110">
        <f>SUM(HR!$D$14:$D$19)*'3. Variable Costs'!$C$15*CB6</f>
        <v>-4696.2432088205078</v>
      </c>
      <c r="CC15" s="110">
        <f>SUM(HR!$D$14:$D$19)*'3. Variable Costs'!$C$15*CC6</f>
        <v>-4696.2432088205078</v>
      </c>
      <c r="CD15" s="110">
        <f>SUM(HR!$D$14:$D$19)*'3. Variable Costs'!$C$15*CD6</f>
        <v>-4696.2432088205078</v>
      </c>
      <c r="CE15" s="110">
        <f>SUM(HR!$D$14:$D$19)*'3. Variable Costs'!$C$15*CE6</f>
        <v>-4696.2432088205078</v>
      </c>
      <c r="CF15" s="110">
        <f>SUM(HR!$D$14:$D$19)*'3. Variable Costs'!$C$15*CF6</f>
        <v>-4696.2432088205078</v>
      </c>
      <c r="CG15" s="110">
        <f>SUM(HR!$D$14:$D$19)*'3. Variable Costs'!$C$15*CG6</f>
        <v>-4696.2432088205078</v>
      </c>
      <c r="CH15" s="110">
        <f>SUM(HR!$D$14:$D$19)*'3. Variable Costs'!$C$15*CH6</f>
        <v>-4696.2432088205078</v>
      </c>
      <c r="CI15" s="110">
        <f>SUM(HR!$D$14:$D$19)*'3. Variable Costs'!$C$15*CI6</f>
        <v>-4696.2432088205078</v>
      </c>
      <c r="CJ15" s="695">
        <f>SUM(HR!$D$14:$D$19)*'3. Variable Costs'!$C$15*CJ6</f>
        <v>-4992.1065309761998</v>
      </c>
      <c r="CK15" s="110">
        <f>SUM(HR!$D$14:$D$19)*'3. Variable Costs'!$C$15*CK6</f>
        <v>-4992.1065309761998</v>
      </c>
      <c r="CL15" s="110">
        <f>SUM(HR!$D$14:$D$19)*'3. Variable Costs'!$C$15*CL6</f>
        <v>-4992.1065309761998</v>
      </c>
      <c r="CM15" s="110">
        <f>SUM(HR!$D$14:$D$19)*'3. Variable Costs'!$C$15*CM6</f>
        <v>-4992.1065309761998</v>
      </c>
      <c r="CN15" s="110">
        <f>SUM(HR!$D$14:$D$19)*'3. Variable Costs'!$C$15*CN6</f>
        <v>-4992.1065309761998</v>
      </c>
      <c r="CO15" s="110">
        <f>SUM(HR!$D$14:$D$19)*'3. Variable Costs'!$C$15*CO6</f>
        <v>-4992.1065309761998</v>
      </c>
      <c r="CP15" s="110">
        <f>SUM(HR!$D$14:$D$19)*'3. Variable Costs'!$C$15*CP6</f>
        <v>-4992.1065309761998</v>
      </c>
      <c r="CQ15" s="110">
        <f>SUM(HR!$D$14:$D$19)*'3. Variable Costs'!$C$15*CQ6</f>
        <v>-4992.1065309761998</v>
      </c>
      <c r="CR15" s="110">
        <f>SUM(HR!$D$14:$D$19)*'3. Variable Costs'!$C$15*CR6</f>
        <v>-4992.1065309761998</v>
      </c>
      <c r="CS15" s="110">
        <f>SUM(HR!$D$14:$D$19)*'3. Variable Costs'!$C$15*CS6</f>
        <v>-4992.1065309761998</v>
      </c>
      <c r="CT15" s="110">
        <f>SUM(HR!$D$14:$D$19)*'3. Variable Costs'!$C$15*CT6</f>
        <v>-4992.1065309761998</v>
      </c>
      <c r="CU15" s="110">
        <f>SUM(HR!$D$14:$D$19)*'3. Variable Costs'!$C$15*CU6</f>
        <v>-4992.1065309761998</v>
      </c>
      <c r="CV15" s="695">
        <f>SUM(HR!$D$14:$D$19)*'3. Variable Costs'!$C$15*CV6</f>
        <v>-5306.6092424276994</v>
      </c>
      <c r="CW15" s="110">
        <f>SUM(HR!$D$14:$D$19)*'3. Variable Costs'!$C$15*CW6</f>
        <v>-5306.6092424276994</v>
      </c>
      <c r="CX15" s="110">
        <f>SUM(HR!$D$14:$D$19)*'3. Variable Costs'!$C$15*CX6</f>
        <v>-5306.6092424276994</v>
      </c>
      <c r="CY15" s="110">
        <f>SUM(HR!$D$14:$D$19)*'3. Variable Costs'!$C$15*CY6</f>
        <v>-5306.6092424276994</v>
      </c>
      <c r="CZ15" s="110">
        <f>SUM(HR!$D$14:$D$19)*'3. Variable Costs'!$C$15*CZ6</f>
        <v>-5306.6092424276994</v>
      </c>
      <c r="DA15" s="110">
        <f>SUM(HR!$D$14:$D$19)*'3. Variable Costs'!$C$15*DA6</f>
        <v>-5306.6092424276994</v>
      </c>
      <c r="DB15" s="110">
        <f>SUM(HR!$D$14:$D$19)*'3. Variable Costs'!$C$15*DB6</f>
        <v>-5306.6092424276994</v>
      </c>
      <c r="DC15" s="110">
        <f>SUM(HR!$D$14:$D$19)*'3. Variable Costs'!$C$15*DC6</f>
        <v>-5306.6092424276994</v>
      </c>
      <c r="DD15" s="110">
        <f>SUM(HR!$D$14:$D$19)*'3. Variable Costs'!$C$15*DD6</f>
        <v>-5306.6092424276994</v>
      </c>
      <c r="DE15" s="110">
        <f>SUM(HR!$D$14:$D$19)*'3. Variable Costs'!$C$15*DE6</f>
        <v>-5306.6092424276994</v>
      </c>
      <c r="DF15" s="110">
        <f>SUM(HR!$D$14:$D$19)*'3. Variable Costs'!$C$15*DF6</f>
        <v>-5306.6092424276994</v>
      </c>
      <c r="DG15" s="110">
        <f>SUM(HR!$D$14:$D$19)*'3. Variable Costs'!$C$15*DG6</f>
        <v>-5306.6092424276994</v>
      </c>
      <c r="DH15" s="695">
        <f>SUM(HR!$D$14:$D$19)*'3. Variable Costs'!$C$15*DH6</f>
        <v>-5640.9256247006442</v>
      </c>
      <c r="DI15" s="110">
        <f>SUM(HR!$D$14:$D$19)*'3. Variable Costs'!$C$15*DI6</f>
        <v>-5640.9256247006442</v>
      </c>
      <c r="DJ15" s="110">
        <f>SUM(HR!$D$14:$D$19)*'3. Variable Costs'!$C$15*DJ6</f>
        <v>-5640.9256247006442</v>
      </c>
      <c r="DK15" s="110">
        <f>SUM(HR!$D$14:$D$19)*'3. Variable Costs'!$C$15*DK6</f>
        <v>-5640.9256247006442</v>
      </c>
      <c r="DL15" s="110">
        <f>SUM(HR!$D$14:$D$19)*'3. Variable Costs'!$C$15*DL6</f>
        <v>-5640.9256247006442</v>
      </c>
      <c r="DM15" s="110">
        <f>SUM(HR!$D$14:$D$19)*'3. Variable Costs'!$C$15*DM6</f>
        <v>-5640.9256247006442</v>
      </c>
      <c r="DN15" s="110">
        <f>SUM(HR!$D$14:$D$19)*'3. Variable Costs'!$C$15*DN6</f>
        <v>-5640.9256247006442</v>
      </c>
      <c r="DO15" s="110">
        <f>SUM(HR!$D$14:$D$19)*'3. Variable Costs'!$C$15*DO6</f>
        <v>-5640.9256247006442</v>
      </c>
      <c r="DP15" s="110">
        <f>SUM(HR!$D$14:$D$19)*'3. Variable Costs'!$C$15*DP6</f>
        <v>-5640.9256247006442</v>
      </c>
      <c r="DQ15" s="110">
        <f>SUM(HR!$D$14:$D$19)*'3. Variable Costs'!$C$15*DQ6</f>
        <v>-5640.9256247006442</v>
      </c>
      <c r="DR15" s="110">
        <f>SUM(HR!$D$14:$D$19)*'3. Variable Costs'!$C$15*DR6</f>
        <v>-5640.9256247006442</v>
      </c>
      <c r="DS15" s="110">
        <f>SUM(HR!$D$14:$D$19)*'3. Variable Costs'!$C$15*DS6</f>
        <v>-5640.9256247006442</v>
      </c>
    </row>
    <row r="16" spans="1:126" ht="15" x14ac:dyDescent="0.25">
      <c r="B16" s="162" t="s">
        <v>192</v>
      </c>
      <c r="C16" s="7">
        <v>-15000</v>
      </c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86"/>
      <c r="P16" s="344">
        <v>0</v>
      </c>
      <c r="Q16" s="344">
        <v>0</v>
      </c>
      <c r="R16" s="344">
        <v>0</v>
      </c>
      <c r="S16" s="344">
        <v>0</v>
      </c>
      <c r="T16" s="344">
        <v>0</v>
      </c>
      <c r="U16" s="344">
        <v>0</v>
      </c>
      <c r="V16" s="344">
        <v>0</v>
      </c>
      <c r="W16" s="344">
        <v>0</v>
      </c>
      <c r="X16" s="108">
        <v>0</v>
      </c>
      <c r="Y16" s="108">
        <v>0</v>
      </c>
      <c r="Z16" s="108">
        <v>0</v>
      </c>
      <c r="AA16" s="110"/>
      <c r="AB16" s="344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10"/>
      <c r="AN16" s="109"/>
      <c r="AO16" s="108"/>
      <c r="AP16" s="108">
        <f t="shared" ref="AP16:CB17" si="7">$C16*AP$6</f>
        <v>-18017.355704999994</v>
      </c>
      <c r="AQ16" s="108">
        <f t="shared" si="7"/>
        <v>-18017.355704999994</v>
      </c>
      <c r="AR16" s="108">
        <f t="shared" si="7"/>
        <v>-18017.355704999994</v>
      </c>
      <c r="AS16" s="108">
        <f t="shared" si="7"/>
        <v>-18017.355704999994</v>
      </c>
      <c r="AT16" s="108">
        <f t="shared" si="7"/>
        <v>-18017.355704999994</v>
      </c>
      <c r="AU16" s="108">
        <f t="shared" si="7"/>
        <v>-18017.355704999994</v>
      </c>
      <c r="AV16" s="108">
        <f t="shared" si="7"/>
        <v>-18017.355704999994</v>
      </c>
      <c r="AW16" s="108">
        <f t="shared" si="7"/>
        <v>-18017.355704999994</v>
      </c>
      <c r="AX16" s="108">
        <f t="shared" si="7"/>
        <v>-18017.355704999994</v>
      </c>
      <c r="AY16" s="110">
        <f t="shared" si="7"/>
        <v>-18017.355704999994</v>
      </c>
      <c r="AZ16" s="109">
        <f t="shared" si="7"/>
        <v>-19152.449114414994</v>
      </c>
      <c r="BA16" s="108">
        <f t="shared" si="7"/>
        <v>-19152.449114414994</v>
      </c>
      <c r="BB16" s="108">
        <f t="shared" si="7"/>
        <v>-19152.449114414994</v>
      </c>
      <c r="BC16" s="108">
        <f t="shared" si="7"/>
        <v>-19152.449114414994</v>
      </c>
      <c r="BD16" s="108">
        <f t="shared" si="7"/>
        <v>-19152.449114414994</v>
      </c>
      <c r="BE16" s="108">
        <f t="shared" si="7"/>
        <v>-19152.449114414994</v>
      </c>
      <c r="BF16" s="108">
        <f t="shared" si="7"/>
        <v>-19152.449114414994</v>
      </c>
      <c r="BG16" s="108">
        <f t="shared" si="7"/>
        <v>-19152.449114414994</v>
      </c>
      <c r="BH16" s="108">
        <f t="shared" si="7"/>
        <v>-19152.449114414994</v>
      </c>
      <c r="BI16" s="108">
        <f t="shared" si="7"/>
        <v>-19152.449114414994</v>
      </c>
      <c r="BJ16" s="108">
        <f t="shared" si="7"/>
        <v>-19152.449114414994</v>
      </c>
      <c r="BK16" s="110">
        <f t="shared" si="7"/>
        <v>-19152.449114414994</v>
      </c>
      <c r="BL16" s="109">
        <f t="shared" si="7"/>
        <v>-20359.053408623138</v>
      </c>
      <c r="BM16" s="108">
        <f t="shared" si="7"/>
        <v>-20359.053408623138</v>
      </c>
      <c r="BN16" s="108">
        <f t="shared" si="7"/>
        <v>-20359.053408623138</v>
      </c>
      <c r="BO16" s="108">
        <f t="shared" si="7"/>
        <v>-20359.053408623138</v>
      </c>
      <c r="BP16" s="108">
        <f t="shared" si="7"/>
        <v>-20359.053408623138</v>
      </c>
      <c r="BQ16" s="108">
        <f t="shared" si="7"/>
        <v>-20359.053408623138</v>
      </c>
      <c r="BR16" s="108">
        <f t="shared" si="7"/>
        <v>-20359.053408623138</v>
      </c>
      <c r="BS16" s="108">
        <f t="shared" si="7"/>
        <v>-20359.053408623138</v>
      </c>
      <c r="BT16" s="108">
        <f t="shared" si="7"/>
        <v>-20359.053408623138</v>
      </c>
      <c r="BU16" s="108">
        <f t="shared" si="7"/>
        <v>-20359.053408623138</v>
      </c>
      <c r="BV16" s="108">
        <f t="shared" si="7"/>
        <v>-20359.053408623138</v>
      </c>
      <c r="BW16" s="110">
        <f t="shared" si="7"/>
        <v>-20359.053408623138</v>
      </c>
      <c r="BX16" s="109">
        <f t="shared" si="7"/>
        <v>-21641.673773366394</v>
      </c>
      <c r="BY16" s="108">
        <f t="shared" si="7"/>
        <v>-21641.673773366394</v>
      </c>
      <c r="BZ16" s="108">
        <f t="shared" si="7"/>
        <v>-21641.673773366394</v>
      </c>
      <c r="CA16" s="108">
        <f t="shared" si="7"/>
        <v>-21641.673773366394</v>
      </c>
      <c r="CB16" s="108">
        <f t="shared" si="7"/>
        <v>-21641.673773366394</v>
      </c>
      <c r="CC16" s="108">
        <f t="shared" ref="CC16:DS17" si="8">$C16*CC$6</f>
        <v>-21641.673773366394</v>
      </c>
      <c r="CD16" s="108">
        <f t="shared" si="8"/>
        <v>-21641.673773366394</v>
      </c>
      <c r="CE16" s="108">
        <f t="shared" si="8"/>
        <v>-21641.673773366394</v>
      </c>
      <c r="CF16" s="108">
        <f t="shared" si="8"/>
        <v>-21641.673773366394</v>
      </c>
      <c r="CG16" s="108">
        <f t="shared" si="8"/>
        <v>-21641.673773366394</v>
      </c>
      <c r="CH16" s="108">
        <f t="shared" si="8"/>
        <v>-21641.673773366394</v>
      </c>
      <c r="CI16" s="110">
        <f t="shared" si="8"/>
        <v>-21641.673773366394</v>
      </c>
      <c r="CJ16" s="109">
        <f t="shared" si="8"/>
        <v>-23005.099221088476</v>
      </c>
      <c r="CK16" s="108">
        <f t="shared" si="8"/>
        <v>-23005.099221088476</v>
      </c>
      <c r="CL16" s="108">
        <f t="shared" si="8"/>
        <v>-23005.099221088476</v>
      </c>
      <c r="CM16" s="108">
        <f t="shared" si="8"/>
        <v>-23005.099221088476</v>
      </c>
      <c r="CN16" s="108">
        <f t="shared" si="8"/>
        <v>-23005.099221088476</v>
      </c>
      <c r="CO16" s="108">
        <f t="shared" si="8"/>
        <v>-23005.099221088476</v>
      </c>
      <c r="CP16" s="108">
        <f t="shared" si="8"/>
        <v>-23005.099221088476</v>
      </c>
      <c r="CQ16" s="108">
        <f t="shared" si="8"/>
        <v>-23005.099221088476</v>
      </c>
      <c r="CR16" s="108">
        <f t="shared" si="8"/>
        <v>-23005.099221088476</v>
      </c>
      <c r="CS16" s="108">
        <f t="shared" si="8"/>
        <v>-23005.099221088476</v>
      </c>
      <c r="CT16" s="108">
        <f t="shared" si="8"/>
        <v>-23005.099221088476</v>
      </c>
      <c r="CU16" s="110">
        <f t="shared" si="8"/>
        <v>-23005.099221088476</v>
      </c>
      <c r="CV16" s="109">
        <f t="shared" si="8"/>
        <v>-24454.420472017049</v>
      </c>
      <c r="CW16" s="108">
        <f t="shared" si="8"/>
        <v>-24454.420472017049</v>
      </c>
      <c r="CX16" s="108">
        <f t="shared" si="8"/>
        <v>-24454.420472017049</v>
      </c>
      <c r="CY16" s="108">
        <f t="shared" si="8"/>
        <v>-24454.420472017049</v>
      </c>
      <c r="CZ16" s="108">
        <f t="shared" si="8"/>
        <v>-24454.420472017049</v>
      </c>
      <c r="DA16" s="108">
        <f t="shared" si="8"/>
        <v>-24454.420472017049</v>
      </c>
      <c r="DB16" s="108">
        <f t="shared" si="8"/>
        <v>-24454.420472017049</v>
      </c>
      <c r="DC16" s="108">
        <f t="shared" si="8"/>
        <v>-24454.420472017049</v>
      </c>
      <c r="DD16" s="108">
        <f t="shared" si="8"/>
        <v>-24454.420472017049</v>
      </c>
      <c r="DE16" s="108">
        <f t="shared" si="8"/>
        <v>-24454.420472017049</v>
      </c>
      <c r="DF16" s="108">
        <f t="shared" si="8"/>
        <v>-24454.420472017049</v>
      </c>
      <c r="DG16" s="110">
        <f t="shared" si="8"/>
        <v>-24454.420472017049</v>
      </c>
      <c r="DH16" s="109">
        <f t="shared" si="8"/>
        <v>-25995.048961754121</v>
      </c>
      <c r="DI16" s="108">
        <f t="shared" si="8"/>
        <v>-25995.048961754121</v>
      </c>
      <c r="DJ16" s="108">
        <f t="shared" si="8"/>
        <v>-25995.048961754121</v>
      </c>
      <c r="DK16" s="108">
        <f t="shared" si="8"/>
        <v>-25995.048961754121</v>
      </c>
      <c r="DL16" s="108">
        <f t="shared" si="8"/>
        <v>-25995.048961754121</v>
      </c>
      <c r="DM16" s="108">
        <f t="shared" si="8"/>
        <v>-25995.048961754121</v>
      </c>
      <c r="DN16" s="108">
        <f t="shared" si="8"/>
        <v>-25995.048961754121</v>
      </c>
      <c r="DO16" s="108">
        <f t="shared" si="8"/>
        <v>-25995.048961754121</v>
      </c>
      <c r="DP16" s="108">
        <f t="shared" si="8"/>
        <v>-25995.048961754121</v>
      </c>
      <c r="DQ16" s="108">
        <f t="shared" si="8"/>
        <v>-25995.048961754121</v>
      </c>
      <c r="DR16" s="108">
        <f t="shared" si="8"/>
        <v>-25995.048961754121</v>
      </c>
      <c r="DS16" s="110">
        <f t="shared" si="8"/>
        <v>-25995.048961754121</v>
      </c>
    </row>
    <row r="17" spans="1:123" ht="15" x14ac:dyDescent="0.25">
      <c r="B17" s="162" t="s">
        <v>193</v>
      </c>
      <c r="C17" s="7">
        <v>-15000</v>
      </c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86"/>
      <c r="P17" s="344">
        <v>0</v>
      </c>
      <c r="Q17" s="344">
        <v>0</v>
      </c>
      <c r="R17" s="344">
        <v>0</v>
      </c>
      <c r="S17" s="344">
        <v>0</v>
      </c>
      <c r="T17" s="344">
        <v>0</v>
      </c>
      <c r="U17" s="344">
        <v>0</v>
      </c>
      <c r="V17" s="344">
        <v>0</v>
      </c>
      <c r="W17" s="344">
        <v>0</v>
      </c>
      <c r="X17" s="108">
        <v>0</v>
      </c>
      <c r="Y17" s="108">
        <v>0</v>
      </c>
      <c r="Z17" s="108">
        <v>0</v>
      </c>
      <c r="AA17" s="110"/>
      <c r="AB17" s="344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10"/>
      <c r="AN17" s="109"/>
      <c r="AO17" s="108"/>
      <c r="AP17" s="108">
        <f t="shared" si="7"/>
        <v>-18017.355704999994</v>
      </c>
      <c r="AQ17" s="108">
        <f t="shared" si="7"/>
        <v>-18017.355704999994</v>
      </c>
      <c r="AR17" s="108">
        <f t="shared" si="7"/>
        <v>-18017.355704999994</v>
      </c>
      <c r="AS17" s="108">
        <f t="shared" si="7"/>
        <v>-18017.355704999994</v>
      </c>
      <c r="AT17" s="108">
        <f t="shared" si="7"/>
        <v>-18017.355704999994</v>
      </c>
      <c r="AU17" s="108">
        <f t="shared" si="7"/>
        <v>-18017.355704999994</v>
      </c>
      <c r="AV17" s="108">
        <f t="shared" si="7"/>
        <v>-18017.355704999994</v>
      </c>
      <c r="AW17" s="108">
        <f t="shared" si="7"/>
        <v>-18017.355704999994</v>
      </c>
      <c r="AX17" s="108">
        <f t="shared" si="7"/>
        <v>-18017.355704999994</v>
      </c>
      <c r="AY17" s="110">
        <f t="shared" si="7"/>
        <v>-18017.355704999994</v>
      </c>
      <c r="AZ17" s="109">
        <f t="shared" si="7"/>
        <v>-19152.449114414994</v>
      </c>
      <c r="BA17" s="108">
        <f t="shared" si="7"/>
        <v>-19152.449114414994</v>
      </c>
      <c r="BB17" s="108">
        <f t="shared" si="7"/>
        <v>-19152.449114414994</v>
      </c>
      <c r="BC17" s="108">
        <f t="shared" si="7"/>
        <v>-19152.449114414994</v>
      </c>
      <c r="BD17" s="108">
        <f t="shared" si="7"/>
        <v>-19152.449114414994</v>
      </c>
      <c r="BE17" s="108">
        <f t="shared" si="7"/>
        <v>-19152.449114414994</v>
      </c>
      <c r="BF17" s="108">
        <f t="shared" si="7"/>
        <v>-19152.449114414994</v>
      </c>
      <c r="BG17" s="108">
        <f t="shared" si="7"/>
        <v>-19152.449114414994</v>
      </c>
      <c r="BH17" s="108">
        <f t="shared" si="7"/>
        <v>-19152.449114414994</v>
      </c>
      <c r="BI17" s="108">
        <f t="shared" si="7"/>
        <v>-19152.449114414994</v>
      </c>
      <c r="BJ17" s="108">
        <f t="shared" si="7"/>
        <v>-19152.449114414994</v>
      </c>
      <c r="BK17" s="110">
        <f t="shared" si="7"/>
        <v>-19152.449114414994</v>
      </c>
      <c r="BL17" s="109">
        <f t="shared" si="7"/>
        <v>-20359.053408623138</v>
      </c>
      <c r="BM17" s="108">
        <f t="shared" si="7"/>
        <v>-20359.053408623138</v>
      </c>
      <c r="BN17" s="108">
        <f t="shared" si="7"/>
        <v>-20359.053408623138</v>
      </c>
      <c r="BO17" s="108">
        <f t="shared" si="7"/>
        <v>-20359.053408623138</v>
      </c>
      <c r="BP17" s="108">
        <f t="shared" si="7"/>
        <v>-20359.053408623138</v>
      </c>
      <c r="BQ17" s="108">
        <f t="shared" si="7"/>
        <v>-20359.053408623138</v>
      </c>
      <c r="BR17" s="108">
        <f t="shared" si="7"/>
        <v>-20359.053408623138</v>
      </c>
      <c r="BS17" s="108">
        <f t="shared" si="7"/>
        <v>-20359.053408623138</v>
      </c>
      <c r="BT17" s="108">
        <f t="shared" si="7"/>
        <v>-20359.053408623138</v>
      </c>
      <c r="BU17" s="108">
        <f t="shared" si="7"/>
        <v>-20359.053408623138</v>
      </c>
      <c r="BV17" s="108">
        <f t="shared" si="7"/>
        <v>-20359.053408623138</v>
      </c>
      <c r="BW17" s="110">
        <f t="shared" si="7"/>
        <v>-20359.053408623138</v>
      </c>
      <c r="BX17" s="109">
        <f t="shared" si="7"/>
        <v>-21641.673773366394</v>
      </c>
      <c r="BY17" s="108">
        <f t="shared" si="7"/>
        <v>-21641.673773366394</v>
      </c>
      <c r="BZ17" s="108">
        <f t="shared" si="7"/>
        <v>-21641.673773366394</v>
      </c>
      <c r="CA17" s="108">
        <f t="shared" si="7"/>
        <v>-21641.673773366394</v>
      </c>
      <c r="CB17" s="108">
        <f t="shared" si="7"/>
        <v>-21641.673773366394</v>
      </c>
      <c r="CC17" s="108">
        <f t="shared" si="8"/>
        <v>-21641.673773366394</v>
      </c>
      <c r="CD17" s="108">
        <f t="shared" si="8"/>
        <v>-21641.673773366394</v>
      </c>
      <c r="CE17" s="108">
        <f t="shared" si="8"/>
        <v>-21641.673773366394</v>
      </c>
      <c r="CF17" s="108">
        <f t="shared" si="8"/>
        <v>-21641.673773366394</v>
      </c>
      <c r="CG17" s="108">
        <f t="shared" si="8"/>
        <v>-21641.673773366394</v>
      </c>
      <c r="CH17" s="108">
        <f t="shared" si="8"/>
        <v>-21641.673773366394</v>
      </c>
      <c r="CI17" s="110">
        <f t="shared" si="8"/>
        <v>-21641.673773366394</v>
      </c>
      <c r="CJ17" s="109">
        <f t="shared" si="8"/>
        <v>-23005.099221088476</v>
      </c>
      <c r="CK17" s="108">
        <f t="shared" si="8"/>
        <v>-23005.099221088476</v>
      </c>
      <c r="CL17" s="108">
        <f t="shared" si="8"/>
        <v>-23005.099221088476</v>
      </c>
      <c r="CM17" s="108">
        <f t="shared" si="8"/>
        <v>-23005.099221088476</v>
      </c>
      <c r="CN17" s="108">
        <f t="shared" si="8"/>
        <v>-23005.099221088476</v>
      </c>
      <c r="CO17" s="108">
        <f t="shared" si="8"/>
        <v>-23005.099221088476</v>
      </c>
      <c r="CP17" s="108">
        <f t="shared" si="8"/>
        <v>-23005.099221088476</v>
      </c>
      <c r="CQ17" s="108">
        <f t="shared" si="8"/>
        <v>-23005.099221088476</v>
      </c>
      <c r="CR17" s="108">
        <f t="shared" si="8"/>
        <v>-23005.099221088476</v>
      </c>
      <c r="CS17" s="108">
        <f t="shared" si="8"/>
        <v>-23005.099221088476</v>
      </c>
      <c r="CT17" s="108">
        <f t="shared" si="8"/>
        <v>-23005.099221088476</v>
      </c>
      <c r="CU17" s="110">
        <f t="shared" si="8"/>
        <v>-23005.099221088476</v>
      </c>
      <c r="CV17" s="109">
        <f t="shared" si="8"/>
        <v>-24454.420472017049</v>
      </c>
      <c r="CW17" s="108">
        <f t="shared" si="8"/>
        <v>-24454.420472017049</v>
      </c>
      <c r="CX17" s="108">
        <f t="shared" si="8"/>
        <v>-24454.420472017049</v>
      </c>
      <c r="CY17" s="108">
        <f t="shared" si="8"/>
        <v>-24454.420472017049</v>
      </c>
      <c r="CZ17" s="108">
        <f t="shared" si="8"/>
        <v>-24454.420472017049</v>
      </c>
      <c r="DA17" s="108">
        <f t="shared" si="8"/>
        <v>-24454.420472017049</v>
      </c>
      <c r="DB17" s="108">
        <f t="shared" si="8"/>
        <v>-24454.420472017049</v>
      </c>
      <c r="DC17" s="108">
        <f t="shared" si="8"/>
        <v>-24454.420472017049</v>
      </c>
      <c r="DD17" s="108">
        <f t="shared" si="8"/>
        <v>-24454.420472017049</v>
      </c>
      <c r="DE17" s="108">
        <f t="shared" si="8"/>
        <v>-24454.420472017049</v>
      </c>
      <c r="DF17" s="108">
        <f t="shared" si="8"/>
        <v>-24454.420472017049</v>
      </c>
      <c r="DG17" s="110">
        <f t="shared" si="8"/>
        <v>-24454.420472017049</v>
      </c>
      <c r="DH17" s="109">
        <f t="shared" si="8"/>
        <v>-25995.048961754121</v>
      </c>
      <c r="DI17" s="108">
        <f t="shared" si="8"/>
        <v>-25995.048961754121</v>
      </c>
      <c r="DJ17" s="108">
        <f t="shared" si="8"/>
        <v>-25995.048961754121</v>
      </c>
      <c r="DK17" s="108">
        <f t="shared" si="8"/>
        <v>-25995.048961754121</v>
      </c>
      <c r="DL17" s="108">
        <f t="shared" si="8"/>
        <v>-25995.048961754121</v>
      </c>
      <c r="DM17" s="108">
        <f t="shared" si="8"/>
        <v>-25995.048961754121</v>
      </c>
      <c r="DN17" s="108">
        <f t="shared" si="8"/>
        <v>-25995.048961754121</v>
      </c>
      <c r="DO17" s="108">
        <f t="shared" si="8"/>
        <v>-25995.048961754121</v>
      </c>
      <c r="DP17" s="108">
        <f t="shared" si="8"/>
        <v>-25995.048961754121</v>
      </c>
      <c r="DQ17" s="108">
        <f t="shared" si="8"/>
        <v>-25995.048961754121</v>
      </c>
      <c r="DR17" s="108">
        <f t="shared" si="8"/>
        <v>-25995.048961754121</v>
      </c>
      <c r="DS17" s="110">
        <f t="shared" si="8"/>
        <v>-25995.048961754121</v>
      </c>
    </row>
    <row r="18" spans="1:123" ht="15" x14ac:dyDescent="0.25">
      <c r="B18" s="162" t="s">
        <v>313</v>
      </c>
      <c r="C18" s="7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86"/>
      <c r="P18" s="344">
        <v>0</v>
      </c>
      <c r="Q18" s="344">
        <v>0</v>
      </c>
      <c r="R18" s="344">
        <v>0</v>
      </c>
      <c r="S18" s="344">
        <v>0</v>
      </c>
      <c r="T18" s="344">
        <v>0</v>
      </c>
      <c r="U18" s="344">
        <v>0</v>
      </c>
      <c r="V18" s="344">
        <v>0</v>
      </c>
      <c r="W18" s="344">
        <v>0</v>
      </c>
      <c r="X18" s="108">
        <v>0</v>
      </c>
      <c r="Y18" s="108">
        <v>0</v>
      </c>
      <c r="Z18" s="108">
        <v>0</v>
      </c>
      <c r="AA18" s="110"/>
      <c r="AB18" s="344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10">
        <f>-((Production!AN10-(Production!AN11+Production!AN12))/1000)*Assumptions!$C$57</f>
        <v>0</v>
      </c>
      <c r="AN18" s="695">
        <f>-((Production!AO10-(Production!AO11+Production!AO12))/1000)*Assumptions!$C$57</f>
        <v>0</v>
      </c>
      <c r="AO18" s="110">
        <f>-((Production!AP10-(Production!AP11+Production!AP12))*Assumptions!$C$57)</f>
        <v>-134111.93033631516</v>
      </c>
      <c r="AP18" s="110">
        <f>-((Production!AQ10-(Production!AQ11+Production!AQ12))*Assumptions!$C$57)</f>
        <v>-127071.40621373957</v>
      </c>
      <c r="AQ18" s="110">
        <f>-((Production!AR10-(Production!AR11+Production!AR12))*Assumptions!$C$57)</f>
        <v>-357216.3076019162</v>
      </c>
      <c r="AR18" s="110">
        <f>-((Production!AS10-(Production!AS11+Production!AS12))*Assumptions!$C$57)</f>
        <v>-424893.62548217521</v>
      </c>
      <c r="AS18" s="110">
        <f>-((Production!AT10-(Production!AT11+Production!AT12))*Assumptions!$C$57)</f>
        <v>-168847.49324661429</v>
      </c>
      <c r="AT18" s="110">
        <f>-((Production!AU10-(Production!AU11+Production!AU12))*Assumptions!$C$57)</f>
        <v>-243246.56350714734</v>
      </c>
      <c r="AU18" s="110">
        <f>-((Production!AV10-(Production!AV11+Production!AV12))*Assumptions!$C$57)</f>
        <v>-283351.10007901053</v>
      </c>
      <c r="AV18" s="110">
        <f>-((Production!AW10-(Production!AW11+Production!AW12))*Assumptions!$C$57)</f>
        <v>-99745.201035931357</v>
      </c>
      <c r="AW18" s="110">
        <f>-((Production!AX10-(Production!AX11+Production!AX12))*Assumptions!$C$57)</f>
        <v>-260376.19399406097</v>
      </c>
      <c r="AX18" s="110">
        <f>-((Production!AY10-(Production!AY11+Production!AY12))*Assumptions!$C$57)</f>
        <v>-285713.12946762622</v>
      </c>
      <c r="AY18" s="110">
        <f>-((Production!AZ10-(Production!AZ11+Production!AZ12))*Assumptions!$C$57)</f>
        <v>-296817.28249963681</v>
      </c>
      <c r="AZ18" s="695">
        <f>-((Production!BA10-(Production!BA11+Production!BA12))*Assumptions!$C$57)</f>
        <v>-131677.70009429331</v>
      </c>
      <c r="BA18" s="110">
        <f>-((Production!BB10-(Production!BB11+Production!BB12))*Assumptions!$C$57)</f>
        <v>-134111.93033631516</v>
      </c>
      <c r="BB18" s="110">
        <f>-((Production!BC10-(Production!BC11+Production!BC12))*Assumptions!$C$57)</f>
        <v>-127071.40621373957</v>
      </c>
      <c r="BC18" s="110">
        <f>-((Production!BD10-(Production!BD11+Production!BD12))*Assumptions!$C$57)</f>
        <v>-357216.3076019162</v>
      </c>
      <c r="BD18" s="110">
        <f>-((Production!BE10-(Production!BE11+Production!BE12))*Assumptions!$C$57)</f>
        <v>-424893.62548217521</v>
      </c>
      <c r="BE18" s="110">
        <f>-((Production!BF10-(Production!BF11+Production!BF12))*Assumptions!$C$57)</f>
        <v>-168847.49324661429</v>
      </c>
      <c r="BF18" s="110">
        <f>-((Production!BG10-(Production!BG11+Production!BG12))*Assumptions!$C$57)</f>
        <v>-243246.56350714734</v>
      </c>
      <c r="BG18" s="110">
        <f>-((Production!BH10-(Production!BH11+Production!BH12))*Assumptions!$C$57)</f>
        <v>-283351.10007901053</v>
      </c>
      <c r="BH18" s="110">
        <f>-((Production!BI10-(Production!BI11+Production!BI12))*Assumptions!$C$57)</f>
        <v>-99745.201035931357</v>
      </c>
      <c r="BI18" s="110">
        <f>-((Production!BJ10-(Production!BJ11+Production!BJ12))*Assumptions!$C$57)</f>
        <v>-260376.19399406097</v>
      </c>
      <c r="BJ18" s="110">
        <f>-((Production!BK10-(Production!BK11+Production!BK12))*Assumptions!$C$57)</f>
        <v>-285713.12946762622</v>
      </c>
      <c r="BK18" s="110">
        <f>-((Production!BL10-(Production!BL11+Production!BL12))*Assumptions!$C$57)</f>
        <v>-296817.28249963681</v>
      </c>
      <c r="BL18" s="695">
        <f>-((Production!BM10-(Production!BM11+Production!BM12))*Assumptions!$C$57)</f>
        <v>-131677.70009429331</v>
      </c>
      <c r="BM18" s="110">
        <f>-((Production!BN10-(Production!BN11+Production!BN12))*Assumptions!$C$57)</f>
        <v>-134111.93033631516</v>
      </c>
      <c r="BN18" s="110">
        <f>-((Production!BO10-(Production!BO11+Production!BO12))*Assumptions!$C$57)</f>
        <v>-127071.40621373957</v>
      </c>
      <c r="BO18" s="110">
        <f>-((Production!BP10-(Production!BP11+Production!BP12))*Assumptions!$C$57)</f>
        <v>-357216.3076019162</v>
      </c>
      <c r="BP18" s="110">
        <f>-((Production!BQ10-(Production!BQ11+Production!BQ12))*Assumptions!$C$57)</f>
        <v>-424893.62548217521</v>
      </c>
      <c r="BQ18" s="110">
        <f>-((Production!BR10-(Production!BR11+Production!BR12))*Assumptions!$C$57)</f>
        <v>-168847.49324661429</v>
      </c>
      <c r="BR18" s="110">
        <f>-((Production!BS10-(Production!BS11+Production!BS12))*Assumptions!$C$57)</f>
        <v>-243246.56350714734</v>
      </c>
      <c r="BS18" s="110">
        <f>-((Production!BT10-(Production!BT11+Production!BT12))*Assumptions!$C$57)</f>
        <v>-283351.10007901053</v>
      </c>
      <c r="BT18" s="110">
        <f>-((Production!BU10-(Production!BU11+Production!BU12))*Assumptions!$C$57)</f>
        <v>-99745.201035931357</v>
      </c>
      <c r="BU18" s="110">
        <f>-((Production!BV10-(Production!BV11+Production!BV12))*Assumptions!$C$57)</f>
        <v>-260376.19399406097</v>
      </c>
      <c r="BV18" s="110">
        <f>-((Production!BW10-(Production!BW11+Production!BW12))*Assumptions!$C$57)</f>
        <v>-285713.12946762622</v>
      </c>
      <c r="BW18" s="110">
        <f>-((Production!BX10-(Production!BX11+Production!BX12))*Assumptions!$C$57)</f>
        <v>-296817.28249963681</v>
      </c>
      <c r="BX18" s="695">
        <f>-((Production!BY10-(Production!BY11+Production!BY12))*Assumptions!$C$57)</f>
        <v>-131677.70009429331</v>
      </c>
      <c r="BY18" s="110">
        <f>-((Production!BZ10-(Production!BZ11+Production!BZ12))*Assumptions!$C$57)</f>
        <v>-134111.93033631516</v>
      </c>
      <c r="BZ18" s="110">
        <f>-((Production!CA10-(Production!CA11+Production!CA12))*Assumptions!$C$57)</f>
        <v>-127071.40621373957</v>
      </c>
      <c r="CA18" s="110">
        <f>-((Production!CB10-(Production!CB11+Production!CB12))*Assumptions!$C$57)</f>
        <v>-357216.3076019162</v>
      </c>
      <c r="CB18" s="110">
        <f>-((Production!CC10-(Production!CC11+Production!CC12))*Assumptions!$C$57)</f>
        <v>-424893.62548217521</v>
      </c>
      <c r="CC18" s="110">
        <f>-((Production!CD10-(Production!CD11+Production!CD12))*Assumptions!$C$57)</f>
        <v>-168847.49324661429</v>
      </c>
      <c r="CD18" s="110">
        <f>-((Production!CE10-(Production!CE11+Production!CE12))*Assumptions!$C$57)</f>
        <v>-243246.56350714734</v>
      </c>
      <c r="CE18" s="110">
        <f>-((Production!CF10-(Production!CF11+Production!CF12))*Assumptions!$C$57)</f>
        <v>-283351.10007901053</v>
      </c>
      <c r="CF18" s="110">
        <f>-((Production!CG10-(Production!CG11+Production!CG12))*Assumptions!$C$57)</f>
        <v>-99745.201035931357</v>
      </c>
      <c r="CG18" s="110">
        <f>-((Production!CH10-(Production!CH11+Production!CH12))*Assumptions!$C$57)</f>
        <v>-260376.19399406097</v>
      </c>
      <c r="CH18" s="110">
        <f>-((Production!CI10-(Production!CI11+Production!CI12))*Assumptions!$C$57)</f>
        <v>-285713.12946762622</v>
      </c>
      <c r="CI18" s="110">
        <f>-((Production!CJ10-(Production!CJ11+Production!CJ12))*Assumptions!$C$57)</f>
        <v>-296817.28249963681</v>
      </c>
      <c r="CJ18" s="695">
        <f>-((Production!CK10-(Production!CK11+Production!CK12))*Assumptions!$C$57)</f>
        <v>-131677.70009429331</v>
      </c>
      <c r="CK18" s="110">
        <f>-((Production!CL10-(Production!CL11+Production!CL12))*Assumptions!$C$57)</f>
        <v>-134111.93033631516</v>
      </c>
      <c r="CL18" s="110">
        <f>-((Production!CM10-(Production!CM11+Production!CM12))*Assumptions!$C$57)</f>
        <v>-127071.40621373957</v>
      </c>
      <c r="CM18" s="110">
        <f>-((Production!CN10-(Production!CN11+Production!CN12))*Assumptions!$C$57)</f>
        <v>-357216.3076019162</v>
      </c>
      <c r="CN18" s="110">
        <f>-((Production!CO10-(Production!CO11+Production!CO12))*Assumptions!$C$57)</f>
        <v>-424893.62548217521</v>
      </c>
      <c r="CO18" s="110">
        <f>-((Production!CP10-(Production!CP11+Production!CP12))*Assumptions!$C$57)</f>
        <v>-168847.49324661429</v>
      </c>
      <c r="CP18" s="110">
        <f>-((Production!CQ10-(Production!CQ11+Production!CQ12))*Assumptions!$C$57)</f>
        <v>-243246.56350714734</v>
      </c>
      <c r="CQ18" s="110">
        <f>-((Production!CR10-(Production!CR11+Production!CR12))*Assumptions!$C$57)</f>
        <v>-283351.10007901053</v>
      </c>
      <c r="CR18" s="110">
        <f>-((Production!CS10-(Production!CS11+Production!CS12))*Assumptions!$C$57)</f>
        <v>-99745.201035931357</v>
      </c>
      <c r="CS18" s="110">
        <f>-((Production!CT10-(Production!CT11+Production!CT12))*Assumptions!$C$57)</f>
        <v>-260376.19399406097</v>
      </c>
      <c r="CT18" s="110">
        <f>-((Production!CU10-(Production!CU11+Production!CU12))*Assumptions!$C$57)</f>
        <v>-285713.12946762622</v>
      </c>
      <c r="CU18" s="110">
        <f>-((Production!CV10-(Production!CV11+Production!CV12))*Assumptions!$C$57)</f>
        <v>-296817.28249963681</v>
      </c>
      <c r="CV18" s="695">
        <f>-((Production!CW10-(Production!CW11+Production!CW12))*Assumptions!$C$57)</f>
        <v>-131677.70009429331</v>
      </c>
      <c r="CW18" s="110">
        <f>-((Production!CX10-(Production!CX11+Production!CX12))*Assumptions!$C$57)</f>
        <v>-134111.93033631516</v>
      </c>
      <c r="CX18" s="110">
        <f>-((Production!CY10-(Production!CY11+Production!CY12))*Assumptions!$C$57)</f>
        <v>-127071.40621373957</v>
      </c>
      <c r="CY18" s="110">
        <f>-((Production!CZ10-(Production!CZ11+Production!CZ12))*Assumptions!$C$57)</f>
        <v>-357216.3076019162</v>
      </c>
      <c r="CZ18" s="110">
        <f>-((Production!DA10-(Production!DA11+Production!DA12))*Assumptions!$C$57)</f>
        <v>-424893.62548217521</v>
      </c>
      <c r="DA18" s="110">
        <f>-((Production!DB10-(Production!DB11+Production!DB12))*Assumptions!$C$57)</f>
        <v>-168847.49324661429</v>
      </c>
      <c r="DB18" s="110">
        <f>-((Production!DC10-(Production!DC11+Production!DC12))*Assumptions!$C$57)</f>
        <v>-243246.56350714734</v>
      </c>
      <c r="DC18" s="110">
        <f>-((Production!DD10-(Production!DD11+Production!DD12))*Assumptions!$C$57)</f>
        <v>-283351.10007901053</v>
      </c>
      <c r="DD18" s="110">
        <f>-((Production!DE10-(Production!DE11+Production!DE12))*Assumptions!$C$57)</f>
        <v>-99745.201035931357</v>
      </c>
      <c r="DE18" s="110">
        <f>-((Production!DF10-(Production!DF11+Production!DF12))*Assumptions!$C$57)</f>
        <v>-260376.19399406097</v>
      </c>
      <c r="DF18" s="110">
        <f>-((Production!DG10-(Production!DG11+Production!DG12))*Assumptions!$C$57)</f>
        <v>-285713.12946762622</v>
      </c>
      <c r="DG18" s="110">
        <f>-((Production!DH10-(Production!DH11+Production!DH12))*Assumptions!$C$57)</f>
        <v>-296817.28249963681</v>
      </c>
      <c r="DH18" s="695">
        <f>-((Production!DI10-(Production!DI11+Production!DI12))*Assumptions!$C$57)</f>
        <v>-131677.70009429331</v>
      </c>
      <c r="DI18" s="110">
        <f>-((Production!DJ10-(Production!DJ11+Production!DJ12))*Assumptions!$C$57)</f>
        <v>-134111.93033631516</v>
      </c>
      <c r="DJ18" s="110">
        <f>-((Production!DK10-(Production!DK11+Production!DK12))*Assumptions!$C$57)</f>
        <v>-127071.40621373957</v>
      </c>
      <c r="DK18" s="110">
        <f>-((Production!DL10-(Production!DL11+Production!DL12))*Assumptions!$C$57)</f>
        <v>-357216.3076019162</v>
      </c>
      <c r="DL18" s="110">
        <f>-((Production!DM10-(Production!DM11+Production!DM12))*Assumptions!$C$57)</f>
        <v>-424893.62548217521</v>
      </c>
      <c r="DM18" s="110">
        <f>-((Production!DN10-(Production!DN11+Production!DN12))*Assumptions!$C$57)</f>
        <v>-168847.49324661429</v>
      </c>
      <c r="DN18" s="110">
        <f>-((Production!DO10-(Production!DO11+Production!DO12))*Assumptions!$C$57)</f>
        <v>-243246.56350714734</v>
      </c>
      <c r="DO18" s="110">
        <f>-((Production!DP10-(Production!DP11+Production!DP12))*Assumptions!$C$57)</f>
        <v>-283351.10007901053</v>
      </c>
      <c r="DP18" s="110">
        <f>-((Production!DQ10-(Production!DQ11+Production!DQ12))*Assumptions!$C$57)</f>
        <v>-99745.201035931357</v>
      </c>
      <c r="DQ18" s="110">
        <f>-((Production!DR10-(Production!DR11+Production!DR12))*Assumptions!$C$57)</f>
        <v>-260376.19399406097</v>
      </c>
      <c r="DR18" s="110">
        <f>-((Production!DS10-(Production!DS11+Production!DS12))*Assumptions!$C$57)</f>
        <v>-285713.12946762622</v>
      </c>
      <c r="DS18" s="110">
        <f>-((Production!DT10-(Production!DT11+Production!DT12))*Assumptions!$C$57)</f>
        <v>-296817.28249963681</v>
      </c>
    </row>
    <row r="19" spans="1:123" ht="15" x14ac:dyDescent="0.25">
      <c r="A19" s="9"/>
      <c r="B19" s="162" t="s">
        <v>268</v>
      </c>
      <c r="C19" s="7">
        <v>-30000</v>
      </c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86"/>
      <c r="P19" s="344">
        <v>0</v>
      </c>
      <c r="Q19" s="344">
        <v>0</v>
      </c>
      <c r="R19" s="344">
        <v>0</v>
      </c>
      <c r="S19" s="344">
        <v>0</v>
      </c>
      <c r="T19" s="344">
        <v>0</v>
      </c>
      <c r="U19" s="344">
        <v>0</v>
      </c>
      <c r="V19" s="344">
        <v>0</v>
      </c>
      <c r="W19" s="344">
        <v>0</v>
      </c>
      <c r="X19" s="108">
        <v>0</v>
      </c>
      <c r="Y19" s="108">
        <v>0</v>
      </c>
      <c r="Z19" s="108">
        <v>0</v>
      </c>
      <c r="AA19" s="110"/>
      <c r="AB19" s="344"/>
      <c r="AC19" s="108"/>
      <c r="AD19" s="108"/>
      <c r="AE19" s="108">
        <v>0</v>
      </c>
      <c r="AF19" s="108">
        <v>0</v>
      </c>
      <c r="AG19" s="108">
        <v>0</v>
      </c>
      <c r="AH19" s="108">
        <v>0</v>
      </c>
      <c r="AI19" s="108">
        <v>0</v>
      </c>
      <c r="AJ19" s="108">
        <v>0</v>
      </c>
      <c r="AK19" s="108">
        <v>0</v>
      </c>
      <c r="AL19" s="108">
        <v>0</v>
      </c>
      <c r="AM19" s="110">
        <v>0</v>
      </c>
      <c r="AN19" s="109"/>
      <c r="AO19" s="108"/>
      <c r="AP19" s="108">
        <f>$C19*AP6</f>
        <v>-36034.711409999989</v>
      </c>
      <c r="AQ19" s="108"/>
      <c r="AR19" s="109"/>
      <c r="AS19" s="108">
        <v>0</v>
      </c>
      <c r="AT19" s="108">
        <v>0</v>
      </c>
      <c r="AU19" s="108">
        <v>0</v>
      </c>
      <c r="AV19" s="108">
        <v>0</v>
      </c>
      <c r="AW19" s="108">
        <v>0</v>
      </c>
      <c r="AX19" s="108">
        <v>0</v>
      </c>
      <c r="AY19" s="110">
        <v>0</v>
      </c>
      <c r="AZ19" s="109"/>
      <c r="BA19" s="108"/>
      <c r="BB19" s="108">
        <f>$C19*BB6</f>
        <v>-38304.898228829989</v>
      </c>
      <c r="BC19" s="108">
        <v>0</v>
      </c>
      <c r="BD19" s="108">
        <v>0</v>
      </c>
      <c r="BE19" s="108">
        <v>0</v>
      </c>
      <c r="BF19" s="108">
        <v>0</v>
      </c>
      <c r="BG19" s="108">
        <v>0</v>
      </c>
      <c r="BH19" s="108">
        <v>0</v>
      </c>
      <c r="BI19" s="108">
        <v>0</v>
      </c>
      <c r="BJ19" s="108">
        <v>0</v>
      </c>
      <c r="BK19" s="110">
        <v>0</v>
      </c>
      <c r="BL19" s="109"/>
      <c r="BM19" s="108"/>
      <c r="BN19" s="108">
        <f>$C19*BN6</f>
        <v>-40718.106817246276</v>
      </c>
      <c r="BO19" s="108">
        <v>0</v>
      </c>
      <c r="BP19" s="108">
        <v>0</v>
      </c>
      <c r="BQ19" s="108">
        <v>0</v>
      </c>
      <c r="BR19" s="108">
        <v>0</v>
      </c>
      <c r="BS19" s="108">
        <v>0</v>
      </c>
      <c r="BT19" s="108">
        <v>0</v>
      </c>
      <c r="BU19" s="108">
        <v>0</v>
      </c>
      <c r="BV19" s="108">
        <v>0</v>
      </c>
      <c r="BW19" s="110">
        <v>0</v>
      </c>
      <c r="BX19" s="109"/>
      <c r="BY19" s="108"/>
      <c r="BZ19" s="108">
        <f>$C19*BZ6</f>
        <v>-43283.347546732788</v>
      </c>
      <c r="CA19" s="108">
        <v>0</v>
      </c>
      <c r="CB19" s="108">
        <v>0</v>
      </c>
      <c r="CC19" s="108">
        <v>0</v>
      </c>
      <c r="CD19" s="108">
        <v>0</v>
      </c>
      <c r="CE19" s="108">
        <v>0</v>
      </c>
      <c r="CF19" s="108">
        <v>0</v>
      </c>
      <c r="CG19" s="108">
        <v>0</v>
      </c>
      <c r="CH19" s="108">
        <v>0</v>
      </c>
      <c r="CI19" s="110">
        <v>0</v>
      </c>
      <c r="CJ19" s="109"/>
      <c r="CK19" s="108"/>
      <c r="CL19" s="108">
        <f>$C19*CL6</f>
        <v>-46010.198442176952</v>
      </c>
      <c r="CM19" s="108">
        <v>0</v>
      </c>
      <c r="CN19" s="108">
        <v>0</v>
      </c>
      <c r="CO19" s="108">
        <v>0</v>
      </c>
      <c r="CP19" s="108">
        <v>0</v>
      </c>
      <c r="CQ19" s="108">
        <v>0</v>
      </c>
      <c r="CR19" s="108">
        <v>0</v>
      </c>
      <c r="CS19" s="108">
        <v>0</v>
      </c>
      <c r="CT19" s="108">
        <v>0</v>
      </c>
      <c r="CU19" s="110">
        <v>0</v>
      </c>
      <c r="CV19" s="109"/>
      <c r="CW19" s="108"/>
      <c r="CX19" s="108">
        <f>$C19*CX6</f>
        <v>-48908.840944034098</v>
      </c>
      <c r="CY19" s="108">
        <v>0</v>
      </c>
      <c r="CZ19" s="108">
        <v>0</v>
      </c>
      <c r="DA19" s="108">
        <v>0</v>
      </c>
      <c r="DB19" s="108">
        <v>0</v>
      </c>
      <c r="DC19" s="108">
        <v>0</v>
      </c>
      <c r="DD19" s="108">
        <v>0</v>
      </c>
      <c r="DE19" s="108">
        <v>0</v>
      </c>
      <c r="DF19" s="108">
        <v>0</v>
      </c>
      <c r="DG19" s="110">
        <v>0</v>
      </c>
      <c r="DH19" s="109"/>
      <c r="DI19" s="108"/>
      <c r="DJ19" s="108">
        <f>$C19*DJ6</f>
        <v>-51990.097923508241</v>
      </c>
      <c r="DK19" s="108">
        <v>0</v>
      </c>
      <c r="DL19" s="108">
        <v>0</v>
      </c>
      <c r="DM19" s="108">
        <v>0</v>
      </c>
      <c r="DN19" s="108">
        <v>0</v>
      </c>
      <c r="DO19" s="108">
        <v>0</v>
      </c>
      <c r="DP19" s="108">
        <v>0</v>
      </c>
      <c r="DQ19" s="108">
        <v>0</v>
      </c>
      <c r="DR19" s="108">
        <v>0</v>
      </c>
      <c r="DS19" s="110">
        <v>0</v>
      </c>
    </row>
    <row r="20" spans="1:123" ht="15" customHeight="1" x14ac:dyDescent="0.25">
      <c r="A20" s="9"/>
      <c r="B20" s="162"/>
      <c r="C20" s="7"/>
      <c r="D20" s="492"/>
      <c r="E20" s="492"/>
      <c r="F20" s="492"/>
      <c r="G20" s="492"/>
      <c r="H20" s="492"/>
      <c r="I20" s="492"/>
      <c r="J20" s="492"/>
      <c r="K20" s="492"/>
      <c r="L20" s="492"/>
      <c r="M20" s="492"/>
      <c r="N20" s="492"/>
      <c r="O20" s="689"/>
      <c r="P20" s="1186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607"/>
      <c r="AB20" s="1186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607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607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607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607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607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607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607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607"/>
    </row>
    <row r="21" spans="1:123" ht="15.75" x14ac:dyDescent="0.25">
      <c r="A21" s="127"/>
      <c r="B21" s="168" t="s">
        <v>194</v>
      </c>
      <c r="D21" s="736"/>
      <c r="E21" s="736"/>
      <c r="F21" s="745"/>
      <c r="G21" s="736"/>
      <c r="H21" s="736"/>
      <c r="I21" s="736"/>
      <c r="J21" s="736"/>
      <c r="K21" s="736"/>
      <c r="L21" s="736"/>
      <c r="M21" s="736"/>
      <c r="N21" s="736"/>
      <c r="O21" s="737"/>
      <c r="P21" s="788"/>
      <c r="Q21" s="3"/>
      <c r="R21" s="205"/>
      <c r="S21" s="3"/>
      <c r="T21" s="3"/>
      <c r="U21" s="3"/>
      <c r="V21" s="3"/>
      <c r="W21" s="3"/>
      <c r="X21" s="3"/>
      <c r="Y21" s="3"/>
      <c r="Z21" s="3"/>
      <c r="AA21" s="696"/>
      <c r="AB21" s="788"/>
      <c r="AC21" s="3"/>
      <c r="AD21" s="205"/>
      <c r="AE21" s="3"/>
      <c r="AF21" s="3"/>
      <c r="AG21" s="3"/>
      <c r="AH21" s="3"/>
      <c r="AI21" s="3"/>
      <c r="AJ21" s="3"/>
      <c r="AK21" s="3"/>
      <c r="AL21" s="3"/>
      <c r="AM21" s="500"/>
      <c r="AN21" s="3"/>
      <c r="AO21" s="3"/>
      <c r="AP21" s="205"/>
      <c r="AQ21" s="3"/>
      <c r="AR21" s="3"/>
      <c r="AS21" s="3"/>
      <c r="AT21" s="3"/>
      <c r="AU21" s="3"/>
      <c r="AV21" s="3"/>
      <c r="AW21" s="3"/>
      <c r="AX21" s="3"/>
      <c r="AY21" s="500"/>
      <c r="AZ21" s="3"/>
      <c r="BA21" s="3"/>
      <c r="BB21" s="205"/>
      <c r="BC21" s="3"/>
      <c r="BD21" s="3"/>
      <c r="BE21" s="3"/>
      <c r="BF21" s="3"/>
      <c r="BG21" s="3"/>
      <c r="BH21" s="3"/>
      <c r="BI21" s="3"/>
      <c r="BJ21" s="3"/>
      <c r="BK21" s="500"/>
      <c r="BL21" s="3"/>
      <c r="BM21" s="3"/>
      <c r="BN21" s="205"/>
      <c r="BO21" s="3"/>
      <c r="BP21" s="3"/>
      <c r="BQ21" s="3"/>
      <c r="BR21" s="3"/>
      <c r="BS21" s="3"/>
      <c r="BT21" s="3"/>
      <c r="BU21" s="3"/>
      <c r="BV21" s="3"/>
      <c r="BW21" s="500"/>
      <c r="BX21" s="3"/>
      <c r="BY21" s="3"/>
      <c r="BZ21" s="205"/>
      <c r="CA21" s="3"/>
      <c r="CB21" s="3"/>
      <c r="CC21" s="3"/>
      <c r="CD21" s="3"/>
      <c r="CE21" s="3"/>
      <c r="CF21" s="3"/>
      <c r="CG21" s="3"/>
      <c r="CH21" s="3"/>
      <c r="CI21" s="500"/>
      <c r="CJ21" s="3"/>
      <c r="CK21" s="3"/>
      <c r="CL21" s="205"/>
      <c r="CM21" s="3"/>
      <c r="CN21" s="3"/>
      <c r="CO21" s="3"/>
      <c r="CP21" s="3"/>
      <c r="CQ21" s="3"/>
      <c r="CR21" s="3"/>
      <c r="CS21" s="3"/>
      <c r="CT21" s="3"/>
      <c r="CU21" s="500"/>
      <c r="CV21" s="3"/>
      <c r="CW21" s="3"/>
      <c r="CX21" s="205"/>
      <c r="CY21" s="3"/>
      <c r="CZ21" s="3"/>
      <c r="DA21" s="3"/>
      <c r="DB21" s="3"/>
      <c r="DC21" s="3"/>
      <c r="DD21" s="3"/>
      <c r="DE21" s="3"/>
      <c r="DF21" s="3"/>
      <c r="DG21" s="500"/>
      <c r="DH21" s="3"/>
      <c r="DI21" s="3"/>
      <c r="DJ21" s="205"/>
      <c r="DK21" s="3"/>
      <c r="DL21" s="3"/>
      <c r="DM21" s="3"/>
      <c r="DN21" s="3"/>
      <c r="DO21" s="3"/>
      <c r="DP21" s="3"/>
      <c r="DQ21" s="3"/>
      <c r="DR21" s="3"/>
      <c r="DS21" s="500"/>
    </row>
    <row r="22" spans="1:123" ht="15" x14ac:dyDescent="0.25">
      <c r="B22" s="162" t="s">
        <v>1383</v>
      </c>
      <c r="C22" s="7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86"/>
      <c r="P22" s="344"/>
      <c r="Q22" s="344"/>
      <c r="R22" s="344"/>
      <c r="S22" s="344"/>
      <c r="T22" s="344"/>
      <c r="U22" s="344"/>
      <c r="V22" s="344"/>
      <c r="W22" s="344"/>
      <c r="X22" s="108"/>
      <c r="Y22" s="108"/>
      <c r="Z22" s="108"/>
      <c r="AA22" s="110"/>
      <c r="AB22" s="344"/>
      <c r="AC22" s="108">
        <f>-Production!AD9*Feed!$F$3*'3. Variable Costs'!AC6</f>
        <v>-359621.66123795166</v>
      </c>
      <c r="AD22" s="108">
        <f>-Production!AE9*Feed!$F$3*'3. Variable Costs'!AD6</f>
        <v>-619229.05949726317</v>
      </c>
      <c r="AE22" s="108">
        <f>-Production!AF9*Feed!$F$3*'3. Variable Costs'!AE6</f>
        <v>-866000.32463969127</v>
      </c>
      <c r="AF22" s="108">
        <f>-Production!AG9*Feed!$F$3*'3. Variable Costs'!AF6</f>
        <v>-1815318.1469347579</v>
      </c>
      <c r="AG22" s="108">
        <f>-Production!AH9*Feed!$F$3*'3. Variable Costs'!AG6</f>
        <v>-2453723.1981791281</v>
      </c>
      <c r="AH22" s="108">
        <f>-Production!AI9*Feed!$F$3*'3. Variable Costs'!AH6</f>
        <v>-2964308.9820013363</v>
      </c>
      <c r="AI22" s="108">
        <f>-Production!AJ9*Feed!$F$3*'3. Variable Costs'!AI6</f>
        <v>-4035847.199820241</v>
      </c>
      <c r="AJ22" s="108">
        <f>-Production!AK9*Feed!$F$3*'3. Variable Costs'!AJ6</f>
        <v>-4034590.1071870099</v>
      </c>
      <c r="AK22" s="108">
        <f>-Production!AL9*Feed!$F$3*'3. Variable Costs'!AK6</f>
        <v>-3815237.1180162136</v>
      </c>
      <c r="AL22" s="108">
        <f>-Production!AM9*Feed!$F$3*'3. Variable Costs'!AL6</f>
        <v>-3929445.5594492736</v>
      </c>
      <c r="AM22" s="110">
        <f>-Production!AN9*Feed!$F$3*'3. Variable Costs'!AM6</f>
        <v>-3022559.6917187404</v>
      </c>
      <c r="AN22" s="109">
        <f>-Production!AO9*Feed!$F$3*'3. Variable Costs'!AN6</f>
        <v>-4978763.7032735785</v>
      </c>
      <c r="AO22" s="108">
        <f>-Production!AP9*Feed!$F$3*'3. Variable Costs'!AO6</f>
        <v>-6745373.6685678605</v>
      </c>
      <c r="AP22" s="108">
        <f>-Production!AQ9*Feed!$F$3*'3. Variable Costs'!AP6</f>
        <v>-8066454.1344004152</v>
      </c>
      <c r="AQ22" s="108">
        <f>-Production!AR9*Feed!$F$3*'3. Variable Costs'!AQ6</f>
        <v>-7437538.2714580977</v>
      </c>
      <c r="AR22" s="108">
        <f>-Production!AS9*Feed!$F$3*'3. Variable Costs'!AR6</f>
        <v>-7069300.7368991012</v>
      </c>
      <c r="AS22" s="108">
        <f>-Production!AT9*Feed!$F$3*'3. Variable Costs'!AS6</f>
        <v>-7900177.720775228</v>
      </c>
      <c r="AT22" s="108">
        <f>-Production!AU9*Feed!$F$3*'3. Variable Costs'!AT6</f>
        <v>-7293817.8435408901</v>
      </c>
      <c r="AU22" s="108">
        <f>-Production!AV9*Feed!$F$3*'3. Variable Costs'!AU6</f>
        <v>-7408427.7843392845</v>
      </c>
      <c r="AV22" s="108">
        <f>-Production!AW9*Feed!$F$3*'3. Variable Costs'!AV6</f>
        <v>-6984919.4120600326</v>
      </c>
      <c r="AW22" s="108">
        <f>-Production!AX9*Feed!$F$3*'3. Variable Costs'!AW6</f>
        <v>-5576490.6675714422</v>
      </c>
      <c r="AX22" s="108">
        <f>-Production!AY9*Feed!$F$3*'3. Variable Costs'!AX6</f>
        <v>-4433440.8198308172</v>
      </c>
      <c r="AY22" s="110">
        <f>-Production!AZ9*Feed!$F$3*'3. Variable Costs'!AY6</f>
        <v>-3212980.9522970207</v>
      </c>
      <c r="AZ22" s="109">
        <f>-Production!BA9*Feed!$F$3*'3. Variable Costs'!AZ6</f>
        <v>-5292425.8165798141</v>
      </c>
      <c r="BA22" s="108">
        <f>-Production!BB9*Feed!$F$3*'3. Variable Costs'!BA6</f>
        <v>-7170332.2096876353</v>
      </c>
      <c r="BB22" s="108">
        <f>-Production!BC9*Feed!$F$3*'3. Variable Costs'!BB6</f>
        <v>-8574640.7448676396</v>
      </c>
      <c r="BC22" s="108">
        <f>-Production!BD9*Feed!$F$3*'3. Variable Costs'!BC6</f>
        <v>-7906103.1825599568</v>
      </c>
      <c r="BD22" s="108">
        <f>-Production!BE9*Feed!$F$3*'3. Variable Costs'!BD6</f>
        <v>-7514666.6833237447</v>
      </c>
      <c r="BE22" s="108">
        <f>-Production!BF9*Feed!$F$3*'3. Variable Costs'!BE6</f>
        <v>-8397888.917184066</v>
      </c>
      <c r="BF22" s="108">
        <f>-Production!BG9*Feed!$F$3*'3. Variable Costs'!BF6</f>
        <v>-7753328.3676839657</v>
      </c>
      <c r="BG22" s="108">
        <f>-Production!BH9*Feed!$F$3*'3. Variable Costs'!BG6</f>
        <v>-7875158.7347526588</v>
      </c>
      <c r="BH22" s="108">
        <f>-Production!BI9*Feed!$F$3*'3. Variable Costs'!BH6</f>
        <v>-7424969.3350198139</v>
      </c>
      <c r="BI22" s="108">
        <f>-Production!BJ9*Feed!$F$3*'3. Variable Costs'!BI6</f>
        <v>-5927809.5796284424</v>
      </c>
      <c r="BJ22" s="108">
        <f>-Production!BK9*Feed!$F$3*'3. Variable Costs'!BJ6</f>
        <v>-4712747.5914801583</v>
      </c>
      <c r="BK22" s="110">
        <f>-Production!BL9*Feed!$F$3*'3. Variable Costs'!BK6</f>
        <v>-3415398.7522917329</v>
      </c>
      <c r="BL22" s="109">
        <f>-Production!BM9*Feed!$F$3*'3. Variable Costs'!BL6</f>
        <v>-5625848.6430243412</v>
      </c>
      <c r="BM22" s="108">
        <f>-Production!BN9*Feed!$F$3*'3. Variable Costs'!BM6</f>
        <v>-7622063.1388979554</v>
      </c>
      <c r="BN22" s="108">
        <f>-Production!BO9*Feed!$F$3*'3. Variable Costs'!BN6</f>
        <v>-9114843.1117943004</v>
      </c>
      <c r="BO22" s="108">
        <f>-Production!BP9*Feed!$F$3*'3. Variable Costs'!BO6</f>
        <v>-8404187.6830612347</v>
      </c>
      <c r="BP22" s="108">
        <f>-Production!BQ9*Feed!$F$3*'3. Variable Costs'!BP6</f>
        <v>-7988090.6843731394</v>
      </c>
      <c r="BQ22" s="108">
        <f>-Production!BR9*Feed!$F$3*'3. Variable Costs'!BQ6</f>
        <v>-8926955.9189666621</v>
      </c>
      <c r="BR22" s="108">
        <f>-Production!BS9*Feed!$F$3*'3. Variable Costs'!BR6</f>
        <v>-8241788.0548480554</v>
      </c>
      <c r="BS22" s="108">
        <f>-Production!BT9*Feed!$F$3*'3. Variable Costs'!BS6</f>
        <v>-8371293.7350420756</v>
      </c>
      <c r="BT22" s="108">
        <f>-Production!BU9*Feed!$F$3*'3. Variable Costs'!BT6</f>
        <v>-7892742.4031260619</v>
      </c>
      <c r="BU22" s="108">
        <f>-Production!BV9*Feed!$F$3*'3. Variable Costs'!BU6</f>
        <v>-6301261.5831450345</v>
      </c>
      <c r="BV22" s="108">
        <f>-Production!BW9*Feed!$F$3*'3. Variable Costs'!BV6</f>
        <v>-5009650.6897434071</v>
      </c>
      <c r="BW22" s="110">
        <f>-Production!BX9*Feed!$F$3*'3. Variable Costs'!BW6</f>
        <v>-3630568.873686112</v>
      </c>
      <c r="BX22" s="109">
        <f>-Production!BY9*Feed!$F$3*'3. Variable Costs'!BX6</f>
        <v>-5980277.1075348752</v>
      </c>
      <c r="BY22" s="108">
        <f>-Production!BZ9*Feed!$F$3*'3. Variable Costs'!BY6</f>
        <v>-8102253.1166485269</v>
      </c>
      <c r="BZ22" s="108">
        <f>-Production!CA9*Feed!$F$3*'3. Variable Costs'!BZ6</f>
        <v>-9689078.2278373428</v>
      </c>
      <c r="CA22" s="108">
        <f>-Production!CB9*Feed!$F$3*'3. Variable Costs'!CA6</f>
        <v>-8933651.5070940908</v>
      </c>
      <c r="CB22" s="108">
        <f>-Production!CC9*Feed!$F$3*'3. Variable Costs'!CB6</f>
        <v>-8491340.3974886481</v>
      </c>
      <c r="CC22" s="108">
        <f>-Production!CD9*Feed!$F$3*'3. Variable Costs'!CC6</f>
        <v>-9489354.1418615617</v>
      </c>
      <c r="CD22" s="108">
        <f>-Production!CE9*Feed!$F$3*'3. Variable Costs'!CD6</f>
        <v>-8761020.7023034822</v>
      </c>
      <c r="CE22" s="108">
        <f>-Production!CF9*Feed!$F$3*'3. Variable Costs'!CE6</f>
        <v>-8898685.2403497268</v>
      </c>
      <c r="CF22" s="108">
        <f>-Production!CG9*Feed!$F$3*'3. Variable Costs'!CF6</f>
        <v>-8389985.1745230034</v>
      </c>
      <c r="CG22" s="108">
        <f>-Production!CH9*Feed!$F$3*'3. Variable Costs'!CG6</f>
        <v>-6698241.0628831713</v>
      </c>
      <c r="CH22" s="108">
        <f>-Production!CI9*Feed!$F$3*'3. Variable Costs'!CH6</f>
        <v>-5325258.6831972422</v>
      </c>
      <c r="CI22" s="110">
        <f>-Production!CJ9*Feed!$F$3*'3. Variable Costs'!CI6</f>
        <v>-3859294.7127283369</v>
      </c>
      <c r="CJ22" s="109">
        <f>-Production!CK9*Feed!$F$3*'3. Variable Costs'!CJ6</f>
        <v>-6357034.565309572</v>
      </c>
      <c r="CK22" s="108">
        <f>-Production!CL9*Feed!$F$3*'3. Variable Costs'!CK6</f>
        <v>-8612695.062997384</v>
      </c>
      <c r="CL22" s="108">
        <f>-Production!CM9*Feed!$F$3*'3. Variable Costs'!CL6</f>
        <v>-10299490.156191094</v>
      </c>
      <c r="CM22" s="108">
        <f>-Production!CN9*Feed!$F$3*'3. Variable Costs'!CM6</f>
        <v>-9496471.5520410184</v>
      </c>
      <c r="CN22" s="108">
        <f>-Production!CO9*Feed!$F$3*'3. Variable Costs'!CN6</f>
        <v>-9026294.8425304312</v>
      </c>
      <c r="CO22" s="108">
        <f>-Production!CP9*Feed!$F$3*'3. Variable Costs'!CO6</f>
        <v>-10087183.45279884</v>
      </c>
      <c r="CP22" s="108">
        <f>-Production!CQ9*Feed!$F$3*'3. Variable Costs'!CP6</f>
        <v>-9312965.0065486021</v>
      </c>
      <c r="CQ22" s="108">
        <f>-Production!CR9*Feed!$F$3*'3. Variable Costs'!CQ6</f>
        <v>-9459302.410491759</v>
      </c>
      <c r="CR22" s="108">
        <f>-Production!CS9*Feed!$F$3*'3. Variable Costs'!CR6</f>
        <v>-8918554.2405179534</v>
      </c>
      <c r="CS22" s="108">
        <f>-Production!CT9*Feed!$F$3*'3. Variable Costs'!CS6</f>
        <v>-7120230.2498448109</v>
      </c>
      <c r="CT22" s="108">
        <f>-Production!CU9*Feed!$F$3*'3. Variable Costs'!CT6</f>
        <v>-5660749.9802386686</v>
      </c>
      <c r="CU22" s="110">
        <f>-Production!CV9*Feed!$F$3*'3. Variable Costs'!CU6</f>
        <v>-4102430.2796302219</v>
      </c>
      <c r="CV22" s="109">
        <f>-Production!CW9*Feed!$F$3*'3. Variable Costs'!CV6</f>
        <v>-6757527.7429240746</v>
      </c>
      <c r="CW22" s="108">
        <f>-Production!CX9*Feed!$F$3*'3. Variable Costs'!CW6</f>
        <v>-9155294.851966219</v>
      </c>
      <c r="CX22" s="108">
        <f>-Production!CY9*Feed!$F$3*'3. Variable Costs'!CX6</f>
        <v>-10948358.036031133</v>
      </c>
      <c r="CY22" s="108">
        <f>-Production!CZ9*Feed!$F$3*'3. Variable Costs'!CY6</f>
        <v>-10094749.259819603</v>
      </c>
      <c r="CZ22" s="108">
        <f>-Production!DA9*Feed!$F$3*'3. Variable Costs'!CZ6</f>
        <v>-9594951.4176098481</v>
      </c>
      <c r="DA22" s="108">
        <f>-Production!DB9*Feed!$F$3*'3. Variable Costs'!DA6</f>
        <v>-10722676.010325165</v>
      </c>
      <c r="DB22" s="108">
        <f>-Production!DC9*Feed!$F$3*'3. Variable Costs'!DB6</f>
        <v>-9899681.8019611631</v>
      </c>
      <c r="DC22" s="108">
        <f>-Production!DD9*Feed!$F$3*'3. Variable Costs'!DC6</f>
        <v>-10055238.46235274</v>
      </c>
      <c r="DD22" s="108">
        <f>-Production!DE9*Feed!$F$3*'3. Variable Costs'!DD6</f>
        <v>-9480423.1576705836</v>
      </c>
      <c r="DE22" s="108">
        <f>-Production!DF9*Feed!$F$3*'3. Variable Costs'!DE6</f>
        <v>-7568804.7555850334</v>
      </c>
      <c r="DF22" s="108">
        <f>-Production!DG9*Feed!$F$3*'3. Variable Costs'!DF6</f>
        <v>-6017377.2289937036</v>
      </c>
      <c r="DG22" s="110">
        <f>-Production!DH9*Feed!$F$3*'3. Variable Costs'!DG6</f>
        <v>-4360883.3872469254</v>
      </c>
      <c r="DH22" s="109">
        <f>-Production!DI9*Feed!$F$3*'3. Variable Costs'!DH6</f>
        <v>-7183251.9907282908</v>
      </c>
      <c r="DI22" s="108">
        <f>-Production!DJ9*Feed!$F$3*'3. Variable Costs'!DI6</f>
        <v>-9732078.4276400898</v>
      </c>
      <c r="DJ22" s="108">
        <f>-Production!DK9*Feed!$F$3*'3. Variable Costs'!DJ6</f>
        <v>-11638104.592301093</v>
      </c>
      <c r="DK22" s="108">
        <f>-Production!DL9*Feed!$F$3*'3. Variable Costs'!DK6</f>
        <v>-10730718.463188237</v>
      </c>
      <c r="DL22" s="108">
        <f>-Production!DM9*Feed!$F$3*'3. Variable Costs'!DL6</f>
        <v>-10199433.356919268</v>
      </c>
      <c r="DM22" s="108">
        <f>-Production!DN9*Feed!$F$3*'3. Variable Costs'!DM6</f>
        <v>-11398204.598975651</v>
      </c>
      <c r="DN22" s="108">
        <f>-Production!DO9*Feed!$F$3*'3. Variable Costs'!DN6</f>
        <v>-10523361.755484717</v>
      </c>
      <c r="DO22" s="108">
        <f>-Production!DP9*Feed!$F$3*'3. Variable Costs'!DO6</f>
        <v>-10688718.48548096</v>
      </c>
      <c r="DP22" s="108">
        <f>-Production!DQ9*Feed!$F$3*'3. Variable Costs'!DP6</f>
        <v>-10077689.81660383</v>
      </c>
      <c r="DQ22" s="108">
        <f>-Production!DR9*Feed!$F$3*'3. Variable Costs'!DQ6</f>
        <v>-8045639.4551868904</v>
      </c>
      <c r="DR22" s="108">
        <f>-Production!DS9*Feed!$F$3*'3. Variable Costs'!DR6</f>
        <v>-6396471.9944203068</v>
      </c>
      <c r="DS22" s="110">
        <f>-Production!DT9*Feed!$F$3*'3. Variable Costs'!DS6</f>
        <v>-4635619.0406434815</v>
      </c>
    </row>
    <row r="23" spans="1:123" ht="15" x14ac:dyDescent="0.25">
      <c r="B23" s="162" t="s">
        <v>1434</v>
      </c>
      <c r="C23" s="7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86"/>
      <c r="P23" s="344"/>
      <c r="Q23" s="344"/>
      <c r="R23" s="344"/>
      <c r="S23" s="344"/>
      <c r="T23" s="344"/>
      <c r="U23" s="344"/>
      <c r="V23" s="344"/>
      <c r="W23" s="344"/>
      <c r="X23" s="108"/>
      <c r="Y23" s="108"/>
      <c r="Z23" s="108"/>
      <c r="AA23" s="110"/>
      <c r="AB23" s="344"/>
      <c r="AC23" s="108">
        <f>-Production!AD9*Feed!$I$9*'3. Variable Costs'!AC6</f>
        <v>-23941.267526972471</v>
      </c>
      <c r="AD23" s="108">
        <f>-Production!AE9*Feed!$I$9*'3. Variable Costs'!AD6</f>
        <v>-41224.236946311627</v>
      </c>
      <c r="AE23" s="108">
        <f>-Production!AF9*Feed!$I$9*'3. Variable Costs'!AE6</f>
        <v>-57652.660240967271</v>
      </c>
      <c r="AF23" s="108">
        <f>-Production!AG9*Feed!$I$9*'3. Variable Costs'!AF6</f>
        <v>-120852.05672184472</v>
      </c>
      <c r="AG23" s="108">
        <f>-Production!AH9*Feed!$I$9*'3. Variable Costs'!AG6</f>
        <v>-163352.90628078964</v>
      </c>
      <c r="AH23" s="108">
        <f>-Production!AI9*Feed!$I$9*'3. Variable Costs'!AH6</f>
        <v>-197344.38166599479</v>
      </c>
      <c r="AI23" s="108">
        <f>-Production!AJ9*Feed!$I$9*'3. Variable Costs'!AI6</f>
        <v>-268680.4159022728</v>
      </c>
      <c r="AJ23" s="108">
        <f>-Production!AK9*Feed!$I$9*'3. Variable Costs'!AJ6</f>
        <v>-268596.72686381283</v>
      </c>
      <c r="AK23" s="108">
        <f>-Production!AL9*Feed!$I$9*'3. Variable Costs'!AK6</f>
        <v>-253993.633772865</v>
      </c>
      <c r="AL23" s="108">
        <f>-Production!AM9*Feed!$I$9*'3. Variable Costs'!AL6</f>
        <v>-261596.88781705961</v>
      </c>
      <c r="AM23" s="110">
        <f>-Production!AN9*Feed!$I$9*'3. Variable Costs'!AM6</f>
        <v>-201222.33445721338</v>
      </c>
      <c r="AN23" s="109">
        <f>-Production!AO9*Feed!$I$9*'3. Variable Costs'!AN6</f>
        <v>-331453.65427468781</v>
      </c>
      <c r="AO23" s="108">
        <f>-Production!AP9*Feed!$I$9*'3. Variable Costs'!AO6</f>
        <v>-449063.03756192146</v>
      </c>
      <c r="AP23" s="108">
        <f>-Production!AQ9*Feed!$I$9*'3. Variable Costs'!AP6</f>
        <v>-537011.96908144688</v>
      </c>
      <c r="AQ23" s="108">
        <f>-Production!AR9*Feed!$I$9*'3. Variable Costs'!AQ6</f>
        <v>-495142.84786436893</v>
      </c>
      <c r="AR23" s="108">
        <f>-Production!AS9*Feed!$I$9*'3. Variable Costs'!AR6</f>
        <v>-470627.99161794176</v>
      </c>
      <c r="AS23" s="108">
        <f>-Production!AT9*Feed!$I$9*'3. Variable Costs'!AS6</f>
        <v>-525942.36863434792</v>
      </c>
      <c r="AT23" s="108">
        <f>-Production!AU9*Feed!$I$9*'3. Variable Costs'!AT6</f>
        <v>-485574.87800957164</v>
      </c>
      <c r="AU23" s="108">
        <f>-Production!AV9*Feed!$I$9*'3. Variable Costs'!AU6</f>
        <v>-493204.86126602872</v>
      </c>
      <c r="AV23" s="108">
        <f>-Production!AW9*Feed!$I$9*'3. Variable Costs'!AV6</f>
        <v>-465010.4326942155</v>
      </c>
      <c r="AW23" s="108">
        <f>-Production!AX9*Feed!$I$9*'3. Variable Costs'!AW6</f>
        <v>-371246.42179341498</v>
      </c>
      <c r="AX23" s="108">
        <f>-Production!AY9*Feed!$I$9*'3. Variable Costs'!AX6</f>
        <v>-295149.60908413801</v>
      </c>
      <c r="AY23" s="110">
        <f>-Production!AZ9*Feed!$I$9*'3. Variable Costs'!AY6</f>
        <v>-213899.3415280178</v>
      </c>
      <c r="AZ23" s="109">
        <f>-Production!BA9*Feed!$I$9*'3. Variable Costs'!AZ6</f>
        <v>-352335.23449399311</v>
      </c>
      <c r="BA23" s="108">
        <f>-Production!BB9*Feed!$I$9*'3. Variable Costs'!BA6</f>
        <v>-477354.00892832241</v>
      </c>
      <c r="BB23" s="108">
        <f>-Production!BC9*Feed!$I$9*'3. Variable Costs'!BB6</f>
        <v>-570843.72313357797</v>
      </c>
      <c r="BC23" s="108">
        <f>-Production!BD9*Feed!$I$9*'3. Variable Costs'!BC6</f>
        <v>-526336.84727982408</v>
      </c>
      <c r="BD23" s="108">
        <f>-Production!BE9*Feed!$I$9*'3. Variable Costs'!BD6</f>
        <v>-500277.5550898721</v>
      </c>
      <c r="BE23" s="108">
        <f>-Production!BF9*Feed!$I$9*'3. Variable Costs'!BE6</f>
        <v>-559076.73785831174</v>
      </c>
      <c r="BF23" s="108">
        <f>-Production!BG9*Feed!$I$9*'3. Variable Costs'!BF6</f>
        <v>-516166.09532417462</v>
      </c>
      <c r="BG23" s="108">
        <f>-Production!BH9*Feed!$I$9*'3. Variable Costs'!BG6</f>
        <v>-524276.76752578845</v>
      </c>
      <c r="BH23" s="108">
        <f>-Production!BI9*Feed!$I$9*'3. Variable Costs'!BH6</f>
        <v>-494306.08995395107</v>
      </c>
      <c r="BI23" s="108">
        <f>-Production!BJ9*Feed!$I$9*'3. Variable Costs'!BI6</f>
        <v>-394634.94636640005</v>
      </c>
      <c r="BJ23" s="108">
        <f>-Production!BK9*Feed!$I$9*'3. Variable Costs'!BJ6</f>
        <v>-313744.03445643862</v>
      </c>
      <c r="BK23" s="110">
        <f>-Production!BL9*Feed!$I$9*'3. Variable Costs'!BK6</f>
        <v>-227375.0000442829</v>
      </c>
      <c r="BL23" s="109">
        <f>-Production!BM9*Feed!$I$9*'3. Variable Costs'!BL6</f>
        <v>-374532.35426711466</v>
      </c>
      <c r="BM23" s="108">
        <f>-Production!BN9*Feed!$I$9*'3. Variable Costs'!BM6</f>
        <v>-507427.31149080669</v>
      </c>
      <c r="BN23" s="108">
        <f>-Production!BO9*Feed!$I$9*'3. Variable Costs'!BN6</f>
        <v>-606806.87769099337</v>
      </c>
      <c r="BO23" s="108">
        <f>-Production!BP9*Feed!$I$9*'3. Variable Costs'!BO6</f>
        <v>-559496.06865845306</v>
      </c>
      <c r="BP23" s="108">
        <f>-Production!BQ9*Feed!$I$9*'3. Variable Costs'!BP6</f>
        <v>-531795.04106053396</v>
      </c>
      <c r="BQ23" s="108">
        <f>-Production!BR9*Feed!$I$9*'3. Variable Costs'!BQ6</f>
        <v>-594298.57234338531</v>
      </c>
      <c r="BR23" s="108">
        <f>-Production!BS9*Feed!$I$9*'3. Variable Costs'!BR6</f>
        <v>-548684.55932959751</v>
      </c>
      <c r="BS23" s="108">
        <f>-Production!BT9*Feed!$I$9*'3. Variable Costs'!BS6</f>
        <v>-557306.20387991308</v>
      </c>
      <c r="BT23" s="108">
        <f>-Production!BU9*Feed!$I$9*'3. Variable Costs'!BT6</f>
        <v>-525447.37362104992</v>
      </c>
      <c r="BU23" s="108">
        <f>-Production!BV9*Feed!$I$9*'3. Variable Costs'!BU6</f>
        <v>-419496.94798748323</v>
      </c>
      <c r="BV23" s="108">
        <f>-Production!BW9*Feed!$I$9*'3. Variable Costs'!BV6</f>
        <v>-333509.90862719424</v>
      </c>
      <c r="BW23" s="110">
        <f>-Production!BX9*Feed!$I$9*'3. Variable Costs'!BW6</f>
        <v>-241699.62504707271</v>
      </c>
      <c r="BX23" s="109">
        <f>-Production!BY9*Feed!$I$9*'3. Variable Costs'!BX6</f>
        <v>-398127.89258594287</v>
      </c>
      <c r="BY23" s="108">
        <f>-Production!BZ9*Feed!$I$9*'3. Variable Costs'!BY6</f>
        <v>-539395.23211472749</v>
      </c>
      <c r="BZ23" s="108">
        <f>-Production!CA9*Feed!$I$9*'3. Variable Costs'!BZ6</f>
        <v>-645035.71098552598</v>
      </c>
      <c r="CA23" s="108">
        <f>-Production!CB9*Feed!$I$9*'3. Variable Costs'!CA6</f>
        <v>-594744.32098393561</v>
      </c>
      <c r="CB23" s="108">
        <f>-Production!CC9*Feed!$I$9*'3. Variable Costs'!CB6</f>
        <v>-565298.12864734768</v>
      </c>
      <c r="CC23" s="108">
        <f>-Production!CD9*Feed!$I$9*'3. Variable Costs'!CC6</f>
        <v>-631739.38240101864</v>
      </c>
      <c r="CD23" s="108">
        <f>-Production!CE9*Feed!$I$9*'3. Variable Costs'!CD6</f>
        <v>-583251.68656736217</v>
      </c>
      <c r="CE23" s="108">
        <f>-Production!CF9*Feed!$I$9*'3. Variable Costs'!CE6</f>
        <v>-592416.49472434761</v>
      </c>
      <c r="CF23" s="108">
        <f>-Production!CG9*Feed!$I$9*'3. Variable Costs'!CF6</f>
        <v>-558550.55815917603</v>
      </c>
      <c r="CG23" s="108">
        <f>-Production!CH9*Feed!$I$9*'3. Variable Costs'!CG6</f>
        <v>-445925.25571069471</v>
      </c>
      <c r="CH23" s="108">
        <f>-Production!CI9*Feed!$I$9*'3. Variable Costs'!CH6</f>
        <v>-354521.03287070751</v>
      </c>
      <c r="CI23" s="110">
        <f>-Production!CJ9*Feed!$I$9*'3. Variable Costs'!CI6</f>
        <v>-256926.70142503831</v>
      </c>
      <c r="CJ23" s="109">
        <f>-Production!CK9*Feed!$I$9*'3. Variable Costs'!CJ6</f>
        <v>-423209.94981885725</v>
      </c>
      <c r="CK23" s="108">
        <f>-Production!CL9*Feed!$I$9*'3. Variable Costs'!CK6</f>
        <v>-573377.13173795538</v>
      </c>
      <c r="CL23" s="108">
        <f>-Production!CM9*Feed!$I$9*'3. Variable Costs'!CL6</f>
        <v>-685672.96077761403</v>
      </c>
      <c r="CM23" s="108">
        <f>-Production!CN9*Feed!$I$9*'3. Variable Costs'!CM6</f>
        <v>-632213.21320592344</v>
      </c>
      <c r="CN23" s="108">
        <f>-Production!CO9*Feed!$I$9*'3. Variable Costs'!CN6</f>
        <v>-600911.91075213056</v>
      </c>
      <c r="CO23" s="108">
        <f>-Production!CP9*Feed!$I$9*'3. Variable Costs'!CO6</f>
        <v>-671538.96349228278</v>
      </c>
      <c r="CP23" s="108">
        <f>-Production!CQ9*Feed!$I$9*'3. Variable Costs'!CP6</f>
        <v>-619996.54282110604</v>
      </c>
      <c r="CQ23" s="108">
        <f>-Production!CR9*Feed!$I$9*'3. Variable Costs'!CQ6</f>
        <v>-629738.73389198154</v>
      </c>
      <c r="CR23" s="108">
        <f>-Production!CS9*Feed!$I$9*'3. Variable Costs'!CR6</f>
        <v>-593739.24332320411</v>
      </c>
      <c r="CS23" s="108">
        <f>-Production!CT9*Feed!$I$9*'3. Variable Costs'!CS6</f>
        <v>-474018.54682046844</v>
      </c>
      <c r="CT23" s="108">
        <f>-Production!CU9*Feed!$I$9*'3. Variable Costs'!CT6</f>
        <v>-376855.85794156208</v>
      </c>
      <c r="CU23" s="110">
        <f>-Production!CV9*Feed!$I$9*'3. Variable Costs'!CU6</f>
        <v>-273113.08361481573</v>
      </c>
      <c r="CV23" s="109">
        <f>-Production!CW9*Feed!$I$9*'3. Variable Costs'!CV6</f>
        <v>-449872.1766574452</v>
      </c>
      <c r="CW23" s="108">
        <f>-Production!CX9*Feed!$I$9*'3. Variable Costs'!CW6</f>
        <v>-609499.89103744656</v>
      </c>
      <c r="CX23" s="108">
        <f>-Production!CY9*Feed!$I$9*'3. Variable Costs'!CX6</f>
        <v>-728870.35730660369</v>
      </c>
      <c r="CY23" s="108">
        <f>-Production!CZ9*Feed!$I$9*'3. Variable Costs'!CY6</f>
        <v>-672042.64563789661</v>
      </c>
      <c r="CZ23" s="108">
        <f>-Production!DA9*Feed!$I$9*'3. Variable Costs'!CZ6</f>
        <v>-638769.36112951464</v>
      </c>
      <c r="DA23" s="108">
        <f>-Production!DB9*Feed!$I$9*'3. Variable Costs'!DA6</f>
        <v>-713845.91819229652</v>
      </c>
      <c r="DB23" s="108">
        <f>-Production!DC9*Feed!$I$9*'3. Variable Costs'!DB6</f>
        <v>-659056.3250188356</v>
      </c>
      <c r="DC23" s="108">
        <f>-Production!DD9*Feed!$I$9*'3. Variable Costs'!DC6</f>
        <v>-669412.27412717626</v>
      </c>
      <c r="DD23" s="108">
        <f>-Production!DE9*Feed!$I$9*'3. Variable Costs'!DD6</f>
        <v>-631144.81565256591</v>
      </c>
      <c r="DE23" s="108">
        <f>-Production!DF9*Feed!$I$9*'3. Variable Costs'!DE6</f>
        <v>-503881.7152701579</v>
      </c>
      <c r="DF23" s="108">
        <f>-Production!DG9*Feed!$I$9*'3. Variable Costs'!DF6</f>
        <v>-400597.77699188044</v>
      </c>
      <c r="DG23" s="110">
        <f>-Production!DH9*Feed!$I$9*'3. Variable Costs'!DG6</f>
        <v>-290319.20788254909</v>
      </c>
      <c r="DH23" s="109">
        <f>-Production!DI9*Feed!$I$9*'3. Variable Costs'!DH6</f>
        <v>-478214.12378686428</v>
      </c>
      <c r="DI23" s="108">
        <f>-Production!DJ9*Feed!$I$9*'3. Variable Costs'!DI6</f>
        <v>-647898.38417280558</v>
      </c>
      <c r="DJ23" s="108">
        <f>-Production!DK9*Feed!$I$9*'3. Variable Costs'!DJ6</f>
        <v>-774789.18981691974</v>
      </c>
      <c r="DK23" s="108">
        <f>-Production!DL9*Feed!$I$9*'3. Variable Costs'!DK6</f>
        <v>-714381.33231308404</v>
      </c>
      <c r="DL23" s="108">
        <f>-Production!DM9*Feed!$I$9*'3. Variable Costs'!DL6</f>
        <v>-679011.83088067407</v>
      </c>
      <c r="DM23" s="108">
        <f>-Production!DN9*Feed!$I$9*'3. Variable Costs'!DM6</f>
        <v>-758818.21103841125</v>
      </c>
      <c r="DN23" s="108">
        <f>-Production!DO9*Feed!$I$9*'3. Variable Costs'!DN6</f>
        <v>-700576.8734950223</v>
      </c>
      <c r="DO23" s="108">
        <f>-Production!DP9*Feed!$I$9*'3. Variable Costs'!DO6</f>
        <v>-711585.24739718845</v>
      </c>
      <c r="DP23" s="108">
        <f>-Production!DQ9*Feed!$I$9*'3. Variable Costs'!DP6</f>
        <v>-670906.93903867761</v>
      </c>
      <c r="DQ23" s="108">
        <f>-Production!DR9*Feed!$I$9*'3. Variable Costs'!DQ6</f>
        <v>-535626.26333217788</v>
      </c>
      <c r="DR23" s="108">
        <f>-Production!DS9*Feed!$I$9*'3. Variable Costs'!DR6</f>
        <v>-425835.43694236892</v>
      </c>
      <c r="DS23" s="110">
        <f>-Production!DT9*Feed!$I$9*'3. Variable Costs'!DS6</f>
        <v>-308609.31797914964</v>
      </c>
    </row>
    <row r="24" spans="1:123" ht="15" x14ac:dyDescent="0.25">
      <c r="B24" s="162" t="s">
        <v>190</v>
      </c>
      <c r="C24" s="7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86"/>
      <c r="P24" s="344"/>
      <c r="Q24" s="344"/>
      <c r="R24" s="344"/>
      <c r="S24" s="344"/>
      <c r="T24" s="344"/>
      <c r="U24" s="344"/>
      <c r="V24" s="344"/>
      <c r="W24" s="344"/>
      <c r="X24" s="108"/>
      <c r="Y24" s="108"/>
      <c r="Z24" s="108"/>
      <c r="AA24" s="110"/>
      <c r="AB24" s="344"/>
      <c r="AC24" s="108">
        <f>SUM(HR!AE22:AE27)</f>
        <v>-354245.28149999992</v>
      </c>
      <c r="AD24" s="108">
        <f>SUM(HR!AF22:AF27)</f>
        <v>-354245.28149999992</v>
      </c>
      <c r="AE24" s="108">
        <f>SUM(HR!AG22:AG27)</f>
        <v>-354245.28149999992</v>
      </c>
      <c r="AF24" s="108">
        <f>SUM(HR!AH22:AH27)</f>
        <v>-354245.28149999992</v>
      </c>
      <c r="AG24" s="108">
        <f>SUM(HR!AI22:AI27)</f>
        <v>-354245.28149999992</v>
      </c>
      <c r="AH24" s="108">
        <f>SUM(HR!AJ22:AJ27)</f>
        <v>-354245.28149999992</v>
      </c>
      <c r="AI24" s="108">
        <f>SUM(HR!AK22:AK27)</f>
        <v>-354245.28149999992</v>
      </c>
      <c r="AJ24" s="108">
        <f>SUM(HR!AL22:AL27)</f>
        <v>-354245.28149999992</v>
      </c>
      <c r="AK24" s="108">
        <f>SUM(HR!AM22:AM27)</f>
        <v>-354245.28149999992</v>
      </c>
      <c r="AL24" s="108">
        <f>SUM(HR!AN22:AN27)</f>
        <v>-354245.28149999992</v>
      </c>
      <c r="AM24" s="110">
        <f>SUM(HR!AO22:AO27)</f>
        <v>-354245.28149999992</v>
      </c>
      <c r="AN24" s="109">
        <f>SUM(HR!AP22:AP27)</f>
        <v>-406891.94967124984</v>
      </c>
      <c r="AO24" s="108">
        <f>SUM(HR!AQ22:AQ27)</f>
        <v>-406891.94967124984</v>
      </c>
      <c r="AP24" s="108">
        <f>SUM(HR!AR22:AR27)</f>
        <v>-406891.94967124984</v>
      </c>
      <c r="AQ24" s="108">
        <f>SUM(HR!AS22:AS27)</f>
        <v>-406891.94967124984</v>
      </c>
      <c r="AR24" s="108">
        <f>SUM(HR!AT22:AT27)</f>
        <v>-406891.94967124984</v>
      </c>
      <c r="AS24" s="108">
        <f>SUM(HR!AU22:AU27)</f>
        <v>-406891.94967124984</v>
      </c>
      <c r="AT24" s="108">
        <f>SUM(HR!AV22:AV27)</f>
        <v>-406891.94967124984</v>
      </c>
      <c r="AU24" s="108">
        <f>SUM(HR!AW22:AW27)</f>
        <v>-406891.94967124984</v>
      </c>
      <c r="AV24" s="108">
        <f>SUM(HR!AX22:AX27)</f>
        <v>-406891.94967124984</v>
      </c>
      <c r="AW24" s="108">
        <f>SUM(HR!AY22:AY27)</f>
        <v>-406891.94967124984</v>
      </c>
      <c r="AX24" s="108">
        <f>SUM(HR!AZ22:AZ27)</f>
        <v>-406891.94967124984</v>
      </c>
      <c r="AY24" s="110">
        <f>SUM(HR!BA22:BA27)</f>
        <v>-406891.94967124984</v>
      </c>
      <c r="AZ24" s="109">
        <f>SUM(HR!BB22:BB27)</f>
        <v>-464766.09850980382</v>
      </c>
      <c r="BA24" s="108">
        <f>SUM(HR!BC22:BC27)</f>
        <v>-464766.09850980382</v>
      </c>
      <c r="BB24" s="108">
        <f>SUM(HR!BD22:BD27)</f>
        <v>-464766.09850980382</v>
      </c>
      <c r="BC24" s="108">
        <f>SUM(HR!BE22:BE27)</f>
        <v>-464766.09850980382</v>
      </c>
      <c r="BD24" s="108">
        <f>SUM(HR!BF22:BF27)</f>
        <v>-464766.09850980382</v>
      </c>
      <c r="BE24" s="108">
        <f>SUM(HR!BG22:BG27)</f>
        <v>-464766.09850980382</v>
      </c>
      <c r="BF24" s="108">
        <f>SUM(HR!BH22:BH27)</f>
        <v>-464766.09850980382</v>
      </c>
      <c r="BG24" s="108">
        <f>SUM(HR!BI22:BI27)</f>
        <v>-464766.09850980382</v>
      </c>
      <c r="BH24" s="108">
        <f>SUM(HR!BJ22:BJ27)</f>
        <v>-464766.09850980382</v>
      </c>
      <c r="BI24" s="108">
        <f>SUM(HR!BK22:BK27)</f>
        <v>-464766.09850980382</v>
      </c>
      <c r="BJ24" s="108">
        <f>SUM(HR!BL22:BL27)</f>
        <v>-464766.09850980382</v>
      </c>
      <c r="BK24" s="110">
        <f>SUM(HR!BM22:BM27)</f>
        <v>-464766.09850980382</v>
      </c>
      <c r="BL24" s="109">
        <f>SUM(HR!BN22:BN27)</f>
        <v>-494046.36271592142</v>
      </c>
      <c r="BM24" s="108">
        <f>SUM(HR!BO22:BO27)</f>
        <v>-494046.36271592142</v>
      </c>
      <c r="BN24" s="108">
        <f>SUM(HR!BP22:BP27)</f>
        <v>-494046.36271592142</v>
      </c>
      <c r="BO24" s="108">
        <f>SUM(HR!BQ22:BQ27)</f>
        <v>-494046.36271592142</v>
      </c>
      <c r="BP24" s="108">
        <f>SUM(HR!BR22:BR27)</f>
        <v>-494046.36271592142</v>
      </c>
      <c r="BQ24" s="108">
        <f>SUM(HR!BS22:BS27)</f>
        <v>-494046.36271592142</v>
      </c>
      <c r="BR24" s="108">
        <f>SUM(HR!BT22:BT27)</f>
        <v>-494046.36271592142</v>
      </c>
      <c r="BS24" s="108">
        <f>SUM(HR!BU22:BU27)</f>
        <v>-494046.36271592142</v>
      </c>
      <c r="BT24" s="108">
        <f>SUM(HR!BV22:BV27)</f>
        <v>-494046.36271592142</v>
      </c>
      <c r="BU24" s="108">
        <f>SUM(HR!BW22:BW27)</f>
        <v>-494046.36271592142</v>
      </c>
      <c r="BV24" s="108">
        <f>SUM(HR!BX22:BX27)</f>
        <v>-494046.36271592142</v>
      </c>
      <c r="BW24" s="110">
        <f>SUM(HR!BY22:BY27)</f>
        <v>-494046.36271592142</v>
      </c>
      <c r="BX24" s="109">
        <f>SUM(HR!BZ22:BZ27)</f>
        <v>-525171.28356702439</v>
      </c>
      <c r="BY24" s="108">
        <f>SUM(HR!CA22:CA27)</f>
        <v>-525171.28356702439</v>
      </c>
      <c r="BZ24" s="108">
        <f>SUM(HR!CB22:CB27)</f>
        <v>-525171.28356702439</v>
      </c>
      <c r="CA24" s="108">
        <f>SUM(HR!CC22:CC27)</f>
        <v>-525171.28356702439</v>
      </c>
      <c r="CB24" s="108">
        <f>SUM(HR!CD22:CD27)</f>
        <v>-525171.28356702439</v>
      </c>
      <c r="CC24" s="108">
        <f>SUM(HR!CE22:CE27)</f>
        <v>-525171.28356702439</v>
      </c>
      <c r="CD24" s="108">
        <f>SUM(HR!CF22:CF27)</f>
        <v>-525171.28356702439</v>
      </c>
      <c r="CE24" s="108">
        <f>SUM(HR!CG22:CG27)</f>
        <v>-525171.28356702439</v>
      </c>
      <c r="CF24" s="108">
        <f>SUM(HR!CH22:CH27)</f>
        <v>-525171.28356702439</v>
      </c>
      <c r="CG24" s="108">
        <f>SUM(HR!CI22:CI27)</f>
        <v>-525171.28356702439</v>
      </c>
      <c r="CH24" s="108">
        <f>SUM(HR!CJ22:CJ27)</f>
        <v>-525171.28356702439</v>
      </c>
      <c r="CI24" s="110">
        <f>SUM(HR!CK22:CK27)</f>
        <v>-525171.28356702439</v>
      </c>
      <c r="CJ24" s="109">
        <f>SUM(HR!CL22:CL27)</f>
        <v>-558257.07443174697</v>
      </c>
      <c r="CK24" s="108">
        <f>SUM(HR!CM22:CM27)</f>
        <v>-558257.07443174697</v>
      </c>
      <c r="CL24" s="108">
        <f>SUM(HR!CN22:CN27)</f>
        <v>-558257.07443174697</v>
      </c>
      <c r="CM24" s="108">
        <f>SUM(HR!CO22:CO27)</f>
        <v>-558257.07443174697</v>
      </c>
      <c r="CN24" s="108">
        <f>SUM(HR!CP22:CP27)</f>
        <v>-558257.07443174697</v>
      </c>
      <c r="CO24" s="108">
        <f>SUM(HR!CQ22:CQ27)</f>
        <v>-558257.07443174697</v>
      </c>
      <c r="CP24" s="108">
        <f>SUM(HR!CR22:CR27)</f>
        <v>-558257.07443174697</v>
      </c>
      <c r="CQ24" s="108">
        <f>SUM(HR!CS22:CS27)</f>
        <v>-558257.07443174697</v>
      </c>
      <c r="CR24" s="108">
        <f>SUM(HR!CT22:CT27)</f>
        <v>-558257.07443174697</v>
      </c>
      <c r="CS24" s="108">
        <f>SUM(HR!CU22:CU27)</f>
        <v>-558257.07443174697</v>
      </c>
      <c r="CT24" s="108">
        <f>SUM(HR!CV22:CV27)</f>
        <v>-558257.07443174697</v>
      </c>
      <c r="CU24" s="110">
        <f>SUM(HR!CW22:CW27)</f>
        <v>-558257.07443174697</v>
      </c>
      <c r="CV24" s="109">
        <f>SUM(HR!CX22:CX27)</f>
        <v>-593427.27012094692</v>
      </c>
      <c r="CW24" s="108">
        <f>SUM(HR!CY22:CY27)</f>
        <v>-593427.27012094692</v>
      </c>
      <c r="CX24" s="108">
        <f>SUM(HR!CZ22:CZ27)</f>
        <v>-593427.27012094692</v>
      </c>
      <c r="CY24" s="108">
        <f>SUM(HR!DA22:DA27)</f>
        <v>-593427.27012094692</v>
      </c>
      <c r="CZ24" s="108">
        <f>SUM(HR!DB22:DB27)</f>
        <v>-593427.27012094692</v>
      </c>
      <c r="DA24" s="108">
        <f>SUM(HR!DC22:DC27)</f>
        <v>-593427.27012094692</v>
      </c>
      <c r="DB24" s="108">
        <f>SUM(HR!DD22:DD27)</f>
        <v>-593427.27012094692</v>
      </c>
      <c r="DC24" s="108">
        <f>SUM(HR!DE22:DE27)</f>
        <v>-593427.27012094692</v>
      </c>
      <c r="DD24" s="108">
        <f>SUM(HR!DF22:DF27)</f>
        <v>-593427.27012094692</v>
      </c>
      <c r="DE24" s="108">
        <f>SUM(HR!DG22:DG27)</f>
        <v>-593427.27012094692</v>
      </c>
      <c r="DF24" s="108">
        <f>SUM(HR!DH22:DH27)</f>
        <v>-593427.27012094692</v>
      </c>
      <c r="DG24" s="110">
        <f>SUM(HR!DI22:DI27)</f>
        <v>-593427.27012094692</v>
      </c>
      <c r="DH24" s="109">
        <f>SUM(HR!DJ22:DJ27)</f>
        <v>-630813.18813856668</v>
      </c>
      <c r="DI24" s="108">
        <f>SUM(HR!DK22:DK27)</f>
        <v>-630813.18813856668</v>
      </c>
      <c r="DJ24" s="108">
        <f>SUM(HR!DL22:DL27)</f>
        <v>-630813.18813856668</v>
      </c>
      <c r="DK24" s="108">
        <f>SUM(HR!DM22:DM27)</f>
        <v>-630813.18813856668</v>
      </c>
      <c r="DL24" s="108">
        <f>SUM(HR!DN22:DN27)</f>
        <v>-630813.18813856668</v>
      </c>
      <c r="DM24" s="108">
        <f>SUM(HR!DO22:DO27)</f>
        <v>-630813.18813856668</v>
      </c>
      <c r="DN24" s="108">
        <f>SUM(HR!DP22:DP27)</f>
        <v>-630813.18813856668</v>
      </c>
      <c r="DO24" s="108">
        <f>SUM(HR!DQ22:DQ27)</f>
        <v>-630813.18813856668</v>
      </c>
      <c r="DP24" s="108">
        <f>SUM(HR!DR22:DR27)</f>
        <v>-630813.18813856668</v>
      </c>
      <c r="DQ24" s="108">
        <f>SUM(HR!DS22:DS27)</f>
        <v>-630813.18813856668</v>
      </c>
      <c r="DR24" s="108">
        <f>SUM(HR!DT22:DT27)</f>
        <v>-630813.18813856668</v>
      </c>
      <c r="DS24" s="110">
        <f>SUM(HR!DU22:DU27)</f>
        <v>-630813.18813856668</v>
      </c>
    </row>
    <row r="25" spans="1:123" ht="15" x14ac:dyDescent="0.25">
      <c r="B25" s="162" t="s">
        <v>81</v>
      </c>
      <c r="C25" s="7">
        <v>-750</v>
      </c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86"/>
      <c r="P25" s="344"/>
      <c r="Q25" s="344"/>
      <c r="R25" s="344"/>
      <c r="S25" s="344"/>
      <c r="T25" s="344"/>
      <c r="U25" s="344"/>
      <c r="V25" s="344"/>
      <c r="W25" s="344"/>
      <c r="X25" s="108"/>
      <c r="Y25" s="108"/>
      <c r="Z25" s="108"/>
      <c r="AA25" s="110"/>
      <c r="AB25" s="344"/>
      <c r="AC25" s="108">
        <f>(SUM(HR!$D22:$D27)*$C25*AC6)/2</f>
        <v>-23729.348999999995</v>
      </c>
      <c r="AD25" s="108">
        <v>0</v>
      </c>
      <c r="AE25" s="108">
        <v>0</v>
      </c>
      <c r="AF25" s="108">
        <v>0</v>
      </c>
      <c r="AG25" s="108">
        <v>0</v>
      </c>
      <c r="AH25" s="108"/>
      <c r="AI25" s="108">
        <f>(SUM(HR!$D22:$D27)*$C25*AI6)/2</f>
        <v>-23729.348999999995</v>
      </c>
      <c r="AJ25" s="108">
        <v>0</v>
      </c>
      <c r="AK25" s="108">
        <v>0</v>
      </c>
      <c r="AL25" s="108">
        <v>0</v>
      </c>
      <c r="AM25" s="110">
        <v>0</v>
      </c>
      <c r="AN25" s="109"/>
      <c r="AO25" s="108">
        <f>(SUM(HR!$D22:$D27)*$C25*AO6)/2</f>
        <v>-25224.297986999994</v>
      </c>
      <c r="AP25" s="108">
        <v>0</v>
      </c>
      <c r="AQ25" s="108">
        <v>0</v>
      </c>
      <c r="AR25" s="108">
        <v>0</v>
      </c>
      <c r="AS25" s="108">
        <v>0</v>
      </c>
      <c r="AT25" s="108"/>
      <c r="AU25" s="108">
        <f>(SUM(HR!$D22:$D27)*$C25*AU6)/2</f>
        <v>-25224.297986999994</v>
      </c>
      <c r="AV25" s="108">
        <v>0</v>
      </c>
      <c r="AW25" s="108">
        <v>0</v>
      </c>
      <c r="AX25" s="108">
        <v>0</v>
      </c>
      <c r="AY25" s="110">
        <v>0</v>
      </c>
      <c r="AZ25" s="109"/>
      <c r="BA25" s="108">
        <f>(SUM(HR!$D22:$D27)*$C25*BA6)/2</f>
        <v>-26813.428760180992</v>
      </c>
      <c r="BB25" s="108">
        <v>0</v>
      </c>
      <c r="BC25" s="108">
        <v>0</v>
      </c>
      <c r="BD25" s="108">
        <v>0</v>
      </c>
      <c r="BE25" s="108">
        <v>0</v>
      </c>
      <c r="BF25" s="108"/>
      <c r="BG25" s="108">
        <f>(SUM(HR!$D22:$D27)*$C25*BG6)/2</f>
        <v>-26813.428760180992</v>
      </c>
      <c r="BH25" s="108">
        <v>0</v>
      </c>
      <c r="BI25" s="108">
        <v>0</v>
      </c>
      <c r="BJ25" s="108">
        <v>0</v>
      </c>
      <c r="BK25" s="110">
        <v>0</v>
      </c>
      <c r="BL25" s="109"/>
      <c r="BM25" s="108">
        <f>(SUM(HR!$D22:$D27)*$C25*BM6)/2</f>
        <v>-28502.674772072391</v>
      </c>
      <c r="BN25" s="108">
        <v>0</v>
      </c>
      <c r="BO25" s="108">
        <v>0</v>
      </c>
      <c r="BP25" s="108">
        <v>0</v>
      </c>
      <c r="BQ25" s="108">
        <v>0</v>
      </c>
      <c r="BR25" s="108"/>
      <c r="BS25" s="108">
        <f>(SUM(HR!$D22:$D27)*$C25*BS6)/2</f>
        <v>-28502.674772072391</v>
      </c>
      <c r="BT25" s="108">
        <v>0</v>
      </c>
      <c r="BU25" s="108">
        <v>0</v>
      </c>
      <c r="BV25" s="108">
        <v>0</v>
      </c>
      <c r="BW25" s="110">
        <v>0</v>
      </c>
      <c r="BX25" s="109"/>
      <c r="BY25" s="108">
        <f>(SUM(HR!$D22:$D27)*$C25*BY6)/2</f>
        <v>-30298.343282712951</v>
      </c>
      <c r="BZ25" s="108">
        <v>0</v>
      </c>
      <c r="CA25" s="108">
        <v>0</v>
      </c>
      <c r="CB25" s="108">
        <v>0</v>
      </c>
      <c r="CC25" s="108">
        <v>0</v>
      </c>
      <c r="CD25" s="108"/>
      <c r="CE25" s="108">
        <f>(SUM(HR!$D22:$D27)*$C25*CE6)/2</f>
        <v>-30298.343282712951</v>
      </c>
      <c r="CF25" s="108">
        <v>0</v>
      </c>
      <c r="CG25" s="108">
        <v>0</v>
      </c>
      <c r="CH25" s="108">
        <v>0</v>
      </c>
      <c r="CI25" s="110">
        <v>0</v>
      </c>
      <c r="CJ25" s="109"/>
      <c r="CK25" s="108">
        <f>(SUM(HR!$D22:$D27)*$C25*CK6)/2</f>
        <v>-32207.138909523866</v>
      </c>
      <c r="CL25" s="108">
        <v>0</v>
      </c>
      <c r="CM25" s="108">
        <v>0</v>
      </c>
      <c r="CN25" s="108">
        <v>0</v>
      </c>
      <c r="CO25" s="108">
        <v>0</v>
      </c>
      <c r="CP25" s="108"/>
      <c r="CQ25" s="108">
        <f>(SUM(HR!$D22:$D27)*$C25*CQ6)/2</f>
        <v>-32207.138909523866</v>
      </c>
      <c r="CR25" s="108">
        <v>0</v>
      </c>
      <c r="CS25" s="108">
        <v>0</v>
      </c>
      <c r="CT25" s="108">
        <v>0</v>
      </c>
      <c r="CU25" s="110">
        <v>0</v>
      </c>
      <c r="CV25" s="109"/>
      <c r="CW25" s="108">
        <f>(SUM(HR!$D22:$D27)*$C25*CW6)/2</f>
        <v>-34236.188660823871</v>
      </c>
      <c r="CX25" s="108">
        <v>0</v>
      </c>
      <c r="CY25" s="108">
        <v>0</v>
      </c>
      <c r="CZ25" s="108">
        <v>0</v>
      </c>
      <c r="DA25" s="108">
        <v>0</v>
      </c>
      <c r="DB25" s="108"/>
      <c r="DC25" s="108">
        <f>(SUM(HR!$D22:$D27)*$C25*DC6)/2</f>
        <v>-34236.188660823871</v>
      </c>
      <c r="DD25" s="108">
        <v>0</v>
      </c>
      <c r="DE25" s="108">
        <v>0</v>
      </c>
      <c r="DF25" s="108">
        <v>0</v>
      </c>
      <c r="DG25" s="110">
        <v>0</v>
      </c>
      <c r="DH25" s="109"/>
      <c r="DI25" s="108">
        <f>(SUM(HR!$D22:$D27)*$C25*DI6)/2</f>
        <v>-36393.068546455768</v>
      </c>
      <c r="DJ25" s="108">
        <v>0</v>
      </c>
      <c r="DK25" s="108">
        <v>0</v>
      </c>
      <c r="DL25" s="108">
        <v>0</v>
      </c>
      <c r="DM25" s="108">
        <v>0</v>
      </c>
      <c r="DN25" s="108"/>
      <c r="DO25" s="108">
        <f>(SUM(HR!$D22:$D27)*$C25*DO6)/2</f>
        <v>-36393.068546455768</v>
      </c>
      <c r="DP25" s="108">
        <v>0</v>
      </c>
      <c r="DQ25" s="108">
        <v>0</v>
      </c>
      <c r="DR25" s="108">
        <v>0</v>
      </c>
      <c r="DS25" s="110">
        <v>0</v>
      </c>
    </row>
    <row r="26" spans="1:123" ht="15" x14ac:dyDescent="0.25">
      <c r="B26" s="162" t="s">
        <v>1435</v>
      </c>
      <c r="C26" s="7">
        <v>-25000</v>
      </c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86"/>
      <c r="P26" s="344"/>
      <c r="Q26" s="344"/>
      <c r="R26" s="344"/>
      <c r="S26" s="344"/>
      <c r="T26" s="344"/>
      <c r="U26" s="344"/>
      <c r="V26" s="344"/>
      <c r="W26" s="344"/>
      <c r="X26" s="108"/>
      <c r="Y26" s="108"/>
      <c r="Z26" s="108"/>
      <c r="AA26" s="110"/>
      <c r="AB26" s="344"/>
      <c r="AC26" s="108">
        <f>$C$26*AC6</f>
        <v>-28249.224999999995</v>
      </c>
      <c r="AD26" s="108">
        <f t="shared" ref="AD26:CO26" si="9">$C$26*AD6</f>
        <v>-28249.224999999995</v>
      </c>
      <c r="AE26" s="108">
        <f t="shared" si="9"/>
        <v>-28249.224999999995</v>
      </c>
      <c r="AF26" s="108">
        <f t="shared" si="9"/>
        <v>-28249.224999999995</v>
      </c>
      <c r="AG26" s="108">
        <f t="shared" si="9"/>
        <v>-28249.224999999995</v>
      </c>
      <c r="AH26" s="108">
        <f t="shared" si="9"/>
        <v>-28249.224999999995</v>
      </c>
      <c r="AI26" s="108">
        <f t="shared" si="9"/>
        <v>-28249.224999999995</v>
      </c>
      <c r="AJ26" s="108">
        <f t="shared" si="9"/>
        <v>-28249.224999999995</v>
      </c>
      <c r="AK26" s="108">
        <f t="shared" si="9"/>
        <v>-28249.224999999995</v>
      </c>
      <c r="AL26" s="108">
        <f t="shared" si="9"/>
        <v>-28249.224999999995</v>
      </c>
      <c r="AM26" s="110">
        <f t="shared" si="9"/>
        <v>-28249.224999999995</v>
      </c>
      <c r="AN26" s="109">
        <f t="shared" si="9"/>
        <v>-30028.926174999993</v>
      </c>
      <c r="AO26" s="108">
        <f t="shared" si="9"/>
        <v>-30028.926174999993</v>
      </c>
      <c r="AP26" s="108">
        <f t="shared" si="9"/>
        <v>-30028.926174999993</v>
      </c>
      <c r="AQ26" s="108">
        <f t="shared" si="9"/>
        <v>-30028.926174999993</v>
      </c>
      <c r="AR26" s="108">
        <f t="shared" si="9"/>
        <v>-30028.926174999993</v>
      </c>
      <c r="AS26" s="108">
        <f t="shared" si="9"/>
        <v>-30028.926174999993</v>
      </c>
      <c r="AT26" s="108">
        <f t="shared" si="9"/>
        <v>-30028.926174999993</v>
      </c>
      <c r="AU26" s="108">
        <f t="shared" si="9"/>
        <v>-30028.926174999993</v>
      </c>
      <c r="AV26" s="108">
        <f t="shared" si="9"/>
        <v>-30028.926174999993</v>
      </c>
      <c r="AW26" s="108">
        <f t="shared" si="9"/>
        <v>-30028.926174999993</v>
      </c>
      <c r="AX26" s="108">
        <f t="shared" si="9"/>
        <v>-30028.926174999993</v>
      </c>
      <c r="AY26" s="110">
        <f t="shared" si="9"/>
        <v>-30028.926174999993</v>
      </c>
      <c r="AZ26" s="109">
        <f t="shared" si="9"/>
        <v>-31920.748524024988</v>
      </c>
      <c r="BA26" s="108">
        <f t="shared" si="9"/>
        <v>-31920.748524024988</v>
      </c>
      <c r="BB26" s="108">
        <f t="shared" si="9"/>
        <v>-31920.748524024988</v>
      </c>
      <c r="BC26" s="108">
        <f t="shared" si="9"/>
        <v>-31920.748524024988</v>
      </c>
      <c r="BD26" s="108">
        <f t="shared" si="9"/>
        <v>-31920.748524024988</v>
      </c>
      <c r="BE26" s="108">
        <f t="shared" si="9"/>
        <v>-31920.748524024988</v>
      </c>
      <c r="BF26" s="108">
        <f t="shared" si="9"/>
        <v>-31920.748524024988</v>
      </c>
      <c r="BG26" s="108">
        <f t="shared" si="9"/>
        <v>-31920.748524024988</v>
      </c>
      <c r="BH26" s="108">
        <f t="shared" si="9"/>
        <v>-31920.748524024988</v>
      </c>
      <c r="BI26" s="108">
        <f t="shared" si="9"/>
        <v>-31920.748524024988</v>
      </c>
      <c r="BJ26" s="108">
        <f t="shared" si="9"/>
        <v>-31920.748524024988</v>
      </c>
      <c r="BK26" s="110">
        <f t="shared" si="9"/>
        <v>-31920.748524024988</v>
      </c>
      <c r="BL26" s="109">
        <f t="shared" si="9"/>
        <v>-33931.755681038558</v>
      </c>
      <c r="BM26" s="108">
        <f t="shared" si="9"/>
        <v>-33931.755681038558</v>
      </c>
      <c r="BN26" s="108">
        <f t="shared" si="9"/>
        <v>-33931.755681038558</v>
      </c>
      <c r="BO26" s="108">
        <f t="shared" si="9"/>
        <v>-33931.755681038558</v>
      </c>
      <c r="BP26" s="108">
        <f t="shared" si="9"/>
        <v>-33931.755681038558</v>
      </c>
      <c r="BQ26" s="108">
        <f t="shared" si="9"/>
        <v>-33931.755681038558</v>
      </c>
      <c r="BR26" s="108">
        <f t="shared" si="9"/>
        <v>-33931.755681038558</v>
      </c>
      <c r="BS26" s="108">
        <f t="shared" si="9"/>
        <v>-33931.755681038558</v>
      </c>
      <c r="BT26" s="108">
        <f t="shared" si="9"/>
        <v>-33931.755681038558</v>
      </c>
      <c r="BU26" s="108">
        <f t="shared" si="9"/>
        <v>-33931.755681038558</v>
      </c>
      <c r="BV26" s="108">
        <f t="shared" si="9"/>
        <v>-33931.755681038558</v>
      </c>
      <c r="BW26" s="110">
        <f t="shared" si="9"/>
        <v>-33931.755681038558</v>
      </c>
      <c r="BX26" s="109">
        <f t="shared" si="9"/>
        <v>-36069.456288943991</v>
      </c>
      <c r="BY26" s="108">
        <f t="shared" si="9"/>
        <v>-36069.456288943991</v>
      </c>
      <c r="BZ26" s="108">
        <f t="shared" si="9"/>
        <v>-36069.456288943991</v>
      </c>
      <c r="CA26" s="108">
        <f t="shared" si="9"/>
        <v>-36069.456288943991</v>
      </c>
      <c r="CB26" s="108">
        <f t="shared" si="9"/>
        <v>-36069.456288943991</v>
      </c>
      <c r="CC26" s="108">
        <f t="shared" si="9"/>
        <v>-36069.456288943991</v>
      </c>
      <c r="CD26" s="108">
        <f t="shared" si="9"/>
        <v>-36069.456288943991</v>
      </c>
      <c r="CE26" s="108">
        <f t="shared" si="9"/>
        <v>-36069.456288943991</v>
      </c>
      <c r="CF26" s="108">
        <f t="shared" si="9"/>
        <v>-36069.456288943991</v>
      </c>
      <c r="CG26" s="108">
        <f t="shared" si="9"/>
        <v>-36069.456288943991</v>
      </c>
      <c r="CH26" s="108">
        <f t="shared" si="9"/>
        <v>-36069.456288943991</v>
      </c>
      <c r="CI26" s="110">
        <f t="shared" si="9"/>
        <v>-36069.456288943991</v>
      </c>
      <c r="CJ26" s="109">
        <f t="shared" si="9"/>
        <v>-38341.832035147461</v>
      </c>
      <c r="CK26" s="108">
        <f t="shared" si="9"/>
        <v>-38341.832035147461</v>
      </c>
      <c r="CL26" s="108">
        <f t="shared" si="9"/>
        <v>-38341.832035147461</v>
      </c>
      <c r="CM26" s="108">
        <f t="shared" si="9"/>
        <v>-38341.832035147461</v>
      </c>
      <c r="CN26" s="108">
        <f t="shared" si="9"/>
        <v>-38341.832035147461</v>
      </c>
      <c r="CO26" s="108">
        <f t="shared" si="9"/>
        <v>-38341.832035147461</v>
      </c>
      <c r="CP26" s="108">
        <f t="shared" ref="CP26:DS26" si="10">$C$26*CP6</f>
        <v>-38341.832035147461</v>
      </c>
      <c r="CQ26" s="108">
        <f t="shared" si="10"/>
        <v>-38341.832035147461</v>
      </c>
      <c r="CR26" s="108">
        <f t="shared" si="10"/>
        <v>-38341.832035147461</v>
      </c>
      <c r="CS26" s="108">
        <f t="shared" si="10"/>
        <v>-38341.832035147461</v>
      </c>
      <c r="CT26" s="108">
        <f t="shared" si="10"/>
        <v>-38341.832035147461</v>
      </c>
      <c r="CU26" s="110">
        <f t="shared" si="10"/>
        <v>-38341.832035147461</v>
      </c>
      <c r="CV26" s="109">
        <f t="shared" si="10"/>
        <v>-40757.367453361745</v>
      </c>
      <c r="CW26" s="108">
        <f t="shared" si="10"/>
        <v>-40757.367453361745</v>
      </c>
      <c r="CX26" s="108">
        <f t="shared" si="10"/>
        <v>-40757.367453361745</v>
      </c>
      <c r="CY26" s="108">
        <f t="shared" si="10"/>
        <v>-40757.367453361745</v>
      </c>
      <c r="CZ26" s="108">
        <f t="shared" si="10"/>
        <v>-40757.367453361745</v>
      </c>
      <c r="DA26" s="108">
        <f t="shared" si="10"/>
        <v>-40757.367453361745</v>
      </c>
      <c r="DB26" s="108">
        <f t="shared" si="10"/>
        <v>-40757.367453361745</v>
      </c>
      <c r="DC26" s="108">
        <f t="shared" si="10"/>
        <v>-40757.367453361745</v>
      </c>
      <c r="DD26" s="108">
        <f t="shared" si="10"/>
        <v>-40757.367453361745</v>
      </c>
      <c r="DE26" s="108">
        <f t="shared" si="10"/>
        <v>-40757.367453361745</v>
      </c>
      <c r="DF26" s="108">
        <f t="shared" si="10"/>
        <v>-40757.367453361745</v>
      </c>
      <c r="DG26" s="110">
        <f t="shared" si="10"/>
        <v>-40757.367453361745</v>
      </c>
      <c r="DH26" s="109">
        <f t="shared" si="10"/>
        <v>-43325.081602923536</v>
      </c>
      <c r="DI26" s="108">
        <f t="shared" si="10"/>
        <v>-43325.081602923536</v>
      </c>
      <c r="DJ26" s="108">
        <f t="shared" si="10"/>
        <v>-43325.081602923536</v>
      </c>
      <c r="DK26" s="108">
        <f t="shared" si="10"/>
        <v>-43325.081602923536</v>
      </c>
      <c r="DL26" s="108">
        <f t="shared" si="10"/>
        <v>-43325.081602923536</v>
      </c>
      <c r="DM26" s="108">
        <f t="shared" si="10"/>
        <v>-43325.081602923536</v>
      </c>
      <c r="DN26" s="108">
        <f t="shared" si="10"/>
        <v>-43325.081602923536</v>
      </c>
      <c r="DO26" s="108">
        <f t="shared" si="10"/>
        <v>-43325.081602923536</v>
      </c>
      <c r="DP26" s="108">
        <f t="shared" si="10"/>
        <v>-43325.081602923536</v>
      </c>
      <c r="DQ26" s="108">
        <f t="shared" si="10"/>
        <v>-43325.081602923536</v>
      </c>
      <c r="DR26" s="108">
        <f t="shared" si="10"/>
        <v>-43325.081602923536</v>
      </c>
      <c r="DS26" s="110">
        <f t="shared" si="10"/>
        <v>-43325.081602923536</v>
      </c>
    </row>
    <row r="27" spans="1:123" ht="15" x14ac:dyDescent="0.25">
      <c r="B27" s="162" t="s">
        <v>202</v>
      </c>
      <c r="C27" s="7">
        <v>-25000</v>
      </c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86"/>
      <c r="P27" s="344"/>
      <c r="Q27" s="344"/>
      <c r="R27" s="344"/>
      <c r="S27" s="344"/>
      <c r="T27" s="344"/>
      <c r="U27" s="344"/>
      <c r="V27" s="344"/>
      <c r="W27" s="344"/>
      <c r="X27" s="108"/>
      <c r="Y27" s="108"/>
      <c r="Z27" s="108"/>
      <c r="AA27" s="110"/>
      <c r="AB27" s="344"/>
      <c r="AC27" s="108">
        <f>$C$27*AC6</f>
        <v>-28249.224999999995</v>
      </c>
      <c r="AD27" s="108">
        <f t="shared" ref="AD27:CO27" si="11">$C$27*AD6</f>
        <v>-28249.224999999995</v>
      </c>
      <c r="AE27" s="108">
        <f t="shared" si="11"/>
        <v>-28249.224999999995</v>
      </c>
      <c r="AF27" s="108">
        <f t="shared" si="11"/>
        <v>-28249.224999999995</v>
      </c>
      <c r="AG27" s="108">
        <f t="shared" si="11"/>
        <v>-28249.224999999995</v>
      </c>
      <c r="AH27" s="108">
        <f t="shared" si="11"/>
        <v>-28249.224999999995</v>
      </c>
      <c r="AI27" s="108">
        <f t="shared" si="11"/>
        <v>-28249.224999999995</v>
      </c>
      <c r="AJ27" s="108">
        <f t="shared" si="11"/>
        <v>-28249.224999999995</v>
      </c>
      <c r="AK27" s="108">
        <f t="shared" si="11"/>
        <v>-28249.224999999995</v>
      </c>
      <c r="AL27" s="108">
        <f t="shared" si="11"/>
        <v>-28249.224999999995</v>
      </c>
      <c r="AM27" s="110">
        <f t="shared" si="11"/>
        <v>-28249.224999999995</v>
      </c>
      <c r="AN27" s="109">
        <f t="shared" si="11"/>
        <v>-30028.926174999993</v>
      </c>
      <c r="AO27" s="108">
        <f t="shared" si="11"/>
        <v>-30028.926174999993</v>
      </c>
      <c r="AP27" s="108">
        <f t="shared" si="11"/>
        <v>-30028.926174999993</v>
      </c>
      <c r="AQ27" s="108">
        <f t="shared" si="11"/>
        <v>-30028.926174999993</v>
      </c>
      <c r="AR27" s="108">
        <f t="shared" si="11"/>
        <v>-30028.926174999993</v>
      </c>
      <c r="AS27" s="108">
        <f t="shared" si="11"/>
        <v>-30028.926174999993</v>
      </c>
      <c r="AT27" s="108">
        <f t="shared" si="11"/>
        <v>-30028.926174999993</v>
      </c>
      <c r="AU27" s="108">
        <f t="shared" si="11"/>
        <v>-30028.926174999993</v>
      </c>
      <c r="AV27" s="108">
        <f t="shared" si="11"/>
        <v>-30028.926174999993</v>
      </c>
      <c r="AW27" s="108">
        <f t="shared" si="11"/>
        <v>-30028.926174999993</v>
      </c>
      <c r="AX27" s="108">
        <f t="shared" si="11"/>
        <v>-30028.926174999993</v>
      </c>
      <c r="AY27" s="110">
        <f t="shared" si="11"/>
        <v>-30028.926174999993</v>
      </c>
      <c r="AZ27" s="109">
        <f t="shared" si="11"/>
        <v>-31920.748524024988</v>
      </c>
      <c r="BA27" s="108">
        <f t="shared" si="11"/>
        <v>-31920.748524024988</v>
      </c>
      <c r="BB27" s="108">
        <f t="shared" si="11"/>
        <v>-31920.748524024988</v>
      </c>
      <c r="BC27" s="108">
        <f t="shared" si="11"/>
        <v>-31920.748524024988</v>
      </c>
      <c r="BD27" s="108">
        <f t="shared" si="11"/>
        <v>-31920.748524024988</v>
      </c>
      <c r="BE27" s="108">
        <f t="shared" si="11"/>
        <v>-31920.748524024988</v>
      </c>
      <c r="BF27" s="108">
        <f t="shared" si="11"/>
        <v>-31920.748524024988</v>
      </c>
      <c r="BG27" s="108">
        <f t="shared" si="11"/>
        <v>-31920.748524024988</v>
      </c>
      <c r="BH27" s="108">
        <f t="shared" si="11"/>
        <v>-31920.748524024988</v>
      </c>
      <c r="BI27" s="108">
        <f t="shared" si="11"/>
        <v>-31920.748524024988</v>
      </c>
      <c r="BJ27" s="108">
        <f t="shared" si="11"/>
        <v>-31920.748524024988</v>
      </c>
      <c r="BK27" s="110">
        <f t="shared" si="11"/>
        <v>-31920.748524024988</v>
      </c>
      <c r="BL27" s="109">
        <f t="shared" si="11"/>
        <v>-33931.755681038558</v>
      </c>
      <c r="BM27" s="108">
        <f t="shared" si="11"/>
        <v>-33931.755681038558</v>
      </c>
      <c r="BN27" s="108">
        <f t="shared" si="11"/>
        <v>-33931.755681038558</v>
      </c>
      <c r="BO27" s="108">
        <f t="shared" si="11"/>
        <v>-33931.755681038558</v>
      </c>
      <c r="BP27" s="108">
        <f t="shared" si="11"/>
        <v>-33931.755681038558</v>
      </c>
      <c r="BQ27" s="108">
        <f t="shared" si="11"/>
        <v>-33931.755681038558</v>
      </c>
      <c r="BR27" s="108">
        <f t="shared" si="11"/>
        <v>-33931.755681038558</v>
      </c>
      <c r="BS27" s="108">
        <f t="shared" si="11"/>
        <v>-33931.755681038558</v>
      </c>
      <c r="BT27" s="108">
        <f t="shared" si="11"/>
        <v>-33931.755681038558</v>
      </c>
      <c r="BU27" s="108">
        <f t="shared" si="11"/>
        <v>-33931.755681038558</v>
      </c>
      <c r="BV27" s="108">
        <f t="shared" si="11"/>
        <v>-33931.755681038558</v>
      </c>
      <c r="BW27" s="110">
        <f t="shared" si="11"/>
        <v>-33931.755681038558</v>
      </c>
      <c r="BX27" s="109">
        <f t="shared" si="11"/>
        <v>-36069.456288943991</v>
      </c>
      <c r="BY27" s="108">
        <f t="shared" si="11"/>
        <v>-36069.456288943991</v>
      </c>
      <c r="BZ27" s="108">
        <f t="shared" si="11"/>
        <v>-36069.456288943991</v>
      </c>
      <c r="CA27" s="108">
        <f t="shared" si="11"/>
        <v>-36069.456288943991</v>
      </c>
      <c r="CB27" s="108">
        <f t="shared" si="11"/>
        <v>-36069.456288943991</v>
      </c>
      <c r="CC27" s="108">
        <f t="shared" si="11"/>
        <v>-36069.456288943991</v>
      </c>
      <c r="CD27" s="108">
        <f t="shared" si="11"/>
        <v>-36069.456288943991</v>
      </c>
      <c r="CE27" s="108">
        <f t="shared" si="11"/>
        <v>-36069.456288943991</v>
      </c>
      <c r="CF27" s="108">
        <f t="shared" si="11"/>
        <v>-36069.456288943991</v>
      </c>
      <c r="CG27" s="108">
        <f t="shared" si="11"/>
        <v>-36069.456288943991</v>
      </c>
      <c r="CH27" s="108">
        <f t="shared" si="11"/>
        <v>-36069.456288943991</v>
      </c>
      <c r="CI27" s="110">
        <f t="shared" si="11"/>
        <v>-36069.456288943991</v>
      </c>
      <c r="CJ27" s="109">
        <f t="shared" si="11"/>
        <v>-38341.832035147461</v>
      </c>
      <c r="CK27" s="108">
        <f t="shared" si="11"/>
        <v>-38341.832035147461</v>
      </c>
      <c r="CL27" s="108">
        <f t="shared" si="11"/>
        <v>-38341.832035147461</v>
      </c>
      <c r="CM27" s="108">
        <f t="shared" si="11"/>
        <v>-38341.832035147461</v>
      </c>
      <c r="CN27" s="108">
        <f t="shared" si="11"/>
        <v>-38341.832035147461</v>
      </c>
      <c r="CO27" s="108">
        <f t="shared" si="11"/>
        <v>-38341.832035147461</v>
      </c>
      <c r="CP27" s="108">
        <f t="shared" ref="CP27:DS27" si="12">$C$27*CP6</f>
        <v>-38341.832035147461</v>
      </c>
      <c r="CQ27" s="108">
        <f t="shared" si="12"/>
        <v>-38341.832035147461</v>
      </c>
      <c r="CR27" s="108">
        <f t="shared" si="12"/>
        <v>-38341.832035147461</v>
      </c>
      <c r="CS27" s="108">
        <f t="shared" si="12"/>
        <v>-38341.832035147461</v>
      </c>
      <c r="CT27" s="108">
        <f t="shared" si="12"/>
        <v>-38341.832035147461</v>
      </c>
      <c r="CU27" s="110">
        <f t="shared" si="12"/>
        <v>-38341.832035147461</v>
      </c>
      <c r="CV27" s="109">
        <f t="shared" si="12"/>
        <v>-40757.367453361745</v>
      </c>
      <c r="CW27" s="108">
        <f t="shared" si="12"/>
        <v>-40757.367453361745</v>
      </c>
      <c r="CX27" s="108">
        <f t="shared" si="12"/>
        <v>-40757.367453361745</v>
      </c>
      <c r="CY27" s="108">
        <f t="shared" si="12"/>
        <v>-40757.367453361745</v>
      </c>
      <c r="CZ27" s="108">
        <f t="shared" si="12"/>
        <v>-40757.367453361745</v>
      </c>
      <c r="DA27" s="108">
        <f t="shared" si="12"/>
        <v>-40757.367453361745</v>
      </c>
      <c r="DB27" s="108">
        <f t="shared" si="12"/>
        <v>-40757.367453361745</v>
      </c>
      <c r="DC27" s="108">
        <f t="shared" si="12"/>
        <v>-40757.367453361745</v>
      </c>
      <c r="DD27" s="108">
        <f t="shared" si="12"/>
        <v>-40757.367453361745</v>
      </c>
      <c r="DE27" s="108">
        <f t="shared" si="12"/>
        <v>-40757.367453361745</v>
      </c>
      <c r="DF27" s="108">
        <f t="shared" si="12"/>
        <v>-40757.367453361745</v>
      </c>
      <c r="DG27" s="110">
        <f t="shared" si="12"/>
        <v>-40757.367453361745</v>
      </c>
      <c r="DH27" s="109">
        <f t="shared" si="12"/>
        <v>-43325.081602923536</v>
      </c>
      <c r="DI27" s="108">
        <f t="shared" si="12"/>
        <v>-43325.081602923536</v>
      </c>
      <c r="DJ27" s="108">
        <f t="shared" si="12"/>
        <v>-43325.081602923536</v>
      </c>
      <c r="DK27" s="108">
        <f t="shared" si="12"/>
        <v>-43325.081602923536</v>
      </c>
      <c r="DL27" s="108">
        <f t="shared" si="12"/>
        <v>-43325.081602923536</v>
      </c>
      <c r="DM27" s="108">
        <f t="shared" si="12"/>
        <v>-43325.081602923536</v>
      </c>
      <c r="DN27" s="108">
        <f t="shared" si="12"/>
        <v>-43325.081602923536</v>
      </c>
      <c r="DO27" s="108">
        <f t="shared" si="12"/>
        <v>-43325.081602923536</v>
      </c>
      <c r="DP27" s="108">
        <f t="shared" si="12"/>
        <v>-43325.081602923536</v>
      </c>
      <c r="DQ27" s="108">
        <f t="shared" si="12"/>
        <v>-43325.081602923536</v>
      </c>
      <c r="DR27" s="108">
        <f t="shared" si="12"/>
        <v>-43325.081602923536</v>
      </c>
      <c r="DS27" s="110">
        <f t="shared" si="12"/>
        <v>-43325.081602923536</v>
      </c>
    </row>
    <row r="28" spans="1:123" ht="15" x14ac:dyDescent="0.25">
      <c r="B28" s="162" t="s">
        <v>195</v>
      </c>
      <c r="C28" s="7">
        <f>-('R&amp;M'!Q9+'R&amp;M'!Q20)</f>
        <v>-65678.193749999991</v>
      </c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86"/>
      <c r="P28" s="344"/>
      <c r="Q28" s="344"/>
      <c r="R28" s="344"/>
      <c r="S28" s="344"/>
      <c r="T28" s="344"/>
      <c r="U28" s="344"/>
      <c r="V28" s="344"/>
      <c r="W28" s="344"/>
      <c r="X28" s="108"/>
      <c r="Y28" s="108"/>
      <c r="Z28" s="108"/>
      <c r="AA28" s="110"/>
      <c r="AB28" s="344"/>
      <c r="AC28" s="108">
        <f t="shared" ref="AC28:BH28" si="13">$C28*AC6</f>
        <v>-74214.322913493728</v>
      </c>
      <c r="AD28" s="108">
        <f t="shared" si="13"/>
        <v>-74214.322913493728</v>
      </c>
      <c r="AE28" s="108">
        <f t="shared" si="13"/>
        <v>-74214.322913493728</v>
      </c>
      <c r="AF28" s="108">
        <f t="shared" si="13"/>
        <v>-74214.322913493728</v>
      </c>
      <c r="AG28" s="108">
        <f t="shared" si="13"/>
        <v>-74214.322913493728</v>
      </c>
      <c r="AH28" s="108">
        <f t="shared" si="13"/>
        <v>-74214.322913493728</v>
      </c>
      <c r="AI28" s="108">
        <f t="shared" si="13"/>
        <v>-74214.322913493728</v>
      </c>
      <c r="AJ28" s="108">
        <f t="shared" si="13"/>
        <v>-74214.322913493728</v>
      </c>
      <c r="AK28" s="108">
        <f t="shared" si="13"/>
        <v>-74214.322913493728</v>
      </c>
      <c r="AL28" s="108">
        <f t="shared" si="13"/>
        <v>-74214.322913493728</v>
      </c>
      <c r="AM28" s="110">
        <f t="shared" si="13"/>
        <v>-74214.322913493728</v>
      </c>
      <c r="AN28" s="109">
        <f t="shared" si="13"/>
        <v>-78889.82525704382</v>
      </c>
      <c r="AO28" s="108">
        <f t="shared" si="13"/>
        <v>-78889.82525704382</v>
      </c>
      <c r="AP28" s="108">
        <f t="shared" si="13"/>
        <v>-78889.82525704382</v>
      </c>
      <c r="AQ28" s="108">
        <f t="shared" si="13"/>
        <v>-78889.82525704382</v>
      </c>
      <c r="AR28" s="108">
        <f t="shared" si="13"/>
        <v>-78889.82525704382</v>
      </c>
      <c r="AS28" s="108">
        <f t="shared" si="13"/>
        <v>-78889.82525704382</v>
      </c>
      <c r="AT28" s="108">
        <f t="shared" si="13"/>
        <v>-78889.82525704382</v>
      </c>
      <c r="AU28" s="108">
        <f t="shared" si="13"/>
        <v>-78889.82525704382</v>
      </c>
      <c r="AV28" s="108">
        <f t="shared" si="13"/>
        <v>-78889.82525704382</v>
      </c>
      <c r="AW28" s="108">
        <f t="shared" si="13"/>
        <v>-78889.82525704382</v>
      </c>
      <c r="AX28" s="108">
        <f t="shared" si="13"/>
        <v>-78889.82525704382</v>
      </c>
      <c r="AY28" s="110">
        <f t="shared" si="13"/>
        <v>-78889.82525704382</v>
      </c>
      <c r="AZ28" s="109">
        <f t="shared" si="13"/>
        <v>-83859.884248237577</v>
      </c>
      <c r="BA28" s="108">
        <f t="shared" si="13"/>
        <v>-83859.884248237577</v>
      </c>
      <c r="BB28" s="108">
        <f t="shared" si="13"/>
        <v>-83859.884248237577</v>
      </c>
      <c r="BC28" s="108">
        <f t="shared" si="13"/>
        <v>-83859.884248237577</v>
      </c>
      <c r="BD28" s="108">
        <f t="shared" si="13"/>
        <v>-83859.884248237577</v>
      </c>
      <c r="BE28" s="108">
        <f t="shared" si="13"/>
        <v>-83859.884248237577</v>
      </c>
      <c r="BF28" s="108">
        <f t="shared" si="13"/>
        <v>-83859.884248237577</v>
      </c>
      <c r="BG28" s="108">
        <f t="shared" si="13"/>
        <v>-83859.884248237577</v>
      </c>
      <c r="BH28" s="108">
        <f t="shared" si="13"/>
        <v>-83859.884248237577</v>
      </c>
      <c r="BI28" s="108">
        <f t="shared" ref="BI28:CN28" si="14">$C28*BI6</f>
        <v>-83859.884248237577</v>
      </c>
      <c r="BJ28" s="108">
        <f t="shared" si="14"/>
        <v>-83859.884248237577</v>
      </c>
      <c r="BK28" s="110">
        <f t="shared" si="14"/>
        <v>-83859.884248237577</v>
      </c>
      <c r="BL28" s="109">
        <f t="shared" si="14"/>
        <v>-89143.056955876542</v>
      </c>
      <c r="BM28" s="108">
        <f t="shared" si="14"/>
        <v>-89143.056955876542</v>
      </c>
      <c r="BN28" s="108">
        <f t="shared" si="14"/>
        <v>-89143.056955876542</v>
      </c>
      <c r="BO28" s="108">
        <f t="shared" si="14"/>
        <v>-89143.056955876542</v>
      </c>
      <c r="BP28" s="108">
        <f t="shared" si="14"/>
        <v>-89143.056955876542</v>
      </c>
      <c r="BQ28" s="108">
        <f t="shared" si="14"/>
        <v>-89143.056955876542</v>
      </c>
      <c r="BR28" s="108">
        <f t="shared" si="14"/>
        <v>-89143.056955876542</v>
      </c>
      <c r="BS28" s="108">
        <f t="shared" si="14"/>
        <v>-89143.056955876542</v>
      </c>
      <c r="BT28" s="108">
        <f t="shared" si="14"/>
        <v>-89143.056955876542</v>
      </c>
      <c r="BU28" s="108">
        <f t="shared" si="14"/>
        <v>-89143.056955876542</v>
      </c>
      <c r="BV28" s="108">
        <f t="shared" si="14"/>
        <v>-89143.056955876542</v>
      </c>
      <c r="BW28" s="110">
        <f t="shared" si="14"/>
        <v>-89143.056955876542</v>
      </c>
      <c r="BX28" s="109">
        <f t="shared" si="14"/>
        <v>-94759.069544096768</v>
      </c>
      <c r="BY28" s="108">
        <f t="shared" si="14"/>
        <v>-94759.069544096768</v>
      </c>
      <c r="BZ28" s="108">
        <f t="shared" si="14"/>
        <v>-94759.069544096768</v>
      </c>
      <c r="CA28" s="108">
        <f t="shared" si="14"/>
        <v>-94759.069544096768</v>
      </c>
      <c r="CB28" s="108">
        <f t="shared" si="14"/>
        <v>-94759.069544096768</v>
      </c>
      <c r="CC28" s="108">
        <f t="shared" si="14"/>
        <v>-94759.069544096768</v>
      </c>
      <c r="CD28" s="108">
        <f t="shared" si="14"/>
        <v>-94759.069544096768</v>
      </c>
      <c r="CE28" s="108">
        <f t="shared" si="14"/>
        <v>-94759.069544096768</v>
      </c>
      <c r="CF28" s="108">
        <f t="shared" si="14"/>
        <v>-94759.069544096768</v>
      </c>
      <c r="CG28" s="108">
        <f t="shared" si="14"/>
        <v>-94759.069544096768</v>
      </c>
      <c r="CH28" s="108">
        <f t="shared" si="14"/>
        <v>-94759.069544096768</v>
      </c>
      <c r="CI28" s="110">
        <f t="shared" si="14"/>
        <v>-94759.069544096768</v>
      </c>
      <c r="CJ28" s="109">
        <f t="shared" si="14"/>
        <v>-100728.89092537486</v>
      </c>
      <c r="CK28" s="108">
        <f t="shared" si="14"/>
        <v>-100728.89092537486</v>
      </c>
      <c r="CL28" s="108">
        <f t="shared" si="14"/>
        <v>-100728.89092537486</v>
      </c>
      <c r="CM28" s="108">
        <f t="shared" si="14"/>
        <v>-100728.89092537486</v>
      </c>
      <c r="CN28" s="108">
        <f t="shared" si="14"/>
        <v>-100728.89092537486</v>
      </c>
      <c r="CO28" s="108">
        <f t="shared" ref="CO28:DS28" si="15">$C28*CO6</f>
        <v>-100728.89092537486</v>
      </c>
      <c r="CP28" s="108">
        <f t="shared" si="15"/>
        <v>-100728.89092537486</v>
      </c>
      <c r="CQ28" s="108">
        <f t="shared" si="15"/>
        <v>-100728.89092537486</v>
      </c>
      <c r="CR28" s="108">
        <f t="shared" si="15"/>
        <v>-100728.89092537486</v>
      </c>
      <c r="CS28" s="108">
        <f t="shared" si="15"/>
        <v>-100728.89092537486</v>
      </c>
      <c r="CT28" s="108">
        <f t="shared" si="15"/>
        <v>-100728.89092537486</v>
      </c>
      <c r="CU28" s="110">
        <f t="shared" si="15"/>
        <v>-100728.89092537486</v>
      </c>
      <c r="CV28" s="109">
        <f t="shared" si="15"/>
        <v>-107074.81105367346</v>
      </c>
      <c r="CW28" s="108">
        <f t="shared" si="15"/>
        <v>-107074.81105367346</v>
      </c>
      <c r="CX28" s="108">
        <f t="shared" si="15"/>
        <v>-107074.81105367346</v>
      </c>
      <c r="CY28" s="108">
        <f t="shared" si="15"/>
        <v>-107074.81105367346</v>
      </c>
      <c r="CZ28" s="108">
        <f t="shared" si="15"/>
        <v>-107074.81105367346</v>
      </c>
      <c r="DA28" s="108">
        <f t="shared" si="15"/>
        <v>-107074.81105367346</v>
      </c>
      <c r="DB28" s="108">
        <f t="shared" si="15"/>
        <v>-107074.81105367346</v>
      </c>
      <c r="DC28" s="108">
        <f t="shared" si="15"/>
        <v>-107074.81105367346</v>
      </c>
      <c r="DD28" s="108">
        <f t="shared" si="15"/>
        <v>-107074.81105367346</v>
      </c>
      <c r="DE28" s="108">
        <f t="shared" si="15"/>
        <v>-107074.81105367346</v>
      </c>
      <c r="DF28" s="108">
        <f t="shared" si="15"/>
        <v>-107074.81105367346</v>
      </c>
      <c r="DG28" s="110">
        <f t="shared" si="15"/>
        <v>-107074.81105367346</v>
      </c>
      <c r="DH28" s="109">
        <f t="shared" si="15"/>
        <v>-113820.52415005489</v>
      </c>
      <c r="DI28" s="108">
        <f t="shared" si="15"/>
        <v>-113820.52415005489</v>
      </c>
      <c r="DJ28" s="108">
        <f t="shared" si="15"/>
        <v>-113820.52415005489</v>
      </c>
      <c r="DK28" s="108">
        <f t="shared" si="15"/>
        <v>-113820.52415005489</v>
      </c>
      <c r="DL28" s="108">
        <f t="shared" si="15"/>
        <v>-113820.52415005489</v>
      </c>
      <c r="DM28" s="108">
        <f t="shared" si="15"/>
        <v>-113820.52415005489</v>
      </c>
      <c r="DN28" s="108">
        <f t="shared" si="15"/>
        <v>-113820.52415005489</v>
      </c>
      <c r="DO28" s="108">
        <f t="shared" si="15"/>
        <v>-113820.52415005489</v>
      </c>
      <c r="DP28" s="108">
        <f t="shared" si="15"/>
        <v>-113820.52415005489</v>
      </c>
      <c r="DQ28" s="108">
        <f t="shared" si="15"/>
        <v>-113820.52415005489</v>
      </c>
      <c r="DR28" s="108">
        <f t="shared" si="15"/>
        <v>-113820.52415005489</v>
      </c>
      <c r="DS28" s="110">
        <f t="shared" si="15"/>
        <v>-113820.52415005489</v>
      </c>
    </row>
    <row r="29" spans="1:123" ht="15" x14ac:dyDescent="0.25">
      <c r="B29" s="162" t="s">
        <v>196</v>
      </c>
      <c r="C29" s="7">
        <f>-('R&amp;M'!R9+'R&amp;M'!R20)</f>
        <v>-21673.803937500001</v>
      </c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86"/>
      <c r="P29" s="344"/>
      <c r="Q29" s="344"/>
      <c r="R29" s="344"/>
      <c r="S29" s="344"/>
      <c r="T29" s="344"/>
      <c r="U29" s="344"/>
      <c r="V29" s="344"/>
      <c r="W29" s="344"/>
      <c r="X29" s="108"/>
      <c r="Y29" s="108"/>
      <c r="Z29" s="108"/>
      <c r="AA29" s="110"/>
      <c r="AB29" s="344"/>
      <c r="AC29" s="108">
        <f t="shared" ref="AC29:BH29" si="16">$C29*AC6</f>
        <v>-24490.726561452935</v>
      </c>
      <c r="AD29" s="108">
        <f t="shared" si="16"/>
        <v>-24490.726561452935</v>
      </c>
      <c r="AE29" s="108">
        <f t="shared" si="16"/>
        <v>-24490.726561452935</v>
      </c>
      <c r="AF29" s="108">
        <f t="shared" si="16"/>
        <v>-24490.726561452935</v>
      </c>
      <c r="AG29" s="108">
        <f t="shared" si="16"/>
        <v>-24490.726561452935</v>
      </c>
      <c r="AH29" s="108">
        <f t="shared" si="16"/>
        <v>-24490.726561452935</v>
      </c>
      <c r="AI29" s="108">
        <f t="shared" si="16"/>
        <v>-24490.726561452935</v>
      </c>
      <c r="AJ29" s="108">
        <f t="shared" si="16"/>
        <v>-24490.726561452935</v>
      </c>
      <c r="AK29" s="108">
        <f t="shared" si="16"/>
        <v>-24490.726561452935</v>
      </c>
      <c r="AL29" s="108">
        <f t="shared" si="16"/>
        <v>-24490.726561452935</v>
      </c>
      <c r="AM29" s="110">
        <f t="shared" si="16"/>
        <v>-24490.726561452935</v>
      </c>
      <c r="AN29" s="109">
        <f t="shared" si="16"/>
        <v>-26033.642334824468</v>
      </c>
      <c r="AO29" s="108">
        <f t="shared" si="16"/>
        <v>-26033.642334824468</v>
      </c>
      <c r="AP29" s="108">
        <f t="shared" si="16"/>
        <v>-26033.642334824468</v>
      </c>
      <c r="AQ29" s="108">
        <f t="shared" si="16"/>
        <v>-26033.642334824468</v>
      </c>
      <c r="AR29" s="108">
        <f t="shared" si="16"/>
        <v>-26033.642334824468</v>
      </c>
      <c r="AS29" s="108">
        <f t="shared" si="16"/>
        <v>-26033.642334824468</v>
      </c>
      <c r="AT29" s="108">
        <f t="shared" si="16"/>
        <v>-26033.642334824468</v>
      </c>
      <c r="AU29" s="108">
        <f t="shared" si="16"/>
        <v>-26033.642334824468</v>
      </c>
      <c r="AV29" s="108">
        <f t="shared" si="16"/>
        <v>-26033.642334824468</v>
      </c>
      <c r="AW29" s="108">
        <f t="shared" si="16"/>
        <v>-26033.642334824468</v>
      </c>
      <c r="AX29" s="108">
        <f t="shared" si="16"/>
        <v>-26033.642334824468</v>
      </c>
      <c r="AY29" s="110">
        <f t="shared" si="16"/>
        <v>-26033.642334824468</v>
      </c>
      <c r="AZ29" s="109">
        <f t="shared" si="16"/>
        <v>-27673.761801918405</v>
      </c>
      <c r="BA29" s="108">
        <f t="shared" si="16"/>
        <v>-27673.761801918405</v>
      </c>
      <c r="BB29" s="108">
        <f t="shared" si="16"/>
        <v>-27673.761801918405</v>
      </c>
      <c r="BC29" s="108">
        <f t="shared" si="16"/>
        <v>-27673.761801918405</v>
      </c>
      <c r="BD29" s="108">
        <f t="shared" si="16"/>
        <v>-27673.761801918405</v>
      </c>
      <c r="BE29" s="108">
        <f t="shared" si="16"/>
        <v>-27673.761801918405</v>
      </c>
      <c r="BF29" s="108">
        <f t="shared" si="16"/>
        <v>-27673.761801918405</v>
      </c>
      <c r="BG29" s="108">
        <f t="shared" si="16"/>
        <v>-27673.761801918405</v>
      </c>
      <c r="BH29" s="108">
        <f t="shared" si="16"/>
        <v>-27673.761801918405</v>
      </c>
      <c r="BI29" s="108">
        <f t="shared" ref="BI29:CN29" si="17">$C29*BI6</f>
        <v>-27673.761801918405</v>
      </c>
      <c r="BJ29" s="108">
        <f t="shared" si="17"/>
        <v>-27673.761801918405</v>
      </c>
      <c r="BK29" s="110">
        <f t="shared" si="17"/>
        <v>-27673.761801918405</v>
      </c>
      <c r="BL29" s="109">
        <f t="shared" si="17"/>
        <v>-29417.208795439263</v>
      </c>
      <c r="BM29" s="108">
        <f t="shared" si="17"/>
        <v>-29417.208795439263</v>
      </c>
      <c r="BN29" s="108">
        <f t="shared" si="17"/>
        <v>-29417.208795439263</v>
      </c>
      <c r="BO29" s="108">
        <f t="shared" si="17"/>
        <v>-29417.208795439263</v>
      </c>
      <c r="BP29" s="108">
        <f t="shared" si="17"/>
        <v>-29417.208795439263</v>
      </c>
      <c r="BQ29" s="108">
        <f t="shared" si="17"/>
        <v>-29417.208795439263</v>
      </c>
      <c r="BR29" s="108">
        <f t="shared" si="17"/>
        <v>-29417.208795439263</v>
      </c>
      <c r="BS29" s="108">
        <f t="shared" si="17"/>
        <v>-29417.208795439263</v>
      </c>
      <c r="BT29" s="108">
        <f t="shared" si="17"/>
        <v>-29417.208795439263</v>
      </c>
      <c r="BU29" s="108">
        <f t="shared" si="17"/>
        <v>-29417.208795439263</v>
      </c>
      <c r="BV29" s="108">
        <f t="shared" si="17"/>
        <v>-29417.208795439263</v>
      </c>
      <c r="BW29" s="110">
        <f t="shared" si="17"/>
        <v>-29417.208795439263</v>
      </c>
      <c r="BX29" s="109">
        <f t="shared" si="17"/>
        <v>-31270.492949551935</v>
      </c>
      <c r="BY29" s="108">
        <f t="shared" si="17"/>
        <v>-31270.492949551935</v>
      </c>
      <c r="BZ29" s="108">
        <f t="shared" si="17"/>
        <v>-31270.492949551935</v>
      </c>
      <c r="CA29" s="108">
        <f t="shared" si="17"/>
        <v>-31270.492949551935</v>
      </c>
      <c r="CB29" s="108">
        <f t="shared" si="17"/>
        <v>-31270.492949551935</v>
      </c>
      <c r="CC29" s="108">
        <f t="shared" si="17"/>
        <v>-31270.492949551935</v>
      </c>
      <c r="CD29" s="108">
        <f t="shared" si="17"/>
        <v>-31270.492949551935</v>
      </c>
      <c r="CE29" s="108">
        <f t="shared" si="17"/>
        <v>-31270.492949551935</v>
      </c>
      <c r="CF29" s="108">
        <f t="shared" si="17"/>
        <v>-31270.492949551935</v>
      </c>
      <c r="CG29" s="108">
        <f t="shared" si="17"/>
        <v>-31270.492949551935</v>
      </c>
      <c r="CH29" s="108">
        <f t="shared" si="17"/>
        <v>-31270.492949551935</v>
      </c>
      <c r="CI29" s="110">
        <f t="shared" si="17"/>
        <v>-31270.492949551935</v>
      </c>
      <c r="CJ29" s="109">
        <f t="shared" si="17"/>
        <v>-33240.534005373709</v>
      </c>
      <c r="CK29" s="108">
        <f t="shared" si="17"/>
        <v>-33240.534005373709</v>
      </c>
      <c r="CL29" s="108">
        <f t="shared" si="17"/>
        <v>-33240.534005373709</v>
      </c>
      <c r="CM29" s="108">
        <f t="shared" si="17"/>
        <v>-33240.534005373709</v>
      </c>
      <c r="CN29" s="108">
        <f t="shared" si="17"/>
        <v>-33240.534005373709</v>
      </c>
      <c r="CO29" s="108">
        <f t="shared" ref="CO29:DS29" si="18">$C29*CO6</f>
        <v>-33240.534005373709</v>
      </c>
      <c r="CP29" s="108">
        <f t="shared" si="18"/>
        <v>-33240.534005373709</v>
      </c>
      <c r="CQ29" s="108">
        <f t="shared" si="18"/>
        <v>-33240.534005373709</v>
      </c>
      <c r="CR29" s="108">
        <f t="shared" si="18"/>
        <v>-33240.534005373709</v>
      </c>
      <c r="CS29" s="108">
        <f t="shared" si="18"/>
        <v>-33240.534005373709</v>
      </c>
      <c r="CT29" s="108">
        <f t="shared" si="18"/>
        <v>-33240.534005373709</v>
      </c>
      <c r="CU29" s="110">
        <f t="shared" si="18"/>
        <v>-33240.534005373709</v>
      </c>
      <c r="CV29" s="109">
        <f t="shared" si="18"/>
        <v>-35334.68764771225</v>
      </c>
      <c r="CW29" s="108">
        <f t="shared" si="18"/>
        <v>-35334.68764771225</v>
      </c>
      <c r="CX29" s="108">
        <f t="shared" si="18"/>
        <v>-35334.68764771225</v>
      </c>
      <c r="CY29" s="108">
        <f t="shared" si="18"/>
        <v>-35334.68764771225</v>
      </c>
      <c r="CZ29" s="108">
        <f t="shared" si="18"/>
        <v>-35334.68764771225</v>
      </c>
      <c r="DA29" s="108">
        <f t="shared" si="18"/>
        <v>-35334.68764771225</v>
      </c>
      <c r="DB29" s="108">
        <f t="shared" si="18"/>
        <v>-35334.68764771225</v>
      </c>
      <c r="DC29" s="108">
        <f t="shared" si="18"/>
        <v>-35334.68764771225</v>
      </c>
      <c r="DD29" s="108">
        <f t="shared" si="18"/>
        <v>-35334.68764771225</v>
      </c>
      <c r="DE29" s="108">
        <f t="shared" si="18"/>
        <v>-35334.68764771225</v>
      </c>
      <c r="DF29" s="108">
        <f t="shared" si="18"/>
        <v>-35334.68764771225</v>
      </c>
      <c r="DG29" s="110">
        <f t="shared" si="18"/>
        <v>-35334.68764771225</v>
      </c>
      <c r="DH29" s="109">
        <f t="shared" si="18"/>
        <v>-37560.772969518119</v>
      </c>
      <c r="DI29" s="108">
        <f t="shared" si="18"/>
        <v>-37560.772969518119</v>
      </c>
      <c r="DJ29" s="108">
        <f t="shared" si="18"/>
        <v>-37560.772969518119</v>
      </c>
      <c r="DK29" s="108">
        <f t="shared" si="18"/>
        <v>-37560.772969518119</v>
      </c>
      <c r="DL29" s="108">
        <f t="shared" si="18"/>
        <v>-37560.772969518119</v>
      </c>
      <c r="DM29" s="108">
        <f t="shared" si="18"/>
        <v>-37560.772969518119</v>
      </c>
      <c r="DN29" s="108">
        <f t="shared" si="18"/>
        <v>-37560.772969518119</v>
      </c>
      <c r="DO29" s="108">
        <f t="shared" si="18"/>
        <v>-37560.772969518119</v>
      </c>
      <c r="DP29" s="108">
        <f t="shared" si="18"/>
        <v>-37560.772969518119</v>
      </c>
      <c r="DQ29" s="108">
        <f t="shared" si="18"/>
        <v>-37560.772969518119</v>
      </c>
      <c r="DR29" s="108">
        <f t="shared" si="18"/>
        <v>-37560.772969518119</v>
      </c>
      <c r="DS29" s="110">
        <f t="shared" si="18"/>
        <v>-37560.772969518119</v>
      </c>
    </row>
    <row r="30" spans="1:123" ht="15" x14ac:dyDescent="0.25">
      <c r="B30" s="162" t="s">
        <v>197</v>
      </c>
      <c r="C30" s="7">
        <v>-10000</v>
      </c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86"/>
      <c r="P30" s="344"/>
      <c r="Q30" s="344"/>
      <c r="R30" s="344"/>
      <c r="S30" s="344"/>
      <c r="T30" s="344"/>
      <c r="U30" s="344"/>
      <c r="V30" s="344"/>
      <c r="W30" s="344"/>
      <c r="X30" s="108"/>
      <c r="Y30" s="108"/>
      <c r="Z30" s="108"/>
      <c r="AA30" s="110"/>
      <c r="AB30" s="344"/>
      <c r="AC30" s="108"/>
      <c r="AD30" s="108"/>
      <c r="AE30" s="108"/>
      <c r="AF30" s="108"/>
      <c r="AG30" s="108"/>
      <c r="AH30" s="108"/>
      <c r="AI30" s="108">
        <f>$C30*AI6</f>
        <v>-11299.689999999999</v>
      </c>
      <c r="AJ30" s="108"/>
      <c r="AK30" s="108">
        <v>0</v>
      </c>
      <c r="AL30" s="108">
        <v>0</v>
      </c>
      <c r="AM30" s="110">
        <v>0</v>
      </c>
      <c r="AN30" s="109">
        <v>0</v>
      </c>
      <c r="AO30" s="108">
        <f>$C30*AO6</f>
        <v>-12011.570469999997</v>
      </c>
      <c r="AP30" s="108"/>
      <c r="AQ30" s="108">
        <v>0</v>
      </c>
      <c r="AR30" s="108">
        <v>0</v>
      </c>
      <c r="AS30" s="108">
        <v>0</v>
      </c>
      <c r="AT30" s="108">
        <v>0</v>
      </c>
      <c r="AU30" s="108">
        <f>$C30*AU6</f>
        <v>-12011.570469999997</v>
      </c>
      <c r="AV30" s="108"/>
      <c r="AW30" s="108">
        <v>0</v>
      </c>
      <c r="AX30" s="108">
        <v>0</v>
      </c>
      <c r="AY30" s="110">
        <v>0</v>
      </c>
      <c r="AZ30" s="109">
        <v>0</v>
      </c>
      <c r="BA30" s="108">
        <f>$C30*BA6</f>
        <v>-12768.299409609996</v>
      </c>
      <c r="BB30" s="108"/>
      <c r="BC30" s="108">
        <v>0</v>
      </c>
      <c r="BD30" s="108">
        <v>0</v>
      </c>
      <c r="BE30" s="108">
        <v>0</v>
      </c>
      <c r="BF30" s="108">
        <v>0</v>
      </c>
      <c r="BG30" s="108">
        <f>$C30*BG6</f>
        <v>-12768.299409609996</v>
      </c>
      <c r="BH30" s="108"/>
      <c r="BI30" s="108">
        <v>0</v>
      </c>
      <c r="BJ30" s="108">
        <v>0</v>
      </c>
      <c r="BK30" s="110">
        <v>0</v>
      </c>
      <c r="BL30" s="109">
        <v>0</v>
      </c>
      <c r="BM30" s="108">
        <f>$C30*BM6</f>
        <v>-13572.702272415425</v>
      </c>
      <c r="BN30" s="108"/>
      <c r="BO30" s="108">
        <v>0</v>
      </c>
      <c r="BP30" s="108">
        <v>0</v>
      </c>
      <c r="BQ30" s="108">
        <v>0</v>
      </c>
      <c r="BR30" s="108">
        <v>0</v>
      </c>
      <c r="BS30" s="108">
        <f>$C30*BS6</f>
        <v>-13572.702272415425</v>
      </c>
      <c r="BT30" s="108"/>
      <c r="BU30" s="108">
        <v>0</v>
      </c>
      <c r="BV30" s="108">
        <v>0</v>
      </c>
      <c r="BW30" s="110">
        <v>0</v>
      </c>
      <c r="BX30" s="109">
        <v>0</v>
      </c>
      <c r="BY30" s="108">
        <f>$C30*BY6</f>
        <v>-14427.782515577595</v>
      </c>
      <c r="BZ30" s="108"/>
      <c r="CA30" s="108">
        <v>0</v>
      </c>
      <c r="CB30" s="108">
        <v>0</v>
      </c>
      <c r="CC30" s="108">
        <v>0</v>
      </c>
      <c r="CD30" s="108">
        <v>0</v>
      </c>
      <c r="CE30" s="108">
        <f>$C30*CE6</f>
        <v>-14427.782515577595</v>
      </c>
      <c r="CF30" s="108"/>
      <c r="CG30" s="108">
        <v>0</v>
      </c>
      <c r="CH30" s="108">
        <v>0</v>
      </c>
      <c r="CI30" s="110">
        <v>0</v>
      </c>
      <c r="CJ30" s="109">
        <v>0</v>
      </c>
      <c r="CK30" s="108">
        <f>$C30*CK6</f>
        <v>-15336.732814058983</v>
      </c>
      <c r="CL30" s="108"/>
      <c r="CM30" s="108">
        <v>0</v>
      </c>
      <c r="CN30" s="108">
        <v>0</v>
      </c>
      <c r="CO30" s="108">
        <v>0</v>
      </c>
      <c r="CP30" s="108">
        <v>0</v>
      </c>
      <c r="CQ30" s="108">
        <f>$C30*CQ6</f>
        <v>-15336.732814058983</v>
      </c>
      <c r="CR30" s="108"/>
      <c r="CS30" s="108">
        <v>0</v>
      </c>
      <c r="CT30" s="108">
        <v>0</v>
      </c>
      <c r="CU30" s="110">
        <v>0</v>
      </c>
      <c r="CV30" s="109">
        <v>0</v>
      </c>
      <c r="CW30" s="108">
        <f>$C30*CW6</f>
        <v>-16302.946981344699</v>
      </c>
      <c r="CX30" s="108"/>
      <c r="CY30" s="108">
        <v>0</v>
      </c>
      <c r="CZ30" s="108">
        <v>0</v>
      </c>
      <c r="DA30" s="108">
        <v>0</v>
      </c>
      <c r="DB30" s="108">
        <v>0</v>
      </c>
      <c r="DC30" s="108">
        <f>$C30*DC6</f>
        <v>-16302.946981344699</v>
      </c>
      <c r="DD30" s="108"/>
      <c r="DE30" s="108">
        <v>0</v>
      </c>
      <c r="DF30" s="108">
        <v>0</v>
      </c>
      <c r="DG30" s="110">
        <v>0</v>
      </c>
      <c r="DH30" s="109">
        <v>0</v>
      </c>
      <c r="DI30" s="108">
        <f>$C30*DI6</f>
        <v>-17330.032641169415</v>
      </c>
      <c r="DJ30" s="108"/>
      <c r="DK30" s="108">
        <v>0</v>
      </c>
      <c r="DL30" s="108">
        <v>0</v>
      </c>
      <c r="DM30" s="108">
        <v>0</v>
      </c>
      <c r="DN30" s="108">
        <v>0</v>
      </c>
      <c r="DO30" s="108">
        <f>$C30*DO6</f>
        <v>-17330.032641169415</v>
      </c>
      <c r="DP30" s="108"/>
      <c r="DQ30" s="108">
        <v>0</v>
      </c>
      <c r="DR30" s="108">
        <v>0</v>
      </c>
      <c r="DS30" s="110">
        <v>0</v>
      </c>
    </row>
    <row r="31" spans="1:123" ht="15" x14ac:dyDescent="0.25">
      <c r="B31" s="162" t="s">
        <v>313</v>
      </c>
      <c r="C31" s="7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86"/>
      <c r="P31" s="344"/>
      <c r="Q31" s="344"/>
      <c r="R31" s="344"/>
      <c r="S31" s="344"/>
      <c r="T31" s="344"/>
      <c r="U31" s="344"/>
      <c r="V31" s="344"/>
      <c r="W31" s="344"/>
      <c r="X31" s="108"/>
      <c r="Y31" s="108"/>
      <c r="Z31" s="108"/>
      <c r="AA31" s="110"/>
      <c r="AB31" s="344"/>
      <c r="AC31" s="108">
        <f>-'Summary Bioplan'!AP121*Assumptions!$C$57</f>
        <v>-627</v>
      </c>
      <c r="AD31" s="108">
        <f>-'Summary Bioplan'!AQ121*Assumptions!$C$57</f>
        <v>-688.02250000000004</v>
      </c>
      <c r="AE31" s="108">
        <f>-'Summary Bioplan'!AR121*Assumptions!$C$57</f>
        <v>-1147.75155</v>
      </c>
      <c r="AF31" s="108">
        <f>-'Summary Bioplan'!AS121*Assumptions!$C$57</f>
        <v>-2432.4855032500004</v>
      </c>
      <c r="AG31" s="108">
        <f>-'Summary Bioplan'!AT121*Assumptions!$C$57</f>
        <v>-3795.3927180675005</v>
      </c>
      <c r="AH31" s="108">
        <f>-'Summary Bioplan'!AU121*Assumptions!$C$57</f>
        <v>-5628.7437475945517</v>
      </c>
      <c r="AI31" s="108">
        <f>-'Summary Bioplan'!AV121*Assumptions!$C$57</f>
        <v>-8839.0732193806507</v>
      </c>
      <c r="AJ31" s="108">
        <f>-'Summary Bioplan'!AW121*Assumptions!$C$57</f>
        <v>-11871.773302783953</v>
      </c>
      <c r="AK31" s="108">
        <f>-'Summary Bioplan'!AX121*Assumptions!$C$57</f>
        <v>-14880.538315697926</v>
      </c>
      <c r="AL31" s="108">
        <f>-'Summary Bioplan'!AY121*Assumptions!$C$57</f>
        <v>-17738.717613760087</v>
      </c>
      <c r="AM31" s="110">
        <f>-'Summary Bioplan'!AZ121*Assumptions!$C$57</f>
        <v>-20686.204891400055</v>
      </c>
      <c r="AN31" s="109">
        <f>-'Summary Bioplan'!BA121*Assumptions!$C$57</f>
        <v>-22952.273271325161</v>
      </c>
      <c r="AO31" s="108">
        <f>-'Summary Bioplan'!BB121*Assumptions!$C$57</f>
        <v>-27080.77053009448</v>
      </c>
      <c r="AP31" s="108">
        <f>-'Summary Bioplan'!BC121*Assumptions!$C$57</f>
        <v>-28945.491757163891</v>
      </c>
      <c r="AQ31" s="108">
        <f>-'Summary Bioplan'!BD121*Assumptions!$C$57</f>
        <v>-32081.853599252943</v>
      </c>
      <c r="AR31" s="108">
        <f>-'Summary Bioplan'!BE121*Assumptions!$C$57</f>
        <v>-30811.025409079444</v>
      </c>
      <c r="AS31" s="108">
        <f>-'Summary Bioplan'!BF121*Assumptions!$C$57</f>
        <v>-27293.42671656765</v>
      </c>
      <c r="AT31" s="108">
        <f>-'Summary Bioplan'!BG121*Assumptions!$C$57</f>
        <v>-29445.110240638951</v>
      </c>
      <c r="AU31" s="108">
        <f>-'Summary Bioplan'!BH121*Assumptions!$C$57</f>
        <v>-30708.886777328371</v>
      </c>
      <c r="AV31" s="108">
        <f>-'Summary Bioplan'!BI121*Assumptions!$C$57</f>
        <v>-30268.840862403486</v>
      </c>
      <c r="AW31" s="108">
        <f>-'Summary Bioplan'!BJ121*Assumptions!$C$57</f>
        <v>-33159.86263104924</v>
      </c>
      <c r="AX31" s="108">
        <f>-'Summary Bioplan'!BK121*Assumptions!$C$57</f>
        <v>-31883.380142765229</v>
      </c>
      <c r="AY31" s="110">
        <f>-'Summary Bioplan'!BL121*Assumptions!$C$57</f>
        <v>-29295.833892168666</v>
      </c>
      <c r="AZ31" s="109">
        <f>-'Summary Bioplan'!BM121*Assumptions!$C$57</f>
        <v>-25612.714458799015</v>
      </c>
      <c r="BA31" s="108">
        <f>-'Summary Bioplan'!BN121*Assumptions!$C$57</f>
        <v>-27080.77053009448</v>
      </c>
      <c r="BB31" s="108">
        <f>-'Summary Bioplan'!BO121*Assumptions!$C$57</f>
        <v>-28945.491757163891</v>
      </c>
      <c r="BC31" s="108">
        <f>-'Summary Bioplan'!BP121*Assumptions!$C$57</f>
        <v>-32081.853599252943</v>
      </c>
      <c r="BD31" s="108">
        <f>-'Summary Bioplan'!BQ121*Assumptions!$C$57</f>
        <v>-30811.025409079444</v>
      </c>
      <c r="BE31" s="108">
        <f>-'Summary Bioplan'!BR121*Assumptions!$C$57</f>
        <v>-27293.42671656765</v>
      </c>
      <c r="BF31" s="108">
        <f>-'Summary Bioplan'!BS121*Assumptions!$C$57</f>
        <v>-29445.110240638951</v>
      </c>
      <c r="BG31" s="108">
        <f>-'Summary Bioplan'!BT121*Assumptions!$C$57</f>
        <v>-30708.886777328371</v>
      </c>
      <c r="BH31" s="108">
        <f>-'Summary Bioplan'!BU121*Assumptions!$C$57</f>
        <v>-30268.840862403486</v>
      </c>
      <c r="BI31" s="108">
        <f>-'Summary Bioplan'!BV121*Assumptions!$C$57</f>
        <v>-33159.86263104924</v>
      </c>
      <c r="BJ31" s="108">
        <f>-'Summary Bioplan'!BW121*Assumptions!$C$57</f>
        <v>-31883.380142765229</v>
      </c>
      <c r="BK31" s="110">
        <f>-'Summary Bioplan'!BX121*Assumptions!$C$57</f>
        <v>-29295.833892168666</v>
      </c>
      <c r="BL31" s="109">
        <f>-'Summary Bioplan'!BY121*Assumptions!$C$57</f>
        <v>-25612.714458799015</v>
      </c>
      <c r="BM31" s="108">
        <f>-'Summary Bioplan'!BZ121*Assumptions!$C$57</f>
        <v>-27080.77053009448</v>
      </c>
      <c r="BN31" s="108">
        <f>-'Summary Bioplan'!CA121*Assumptions!$C$57</f>
        <v>-28945.491757163891</v>
      </c>
      <c r="BO31" s="108">
        <f>-'Summary Bioplan'!CB121*Assumptions!$C$57</f>
        <v>-32081.853599252943</v>
      </c>
      <c r="BP31" s="108">
        <f>-'Summary Bioplan'!CC121*Assumptions!$C$57</f>
        <v>-30811.025409079444</v>
      </c>
      <c r="BQ31" s="108">
        <f>-'Summary Bioplan'!CD121*Assumptions!$C$57</f>
        <v>-27293.42671656765</v>
      </c>
      <c r="BR31" s="108">
        <f>-'Summary Bioplan'!CE121*Assumptions!$C$57</f>
        <v>-29445.110240638951</v>
      </c>
      <c r="BS31" s="108">
        <f>-'Summary Bioplan'!CF121*Assumptions!$C$57</f>
        <v>-30708.886777328371</v>
      </c>
      <c r="BT31" s="108">
        <f>-'Summary Bioplan'!CG121*Assumptions!$C$57</f>
        <v>-30268.840862403486</v>
      </c>
      <c r="BU31" s="108">
        <f>-'Summary Bioplan'!CH121*Assumptions!$C$57</f>
        <v>-33159.86263104924</v>
      </c>
      <c r="BV31" s="108">
        <f>-'Summary Bioplan'!CI121*Assumptions!$C$57</f>
        <v>-31883.380142765229</v>
      </c>
      <c r="BW31" s="110">
        <f>-'Summary Bioplan'!CJ121*Assumptions!$C$57</f>
        <v>-29295.833892168666</v>
      </c>
      <c r="BX31" s="109">
        <f>-'Summary Bioplan'!CK121*Assumptions!$C$57</f>
        <v>-25612.714458799015</v>
      </c>
      <c r="BY31" s="108">
        <f>-'Summary Bioplan'!CL121*Assumptions!$C$57</f>
        <v>-27080.77053009448</v>
      </c>
      <c r="BZ31" s="108">
        <f>-'Summary Bioplan'!CM121*Assumptions!$C$57</f>
        <v>-28945.491757163891</v>
      </c>
      <c r="CA31" s="108">
        <f>-'Summary Bioplan'!CN121*Assumptions!$C$57</f>
        <v>-32081.853599252943</v>
      </c>
      <c r="CB31" s="108">
        <f>-'Summary Bioplan'!CO121*Assumptions!$C$57</f>
        <v>-30811.025409079444</v>
      </c>
      <c r="CC31" s="108">
        <f>-'Summary Bioplan'!CP121*Assumptions!$C$57</f>
        <v>-27293.42671656765</v>
      </c>
      <c r="CD31" s="108">
        <f>-'Summary Bioplan'!CQ121*Assumptions!$C$57</f>
        <v>-29445.110240638951</v>
      </c>
      <c r="CE31" s="108">
        <f>-'Summary Bioplan'!CR121*Assumptions!$C$57</f>
        <v>-30708.886777328371</v>
      </c>
      <c r="CF31" s="108">
        <f>-'Summary Bioplan'!CS121*Assumptions!$C$57</f>
        <v>-30268.840862403486</v>
      </c>
      <c r="CG31" s="108">
        <f>-'Summary Bioplan'!CT121*Assumptions!$C$57</f>
        <v>-33159.86263104924</v>
      </c>
      <c r="CH31" s="108">
        <f>-'Summary Bioplan'!CU121*Assumptions!$C$57</f>
        <v>-31883.380142765229</v>
      </c>
      <c r="CI31" s="110">
        <f>-'Summary Bioplan'!CV121*Assumptions!$C$57</f>
        <v>-29295.833892168666</v>
      </c>
      <c r="CJ31" s="109">
        <f>-'Summary Bioplan'!CW121*Assumptions!$C$57</f>
        <v>-25612.714458799015</v>
      </c>
      <c r="CK31" s="108">
        <f>-'Summary Bioplan'!CX121*Assumptions!$C$57</f>
        <v>-27080.77053009448</v>
      </c>
      <c r="CL31" s="108">
        <f>-'Summary Bioplan'!CY121*Assumptions!$C$57</f>
        <v>-28945.491757163891</v>
      </c>
      <c r="CM31" s="108">
        <f>-'Summary Bioplan'!CZ121*Assumptions!$C$57</f>
        <v>-32081.853599252943</v>
      </c>
      <c r="CN31" s="108">
        <f>-'Summary Bioplan'!DA121*Assumptions!$C$57</f>
        <v>-30811.025409079444</v>
      </c>
      <c r="CO31" s="108">
        <f>-'Summary Bioplan'!DB121*Assumptions!$C$57</f>
        <v>-27293.42671656765</v>
      </c>
      <c r="CP31" s="108">
        <f>-'Summary Bioplan'!DC121*Assumptions!$C$57</f>
        <v>-29445.110240638951</v>
      </c>
      <c r="CQ31" s="108">
        <f>-'Summary Bioplan'!DD121*Assumptions!$C$57</f>
        <v>-30708.886777328371</v>
      </c>
      <c r="CR31" s="108">
        <f>-'Summary Bioplan'!DE121*Assumptions!$C$57</f>
        <v>-30268.840862403486</v>
      </c>
      <c r="CS31" s="108">
        <f>-'Summary Bioplan'!DF121*Assumptions!$C$57</f>
        <v>-33159.86263104924</v>
      </c>
      <c r="CT31" s="108">
        <f>-'Summary Bioplan'!DG121*Assumptions!$C$57</f>
        <v>-31883.380142765229</v>
      </c>
      <c r="CU31" s="110">
        <f>-'Summary Bioplan'!DH121*Assumptions!$C$57</f>
        <v>-29295.833892168666</v>
      </c>
      <c r="CV31" s="109">
        <f>-'Summary Bioplan'!DI121*Assumptions!$C$57</f>
        <v>-25612.714458799015</v>
      </c>
      <c r="CW31" s="108">
        <f>-'Summary Bioplan'!DJ121*Assumptions!$C$57</f>
        <v>-27080.77053009448</v>
      </c>
      <c r="CX31" s="108">
        <f>-'Summary Bioplan'!DK121*Assumptions!$C$57</f>
        <v>-28945.491757163891</v>
      </c>
      <c r="CY31" s="108">
        <f>-'Summary Bioplan'!DL121*Assumptions!$C$57</f>
        <v>-32081.853599252943</v>
      </c>
      <c r="CZ31" s="108">
        <f>-'Summary Bioplan'!DM121*Assumptions!$C$57</f>
        <v>-30811.025409079444</v>
      </c>
      <c r="DA31" s="108">
        <f>-'Summary Bioplan'!DN121*Assumptions!$C$57</f>
        <v>-27293.42671656765</v>
      </c>
      <c r="DB31" s="108">
        <f>-'Summary Bioplan'!DO121*Assumptions!$C$57</f>
        <v>-29445.110240638951</v>
      </c>
      <c r="DC31" s="108">
        <f>-'Summary Bioplan'!DP121*Assumptions!$C$57</f>
        <v>-30708.886777328371</v>
      </c>
      <c r="DD31" s="108">
        <f>-'Summary Bioplan'!DQ121*Assumptions!$C$57</f>
        <v>-30268.840862403486</v>
      </c>
      <c r="DE31" s="108">
        <f>-'Summary Bioplan'!DR121*Assumptions!$C$57</f>
        <v>-33159.86263104924</v>
      </c>
      <c r="DF31" s="108">
        <f>-'Summary Bioplan'!DS121*Assumptions!$C$57</f>
        <v>-31883.380142765229</v>
      </c>
      <c r="DG31" s="110">
        <f>-'Summary Bioplan'!DT121*Assumptions!$C$57</f>
        <v>-29295.833892168666</v>
      </c>
      <c r="DH31" s="109">
        <f>CV31</f>
        <v>-25612.714458799015</v>
      </c>
      <c r="DI31" s="108">
        <f t="shared" ref="DI31:DS31" si="19">CW31</f>
        <v>-27080.77053009448</v>
      </c>
      <c r="DJ31" s="108">
        <f t="shared" si="19"/>
        <v>-28945.491757163891</v>
      </c>
      <c r="DK31" s="108">
        <f t="shared" si="19"/>
        <v>-32081.853599252943</v>
      </c>
      <c r="DL31" s="108">
        <f t="shared" si="19"/>
        <v>-30811.025409079444</v>
      </c>
      <c r="DM31" s="108">
        <f t="shared" si="19"/>
        <v>-27293.42671656765</v>
      </c>
      <c r="DN31" s="108">
        <f t="shared" si="19"/>
        <v>-29445.110240638951</v>
      </c>
      <c r="DO31" s="108">
        <f t="shared" si="19"/>
        <v>-30708.886777328371</v>
      </c>
      <c r="DP31" s="108">
        <f t="shared" si="19"/>
        <v>-30268.840862403486</v>
      </c>
      <c r="DQ31" s="108">
        <f t="shared" si="19"/>
        <v>-33159.86263104924</v>
      </c>
      <c r="DR31" s="108">
        <f t="shared" si="19"/>
        <v>-31883.380142765229</v>
      </c>
      <c r="DS31" s="110">
        <f t="shared" si="19"/>
        <v>-29295.833892168666</v>
      </c>
    </row>
    <row r="32" spans="1:123" ht="15" x14ac:dyDescent="0.25">
      <c r="B32" s="162" t="s">
        <v>1474</v>
      </c>
      <c r="C32" s="7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86"/>
      <c r="P32" s="344"/>
      <c r="Q32" s="344"/>
      <c r="R32" s="344"/>
      <c r="S32" s="344"/>
      <c r="T32" s="344"/>
      <c r="U32" s="344"/>
      <c r="V32" s="344"/>
      <c r="W32" s="344"/>
      <c r="X32" s="108"/>
      <c r="Y32" s="108"/>
      <c r="Z32" s="108"/>
      <c r="AA32" s="110"/>
      <c r="AB32" s="344"/>
      <c r="AC32" s="108">
        <f>Assumptions!$C$59*Assumptions!$C$60*-'3. Variable Costs'!AC6</f>
        <v>-40455.921670374344</v>
      </c>
      <c r="AD32" s="108">
        <f>Assumptions!$C$59*Assumptions!$C$60*-'3. Variable Costs'!AD6</f>
        <v>-40455.921670374344</v>
      </c>
      <c r="AE32" s="108">
        <f>Assumptions!$C$59*Assumptions!$C$60*-'3. Variable Costs'!AE6</f>
        <v>-40455.921670374344</v>
      </c>
      <c r="AF32" s="108">
        <f>Assumptions!$C$59*Assumptions!$C$60*-'3. Variable Costs'!AF6</f>
        <v>-40455.921670374344</v>
      </c>
      <c r="AG32" s="108">
        <f>Assumptions!$C$59*Assumptions!$C$60*-'3. Variable Costs'!AG6</f>
        <v>-40455.921670374344</v>
      </c>
      <c r="AH32" s="108">
        <f>Assumptions!$C$59*Assumptions!$C$60*-'3. Variable Costs'!AH6</f>
        <v>-40455.921670374344</v>
      </c>
      <c r="AI32" s="108">
        <f>Assumptions!$C$59*Assumptions!$C$60*-'3. Variable Costs'!AI6</f>
        <v>-40455.921670374344</v>
      </c>
      <c r="AJ32" s="108">
        <f>Assumptions!$C$59*Assumptions!$C$60*-'3. Variable Costs'!AJ6</f>
        <v>-40455.921670374344</v>
      </c>
      <c r="AK32" s="108">
        <f>Assumptions!$C$59*Assumptions!$C$60*-'3. Variable Costs'!AK6</f>
        <v>-40455.921670374344</v>
      </c>
      <c r="AL32" s="108">
        <f>Assumptions!$C$59*Assumptions!$C$60*-'3. Variable Costs'!AL6</f>
        <v>-40455.921670374344</v>
      </c>
      <c r="AM32" s="110">
        <f>Assumptions!$C$59*Assumptions!$C$60*-'3. Variable Costs'!AM6</f>
        <v>-40455.921670374344</v>
      </c>
      <c r="AN32" s="109">
        <f>Assumptions!$C$59*Assumptions!$C$60*-'3. Variable Costs'!AN6</f>
        <v>-43004.644735607922</v>
      </c>
      <c r="AO32" s="108">
        <f>Assumptions!$C$59*Assumptions!$C$60*-'3. Variable Costs'!AO6</f>
        <v>-43004.644735607922</v>
      </c>
      <c r="AP32" s="108">
        <f>Assumptions!$C$59*Assumptions!$C$60*-'3. Variable Costs'!AP6</f>
        <v>-43004.644735607922</v>
      </c>
      <c r="AQ32" s="108">
        <f>Assumptions!$C$59*Assumptions!$C$60*-'3. Variable Costs'!AQ6</f>
        <v>-43004.644735607922</v>
      </c>
      <c r="AR32" s="108">
        <f>Assumptions!$C$59*Assumptions!$C$60*-'3. Variable Costs'!AR6</f>
        <v>-43004.644735607922</v>
      </c>
      <c r="AS32" s="108">
        <f>Assumptions!$C$59*Assumptions!$C$60*-'3. Variable Costs'!AS6</f>
        <v>-43004.644735607922</v>
      </c>
      <c r="AT32" s="108">
        <f>Assumptions!$C$59*Assumptions!$C$60*-'3. Variable Costs'!AT6</f>
        <v>-43004.644735607922</v>
      </c>
      <c r="AU32" s="108">
        <f>Assumptions!$C$59*Assumptions!$C$60*-'3. Variable Costs'!AU6</f>
        <v>-43004.644735607922</v>
      </c>
      <c r="AV32" s="108">
        <f>Assumptions!$C$59*Assumptions!$C$60*-'3. Variable Costs'!AV6</f>
        <v>-43004.644735607922</v>
      </c>
      <c r="AW32" s="108">
        <f>Assumptions!$C$59*Assumptions!$C$60*-'3. Variable Costs'!AW6</f>
        <v>-43004.644735607922</v>
      </c>
      <c r="AX32" s="108">
        <f>Assumptions!$C$59*Assumptions!$C$60*-'3. Variable Costs'!AX6</f>
        <v>-43004.644735607922</v>
      </c>
      <c r="AY32" s="110">
        <f>Assumptions!$C$59*Assumptions!$C$60*-'3. Variable Costs'!AY6</f>
        <v>-43004.644735607922</v>
      </c>
      <c r="AZ32" s="109">
        <f>Assumptions!$C$59*Assumptions!$C$60*-'3. Variable Costs'!AZ6</f>
        <v>-45713.937353951216</v>
      </c>
      <c r="BA32" s="108">
        <f>Assumptions!$C$59*Assumptions!$C$60*-'3. Variable Costs'!BA6</f>
        <v>-45713.937353951216</v>
      </c>
      <c r="BB32" s="108">
        <f>Assumptions!$C$59*Assumptions!$C$60*-'3. Variable Costs'!BB6</f>
        <v>-45713.937353951216</v>
      </c>
      <c r="BC32" s="108">
        <f>Assumptions!$C$59*Assumptions!$C$60*-'3. Variable Costs'!BC6</f>
        <v>-45713.937353951216</v>
      </c>
      <c r="BD32" s="108">
        <f>Assumptions!$C$59*Assumptions!$C$60*-'3. Variable Costs'!BD6</f>
        <v>-45713.937353951216</v>
      </c>
      <c r="BE32" s="108">
        <f>Assumptions!$C$59*Assumptions!$C$60*-'3. Variable Costs'!BE6</f>
        <v>-45713.937353951216</v>
      </c>
      <c r="BF32" s="108">
        <f>Assumptions!$C$59*Assumptions!$C$60*-'3. Variable Costs'!BF6</f>
        <v>-45713.937353951216</v>
      </c>
      <c r="BG32" s="108">
        <f>Assumptions!$C$59*Assumptions!$C$60*-'3. Variable Costs'!BG6</f>
        <v>-45713.937353951216</v>
      </c>
      <c r="BH32" s="108">
        <f>Assumptions!$C$59*Assumptions!$C$60*-'3. Variable Costs'!BH6</f>
        <v>-45713.937353951216</v>
      </c>
      <c r="BI32" s="108">
        <f>Assumptions!$C$59*Assumptions!$C$60*-'3. Variable Costs'!BI6</f>
        <v>-45713.937353951216</v>
      </c>
      <c r="BJ32" s="108">
        <f>Assumptions!$C$59*Assumptions!$C$60*-'3. Variable Costs'!BJ6</f>
        <v>-45713.937353951216</v>
      </c>
      <c r="BK32" s="110">
        <f>Assumptions!$C$59*Assumptions!$C$60*-'3. Variable Costs'!BK6</f>
        <v>-45713.937353951216</v>
      </c>
      <c r="BL32" s="109">
        <f>Assumptions!$C$59*Assumptions!$C$60*-'3. Variable Costs'!BL6</f>
        <v>-48593.915407250141</v>
      </c>
      <c r="BM32" s="108">
        <f>Assumptions!$C$59*Assumptions!$C$60*-'3. Variable Costs'!BM6</f>
        <v>-48593.915407250141</v>
      </c>
      <c r="BN32" s="108">
        <f>Assumptions!$C$59*Assumptions!$C$60*-'3. Variable Costs'!BN6</f>
        <v>-48593.915407250141</v>
      </c>
      <c r="BO32" s="108">
        <f>Assumptions!$C$59*Assumptions!$C$60*-'3. Variable Costs'!BO6</f>
        <v>-48593.915407250141</v>
      </c>
      <c r="BP32" s="108">
        <f>Assumptions!$C$59*Assumptions!$C$60*-'3. Variable Costs'!BP6</f>
        <v>-48593.915407250141</v>
      </c>
      <c r="BQ32" s="108">
        <f>Assumptions!$C$59*Assumptions!$C$60*-'3. Variable Costs'!BQ6</f>
        <v>-48593.915407250141</v>
      </c>
      <c r="BR32" s="108">
        <f>Assumptions!$C$59*Assumptions!$C$60*-'3. Variable Costs'!BR6</f>
        <v>-48593.915407250141</v>
      </c>
      <c r="BS32" s="108">
        <f>Assumptions!$C$59*Assumptions!$C$60*-'3. Variable Costs'!BS6</f>
        <v>-48593.915407250141</v>
      </c>
      <c r="BT32" s="108">
        <f>Assumptions!$C$59*Assumptions!$C$60*-'3. Variable Costs'!BT6</f>
        <v>-48593.915407250141</v>
      </c>
      <c r="BU32" s="108">
        <f>Assumptions!$C$59*Assumptions!$C$60*-'3. Variable Costs'!BU6</f>
        <v>-48593.915407250141</v>
      </c>
      <c r="BV32" s="108">
        <f>Assumptions!$C$59*Assumptions!$C$60*-'3. Variable Costs'!BV6</f>
        <v>-48593.915407250141</v>
      </c>
      <c r="BW32" s="110">
        <f>Assumptions!$C$59*Assumptions!$C$60*-'3. Variable Costs'!BW6</f>
        <v>-48593.915407250141</v>
      </c>
      <c r="BX32" s="109">
        <f>Assumptions!$C$59*Assumptions!$C$60*-'3. Variable Costs'!BX6</f>
        <v>-51655.332077906896</v>
      </c>
      <c r="BY32" s="108">
        <f>Assumptions!$C$59*Assumptions!$C$60*-'3. Variable Costs'!BY6</f>
        <v>-51655.332077906896</v>
      </c>
      <c r="BZ32" s="108">
        <f>Assumptions!$C$59*Assumptions!$C$60*-'3. Variable Costs'!BZ6</f>
        <v>-51655.332077906896</v>
      </c>
      <c r="CA32" s="108">
        <f>Assumptions!$C$59*Assumptions!$C$60*-'3. Variable Costs'!CA6</f>
        <v>-51655.332077906896</v>
      </c>
      <c r="CB32" s="108">
        <f>Assumptions!$C$59*Assumptions!$C$60*-'3. Variable Costs'!CB6</f>
        <v>-51655.332077906896</v>
      </c>
      <c r="CC32" s="108">
        <f>Assumptions!$C$59*Assumptions!$C$60*-'3. Variable Costs'!CC6</f>
        <v>-51655.332077906896</v>
      </c>
      <c r="CD32" s="108">
        <f>Assumptions!$C$59*Assumptions!$C$60*-'3. Variable Costs'!CD6</f>
        <v>-51655.332077906896</v>
      </c>
      <c r="CE32" s="108">
        <f>Assumptions!$C$59*Assumptions!$C$60*-'3. Variable Costs'!CE6</f>
        <v>-51655.332077906896</v>
      </c>
      <c r="CF32" s="108">
        <f>Assumptions!$C$59*Assumptions!$C$60*-'3. Variable Costs'!CF6</f>
        <v>-51655.332077906896</v>
      </c>
      <c r="CG32" s="108">
        <f>Assumptions!$C$59*Assumptions!$C$60*-'3. Variable Costs'!CG6</f>
        <v>-51655.332077906896</v>
      </c>
      <c r="CH32" s="108">
        <f>Assumptions!$C$59*Assumptions!$C$60*-'3. Variable Costs'!CH6</f>
        <v>-51655.332077906896</v>
      </c>
      <c r="CI32" s="110">
        <f>Assumptions!$C$59*Assumptions!$C$60*-'3. Variable Costs'!CI6</f>
        <v>-51655.332077906896</v>
      </c>
      <c r="CJ32" s="109">
        <f>Assumptions!$C$59*Assumptions!$C$60*-'3. Variable Costs'!CJ6</f>
        <v>-54909.617998815032</v>
      </c>
      <c r="CK32" s="108">
        <f>Assumptions!$C$59*Assumptions!$C$60*-'3. Variable Costs'!CK6</f>
        <v>-54909.617998815032</v>
      </c>
      <c r="CL32" s="108">
        <f>Assumptions!$C$59*Assumptions!$C$60*-'3. Variable Costs'!CL6</f>
        <v>-54909.617998815032</v>
      </c>
      <c r="CM32" s="108">
        <f>Assumptions!$C$59*Assumptions!$C$60*-'3. Variable Costs'!CM6</f>
        <v>-54909.617998815032</v>
      </c>
      <c r="CN32" s="108">
        <f>Assumptions!$C$59*Assumptions!$C$60*-'3. Variable Costs'!CN6</f>
        <v>-54909.617998815032</v>
      </c>
      <c r="CO32" s="108">
        <f>Assumptions!$C$59*Assumptions!$C$60*-'3. Variable Costs'!CO6</f>
        <v>-54909.617998815032</v>
      </c>
      <c r="CP32" s="108">
        <f>Assumptions!$C$59*Assumptions!$C$60*-'3. Variable Costs'!CP6</f>
        <v>-54909.617998815032</v>
      </c>
      <c r="CQ32" s="108">
        <f>Assumptions!$C$59*Assumptions!$C$60*-'3. Variable Costs'!CQ6</f>
        <v>-54909.617998815032</v>
      </c>
      <c r="CR32" s="108">
        <f>Assumptions!$C$59*Assumptions!$C$60*-'3. Variable Costs'!CR6</f>
        <v>-54909.617998815032</v>
      </c>
      <c r="CS32" s="108">
        <f>Assumptions!$C$59*Assumptions!$C$60*-'3. Variable Costs'!CS6</f>
        <v>-54909.617998815032</v>
      </c>
      <c r="CT32" s="108">
        <f>Assumptions!$C$59*Assumptions!$C$60*-'3. Variable Costs'!CT6</f>
        <v>-54909.617998815032</v>
      </c>
      <c r="CU32" s="110">
        <f>Assumptions!$C$59*Assumptions!$C$60*-'3. Variable Costs'!CU6</f>
        <v>-54909.617998815032</v>
      </c>
      <c r="CV32" s="109">
        <f>Assumptions!$C$59*Assumptions!$C$60*-'3. Variable Costs'!CV6</f>
        <v>-58368.923932740377</v>
      </c>
      <c r="CW32" s="108">
        <f>Assumptions!$C$59*Assumptions!$C$60*-'3. Variable Costs'!CW6</f>
        <v>-58368.923932740377</v>
      </c>
      <c r="CX32" s="108">
        <f>Assumptions!$C$59*Assumptions!$C$60*-'3. Variable Costs'!CX6</f>
        <v>-58368.923932740377</v>
      </c>
      <c r="CY32" s="108">
        <f>Assumptions!$C$59*Assumptions!$C$60*-'3. Variable Costs'!CY6</f>
        <v>-58368.923932740377</v>
      </c>
      <c r="CZ32" s="108">
        <f>Assumptions!$C$59*Assumptions!$C$60*-'3. Variable Costs'!CZ6</f>
        <v>-58368.923932740377</v>
      </c>
      <c r="DA32" s="108">
        <f>Assumptions!$C$59*Assumptions!$C$60*-'3. Variable Costs'!DA6</f>
        <v>-58368.923932740377</v>
      </c>
      <c r="DB32" s="108">
        <f>Assumptions!$C$59*Assumptions!$C$60*-'3. Variable Costs'!DB6</f>
        <v>-58368.923932740377</v>
      </c>
      <c r="DC32" s="108">
        <f>Assumptions!$C$59*Assumptions!$C$60*-'3. Variable Costs'!DC6</f>
        <v>-58368.923932740377</v>
      </c>
      <c r="DD32" s="108">
        <f>Assumptions!$C$59*Assumptions!$C$60*-'3. Variable Costs'!DD6</f>
        <v>-58368.923932740377</v>
      </c>
      <c r="DE32" s="108">
        <f>Assumptions!$C$59*Assumptions!$C$60*-'3. Variable Costs'!DE6</f>
        <v>-58368.923932740377</v>
      </c>
      <c r="DF32" s="108">
        <f>Assumptions!$C$59*Assumptions!$C$60*-'3. Variable Costs'!DF6</f>
        <v>-58368.923932740377</v>
      </c>
      <c r="DG32" s="110">
        <f>Assumptions!$C$59*Assumptions!$C$60*-'3. Variable Costs'!DG6</f>
        <v>-58368.923932740377</v>
      </c>
      <c r="DH32" s="109">
        <f>Assumptions!$C$59*Assumptions!$C$60*-'3. Variable Costs'!DH6</f>
        <v>-62046.166140503017</v>
      </c>
      <c r="DI32" s="108">
        <f>Assumptions!$C$59*Assumptions!$C$60*-'3. Variable Costs'!DI6</f>
        <v>-62046.166140503017</v>
      </c>
      <c r="DJ32" s="108">
        <f>Assumptions!$C$59*Assumptions!$C$60*-'3. Variable Costs'!DJ6</f>
        <v>-62046.166140503017</v>
      </c>
      <c r="DK32" s="108">
        <f>Assumptions!$C$59*Assumptions!$C$60*-'3. Variable Costs'!DK6</f>
        <v>-62046.166140503017</v>
      </c>
      <c r="DL32" s="108">
        <f>Assumptions!$C$59*Assumptions!$C$60*-'3. Variable Costs'!DL6</f>
        <v>-62046.166140503017</v>
      </c>
      <c r="DM32" s="108">
        <f>Assumptions!$C$59*Assumptions!$C$60*-'3. Variable Costs'!DM6</f>
        <v>-62046.166140503017</v>
      </c>
      <c r="DN32" s="108">
        <f>Assumptions!$C$59*Assumptions!$C$60*-'3. Variable Costs'!DN6</f>
        <v>-62046.166140503017</v>
      </c>
      <c r="DO32" s="108">
        <f>Assumptions!$C$59*Assumptions!$C$60*-'3. Variable Costs'!DO6</f>
        <v>-62046.166140503017</v>
      </c>
      <c r="DP32" s="108">
        <f>Assumptions!$C$59*Assumptions!$C$60*-'3. Variable Costs'!DP6</f>
        <v>-62046.166140503017</v>
      </c>
      <c r="DQ32" s="108">
        <f>Assumptions!$C$59*Assumptions!$C$60*-'3. Variable Costs'!DQ6</f>
        <v>-62046.166140503017</v>
      </c>
      <c r="DR32" s="108">
        <f>Assumptions!$C$59*Assumptions!$C$60*-'3. Variable Costs'!DR6</f>
        <v>-62046.166140503017</v>
      </c>
      <c r="DS32" s="108">
        <f>Assumptions!$C$59*Assumptions!$C$60*-'3. Variable Costs'!DS6</f>
        <v>-62046.166140503017</v>
      </c>
    </row>
    <row r="33" spans="1:124" ht="15" x14ac:dyDescent="0.25">
      <c r="B33" s="162" t="s">
        <v>269</v>
      </c>
      <c r="C33" s="7">
        <f>-'7. Aquaculture systems - Cages'!F7/1.5</f>
        <v>-2720000</v>
      </c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86"/>
      <c r="P33" s="344"/>
      <c r="Q33" s="344"/>
      <c r="R33" s="344"/>
      <c r="S33" s="344"/>
      <c r="T33" s="344"/>
      <c r="U33" s="344"/>
      <c r="V33" s="344"/>
      <c r="W33" s="344"/>
      <c r="X33" s="108"/>
      <c r="Y33" s="108"/>
      <c r="Z33" s="108"/>
      <c r="AA33" s="110"/>
      <c r="AB33" s="344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10"/>
      <c r="AN33" s="109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10"/>
      <c r="AZ33" s="109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10"/>
      <c r="BL33" s="109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10"/>
      <c r="BX33" s="109"/>
      <c r="BY33" s="108">
        <f>$C$33*BY6</f>
        <v>-3924356.8442371064</v>
      </c>
      <c r="BZ33" s="108"/>
      <c r="CA33" s="108"/>
      <c r="CB33" s="108"/>
      <c r="CC33" s="108"/>
      <c r="CD33" s="108"/>
      <c r="CE33" s="108"/>
      <c r="CF33" s="108"/>
      <c r="CG33" s="108"/>
      <c r="CH33" s="108"/>
      <c r="CI33" s="110"/>
      <c r="CJ33" s="109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10"/>
      <c r="CV33" s="109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10"/>
      <c r="DH33" s="109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10"/>
    </row>
    <row r="34" spans="1:124" ht="15" x14ac:dyDescent="0.25">
      <c r="B34" s="162"/>
      <c r="C34" s="7"/>
      <c r="D34" s="492"/>
      <c r="E34" s="492"/>
      <c r="F34" s="492"/>
      <c r="G34" s="492"/>
      <c r="H34" s="492"/>
      <c r="I34" s="492"/>
      <c r="J34" s="492"/>
      <c r="K34" s="492"/>
      <c r="L34" s="492"/>
      <c r="M34" s="492"/>
      <c r="N34" s="492"/>
      <c r="O34" s="689"/>
      <c r="P34" s="1186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607"/>
      <c r="AB34" s="1186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607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607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607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607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607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607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607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607"/>
    </row>
    <row r="35" spans="1:124" ht="15.75" x14ac:dyDescent="0.25">
      <c r="A35" s="127"/>
      <c r="B35" s="168" t="s">
        <v>198</v>
      </c>
      <c r="D35" s="736"/>
      <c r="E35" s="736"/>
      <c r="F35" s="745"/>
      <c r="G35" s="736"/>
      <c r="H35" s="736"/>
      <c r="I35" s="736"/>
      <c r="J35" s="736"/>
      <c r="K35" s="736"/>
      <c r="L35" s="736"/>
      <c r="M35" s="736"/>
      <c r="N35" s="736"/>
      <c r="O35" s="737"/>
      <c r="P35" s="1187"/>
      <c r="Q35" s="693"/>
      <c r="R35" s="205"/>
      <c r="S35" s="3"/>
      <c r="T35" s="3"/>
      <c r="U35" s="3"/>
      <c r="V35" s="3"/>
      <c r="W35" s="3"/>
      <c r="X35" s="3"/>
      <c r="Y35" s="3"/>
      <c r="Z35" s="3"/>
      <c r="AA35" s="500"/>
      <c r="AB35" s="788"/>
      <c r="AC35" s="3"/>
      <c r="AD35" s="205"/>
      <c r="AE35" s="3"/>
      <c r="AF35" s="3"/>
      <c r="AG35" s="3"/>
      <c r="AH35" s="3"/>
      <c r="AI35" s="3"/>
      <c r="AJ35" s="3"/>
      <c r="AK35" s="3"/>
      <c r="AL35" s="3"/>
      <c r="AM35" s="500"/>
      <c r="AN35" s="3"/>
      <c r="AO35" s="3"/>
      <c r="AP35" s="205"/>
      <c r="AQ35" s="3"/>
      <c r="AR35" s="3"/>
      <c r="AS35" s="3"/>
      <c r="AT35" s="3"/>
      <c r="AU35" s="3"/>
      <c r="AV35" s="3"/>
      <c r="AW35" s="3"/>
      <c r="AX35" s="3"/>
      <c r="AY35" s="500"/>
      <c r="AZ35" s="3"/>
      <c r="BA35" s="3"/>
      <c r="BB35" s="205"/>
      <c r="BC35" s="3"/>
      <c r="BD35" s="3"/>
      <c r="BE35" s="3"/>
      <c r="BF35" s="3"/>
      <c r="BG35" s="3"/>
      <c r="BH35" s="3"/>
      <c r="BI35" s="3"/>
      <c r="BJ35" s="3"/>
      <c r="BK35" s="500"/>
      <c r="BL35" s="3"/>
      <c r="BM35" s="3"/>
      <c r="BN35" s="205"/>
      <c r="BO35" s="3"/>
      <c r="BP35" s="3"/>
      <c r="BQ35" s="3"/>
      <c r="BR35" s="3"/>
      <c r="BS35" s="3"/>
      <c r="BT35" s="3"/>
      <c r="BU35" s="3"/>
      <c r="BV35" s="3"/>
      <c r="BW35" s="500"/>
      <c r="BX35" s="3"/>
      <c r="BY35" s="3"/>
      <c r="BZ35" s="205"/>
      <c r="CA35" s="3"/>
      <c r="CB35" s="3"/>
      <c r="CC35" s="3"/>
      <c r="CD35" s="3"/>
      <c r="CE35" s="3"/>
      <c r="CF35" s="3"/>
      <c r="CG35" s="3"/>
      <c r="CH35" s="3"/>
      <c r="CI35" s="500"/>
      <c r="CJ35" s="3"/>
      <c r="CK35" s="3"/>
      <c r="CL35" s="205"/>
      <c r="CM35" s="3"/>
      <c r="CN35" s="3"/>
      <c r="CO35" s="3"/>
      <c r="CP35" s="3"/>
      <c r="CQ35" s="3"/>
      <c r="CR35" s="3"/>
      <c r="CS35" s="3"/>
      <c r="CT35" s="3"/>
      <c r="CU35" s="500"/>
      <c r="CV35" s="3"/>
      <c r="CW35" s="3"/>
      <c r="CX35" s="205"/>
      <c r="CY35" s="3"/>
      <c r="CZ35" s="3"/>
      <c r="DA35" s="3"/>
      <c r="DB35" s="3"/>
      <c r="DC35" s="3"/>
      <c r="DD35" s="3"/>
      <c r="DE35" s="3"/>
      <c r="DF35" s="3"/>
      <c r="DG35" s="500"/>
      <c r="DH35" s="3"/>
      <c r="DI35" s="3"/>
      <c r="DJ35" s="205"/>
      <c r="DK35" s="3"/>
      <c r="DL35" s="3"/>
      <c r="DM35" s="3"/>
      <c r="DN35" s="3"/>
      <c r="DO35" s="3"/>
      <c r="DP35" s="3"/>
      <c r="DQ35" s="3"/>
      <c r="DR35" s="3"/>
      <c r="DS35" s="500"/>
    </row>
    <row r="36" spans="1:124" ht="15" x14ac:dyDescent="0.25">
      <c r="B36" s="169" t="s">
        <v>199</v>
      </c>
      <c r="C36" s="7"/>
      <c r="D36" s="403"/>
      <c r="E36" s="403"/>
      <c r="F36" s="403"/>
      <c r="G36" s="403"/>
      <c r="H36" s="403"/>
      <c r="I36" s="403"/>
      <c r="J36" s="403"/>
      <c r="K36" s="403">
        <f>-(Production!L5/1000)*Assumptions!$C$55</f>
        <v>0</v>
      </c>
      <c r="L36" s="403">
        <f>-(Production!M5/1000)*Assumptions!$C$55</f>
        <v>0</v>
      </c>
      <c r="M36" s="403">
        <f>-(Production!N5/1000)*Assumptions!$C$55</f>
        <v>0</v>
      </c>
      <c r="N36" s="403">
        <f>-(Production!O5/1000)*Assumptions!$C$55</f>
        <v>0</v>
      </c>
      <c r="O36" s="486">
        <f>-(Production!P5/1000)*Assumptions!$C$55</f>
        <v>0</v>
      </c>
      <c r="P36" s="344">
        <f>-(Production!Q5/1000)*Assumptions!$C$55</f>
        <v>0</v>
      </c>
      <c r="Q36" s="108">
        <f>-(Production!R5/1000)*Assumptions!$C$55</f>
        <v>0</v>
      </c>
      <c r="R36" s="108">
        <f>-(Production!S5/1000)*Assumptions!$C$55</f>
        <v>-600000</v>
      </c>
      <c r="S36" s="108">
        <f>-(Production!T5/1000)*Assumptions!$C$55*S6</f>
        <v>0</v>
      </c>
      <c r="T36" s="108">
        <f>-(Production!U5/1000)*Assumptions!$C$55</f>
        <v>0</v>
      </c>
      <c r="U36" s="108">
        <f>-(Production!V5/1000)*Assumptions!$C$55</f>
        <v>0</v>
      </c>
      <c r="V36" s="108">
        <f>-(Production!W5/1000)*Assumptions!$C$55</f>
        <v>0</v>
      </c>
      <c r="W36" s="108">
        <f>-(Production!X5/1000)*Assumptions!$C$55</f>
        <v>0</v>
      </c>
      <c r="X36" s="108">
        <f>-(Production!Y5/1000)*Assumptions!$C$55</f>
        <v>0</v>
      </c>
      <c r="Y36" s="108">
        <f>-(Production!Z5/1000)*Assumptions!$C$55</f>
        <v>0</v>
      </c>
      <c r="Z36" s="108">
        <f>-(Production!AA5/1000)*Assumptions!$C$55</f>
        <v>0</v>
      </c>
      <c r="AA36" s="110">
        <f>-(Production!AB5/1000)*Assumptions!$C$55</f>
        <v>0</v>
      </c>
      <c r="AB36" s="344">
        <f>-(Production!AC5/1000)*Assumptions!$C$55</f>
        <v>0</v>
      </c>
      <c r="AC36" s="108">
        <f>-(Production!AD5/1000)*Assumptions!$C$55</f>
        <v>0</v>
      </c>
      <c r="AD36" s="108">
        <f>-(Production!AE5/1000)*Assumptions!$C$55</f>
        <v>-600000</v>
      </c>
      <c r="AE36" s="108">
        <f>-(Production!AF5/1000)*Assumptions!$C$55</f>
        <v>0</v>
      </c>
      <c r="AF36" s="108">
        <f>-(Production!AG5/1000)*Assumptions!$C$55</f>
        <v>0</v>
      </c>
      <c r="AG36" s="108">
        <f>-(Production!AH5/1000)*Assumptions!$C$55</f>
        <v>0</v>
      </c>
      <c r="AH36" s="108">
        <f>-(Production!AI5/1000)*Assumptions!$C$55</f>
        <v>0</v>
      </c>
      <c r="AI36" s="108">
        <f>-(Production!AJ5/1000)*Assumptions!$C$55</f>
        <v>0</v>
      </c>
      <c r="AJ36" s="108">
        <f>-(Production!AK5/1000)*Assumptions!$C$55</f>
        <v>0</v>
      </c>
      <c r="AK36" s="108">
        <f>-(Production!AL5/1000)*Assumptions!$C$55</f>
        <v>0</v>
      </c>
      <c r="AL36" s="108">
        <f>-(Production!AM5/1000)*Assumptions!$C$55</f>
        <v>0</v>
      </c>
      <c r="AM36" s="110">
        <f>-(Production!AN5/1000)*Assumptions!$C$55</f>
        <v>0</v>
      </c>
      <c r="AN36" s="109">
        <f>-(Production!AO5/1000)*Assumptions!$C$55</f>
        <v>0</v>
      </c>
      <c r="AO36" s="108">
        <f>-(Production!AP5/1000)*Assumptions!$C$55</f>
        <v>0</v>
      </c>
      <c r="AP36" s="108">
        <f>-(Production!AQ5/1000)*Assumptions!$C$55</f>
        <v>-600000</v>
      </c>
      <c r="AQ36" s="108">
        <f>-(Production!AR5/1000)*Assumptions!$C$55</f>
        <v>0</v>
      </c>
      <c r="AR36" s="108">
        <f>-(Production!AS5/1000)*Assumptions!$C$55</f>
        <v>0</v>
      </c>
      <c r="AS36" s="108">
        <f>-(Production!AT5/1000)*Assumptions!$C$55</f>
        <v>0</v>
      </c>
      <c r="AT36" s="108">
        <f>-(Production!AU5/1000)*Assumptions!$C$55</f>
        <v>0</v>
      </c>
      <c r="AU36" s="108">
        <f>-(Production!AV5/1000)*Assumptions!$C$55</f>
        <v>0</v>
      </c>
      <c r="AV36" s="108">
        <f>-(Production!AW5/1000)*Assumptions!$C$55</f>
        <v>0</v>
      </c>
      <c r="AW36" s="108">
        <f>-(Production!AX5/1000)*Assumptions!$C$55</f>
        <v>0</v>
      </c>
      <c r="AX36" s="108">
        <f>-(Production!AY5/1000)*Assumptions!$C$55</f>
        <v>0</v>
      </c>
      <c r="AY36" s="110">
        <f>-(Production!AZ5/1000)*Assumptions!$C$55</f>
        <v>0</v>
      </c>
      <c r="AZ36" s="109">
        <f>-(Production!BA5/1000)*Assumptions!$C$55</f>
        <v>0</v>
      </c>
      <c r="BA36" s="108">
        <f>-(Production!BB5/1000)*Assumptions!$C$55</f>
        <v>0</v>
      </c>
      <c r="BB36" s="108">
        <f>-(Production!BC5/1000)*Assumptions!$C$55</f>
        <v>-600000</v>
      </c>
      <c r="BC36" s="108">
        <f>-(Production!BD5/1000)*Assumptions!$C$55</f>
        <v>0</v>
      </c>
      <c r="BD36" s="108">
        <f>-(Production!BE5/1000)*Assumptions!$C$55</f>
        <v>0</v>
      </c>
      <c r="BE36" s="108">
        <f>-(Production!BF5/1000)*Assumptions!$C$55</f>
        <v>0</v>
      </c>
      <c r="BF36" s="108">
        <f>-(Production!BG5/1000)*Assumptions!$C$55</f>
        <v>0</v>
      </c>
      <c r="BG36" s="108">
        <f>-(Production!BH5/1000)*Assumptions!$C$55</f>
        <v>0</v>
      </c>
      <c r="BH36" s="108">
        <f>-(Production!BI5/1000)*Assumptions!$C$55</f>
        <v>0</v>
      </c>
      <c r="BI36" s="108">
        <f>-(Production!BJ5/1000)*Assumptions!$C$55</f>
        <v>0</v>
      </c>
      <c r="BJ36" s="108">
        <f>-(Production!BK5/1000)*Assumptions!$C$55</f>
        <v>0</v>
      </c>
      <c r="BK36" s="110">
        <f>-(Production!BL5/1000)*Assumptions!$C$55</f>
        <v>0</v>
      </c>
      <c r="BL36" s="109">
        <f>-(Production!BM5/1000)*Assumptions!$C$55</f>
        <v>0</v>
      </c>
      <c r="BM36" s="108">
        <f>-(Production!BN5/1000)*Assumptions!$C$55</f>
        <v>0</v>
      </c>
      <c r="BN36" s="108">
        <f>-(Production!BO5/1000)*Assumptions!$C$55</f>
        <v>-600000</v>
      </c>
      <c r="BO36" s="108">
        <f>-(Production!BP5/1000)*Assumptions!$C$55</f>
        <v>0</v>
      </c>
      <c r="BP36" s="108">
        <f>-(Production!BQ5/1000)*Assumptions!$C$55</f>
        <v>0</v>
      </c>
      <c r="BQ36" s="108">
        <f>-(Production!BR5/1000)*Assumptions!$C$55</f>
        <v>0</v>
      </c>
      <c r="BR36" s="108">
        <f>-(Production!BS5/1000)*Assumptions!$C$55</f>
        <v>0</v>
      </c>
      <c r="BS36" s="108">
        <f>-(Production!BT5/1000)*Assumptions!$C$55</f>
        <v>0</v>
      </c>
      <c r="BT36" s="108">
        <f>-(Production!BU5/1000)*Assumptions!$C$55</f>
        <v>0</v>
      </c>
      <c r="BU36" s="108">
        <f>-(Production!BV5/1000)*Assumptions!$C$55</f>
        <v>0</v>
      </c>
      <c r="BV36" s="108">
        <f>-(Production!BW5/1000)*Assumptions!$C$55</f>
        <v>0</v>
      </c>
      <c r="BW36" s="110">
        <f>-(Production!BX5/1000)*Assumptions!$C$55</f>
        <v>0</v>
      </c>
      <c r="BX36" s="109">
        <f>-(Production!BY5/1000)*Assumptions!$C$55</f>
        <v>0</v>
      </c>
      <c r="BY36" s="108">
        <f>-(Production!BZ5/1000)*Assumptions!$C$55</f>
        <v>0</v>
      </c>
      <c r="BZ36" s="108">
        <f>-(Production!CA5/1000)*Assumptions!$C$55</f>
        <v>-600000</v>
      </c>
      <c r="CA36" s="108">
        <f>-(Production!CB5/1000)*Assumptions!$C$55</f>
        <v>0</v>
      </c>
      <c r="CB36" s="108">
        <f>-(Production!CC5/1000)*Assumptions!$C$55</f>
        <v>0</v>
      </c>
      <c r="CC36" s="108">
        <f>-(Production!CD5/1000)*Assumptions!$C$55</f>
        <v>0</v>
      </c>
      <c r="CD36" s="108">
        <f>-(Production!CE5/1000)*Assumptions!$C$55</f>
        <v>0</v>
      </c>
      <c r="CE36" s="108">
        <f>-(Production!CF5/1000)*Assumptions!$C$55</f>
        <v>0</v>
      </c>
      <c r="CF36" s="108">
        <f>-(Production!CG5/1000)*Assumptions!$C$55</f>
        <v>0</v>
      </c>
      <c r="CG36" s="108">
        <f>-(Production!CH5/1000)*Assumptions!$C$55</f>
        <v>0</v>
      </c>
      <c r="CH36" s="108">
        <f>-(Production!CI5/1000)*Assumptions!$C$55</f>
        <v>0</v>
      </c>
      <c r="CI36" s="110">
        <f>-(Production!CJ5/1000)*Assumptions!$C$55</f>
        <v>0</v>
      </c>
      <c r="CJ36" s="109">
        <f>-(Production!CK5/1000)*Assumptions!$C$55</f>
        <v>0</v>
      </c>
      <c r="CK36" s="108">
        <f>-(Production!CL5/1000)*Assumptions!$C$55</f>
        <v>0</v>
      </c>
      <c r="CL36" s="108">
        <f>-(Production!CM5/1000)*Assumptions!$C$55</f>
        <v>-600000</v>
      </c>
      <c r="CM36" s="108">
        <f>-(Production!CN5/1000)*Assumptions!$C$55</f>
        <v>0</v>
      </c>
      <c r="CN36" s="108">
        <f>-(Production!CO5/1000)*Assumptions!$C$55</f>
        <v>0</v>
      </c>
      <c r="CO36" s="108">
        <f>-(Production!CP5/1000)*Assumptions!$C$55</f>
        <v>0</v>
      </c>
      <c r="CP36" s="108">
        <f>-(Production!CQ5/1000)*Assumptions!$C$55</f>
        <v>0</v>
      </c>
      <c r="CQ36" s="108">
        <f>-(Production!CR5/1000)*Assumptions!$C$55</f>
        <v>0</v>
      </c>
      <c r="CR36" s="108">
        <f>-(Production!CS5/1000)*Assumptions!$C$55</f>
        <v>0</v>
      </c>
      <c r="CS36" s="108">
        <f>-(Production!CT5/1000)*Assumptions!$C$55</f>
        <v>0</v>
      </c>
      <c r="CT36" s="108">
        <f>-(Production!CU5/1000)*Assumptions!$C$55</f>
        <v>0</v>
      </c>
      <c r="CU36" s="110">
        <f>-(Production!CV5/1000)*Assumptions!$C$55</f>
        <v>0</v>
      </c>
      <c r="CV36" s="109">
        <f>-(Production!CW5/1000)*Assumptions!$C$55</f>
        <v>0</v>
      </c>
      <c r="CW36" s="108">
        <f>-(Production!CX5/1000)*Assumptions!$C$55</f>
        <v>0</v>
      </c>
      <c r="CX36" s="108">
        <f>-(Production!CY5/1000)*Assumptions!$C$55</f>
        <v>-600000</v>
      </c>
      <c r="CY36" s="108">
        <f>-(Production!CZ5/1000)*Assumptions!$C$55</f>
        <v>0</v>
      </c>
      <c r="CZ36" s="108">
        <f>-(Production!DA5/1000)*Assumptions!$C$55</f>
        <v>0</v>
      </c>
      <c r="DA36" s="108">
        <f>-(Production!DB5/1000)*Assumptions!$C$55</f>
        <v>0</v>
      </c>
      <c r="DB36" s="108">
        <f>-(Production!DC5/1000)*Assumptions!$C$55</f>
        <v>0</v>
      </c>
      <c r="DC36" s="108">
        <f>-(Production!DD5/1000)*Assumptions!$C$55</f>
        <v>0</v>
      </c>
      <c r="DD36" s="108">
        <f>-(Production!DE5/1000)*Assumptions!$C$55</f>
        <v>0</v>
      </c>
      <c r="DE36" s="108">
        <f>-(Production!DF5/1000)*Assumptions!$C$55</f>
        <v>0</v>
      </c>
      <c r="DF36" s="108">
        <f>-(Production!DG5/1000)*Assumptions!$C$55</f>
        <v>0</v>
      </c>
      <c r="DG36" s="110">
        <f>-(Production!DH5/1000)*Assumptions!$C$55</f>
        <v>0</v>
      </c>
      <c r="DH36" s="109">
        <f>-(Production!DI5/1000)*Assumptions!$C$55</f>
        <v>0</v>
      </c>
      <c r="DI36" s="108">
        <f>-(Production!DJ5/1000)*Assumptions!$C$55</f>
        <v>0</v>
      </c>
      <c r="DJ36" s="108">
        <f>-(Production!DK5/1000)*Assumptions!$C$55</f>
        <v>-600000</v>
      </c>
      <c r="DK36" s="108">
        <f>-(Production!DL5/1000)*Assumptions!$C$55</f>
        <v>0</v>
      </c>
      <c r="DL36" s="108">
        <f>-(Production!DM5/1000)*Assumptions!$C$55</f>
        <v>0</v>
      </c>
      <c r="DM36" s="108">
        <f>-(Production!DN5/1000)*Assumptions!$C$55</f>
        <v>0</v>
      </c>
      <c r="DN36" s="108">
        <f>-(Production!DO5/1000)*Assumptions!$C$55</f>
        <v>0</v>
      </c>
      <c r="DO36" s="108">
        <f>-(Production!DP5/1000)*Assumptions!$C$55</f>
        <v>0</v>
      </c>
      <c r="DP36" s="108">
        <f>-(Production!DQ5/1000)*Assumptions!$C$55</f>
        <v>0</v>
      </c>
      <c r="DQ36" s="108">
        <f>-(Production!DR5/1000)*Assumptions!$C$55</f>
        <v>0</v>
      </c>
      <c r="DR36" s="108">
        <f>-(Production!DS5/1000)*Assumptions!$C$55</f>
        <v>0</v>
      </c>
      <c r="DS36" s="110">
        <f>-(Production!DT5/1000)*Assumptions!$C$55</f>
        <v>0</v>
      </c>
    </row>
    <row r="37" spans="1:124" ht="15.75" x14ac:dyDescent="0.25">
      <c r="A37" s="127"/>
      <c r="B37" s="162" t="s">
        <v>1383</v>
      </c>
      <c r="C37" s="7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86"/>
      <c r="P37" s="344"/>
      <c r="Q37" s="344"/>
      <c r="R37" s="344"/>
      <c r="S37" s="344"/>
      <c r="T37" s="344"/>
      <c r="U37" s="344">
        <f>-Production!V8*Feed!$F$3*'3. Variable Costs'!U6</f>
        <v>-28689.163628939328</v>
      </c>
      <c r="V37" s="344">
        <f>-Production!W8*Feed!$F$3*'3. Variable Costs'!V6</f>
        <v>-54692.430629969109</v>
      </c>
      <c r="W37" s="344">
        <f>-Production!X8*Feed!$F$3*'3. Variable Costs'!W6</f>
        <v>-122268.61809660385</v>
      </c>
      <c r="X37" s="344">
        <f>-Production!Y8*Feed!$F$3*'3. Variable Costs'!X6</f>
        <v>-138006.16340853859</v>
      </c>
      <c r="Y37" s="344">
        <f>-Production!Z8*Feed!$F$3*'3. Variable Costs'!Y6</f>
        <v>-198326.17355072423</v>
      </c>
      <c r="Z37" s="344">
        <f>-Production!AA8*Feed!$F$3*'3. Variable Costs'!Z6</f>
        <v>-245309.57407894201</v>
      </c>
      <c r="AA37" s="687">
        <f>-Production!AB8*Feed!$F$3*'3. Variable Costs'!AA6</f>
        <v>-304714.73541952978</v>
      </c>
      <c r="AB37" s="344">
        <f>-Production!AC8*Feed!$F$3*'3. Variable Costs'!AB6</f>
        <v>-666317.12795189454</v>
      </c>
      <c r="AC37" s="344">
        <f>-Production!AD8*Feed!$F$3*'3. Variable Costs'!AC6</f>
        <v>-268263.23201343592</v>
      </c>
      <c r="AD37" s="344">
        <f>-Production!AE8*Feed!$F$3*'3. Variable Costs'!AD6</f>
        <v>-144866.7658597113</v>
      </c>
      <c r="AE37" s="344">
        <f>-Production!AF8*Feed!$F$3*'3. Variable Costs'!AE6</f>
        <v>-158097.07830653884</v>
      </c>
      <c r="AF37" s="344">
        <f>-Production!AG8*Feed!$F$3*'3. Variable Costs'!AF6</f>
        <v>-87044.101192371221</v>
      </c>
      <c r="AG37" s="344">
        <f>-Production!AH8*Feed!$F$3*'3. Variable Costs'!AG6</f>
        <v>-128383.837374055</v>
      </c>
      <c r="AH37" s="344">
        <f>-Production!AI8*Feed!$F$3*'3. Variable Costs'!AH6</f>
        <v>-301162.10226380447</v>
      </c>
      <c r="AI37" s="344">
        <f>-Production!AJ8*Feed!$F$3*'3. Variable Costs'!AI6</f>
        <v>-129971.54103668987</v>
      </c>
      <c r="AJ37" s="344">
        <f>-Production!AK8*Feed!$F$3*'3. Variable Costs'!AJ6</f>
        <v>-146700.55170327652</v>
      </c>
      <c r="AK37" s="344">
        <f>-Production!AL8*Feed!$F$3*'3. Variable Costs'!AK6</f>
        <v>-210820.72248441982</v>
      </c>
      <c r="AL37" s="344">
        <f>-Production!AM8*Feed!$F$3*'3. Variable Costs'!AL6</f>
        <v>-260764.07724591531</v>
      </c>
      <c r="AM37" s="687">
        <f>-Production!AN8*Feed!$F$3*'3. Variable Costs'!AM6</f>
        <v>-323911.76375096012</v>
      </c>
      <c r="AN37" s="109">
        <f>-Production!AO8*Feed!$F$3*'3. Variable Costs'!AN6</f>
        <v>-708295.10701286397</v>
      </c>
      <c r="AO37" s="344">
        <f>-Production!AP8*Feed!$F$3*'3. Variable Costs'!AO6</f>
        <v>-285163.81563028233</v>
      </c>
      <c r="AP37" s="344">
        <f>-Production!AQ8*Feed!$F$3*'3. Variable Costs'!AP6</f>
        <v>-153993.37210887313</v>
      </c>
      <c r="AQ37" s="344">
        <f>-Production!AR8*Feed!$F$3*'3. Variable Costs'!AQ6</f>
        <v>-168057.19423985077</v>
      </c>
      <c r="AR37" s="344">
        <f>-Production!AS8*Feed!$F$3*'3. Variable Costs'!AR6</f>
        <v>-92527.879567490614</v>
      </c>
      <c r="AS37" s="344">
        <f>-Production!AT8*Feed!$F$3*'3. Variable Costs'!AS6</f>
        <v>-136472.01912862045</v>
      </c>
      <c r="AT37" s="344">
        <f>-Production!AU8*Feed!$F$3*'3. Variable Costs'!AT6</f>
        <v>-320135.31470642408</v>
      </c>
      <c r="AU37" s="344">
        <f>-Production!AV8*Feed!$F$3*'3. Variable Costs'!AU6</f>
        <v>-138159.74812200133</v>
      </c>
      <c r="AV37" s="344">
        <f>-Production!AW8*Feed!$F$3*'3. Variable Costs'!AV6</f>
        <v>-155942.68646058292</v>
      </c>
      <c r="AW37" s="344">
        <f>-Production!AX8*Feed!$F$3*'3. Variable Costs'!AW6</f>
        <v>-224102.42800093826</v>
      </c>
      <c r="AX37" s="344">
        <f>-Production!AY8*Feed!$F$3*'3. Variable Costs'!AX6</f>
        <v>-277192.21411240794</v>
      </c>
      <c r="AY37" s="687">
        <f>-Production!AZ8*Feed!$F$3*'3. Variable Costs'!AY6</f>
        <v>-344318.20486727054</v>
      </c>
      <c r="AZ37" s="109">
        <f>-Production!BA8*Feed!$F$3*'3. Variable Costs'!AZ6</f>
        <v>-752917.69875467429</v>
      </c>
      <c r="BA37" s="344">
        <f>-Production!BB8*Feed!$F$3*'3. Variable Costs'!BA6</f>
        <v>-303129.1360149901</v>
      </c>
      <c r="BB37" s="344">
        <f>-Production!BC8*Feed!$F$3*'3. Variable Costs'!BB6</f>
        <v>-163694.95455173211</v>
      </c>
      <c r="BC37" s="344">
        <f>-Production!BD8*Feed!$F$3*'3. Variable Costs'!BC6</f>
        <v>-178644.79747696136</v>
      </c>
      <c r="BD37" s="344">
        <f>-Production!BE8*Feed!$F$3*'3. Variable Costs'!BD6</f>
        <v>-98357.135980242514</v>
      </c>
      <c r="BE37" s="344">
        <f>-Production!BF8*Feed!$F$3*'3. Variable Costs'!BE6</f>
        <v>-145069.75633372352</v>
      </c>
      <c r="BF37" s="344">
        <f>-Production!BG8*Feed!$F$3*'3. Variable Costs'!BF6</f>
        <v>-340303.83953292877</v>
      </c>
      <c r="BG37" s="344">
        <f>-Production!BH8*Feed!$F$3*'3. Variable Costs'!BG6</f>
        <v>-146863.81225368739</v>
      </c>
      <c r="BH37" s="344">
        <f>-Production!BI8*Feed!$F$3*'3. Variable Costs'!BH6</f>
        <v>-165767.07570759964</v>
      </c>
      <c r="BI37" s="344">
        <f>-Production!BJ8*Feed!$F$3*'3. Variable Costs'!BI6</f>
        <v>-238220.88096499734</v>
      </c>
      <c r="BJ37" s="344">
        <f>-Production!BK8*Feed!$F$3*'3. Variable Costs'!BJ6</f>
        <v>-294655.32360148965</v>
      </c>
      <c r="BK37" s="687">
        <f>-Production!BL8*Feed!$F$3*'3. Variable Costs'!BK6</f>
        <v>-366010.25177390856</v>
      </c>
      <c r="BL37" s="109">
        <f>-Production!BM8*Feed!$F$3*'3. Variable Costs'!BL6</f>
        <v>-800351.51377621875</v>
      </c>
      <c r="BM37" s="344">
        <f>-Production!BN8*Feed!$F$3*'3. Variable Costs'!BM6</f>
        <v>-322226.27158393449</v>
      </c>
      <c r="BN37" s="344">
        <f>-Production!BO8*Feed!$F$3*'3. Variable Costs'!BN6</f>
        <v>-174007.73668849122</v>
      </c>
      <c r="BO37" s="344">
        <f>-Production!BP8*Feed!$F$3*'3. Variable Costs'!BO6</f>
        <v>-189899.41971800991</v>
      </c>
      <c r="BP37" s="344">
        <f>-Production!BQ8*Feed!$F$3*'3. Variable Costs'!BP6</f>
        <v>-104553.63554699779</v>
      </c>
      <c r="BQ37" s="344">
        <f>-Production!BR8*Feed!$F$3*'3. Variable Costs'!BQ6</f>
        <v>-154209.15098274811</v>
      </c>
      <c r="BR37" s="344">
        <f>-Production!BS8*Feed!$F$3*'3. Variable Costs'!BR6</f>
        <v>-361742.98142350325</v>
      </c>
      <c r="BS37" s="344">
        <f>-Production!BT8*Feed!$F$3*'3. Variable Costs'!BS6</f>
        <v>-156116.2324256697</v>
      </c>
      <c r="BT37" s="344">
        <f>-Production!BU8*Feed!$F$3*'3. Variable Costs'!BT6</f>
        <v>-176210.40147717838</v>
      </c>
      <c r="BU37" s="344">
        <f>-Production!BV8*Feed!$F$3*'3. Variable Costs'!BU6</f>
        <v>-253228.79646579217</v>
      </c>
      <c r="BV37" s="344">
        <f>-Production!BW8*Feed!$F$3*'3. Variable Costs'!BV6</f>
        <v>-313218.60898838344</v>
      </c>
      <c r="BW37" s="687">
        <f>-Production!BX8*Feed!$F$3*'3. Variable Costs'!BW6</f>
        <v>-389068.89763566479</v>
      </c>
      <c r="BX37" s="109">
        <f>-Production!BY8*Feed!$F$3*'3. Variable Costs'!BX6</f>
        <v>-850773.65914412052</v>
      </c>
      <c r="BY37" s="344">
        <f>-Production!BZ8*Feed!$F$3*'3. Variable Costs'!BY6</f>
        <v>-342526.52669372235</v>
      </c>
      <c r="BZ37" s="344">
        <f>-Production!CA8*Feed!$F$3*'3. Variable Costs'!BZ6</f>
        <v>-184970.22409986617</v>
      </c>
      <c r="CA37" s="344">
        <f>-Production!CB8*Feed!$F$3*'3. Variable Costs'!CA6</f>
        <v>-201863.08316024454</v>
      </c>
      <c r="CB37" s="344">
        <f>-Production!CC8*Feed!$F$3*'3. Variable Costs'!CB6</f>
        <v>-111140.51458645864</v>
      </c>
      <c r="CC37" s="344">
        <f>-Production!CD8*Feed!$F$3*'3. Variable Costs'!CC6</f>
        <v>-163924.32749466124</v>
      </c>
      <c r="CD37" s="344">
        <f>-Production!CE8*Feed!$F$3*'3. Variable Costs'!CD6</f>
        <v>-384532.78925318399</v>
      </c>
      <c r="CE37" s="344">
        <f>-Production!CF8*Feed!$F$3*'3. Variable Costs'!CE6</f>
        <v>-165951.55506848689</v>
      </c>
      <c r="CF37" s="344">
        <f>-Production!CG8*Feed!$F$3*'3. Variable Costs'!CF6</f>
        <v>-187311.65677024063</v>
      </c>
      <c r="CG37" s="344">
        <f>-Production!CH8*Feed!$F$3*'3. Variable Costs'!CG6</f>
        <v>-269182.21064313705</v>
      </c>
      <c r="CH37" s="344">
        <f>-Production!CI8*Feed!$F$3*'3. Variable Costs'!CH6</f>
        <v>-332951.38135465165</v>
      </c>
      <c r="CI37" s="687">
        <f>-Production!CJ8*Feed!$F$3*'3. Variable Costs'!CI6</f>
        <v>-413580.23818671168</v>
      </c>
      <c r="CJ37" s="109">
        <f>-Production!CK8*Feed!$F$3*'3. Variable Costs'!CJ6</f>
        <v>-904372.39967020007</v>
      </c>
      <c r="CK37" s="344">
        <f>-Production!CL8*Feed!$F$3*'3. Variable Costs'!CK6</f>
        <v>-364105.69787542685</v>
      </c>
      <c r="CL37" s="344">
        <f>-Production!CM8*Feed!$F$3*'3. Variable Costs'!CL6</f>
        <v>-196623.34821815774</v>
      </c>
      <c r="CM37" s="344">
        <f>-Production!CN8*Feed!$F$3*'3. Variable Costs'!CM6</f>
        <v>-214580.45739933994</v>
      </c>
      <c r="CN37" s="344">
        <f>-Production!CO8*Feed!$F$3*'3. Variable Costs'!CN6</f>
        <v>-118142.36700540553</v>
      </c>
      <c r="CO37" s="344">
        <f>-Production!CP8*Feed!$F$3*'3. Variable Costs'!CO6</f>
        <v>-174251.56012682489</v>
      </c>
      <c r="CP37" s="344">
        <f>-Production!CQ8*Feed!$F$3*'3. Variable Costs'!CP6</f>
        <v>-408758.35497613455</v>
      </c>
      <c r="CQ37" s="344">
        <f>-Production!CR8*Feed!$F$3*'3. Variable Costs'!CQ6</f>
        <v>-176406.50303780157</v>
      </c>
      <c r="CR37" s="344">
        <f>-Production!CS8*Feed!$F$3*'3. Variable Costs'!CR6</f>
        <v>-199112.29114676578</v>
      </c>
      <c r="CS37" s="344">
        <f>-Production!CT8*Feed!$F$3*'3. Variable Costs'!CS6</f>
        <v>-286140.6899136547</v>
      </c>
      <c r="CT37" s="344">
        <f>-Production!CU8*Feed!$F$3*'3. Variable Costs'!CT6</f>
        <v>-353927.31837999466</v>
      </c>
      <c r="CU37" s="687">
        <f>-Production!CV8*Feed!$F$3*'3. Variable Costs'!CU6</f>
        <v>-439635.79319247452</v>
      </c>
      <c r="CV37" s="109">
        <f>-Production!CW8*Feed!$F$3*'3. Variable Costs'!CV6</f>
        <v>-961347.86084942252</v>
      </c>
      <c r="CW37" s="344">
        <f>-Production!CX8*Feed!$F$3*'3. Variable Costs'!CW6</f>
        <v>-387044.35684157873</v>
      </c>
      <c r="CX37" s="344">
        <f>-Production!CY8*Feed!$F$3*'3. Variable Costs'!CX6</f>
        <v>-209010.61915590166</v>
      </c>
      <c r="CY37" s="344">
        <f>-Production!CZ8*Feed!$F$3*'3. Variable Costs'!CY6</f>
        <v>-228099.02621549834</v>
      </c>
      <c r="CZ37" s="344">
        <f>-Production!DA8*Feed!$F$3*'3. Variable Costs'!CZ6</f>
        <v>-125585.33612674607</v>
      </c>
      <c r="DA37" s="344">
        <f>-Production!DB8*Feed!$F$3*'3. Variable Costs'!DA6</f>
        <v>-185229.40841481482</v>
      </c>
      <c r="DB37" s="344">
        <f>-Production!DC8*Feed!$F$3*'3. Variable Costs'!DB6</f>
        <v>-434510.13133963104</v>
      </c>
      <c r="DC37" s="344">
        <f>-Production!DD8*Feed!$F$3*'3. Variable Costs'!DC6</f>
        <v>-187520.11272918305</v>
      </c>
      <c r="DD37" s="344">
        <f>-Production!DE8*Feed!$F$3*'3. Variable Costs'!DD6</f>
        <v>-211656.36548901201</v>
      </c>
      <c r="DE37" s="344">
        <f>-Production!DF8*Feed!$F$3*'3. Variable Costs'!DE6</f>
        <v>-304167.55337821489</v>
      </c>
      <c r="DF37" s="344">
        <f>-Production!DG8*Feed!$F$3*'3. Variable Costs'!DF6</f>
        <v>-376224.7394379343</v>
      </c>
      <c r="DG37" s="687">
        <f>-Production!DH8*Feed!$F$3*'3. Variable Costs'!DG6</f>
        <v>-467332.84816360037</v>
      </c>
      <c r="DH37" s="109">
        <f>-Production!DI8*Feed!$F$3*'3. Variable Costs'!DH6</f>
        <v>-1021912.7760829362</v>
      </c>
      <c r="DI37" s="344">
        <f>-Production!DJ8*Feed!$F$3*'3. Variable Costs'!DI6</f>
        <v>-411428.15132259816</v>
      </c>
      <c r="DJ37" s="344">
        <f>-Production!DK8*Feed!$F$3*'3. Variable Costs'!DJ6</f>
        <v>-222178.28816272345</v>
      </c>
      <c r="DK37" s="344">
        <f>-Production!DL8*Feed!$F$3*'3. Variable Costs'!DK6</f>
        <v>-242469.26486707473</v>
      </c>
      <c r="DL37" s="344">
        <f>-Production!DM8*Feed!$F$3*'3. Variable Costs'!DL6</f>
        <v>-133497.21230273106</v>
      </c>
      <c r="DM37" s="344">
        <f>-Production!DN8*Feed!$F$3*'3. Variable Costs'!DM6</f>
        <v>-196898.86114494817</v>
      </c>
      <c r="DN37" s="344">
        <f>-Production!DO8*Feed!$F$3*'3. Variable Costs'!DN6</f>
        <v>-461884.26961402775</v>
      </c>
      <c r="DO37" s="344">
        <f>-Production!DP8*Feed!$F$3*'3. Variable Costs'!DO6</f>
        <v>-199333.87983112157</v>
      </c>
      <c r="DP37" s="344">
        <f>-Production!DQ8*Feed!$F$3*'3. Variable Costs'!DP6</f>
        <v>-224990.71651481977</v>
      </c>
      <c r="DQ37" s="344">
        <f>-Production!DR8*Feed!$F$3*'3. Variable Costs'!DQ6</f>
        <v>-323330.10924104246</v>
      </c>
      <c r="DR37" s="344">
        <f>-Production!DS8*Feed!$F$3*'3. Variable Costs'!DR6</f>
        <v>-399926.89802252414</v>
      </c>
      <c r="DS37" s="687">
        <f>-Production!DT8*Feed!$F$3*'3. Variable Costs'!DS6</f>
        <v>-496774.81759790715</v>
      </c>
    </row>
    <row r="38" spans="1:124" ht="15.75" x14ac:dyDescent="0.25">
      <c r="A38" s="127"/>
      <c r="B38" s="162" t="s">
        <v>1434</v>
      </c>
      <c r="C38" s="7"/>
      <c r="D38" s="403"/>
      <c r="E38" s="403"/>
      <c r="F38" s="403"/>
      <c r="G38" s="403"/>
      <c r="H38" s="403"/>
      <c r="I38" s="403"/>
      <c r="J38" s="403"/>
      <c r="K38" s="587"/>
      <c r="L38" s="587"/>
      <c r="M38" s="587"/>
      <c r="N38" s="587"/>
      <c r="O38" s="1305"/>
      <c r="P38" s="344"/>
      <c r="Q38" s="109"/>
      <c r="R38" s="109"/>
      <c r="S38" s="109"/>
      <c r="T38" s="109"/>
      <c r="U38" s="109">
        <f>-Production!V8*Feed!$I$9*U6</f>
        <v>-1909.9376250059975</v>
      </c>
      <c r="V38" s="109">
        <f>-Production!W8*Feed!$I$9*V6</f>
        <v>-3641.0657492238101</v>
      </c>
      <c r="W38" s="109">
        <f>-Production!X8*Feed!$I$9*W6</f>
        <v>-8139.848100159712</v>
      </c>
      <c r="X38" s="109">
        <f>-Production!Y8*Feed!$I$9*X6</f>
        <v>-9187.5513481617236</v>
      </c>
      <c r="Y38" s="109">
        <f>-Production!Z8*Feed!$I$9*Y6</f>
        <v>-13203.264681648088</v>
      </c>
      <c r="Z38" s="109">
        <f>-Production!AA8*Feed!$I$9*Z6</f>
        <v>-16331.113425521957</v>
      </c>
      <c r="AA38" s="695">
        <f>-Production!AB8*Feed!$I$9*AA6</f>
        <v>-20285.922085384416</v>
      </c>
      <c r="AB38" s="344">
        <f>-Production!AC8*Feed!$I$9*AB6</f>
        <v>-44359.053798889334</v>
      </c>
      <c r="AC38" s="109">
        <f>-Production!AD8*Feed!$I$9*AC6</f>
        <v>-17859.218444114587</v>
      </c>
      <c r="AD38" s="109">
        <f>-Production!AE8*Feed!$I$9*AD6</f>
        <v>-9644.2855674362654</v>
      </c>
      <c r="AE38" s="109">
        <f>-Production!AF8*Feed!$I$9*AE6</f>
        <v>-10525.073584110673</v>
      </c>
      <c r="AF38" s="109">
        <f>-Production!AG8*Feed!$I$9*AF6</f>
        <v>-5794.8292272431654</v>
      </c>
      <c r="AG38" s="109">
        <f>-Production!AH8*Feed!$I$9*AG6</f>
        <v>-8546.9595633668305</v>
      </c>
      <c r="AH38" s="109">
        <f>-Production!AI8*Feed!$I$9*AH6</f>
        <v>-20049.410912743635</v>
      </c>
      <c r="AI38" s="109">
        <f>-Production!AJ8*Feed!$I$9*AI6</f>
        <v>-8652.6585304697728</v>
      </c>
      <c r="AJ38" s="109">
        <f>-Production!AK8*Feed!$I$9*AJ6</f>
        <v>-9766.3670830959109</v>
      </c>
      <c r="AK38" s="109">
        <f>-Production!AL8*Feed!$I$9*AK6</f>
        <v>-14035.070356591916</v>
      </c>
      <c r="AL38" s="109">
        <f>-Production!AM8*Feed!$I$9*AL6</f>
        <v>-17359.973571329836</v>
      </c>
      <c r="AM38" s="695">
        <f>-Production!AN8*Feed!$I$9*AM6</f>
        <v>-21563.935176763629</v>
      </c>
      <c r="AN38" s="109">
        <f>-Production!AO8*Feed!$I$9*AN6</f>
        <v>-47153.67418821936</v>
      </c>
      <c r="AO38" s="109">
        <f>-Production!AP8*Feed!$I$9*AO6</f>
        <v>-18984.349206093808</v>
      </c>
      <c r="AP38" s="109">
        <f>-Production!AQ8*Feed!$I$9*AP6</f>
        <v>-10251.875558184749</v>
      </c>
      <c r="AQ38" s="109">
        <f>-Production!AR8*Feed!$I$9*AQ6</f>
        <v>-11188.153219909645</v>
      </c>
      <c r="AR38" s="109">
        <f>-Production!AS8*Feed!$I$9*AR6</f>
        <v>-6159.9034685594843</v>
      </c>
      <c r="AS38" s="109">
        <f>-Production!AT8*Feed!$I$9*AS6</f>
        <v>-9085.4180158589388</v>
      </c>
      <c r="AT38" s="109">
        <f>-Production!AU8*Feed!$I$9*AT6</f>
        <v>-21312.523800246483</v>
      </c>
      <c r="AU38" s="109">
        <f>-Production!AV8*Feed!$I$9*AU6</f>
        <v>-9197.7760178893677</v>
      </c>
      <c r="AV38" s="109">
        <f>-Production!AW8*Feed!$I$9*AV6</f>
        <v>-10381.648209330953</v>
      </c>
      <c r="AW38" s="109">
        <f>-Production!AX8*Feed!$I$9*AW6</f>
        <v>-14919.279789057206</v>
      </c>
      <c r="AX38" s="109">
        <f>-Production!AY8*Feed!$I$9*AX6</f>
        <v>-18453.651906323616</v>
      </c>
      <c r="AY38" s="695">
        <f>-Production!AZ8*Feed!$I$9*AY6</f>
        <v>-22922.463092899739</v>
      </c>
      <c r="AZ38" s="109">
        <f>-Production!BA8*Feed!$I$9*AZ6</f>
        <v>-50124.355662077178</v>
      </c>
      <c r="BA38" s="109">
        <f>-Production!BB8*Feed!$I$9*BA6</f>
        <v>-20180.363206077716</v>
      </c>
      <c r="BB38" s="109">
        <f>-Production!BC8*Feed!$I$9*BB6</f>
        <v>-10897.743718350386</v>
      </c>
      <c r="BC38" s="109">
        <f>-Production!BD8*Feed!$I$9*BC6</f>
        <v>-11893.006872763952</v>
      </c>
      <c r="BD38" s="109">
        <f>-Production!BE8*Feed!$I$9*BD6</f>
        <v>-6547.9773870787312</v>
      </c>
      <c r="BE38" s="109">
        <f>-Production!BF8*Feed!$I$9*BE6</f>
        <v>-9657.7993508580512</v>
      </c>
      <c r="BF38" s="109">
        <f>-Production!BG8*Feed!$I$9*BF6</f>
        <v>-22655.212799662011</v>
      </c>
      <c r="BG38" s="109">
        <f>-Production!BH8*Feed!$I$9*BG6</f>
        <v>-9777.2359070163966</v>
      </c>
      <c r="BH38" s="109">
        <f>-Production!BI8*Feed!$I$9*BH6</f>
        <v>-11035.692046518801</v>
      </c>
      <c r="BI38" s="109">
        <f>-Production!BJ8*Feed!$I$9*BI6</f>
        <v>-15859.194415767808</v>
      </c>
      <c r="BJ38" s="109">
        <f>-Production!BK8*Feed!$I$9*BJ6</f>
        <v>-19616.231976422001</v>
      </c>
      <c r="BK38" s="695">
        <f>-Production!BL8*Feed!$I$9*BK6</f>
        <v>-24366.578267752418</v>
      </c>
      <c r="BL38" s="109">
        <f>-Production!BM8*Feed!$I$9*BL6</f>
        <v>-53282.190068788033</v>
      </c>
      <c r="BM38" s="109">
        <f>-Production!BN8*Feed!$I$9*BM6</f>
        <v>-21451.726088060608</v>
      </c>
      <c r="BN38" s="109">
        <f>-Production!BO8*Feed!$I$9*BN6</f>
        <v>-11584.30157260646</v>
      </c>
      <c r="BO38" s="109">
        <f>-Production!BP8*Feed!$I$9*BO6</f>
        <v>-12642.266305748079</v>
      </c>
      <c r="BP38" s="109">
        <f>-Production!BQ8*Feed!$I$9*BP6</f>
        <v>-6960.4999624646907</v>
      </c>
      <c r="BQ38" s="109">
        <f>-Production!BR8*Feed!$I$9*BQ6</f>
        <v>-10266.240709962109</v>
      </c>
      <c r="BR38" s="109">
        <f>-Production!BS8*Feed!$I$9*BR6</f>
        <v>-24082.491206040715</v>
      </c>
      <c r="BS38" s="109">
        <f>-Production!BT8*Feed!$I$9*BS6</f>
        <v>-10393.20176915843</v>
      </c>
      <c r="BT38" s="109">
        <f>-Production!BU8*Feed!$I$9*BT6</f>
        <v>-11730.940645449486</v>
      </c>
      <c r="BU38" s="109">
        <f>-Production!BV8*Feed!$I$9*BU6</f>
        <v>-16858.323663961179</v>
      </c>
      <c r="BV38" s="109">
        <f>-Production!BW8*Feed!$I$9*BV6</f>
        <v>-20852.054590936586</v>
      </c>
      <c r="BW38" s="695">
        <f>-Production!BX8*Feed!$I$9*BW6</f>
        <v>-25901.67269862082</v>
      </c>
      <c r="BX38" s="109">
        <f>-Production!BY8*Feed!$I$9*BX6</f>
        <v>-56638.968043121684</v>
      </c>
      <c r="BY38" s="109">
        <f>-Production!BZ8*Feed!$I$9*BY6</f>
        <v>-22803.184831608429</v>
      </c>
      <c r="BZ38" s="109">
        <f>-Production!CA8*Feed!$I$9*BZ6</f>
        <v>-12314.112571680667</v>
      </c>
      <c r="CA38" s="109">
        <f>-Production!CB8*Feed!$I$9*CA6</f>
        <v>-13438.729083010208</v>
      </c>
      <c r="CB38" s="109">
        <f>-Production!CC8*Feed!$I$9*CB6</f>
        <v>-7399.0114600999668</v>
      </c>
      <c r="CC38" s="109">
        <f>-Production!CD8*Feed!$I$9*CC6</f>
        <v>-10913.013874689721</v>
      </c>
      <c r="CD38" s="109">
        <f>-Production!CE8*Feed!$I$9*CD6</f>
        <v>-25599.688152021281</v>
      </c>
      <c r="CE38" s="109">
        <f>-Production!CF8*Feed!$I$9*CE6</f>
        <v>-11047.97348061541</v>
      </c>
      <c r="CF38" s="109">
        <f>-Production!CG8*Feed!$I$9*CF6</f>
        <v>-12469.989906112804</v>
      </c>
      <c r="CG38" s="109">
        <f>-Production!CH8*Feed!$I$9*CG6</f>
        <v>-17920.398054790734</v>
      </c>
      <c r="CH38" s="109">
        <f>-Production!CI8*Feed!$I$9*CH6</f>
        <v>-22165.734030165593</v>
      </c>
      <c r="CI38" s="695">
        <f>-Production!CJ8*Feed!$I$9*CI6</f>
        <v>-27533.478078633932</v>
      </c>
      <c r="CJ38" s="109">
        <f>-Production!CK8*Feed!$I$9*CJ6</f>
        <v>-60207.223029838344</v>
      </c>
      <c r="CK38" s="109">
        <f>-Production!CL8*Feed!$I$9*CK6</f>
        <v>-24239.785475999757</v>
      </c>
      <c r="CL38" s="109">
        <f>-Production!CM8*Feed!$I$9*CL6</f>
        <v>-13089.90166369655</v>
      </c>
      <c r="CM38" s="109">
        <f>-Production!CN8*Feed!$I$9*CM6</f>
        <v>-14285.36901523985</v>
      </c>
      <c r="CN38" s="109">
        <f>-Production!CO8*Feed!$I$9*CN6</f>
        <v>-7865.1491820862639</v>
      </c>
      <c r="CO38" s="109">
        <f>-Production!CP8*Feed!$I$9*CO6</f>
        <v>-11600.533748795173</v>
      </c>
      <c r="CP38" s="109">
        <f>-Production!CQ8*Feed!$I$9*CP6</f>
        <v>-27212.468505598619</v>
      </c>
      <c r="CQ38" s="109">
        <f>-Production!CR8*Feed!$I$9*CQ6</f>
        <v>-11743.995809894181</v>
      </c>
      <c r="CR38" s="109">
        <f>-Production!CS8*Feed!$I$9*CR6</f>
        <v>-13255.599270197908</v>
      </c>
      <c r="CS38" s="109">
        <f>-Production!CT8*Feed!$I$9*CS6</f>
        <v>-19049.383132242547</v>
      </c>
      <c r="CT38" s="109">
        <f>-Production!CU8*Feed!$I$9*CT6</f>
        <v>-23562.175274066023</v>
      </c>
      <c r="CU38" s="695">
        <f>-Production!CV8*Feed!$I$9*CU6</f>
        <v>-29268.087197587869</v>
      </c>
      <c r="CV38" s="109">
        <f>-Production!CW8*Feed!$I$9*CV6</f>
        <v>-64000.278080718155</v>
      </c>
      <c r="CW38" s="109">
        <f>-Production!CX8*Feed!$I$9*CW6</f>
        <v>-25766.891960987741</v>
      </c>
      <c r="CX38" s="109">
        <f>-Production!CY8*Feed!$I$9*CX6</f>
        <v>-13914.565468509431</v>
      </c>
      <c r="CY38" s="109">
        <f>-Production!CZ8*Feed!$I$9*CY6</f>
        <v>-15185.347263199961</v>
      </c>
      <c r="CZ38" s="109">
        <f>-Production!DA8*Feed!$I$9*CZ6</f>
        <v>-8360.6535805576987</v>
      </c>
      <c r="DA38" s="109">
        <f>-Production!DB8*Feed!$I$9*DA6</f>
        <v>-12331.367374969268</v>
      </c>
      <c r="DB38" s="109">
        <f>-Production!DC8*Feed!$I$9*DB6</f>
        <v>-28926.85402145133</v>
      </c>
      <c r="DC38" s="109">
        <f>-Production!DD8*Feed!$I$9*DC6</f>
        <v>-12483.867545917514</v>
      </c>
      <c r="DD38" s="109">
        <f>-Production!DE8*Feed!$I$9*DD6</f>
        <v>-14090.702024220376</v>
      </c>
      <c r="DE38" s="109">
        <f>-Production!DF8*Feed!$I$9*DE6</f>
        <v>-20249.494269573828</v>
      </c>
      <c r="DF38" s="109">
        <f>-Production!DG8*Feed!$I$9*DF6</f>
        <v>-25046.592316332182</v>
      </c>
      <c r="DG38" s="695">
        <f>-Production!DH8*Feed!$I$9*DG6</f>
        <v>-31111.976691035903</v>
      </c>
      <c r="DH38" s="109">
        <f>-Production!DI8*Feed!$I$9*DH6</f>
        <v>-68032.295599803401</v>
      </c>
      <c r="DI38" s="109">
        <f>-Production!DJ8*Feed!$I$9*DI6</f>
        <v>-27390.206154529969</v>
      </c>
      <c r="DJ38" s="109">
        <f>-Production!DK8*Feed!$I$9*DJ6</f>
        <v>-14791.183093025526</v>
      </c>
      <c r="DK38" s="109">
        <f>-Production!DL8*Feed!$I$9*DK6</f>
        <v>-16142.024140781557</v>
      </c>
      <c r="DL38" s="109">
        <f>-Production!DM8*Feed!$I$9*DL6</f>
        <v>-8887.3747561328328</v>
      </c>
      <c r="DM38" s="109">
        <f>-Production!DN8*Feed!$I$9*DM6</f>
        <v>-13108.243519592332</v>
      </c>
      <c r="DN38" s="109">
        <f>-Production!DO8*Feed!$I$9*DN6</f>
        <v>-30749.245824802765</v>
      </c>
      <c r="DO38" s="109">
        <f>-Production!DP8*Feed!$I$9*DO6</f>
        <v>-13270.351201310317</v>
      </c>
      <c r="DP38" s="109">
        <f>-Production!DQ8*Feed!$I$9*DP6</f>
        <v>-14978.416251746259</v>
      </c>
      <c r="DQ38" s="109">
        <f>-Production!DR8*Feed!$I$9*DQ6</f>
        <v>-21525.212408556978</v>
      </c>
      <c r="DR38" s="109">
        <f>-Production!DS8*Feed!$I$9*DR6</f>
        <v>-26624.52763226111</v>
      </c>
      <c r="DS38" s="695">
        <f>-Production!DT8*Feed!$I$9*DS6</f>
        <v>-33072.03122257116</v>
      </c>
    </row>
    <row r="39" spans="1:124" ht="15" x14ac:dyDescent="0.25">
      <c r="B39" s="162" t="s">
        <v>190</v>
      </c>
      <c r="C39" s="7"/>
      <c r="D39" s="403"/>
      <c r="E39" s="403"/>
      <c r="F39" s="403"/>
      <c r="G39" s="403"/>
      <c r="H39" s="403"/>
      <c r="I39" s="403"/>
      <c r="J39" s="403"/>
      <c r="K39" s="690"/>
      <c r="L39" s="690"/>
      <c r="M39" s="690"/>
      <c r="N39" s="690"/>
      <c r="O39" s="691"/>
      <c r="P39" s="344"/>
      <c r="Q39" s="108"/>
      <c r="R39" s="108">
        <f>SUM(HR!T30:T32)</f>
        <v>-45443.25</v>
      </c>
      <c r="S39" s="108">
        <f>SUM(HR!U30:U32)</f>
        <v>-45443.25</v>
      </c>
      <c r="T39" s="108">
        <f>SUM(HR!V30:V32)</f>
        <v>-45443.25</v>
      </c>
      <c r="U39" s="108">
        <f>SUM(HR!W30:W32)</f>
        <v>-45443.25</v>
      </c>
      <c r="V39" s="108">
        <f>SUM(HR!X30:X32)</f>
        <v>-118170.16666666666</v>
      </c>
      <c r="W39" s="108">
        <f>SUM(HR!Y30:Y32)</f>
        <v>-118170.16666666666</v>
      </c>
      <c r="X39" s="108">
        <f>SUM(HR!Z30:Z32)</f>
        <v>-118170.16666666666</v>
      </c>
      <c r="Y39" s="108">
        <f>SUM(HR!AA30:AA32)</f>
        <v>-118170.16666666666</v>
      </c>
      <c r="Z39" s="108">
        <f>SUM(HR!AB30:AB32)</f>
        <v>-118170.16666666666</v>
      </c>
      <c r="AA39" s="110">
        <f>SUM(HR!AC30:AC32)</f>
        <v>-118170.16666666666</v>
      </c>
      <c r="AB39" s="344">
        <f>SUM(HR!AD30:AD32)</f>
        <v>-125614.88716666665</v>
      </c>
      <c r="AC39" s="108">
        <f>SUM(HR!AE30:AE32)</f>
        <v>-125614.88716666665</v>
      </c>
      <c r="AD39" s="108">
        <f>SUM(HR!AF30:AF32)</f>
        <v>-125614.88716666665</v>
      </c>
      <c r="AE39" s="108">
        <f>SUM(HR!AG30:AG32)</f>
        <v>-125614.88716666665</v>
      </c>
      <c r="AF39" s="108">
        <f>SUM(HR!AH30:AH32)</f>
        <v>-125614.88716666665</v>
      </c>
      <c r="AG39" s="108">
        <f>SUM(HR!AI30:AI32)</f>
        <v>-125614.88716666665</v>
      </c>
      <c r="AH39" s="108">
        <f>SUM(HR!AJ30:AJ32)</f>
        <v>-125614.88716666665</v>
      </c>
      <c r="AI39" s="108">
        <f>SUM(HR!AK30:AK32)</f>
        <v>-125614.88716666665</v>
      </c>
      <c r="AJ39" s="108">
        <f>SUM(HR!AL30:AL32)</f>
        <v>-125614.88716666665</v>
      </c>
      <c r="AK39" s="108">
        <f>SUM(HR!AM30:AM32)</f>
        <v>-125614.88716666665</v>
      </c>
      <c r="AL39" s="108">
        <f>SUM(HR!AN30:AN32)</f>
        <v>-125614.88716666665</v>
      </c>
      <c r="AM39" s="110">
        <f>SUM(HR!AO30:AO32)</f>
        <v>-125614.88716666665</v>
      </c>
      <c r="AN39" s="109">
        <f>SUM(HR!AP30:AP32)</f>
        <v>-133528.62505816662</v>
      </c>
      <c r="AO39" s="108">
        <f>SUM(HR!AQ30:AQ32)</f>
        <v>-133528.62505816662</v>
      </c>
      <c r="AP39" s="108">
        <f>SUM(HR!AR30:AR32)</f>
        <v>-133528.62505816662</v>
      </c>
      <c r="AQ39" s="108">
        <f>SUM(HR!AS30:AS32)</f>
        <v>-133528.62505816662</v>
      </c>
      <c r="AR39" s="108">
        <f>SUM(HR!AT30:AT32)</f>
        <v>-133528.62505816662</v>
      </c>
      <c r="AS39" s="108">
        <f>SUM(HR!AU30:AU32)</f>
        <v>-133528.62505816662</v>
      </c>
      <c r="AT39" s="108">
        <f>SUM(HR!AV30:AV32)</f>
        <v>-133528.62505816662</v>
      </c>
      <c r="AU39" s="108">
        <f>SUM(HR!AW30:AW32)</f>
        <v>-133528.62505816662</v>
      </c>
      <c r="AV39" s="108">
        <f>SUM(HR!AX30:AX32)</f>
        <v>-133528.62505816662</v>
      </c>
      <c r="AW39" s="108">
        <f>SUM(HR!AY30:AY32)</f>
        <v>-133528.62505816662</v>
      </c>
      <c r="AX39" s="108">
        <f>SUM(HR!AZ30:AZ32)</f>
        <v>-133528.62505816662</v>
      </c>
      <c r="AY39" s="110">
        <f>SUM(HR!BA30:BA32)</f>
        <v>-133528.62505816662</v>
      </c>
      <c r="AZ39" s="109">
        <f>SUM(HR!BB30:BB32)</f>
        <v>-141940.92843683111</v>
      </c>
      <c r="BA39" s="108">
        <f>SUM(HR!BC30:BC32)</f>
        <v>-141940.92843683111</v>
      </c>
      <c r="BB39" s="108">
        <f>SUM(HR!BD30:BD32)</f>
        <v>-141940.92843683111</v>
      </c>
      <c r="BC39" s="108">
        <f>SUM(HR!BE30:BE32)</f>
        <v>-141940.92843683111</v>
      </c>
      <c r="BD39" s="108">
        <f>SUM(HR!BF30:BF32)</f>
        <v>-141940.92843683111</v>
      </c>
      <c r="BE39" s="108">
        <f>SUM(HR!BG30:BG32)</f>
        <v>-141940.92843683111</v>
      </c>
      <c r="BF39" s="108">
        <f>SUM(HR!BH30:BH32)</f>
        <v>-141940.92843683111</v>
      </c>
      <c r="BG39" s="108">
        <f>SUM(HR!BI30:BI32)</f>
        <v>-141940.92843683111</v>
      </c>
      <c r="BH39" s="108">
        <f>SUM(HR!BJ30:BJ32)</f>
        <v>-141940.92843683111</v>
      </c>
      <c r="BI39" s="108">
        <f>SUM(HR!BK30:BK32)</f>
        <v>-141940.92843683111</v>
      </c>
      <c r="BJ39" s="108">
        <f>SUM(HR!BL30:BL32)</f>
        <v>-141940.92843683111</v>
      </c>
      <c r="BK39" s="110">
        <f>SUM(HR!BM30:BM32)</f>
        <v>-141940.92843683111</v>
      </c>
      <c r="BL39" s="109">
        <f>SUM(HR!BN30:BN32)</f>
        <v>-150883.20692835146</v>
      </c>
      <c r="BM39" s="108">
        <f>SUM(HR!BO30:BO32)</f>
        <v>-150883.20692835146</v>
      </c>
      <c r="BN39" s="108">
        <f>SUM(HR!BP30:BP32)</f>
        <v>-150883.20692835146</v>
      </c>
      <c r="BO39" s="108">
        <f>SUM(HR!BQ30:BQ32)</f>
        <v>-150883.20692835146</v>
      </c>
      <c r="BP39" s="108">
        <f>SUM(HR!BR30:BR32)</f>
        <v>-150883.20692835146</v>
      </c>
      <c r="BQ39" s="108">
        <f>SUM(HR!BS30:BS32)</f>
        <v>-150883.20692835146</v>
      </c>
      <c r="BR39" s="108">
        <f>SUM(HR!BT30:BT32)</f>
        <v>-150883.20692835146</v>
      </c>
      <c r="BS39" s="108">
        <f>SUM(HR!BU30:BU32)</f>
        <v>-150883.20692835146</v>
      </c>
      <c r="BT39" s="108">
        <f>SUM(HR!BV30:BV32)</f>
        <v>-150883.20692835146</v>
      </c>
      <c r="BU39" s="108">
        <f>SUM(HR!BW30:BW32)</f>
        <v>-150883.20692835146</v>
      </c>
      <c r="BV39" s="108">
        <f>SUM(HR!BX30:BX32)</f>
        <v>-150883.20692835146</v>
      </c>
      <c r="BW39" s="110">
        <f>SUM(HR!BY30:BY32)</f>
        <v>-150883.20692835146</v>
      </c>
      <c r="BX39" s="109">
        <f>SUM(HR!BZ30:BZ32)</f>
        <v>-160388.84896483761</v>
      </c>
      <c r="BY39" s="108">
        <f>SUM(HR!CA30:CA32)</f>
        <v>-160388.84896483761</v>
      </c>
      <c r="BZ39" s="108">
        <f>SUM(HR!CB30:CB32)</f>
        <v>-160388.84896483761</v>
      </c>
      <c r="CA39" s="108">
        <f>SUM(HR!CC30:CC32)</f>
        <v>-160388.84896483761</v>
      </c>
      <c r="CB39" s="108">
        <f>SUM(HR!CD30:CD32)</f>
        <v>-160388.84896483761</v>
      </c>
      <c r="CC39" s="108">
        <f>SUM(HR!CE30:CE32)</f>
        <v>-160388.84896483761</v>
      </c>
      <c r="CD39" s="108">
        <f>SUM(HR!CF30:CF32)</f>
        <v>-160388.84896483761</v>
      </c>
      <c r="CE39" s="108">
        <f>SUM(HR!CG30:CG32)</f>
        <v>-160388.84896483761</v>
      </c>
      <c r="CF39" s="108">
        <f>SUM(HR!CH30:CH32)</f>
        <v>-160388.84896483761</v>
      </c>
      <c r="CG39" s="108">
        <f>SUM(HR!CI30:CI32)</f>
        <v>-160388.84896483761</v>
      </c>
      <c r="CH39" s="108">
        <f>SUM(HR!CJ30:CJ32)</f>
        <v>-160388.84896483761</v>
      </c>
      <c r="CI39" s="110">
        <f>SUM(HR!CK30:CK32)</f>
        <v>-160388.84896483761</v>
      </c>
      <c r="CJ39" s="109">
        <f>SUM(HR!CL30:CL32)</f>
        <v>-170493.34644962236</v>
      </c>
      <c r="CK39" s="108">
        <f>SUM(HR!CM30:CM32)</f>
        <v>-170493.34644962236</v>
      </c>
      <c r="CL39" s="108">
        <f>SUM(HR!CN30:CN32)</f>
        <v>-170493.34644962236</v>
      </c>
      <c r="CM39" s="108">
        <f>SUM(HR!CO30:CO32)</f>
        <v>-170493.34644962236</v>
      </c>
      <c r="CN39" s="108">
        <f>SUM(HR!CP30:CP32)</f>
        <v>-170493.34644962236</v>
      </c>
      <c r="CO39" s="108">
        <f>SUM(HR!CQ30:CQ32)</f>
        <v>-170493.34644962236</v>
      </c>
      <c r="CP39" s="108">
        <f>SUM(HR!CR30:CR32)</f>
        <v>-170493.34644962236</v>
      </c>
      <c r="CQ39" s="108">
        <f>SUM(HR!CS30:CS32)</f>
        <v>-170493.34644962236</v>
      </c>
      <c r="CR39" s="108">
        <f>SUM(HR!CT30:CT32)</f>
        <v>-170493.34644962236</v>
      </c>
      <c r="CS39" s="108">
        <f>SUM(HR!CU30:CU32)</f>
        <v>-170493.34644962236</v>
      </c>
      <c r="CT39" s="108">
        <f>SUM(HR!CV30:CV32)</f>
        <v>-170493.34644962236</v>
      </c>
      <c r="CU39" s="110">
        <f>SUM(HR!CW30:CW32)</f>
        <v>-170493.34644962236</v>
      </c>
      <c r="CV39" s="109">
        <f>SUM(HR!CX30:CX32)</f>
        <v>-181234.42727594858</v>
      </c>
      <c r="CW39" s="108">
        <f>SUM(HR!CY30:CY32)</f>
        <v>-181234.42727594858</v>
      </c>
      <c r="CX39" s="108">
        <f>SUM(HR!CZ30:CZ32)</f>
        <v>-181234.42727594858</v>
      </c>
      <c r="CY39" s="108">
        <f>SUM(HR!DA30:DA32)</f>
        <v>-181234.42727594858</v>
      </c>
      <c r="CZ39" s="108">
        <f>SUM(HR!DB30:DB32)</f>
        <v>-181234.42727594858</v>
      </c>
      <c r="DA39" s="108">
        <f>SUM(HR!DC30:DC32)</f>
        <v>-181234.42727594858</v>
      </c>
      <c r="DB39" s="108">
        <f>SUM(HR!DD30:DD32)</f>
        <v>-181234.42727594858</v>
      </c>
      <c r="DC39" s="108">
        <f>SUM(HR!DE30:DE32)</f>
        <v>-181234.42727594858</v>
      </c>
      <c r="DD39" s="108">
        <f>SUM(HR!DF30:DF32)</f>
        <v>-181234.42727594858</v>
      </c>
      <c r="DE39" s="108">
        <f>SUM(HR!DG30:DG32)</f>
        <v>-181234.42727594858</v>
      </c>
      <c r="DF39" s="108">
        <f>SUM(HR!DH30:DH32)</f>
        <v>-181234.42727594858</v>
      </c>
      <c r="DG39" s="110">
        <f>SUM(HR!DI30:DI32)</f>
        <v>-181234.42727594858</v>
      </c>
      <c r="DH39" s="109">
        <f>SUM(HR!DJ30:DJ32)</f>
        <v>-192652.19619433332</v>
      </c>
      <c r="DI39" s="108">
        <f>SUM(HR!DK30:DK32)</f>
        <v>-192652.19619433332</v>
      </c>
      <c r="DJ39" s="108">
        <f>SUM(HR!DL30:DL32)</f>
        <v>-192652.19619433332</v>
      </c>
      <c r="DK39" s="108">
        <f>SUM(HR!DM30:DM32)</f>
        <v>-192652.19619433332</v>
      </c>
      <c r="DL39" s="108">
        <f>SUM(HR!DN30:DN32)</f>
        <v>-192652.19619433332</v>
      </c>
      <c r="DM39" s="108">
        <f>SUM(HR!DO30:DO32)</f>
        <v>-192652.19619433332</v>
      </c>
      <c r="DN39" s="108">
        <f>SUM(HR!DP30:DP32)</f>
        <v>-192652.19619433332</v>
      </c>
      <c r="DO39" s="108">
        <f>SUM(HR!DQ30:DQ32)</f>
        <v>-192652.19619433332</v>
      </c>
      <c r="DP39" s="108">
        <f>SUM(HR!DR30:DR32)</f>
        <v>-192652.19619433332</v>
      </c>
      <c r="DQ39" s="108">
        <f>SUM(HR!DS30:DS32)</f>
        <v>-192652.19619433332</v>
      </c>
      <c r="DR39" s="108">
        <f>SUM(HR!DT30:DT32)</f>
        <v>-192652.19619433332</v>
      </c>
      <c r="DS39" s="110">
        <f>SUM(HR!DU30:DU32)</f>
        <v>-192652.19619433332</v>
      </c>
    </row>
    <row r="40" spans="1:124" ht="15" x14ac:dyDescent="0.25">
      <c r="B40" s="162" t="s">
        <v>81</v>
      </c>
      <c r="C40" s="7">
        <v>-500</v>
      </c>
      <c r="D40" s="403"/>
      <c r="E40" s="403"/>
      <c r="F40" s="403"/>
      <c r="G40" s="403"/>
      <c r="H40" s="403"/>
      <c r="I40" s="403"/>
      <c r="J40" s="403"/>
      <c r="K40" s="690"/>
      <c r="L40" s="690"/>
      <c r="M40" s="690"/>
      <c r="N40" s="690"/>
      <c r="O40" s="691"/>
      <c r="P40" s="344"/>
      <c r="Q40" s="108"/>
      <c r="R40" s="108">
        <f>SUM(HR!$D$29:$D$32)*'3. Variable Costs'!$C$40*R6</f>
        <v>-13819</v>
      </c>
      <c r="S40" s="108"/>
      <c r="T40" s="108"/>
      <c r="U40" s="108"/>
      <c r="V40" s="108"/>
      <c r="W40" s="108"/>
      <c r="X40" s="108">
        <f>SUM(HR!$D$29:$D$32)*'3. Variable Costs'!$C$40*X6</f>
        <v>-13819</v>
      </c>
      <c r="Y40" s="108"/>
      <c r="Z40" s="108"/>
      <c r="AA40" s="110"/>
      <c r="AB40" s="344"/>
      <c r="AC40" s="108"/>
      <c r="AD40" s="108">
        <f>SUM(HR!$D$29:$D$32)*'3. Variable Costs'!$C$40*AD6</f>
        <v>-14689.596999999998</v>
      </c>
      <c r="AE40" s="108"/>
      <c r="AF40" s="108"/>
      <c r="AG40" s="108"/>
      <c r="AH40" s="108"/>
      <c r="AI40" s="108"/>
      <c r="AJ40" s="108">
        <f>SUM(HR!$D$29:$D$32)*'3. Variable Costs'!$C$40*AJ6</f>
        <v>-14689.596999999998</v>
      </c>
      <c r="AK40" s="108"/>
      <c r="AL40" s="108"/>
      <c r="AM40" s="110"/>
      <c r="AN40" s="109"/>
      <c r="AO40" s="108"/>
      <c r="AP40" s="108">
        <f>SUM(HR!$D$29:$D$32)*'3. Variable Costs'!$C$40*AP6</f>
        <v>-15615.041610999997</v>
      </c>
      <c r="AQ40" s="108"/>
      <c r="AR40" s="108"/>
      <c r="AS40" s="108"/>
      <c r="AT40" s="108"/>
      <c r="AU40" s="108"/>
      <c r="AV40" s="108">
        <f>SUM(HR!$D$29:$D$32)*'3. Variable Costs'!$C$40*AV6</f>
        <v>-15615.041610999997</v>
      </c>
      <c r="AW40" s="108"/>
      <c r="AX40" s="108"/>
      <c r="AY40" s="110"/>
      <c r="AZ40" s="109"/>
      <c r="BA40" s="108"/>
      <c r="BB40" s="108">
        <f>SUM(HR!$D$29:$D$32)*'3. Variable Costs'!$C$40*BB6</f>
        <v>-16598.789232492993</v>
      </c>
      <c r="BC40" s="108"/>
      <c r="BD40" s="108"/>
      <c r="BE40" s="108"/>
      <c r="BF40" s="108"/>
      <c r="BG40" s="108"/>
      <c r="BH40" s="108">
        <f>SUM(HR!$D$29:$D$32)*'3. Variable Costs'!$C$40*BH6</f>
        <v>-16598.789232492993</v>
      </c>
      <c r="BI40" s="108"/>
      <c r="BJ40" s="108"/>
      <c r="BK40" s="110"/>
      <c r="BL40" s="109"/>
      <c r="BM40" s="108"/>
      <c r="BN40" s="108">
        <f>SUM(HR!$D$29:$D$32)*'3. Variable Costs'!$C$40*BN6</f>
        <v>-17644.512954140053</v>
      </c>
      <c r="BO40" s="108"/>
      <c r="BP40" s="108"/>
      <c r="BQ40" s="108"/>
      <c r="BR40" s="108"/>
      <c r="BS40" s="108"/>
      <c r="BT40" s="108">
        <f>SUM(HR!$D$29:$D$32)*'3. Variable Costs'!$C$40*BT6</f>
        <v>-17644.512954140053</v>
      </c>
      <c r="BU40" s="108"/>
      <c r="BV40" s="108"/>
      <c r="BW40" s="110"/>
      <c r="BX40" s="109"/>
      <c r="BY40" s="108"/>
      <c r="BZ40" s="108">
        <f>SUM(HR!$D$29:$D$32)*'3. Variable Costs'!$C$40*BZ6</f>
        <v>-18756.117270250874</v>
      </c>
      <c r="CA40" s="108"/>
      <c r="CB40" s="108"/>
      <c r="CC40" s="108"/>
      <c r="CD40" s="108"/>
      <c r="CE40" s="108"/>
      <c r="CF40" s="108">
        <f>SUM(HR!$D$29:$D$32)*'3. Variable Costs'!$C$40*CF6</f>
        <v>-18756.117270250874</v>
      </c>
      <c r="CG40" s="108"/>
      <c r="CH40" s="108"/>
      <c r="CI40" s="110"/>
      <c r="CJ40" s="109"/>
      <c r="CK40" s="108"/>
      <c r="CL40" s="108">
        <f>SUM(HR!$D$29:$D$32)*'3. Variable Costs'!$C$40*CL6</f>
        <v>-19937.75265827668</v>
      </c>
      <c r="CM40" s="108"/>
      <c r="CN40" s="108"/>
      <c r="CO40" s="108"/>
      <c r="CP40" s="108"/>
      <c r="CQ40" s="108"/>
      <c r="CR40" s="108">
        <f>SUM(HR!$D$29:$D$32)*'3. Variable Costs'!$C$40*CR6</f>
        <v>-19937.75265827668</v>
      </c>
      <c r="CS40" s="108"/>
      <c r="CT40" s="108"/>
      <c r="CU40" s="110"/>
      <c r="CV40" s="109"/>
      <c r="CW40" s="108"/>
      <c r="CX40" s="108">
        <f>SUM(HR!$D$29:$D$32)*'3. Variable Costs'!$C$40*CX6</f>
        <v>-21193.831075748109</v>
      </c>
      <c r="CY40" s="108"/>
      <c r="CZ40" s="108"/>
      <c r="DA40" s="108"/>
      <c r="DB40" s="108"/>
      <c r="DC40" s="108"/>
      <c r="DD40" s="108">
        <f>SUM(HR!$D$29:$D$32)*'3. Variable Costs'!$C$40*DD6</f>
        <v>-21193.831075748109</v>
      </c>
      <c r="DE40" s="108"/>
      <c r="DF40" s="108"/>
      <c r="DG40" s="110"/>
      <c r="DH40" s="109"/>
      <c r="DI40" s="108"/>
      <c r="DJ40" s="108">
        <f>SUM(HR!$D$29:$D$32)*'3. Variable Costs'!$C$40*DJ6</f>
        <v>-22529.042433520241</v>
      </c>
      <c r="DK40" s="108"/>
      <c r="DL40" s="108"/>
      <c r="DM40" s="108"/>
      <c r="DN40" s="108"/>
      <c r="DO40" s="108"/>
      <c r="DP40" s="108">
        <f>SUM(HR!$D$29:$D$32)*'3. Variable Costs'!$C$40*DP6</f>
        <v>-22529.042433520241</v>
      </c>
      <c r="DQ40" s="108"/>
      <c r="DR40" s="108"/>
      <c r="DS40" s="110"/>
    </row>
    <row r="41" spans="1:124" ht="15" x14ac:dyDescent="0.25">
      <c r="B41" s="162" t="s">
        <v>567</v>
      </c>
      <c r="C41" s="7"/>
      <c r="D41" s="403"/>
      <c r="E41" s="403"/>
      <c r="F41" s="403"/>
      <c r="G41" s="403"/>
      <c r="H41" s="403"/>
      <c r="I41" s="403"/>
      <c r="J41" s="403"/>
      <c r="K41" s="690"/>
      <c r="L41" s="690"/>
      <c r="M41" s="690"/>
      <c r="N41" s="690"/>
      <c r="O41" s="691"/>
      <c r="P41" s="344"/>
      <c r="Q41" s="108"/>
      <c r="R41" s="108">
        <f>-Elec!$J$6-Elec!$J$7-Elec!$J$5-Elec!$J$8-Elec!$J$9-Elec!$J$10-Elec!$J$11-Elec!$J$12-Elec!$J$13-Elec!$J$14-Elec!$J$15-Elec!$J$17-Elec!$J$16*Elec!$I$30</f>
        <v>-47675.154130560019</v>
      </c>
      <c r="S41" s="108">
        <f>-Elec!$J$6-Elec!$J$7-Elec!$J$5-Elec!$J$8-Elec!$J$9-Elec!$J$10-Elec!$J$11-Elec!$J$12-Elec!$J$13-Elec!$J$14-Elec!$J$15-Elec!$J$17-Elec!$J$16*Elec!$I$30</f>
        <v>-47675.154130560019</v>
      </c>
      <c r="T41" s="108">
        <f>-Elec!$J$6-Elec!$J$7-Elec!$J$5-Elec!$J$8-Elec!$J$9-Elec!$J$10-Elec!$J$11-Elec!$J$12-Elec!$J$13-Elec!$J$14-Elec!$J$15-Elec!$J$17-Elec!$J$16*Elec!$I$30</f>
        <v>-47675.154130560019</v>
      </c>
      <c r="U41" s="108">
        <f>-Elec!$J$6-Elec!$J$7-Elec!$J$5-Elec!$J$8-Elec!$J$9-Elec!$J$10-Elec!$J$11-Elec!$J$12-Elec!$J$13-Elec!$J$14-Elec!$J$15-Elec!$J$17-Elec!$J$16*Elec!$I$30</f>
        <v>-47675.154130560019</v>
      </c>
      <c r="V41" s="108">
        <f>-Elec!$J$6-Elec!$J$7-Elec!$J$5-Elec!$J$8-Elec!$J$9-Elec!$J$10-Elec!$J$11-Elec!$J$12-Elec!$J$13-Elec!$J$14-Elec!$J$15-Elec!$J$17-Elec!$J$16*Elec!$I$30</f>
        <v>-47675.154130560019</v>
      </c>
      <c r="W41" s="108">
        <f>-Elec!$J$6-Elec!$J$7-Elec!$J$5-Elec!$J$8-Elec!$J$9-Elec!$J$10-Elec!$J$11-Elec!$J$12-Elec!$J$13-Elec!$J$14-Elec!$J$15-Elec!$J$17-Elec!$J$16*Elec!$I$30</f>
        <v>-47675.154130560019</v>
      </c>
      <c r="X41" s="108">
        <f>-Elec!$J$6-Elec!$J$7-Elec!$J$5-Elec!$J$8-Elec!$J$9-Elec!$J$10-Elec!$J$11-Elec!$J$12-Elec!$J$13-Elec!$J$14-Elec!$J$15-Elec!$J$17-Elec!$J$16*Elec!$I$30</f>
        <v>-47675.154130560019</v>
      </c>
      <c r="Y41" s="108">
        <f>-Elec!$J$6-Elec!$J$7-Elec!$J$5-Elec!$J$8-Elec!$J$9-Elec!$J$10-Elec!$J$11-Elec!$J$12-Elec!$J$13-Elec!$J$14-Elec!$J$15-Elec!$J$17-Elec!$J$16*Elec!$I$30</f>
        <v>-47675.154130560019</v>
      </c>
      <c r="Z41" s="108">
        <f>-Elec!$J$6-Elec!$J$7-Elec!$J$5-Elec!$J$8-Elec!$J$9-Elec!$J$10-Elec!$J$11-Elec!$J$12-Elec!$J$13-Elec!$J$14-Elec!$J$15-Elec!$J$17-Elec!$J$16*Elec!$I$30</f>
        <v>-47675.154130560019</v>
      </c>
      <c r="AA41" s="110">
        <f>-Elec!$J$6-Elec!$J$7-Elec!$J$5-Elec!$J$8-Elec!$J$9-Elec!$J$10-Elec!$J$11-Elec!$J$12-Elec!$J$13-Elec!$J$14-Elec!$J$15-Elec!$J$17-Elec!$J$16*Elec!$I$30</f>
        <v>-47675.154130560019</v>
      </c>
      <c r="AB41" s="344">
        <f>-Elec!$L$6-Elec!$L$7-Elec!$L$5-Elec!$L$8-Elec!$L$9-Elec!$L$10-Elec!$L$11-Elec!$L$12-Elec!$L$13-Elec!$L$14-Elec!$L$15-Elec!$L$17-Elec!$L$16*Elec!$I$30</f>
        <v>-50313.057298416024</v>
      </c>
      <c r="AC41" s="108">
        <f>-Elec!$L$6-Elec!$L$7-Elec!$L$5-Elec!$L$8-Elec!$L$9-Elec!$L$10-Elec!$L$11-Elec!$L$12-Elec!$L$13-Elec!$L$14-Elec!$L$15-Elec!$L$17-Elec!$L$16*Elec!$I$30</f>
        <v>-50313.057298416024</v>
      </c>
      <c r="AD41" s="108">
        <f>-Elec!$L$6-Elec!$L$7-Elec!$L$5-Elec!$L$8-Elec!$L$9-Elec!$L$10-Elec!$L$11-Elec!$L$12-Elec!$L$13-Elec!$L$14-Elec!$L$15-Elec!$L$17-Elec!$L$16*Elec!$I$30</f>
        <v>-50313.057298416024</v>
      </c>
      <c r="AE41" s="108">
        <f>-Elec!$L$6-Elec!$L$7-Elec!$L$5-Elec!$L$8-Elec!$L$9-Elec!$L$10-Elec!$L$11-Elec!$L$12-Elec!$L$13-Elec!$L$14-Elec!$L$15-Elec!$L$17-Elec!$L$16*Elec!$I$30</f>
        <v>-50313.057298416024</v>
      </c>
      <c r="AF41" s="108">
        <f>-Elec!$L$6-Elec!$L$7-Elec!$L$5-Elec!$L$8-Elec!$L$9-Elec!$L$10-Elec!$L$11-Elec!$L$12-Elec!$L$13-Elec!$L$14-Elec!$L$15-Elec!$L$17-Elec!$L$16*Elec!$I$30</f>
        <v>-50313.057298416024</v>
      </c>
      <c r="AG41" s="108">
        <f>-Elec!$L$6-Elec!$L$7-Elec!$L$5-Elec!$L$8-Elec!$L$9-Elec!$L$10-Elec!$L$11-Elec!$L$12-Elec!$L$13-Elec!$L$14-Elec!$L$15-Elec!$L$17-Elec!$L$16*Elec!$I$30</f>
        <v>-50313.057298416024</v>
      </c>
      <c r="AH41" s="108">
        <f>-Elec!$L$6-Elec!$L$7-Elec!$L$5-Elec!$L$8-Elec!$L$9-Elec!$L$10-Elec!$L$11-Elec!$L$12-Elec!$L$13-Elec!$L$14-Elec!$L$15-Elec!$L$17-Elec!$L$16*Elec!$I$30</f>
        <v>-50313.057298416024</v>
      </c>
      <c r="AI41" s="108">
        <f>-Elec!$L$6-Elec!$L$7-Elec!$L$5-Elec!$L$8-Elec!$L$9-Elec!$L$10-Elec!$L$11-Elec!$L$12-Elec!$L$13-Elec!$L$14-Elec!$L$15-Elec!$L$17-Elec!$L$16*Elec!$I$30</f>
        <v>-50313.057298416024</v>
      </c>
      <c r="AJ41" s="108">
        <f>-Elec!$L$6-Elec!$L$7-Elec!$L$5-Elec!$L$8-Elec!$L$9-Elec!$L$10-Elec!$L$11-Elec!$L$12-Elec!$L$13-Elec!$L$14-Elec!$L$15-Elec!$L$17-Elec!$L$16*Elec!$I$30</f>
        <v>-50313.057298416024</v>
      </c>
      <c r="AK41" s="108">
        <f>-Elec!$L$6-Elec!$L$7-Elec!$L$5-Elec!$L$8-Elec!$L$9-Elec!$L$10-Elec!$L$11-Elec!$L$12-Elec!$L$13-Elec!$L$14-Elec!$L$15-Elec!$L$17-Elec!$L$16*Elec!$I$30</f>
        <v>-50313.057298416024</v>
      </c>
      <c r="AL41" s="108">
        <f>-Elec!$L$6-Elec!$L$7-Elec!$L$5-Elec!$L$8-Elec!$L$9-Elec!$L$10-Elec!$L$11-Elec!$L$12-Elec!$L$13-Elec!$L$14-Elec!$L$15-Elec!$L$17-Elec!$L$16*Elec!$I$30</f>
        <v>-50313.057298416024</v>
      </c>
      <c r="AM41" s="110">
        <f>-Elec!$L$6-Elec!$L$7-Elec!$L$5-Elec!$L$8-Elec!$L$9-Elec!$L$10-Elec!$L$11-Elec!$L$12-Elec!$L$13-Elec!$L$14-Elec!$L$15-Elec!$L$17-Elec!$L$16*Elec!$I$30</f>
        <v>-50313.057298416024</v>
      </c>
      <c r="AN41" s="109">
        <f>-Elec!$N$6-Elec!$N$7-Elec!$N$5-Elec!$N$8-Elec!$N$9-Elec!$N$10-Elec!$N$11-Elec!$N$12-Elec!$N$13-Elec!$N$14-Elec!$N$15-Elec!$N$17-Elec!$N$16*Elec!$I$30</f>
        <v>-55344.363028257627</v>
      </c>
      <c r="AO41" s="108">
        <f>-Elec!$N$6-Elec!$N$7-Elec!$N$5-Elec!$N$8-Elec!$N$9-Elec!$N$10-Elec!$N$11-Elec!$N$12-Elec!$N$13-Elec!$N$14-Elec!$N$15-Elec!$N$17-Elec!$N$16*Elec!$I$30</f>
        <v>-55344.363028257627</v>
      </c>
      <c r="AP41" s="108">
        <f>-Elec!$N$6-Elec!$N$7-Elec!$N$5-Elec!$N$8-Elec!$N$9-Elec!$N$10-Elec!$N$11-Elec!$N$12-Elec!$N$13-Elec!$N$14-Elec!$N$15-Elec!$N$17-Elec!$N$16*Elec!$I$30</f>
        <v>-55344.363028257627</v>
      </c>
      <c r="AQ41" s="108">
        <f>-Elec!$N$6-Elec!$N$7-Elec!$N$5-Elec!$N$8-Elec!$N$9-Elec!$N$10-Elec!$N$11-Elec!$N$12-Elec!$N$13-Elec!$N$14-Elec!$N$15-Elec!$N$17-Elec!$N$16*Elec!$I$30</f>
        <v>-55344.363028257627</v>
      </c>
      <c r="AR41" s="108">
        <f>-Elec!$N$6-Elec!$N$7-Elec!$N$5-Elec!$N$8-Elec!$N$9-Elec!$N$10-Elec!$N$11-Elec!$N$12-Elec!$N$13-Elec!$N$14-Elec!$N$15-Elec!$N$17-Elec!$N$16*Elec!$I$30</f>
        <v>-55344.363028257627</v>
      </c>
      <c r="AS41" s="108">
        <f>-Elec!$N$6-Elec!$N$7-Elec!$N$5-Elec!$N$8-Elec!$N$9-Elec!$N$10-Elec!$N$11-Elec!$N$12-Elec!$N$13-Elec!$N$14-Elec!$N$15-Elec!$N$17-Elec!$N$16*Elec!$I$30</f>
        <v>-55344.363028257627</v>
      </c>
      <c r="AT41" s="108">
        <f>-Elec!$N$6-Elec!$N$7-Elec!$N$5-Elec!$N$8-Elec!$N$9-Elec!$N$10-Elec!$N$11-Elec!$N$12-Elec!$N$13-Elec!$N$14-Elec!$N$15-Elec!$N$17-Elec!$N$16*Elec!$I$30</f>
        <v>-55344.363028257627</v>
      </c>
      <c r="AU41" s="108">
        <f>-Elec!$N$6-Elec!$N$7-Elec!$N$5-Elec!$N$8-Elec!$N$9-Elec!$N$10-Elec!$N$11-Elec!$N$12-Elec!$N$13-Elec!$N$14-Elec!$N$15-Elec!$N$17-Elec!$N$16*Elec!$I$30</f>
        <v>-55344.363028257627</v>
      </c>
      <c r="AV41" s="108">
        <f>-Elec!$N$6-Elec!$N$7-Elec!$N$5-Elec!$N$8-Elec!$N$9-Elec!$N$10-Elec!$N$11-Elec!$N$12-Elec!$N$13-Elec!$N$14-Elec!$N$15-Elec!$N$17-Elec!$N$16*Elec!$I$30</f>
        <v>-55344.363028257627</v>
      </c>
      <c r="AW41" s="108">
        <f>-Elec!$N$6-Elec!$N$7-Elec!$N$5-Elec!$N$8-Elec!$N$9-Elec!$N$10-Elec!$N$11-Elec!$N$12-Elec!$N$13-Elec!$N$14-Elec!$N$15-Elec!$N$17-Elec!$N$16*Elec!$I$30</f>
        <v>-55344.363028257627</v>
      </c>
      <c r="AX41" s="108">
        <f>-Elec!$N$6-Elec!$N$7-Elec!$N$5-Elec!$N$8-Elec!$N$9-Elec!$N$10-Elec!$N$11-Elec!$N$12-Elec!$N$13-Elec!$N$14-Elec!$N$15-Elec!$N$17-Elec!$N$16*Elec!$I$30</f>
        <v>-55344.363028257627</v>
      </c>
      <c r="AY41" s="110">
        <f>-Elec!$N$6-Elec!$N$7-Elec!$N$5-Elec!$N$8-Elec!$N$9-Elec!$N$10-Elec!$N$11-Elec!$N$12-Elec!$N$13-Elec!$N$14-Elec!$N$15-Elec!$N$17-Elec!$N$16*Elec!$I$30</f>
        <v>-55344.363028257627</v>
      </c>
      <c r="AZ41" s="109">
        <f>-Elec!$P$6-Elec!$P$7-Elec!$P$5-Elec!$P$8-Elec!$P$9-Elec!$P$10-Elec!$P$11-Elec!$P$12-Elec!$P$13-Elec!$P$14-Elec!$P$15-Elec!$P$17-Elec!$P$16*Elec!$I$30</f>
        <v>-60878.799331083392</v>
      </c>
      <c r="BA41" s="108">
        <f>-Elec!$P$6-Elec!$P$7-Elec!$P$5-Elec!$P$8-Elec!$P$9-Elec!$P$10-Elec!$P$11-Elec!$P$12-Elec!$P$13-Elec!$P$14-Elec!$P$15-Elec!$P$17-Elec!$P$16*Elec!$I$30</f>
        <v>-60878.799331083392</v>
      </c>
      <c r="BB41" s="108">
        <f>-Elec!$P$6-Elec!$P$7-Elec!$P$5-Elec!$P$8-Elec!$P$9-Elec!$P$10-Elec!$P$11-Elec!$P$12-Elec!$P$13-Elec!$P$14-Elec!$P$15-Elec!$P$17-Elec!$P$16*Elec!$I$30</f>
        <v>-60878.799331083392</v>
      </c>
      <c r="BC41" s="108">
        <f>-Elec!$P$6-Elec!$P$7-Elec!$P$5-Elec!$P$8-Elec!$P$9-Elec!$P$10-Elec!$P$11-Elec!$P$12-Elec!$P$13-Elec!$P$14-Elec!$P$15-Elec!$P$17-Elec!$P$16*Elec!$I$30</f>
        <v>-60878.799331083392</v>
      </c>
      <c r="BD41" s="108">
        <f>-Elec!$P$6-Elec!$P$7-Elec!$P$5-Elec!$P$8-Elec!$P$9-Elec!$P$10-Elec!$P$11-Elec!$P$12-Elec!$P$13-Elec!$P$14-Elec!$P$15-Elec!$P$17-Elec!$P$16*Elec!$I$30</f>
        <v>-60878.799331083392</v>
      </c>
      <c r="BE41" s="108">
        <f>-Elec!$P$6-Elec!$P$7-Elec!$P$5-Elec!$P$8-Elec!$P$9-Elec!$P$10-Elec!$P$11-Elec!$P$12-Elec!$P$13-Elec!$P$14-Elec!$P$15-Elec!$P$17-Elec!$P$16*Elec!$I$30</f>
        <v>-60878.799331083392</v>
      </c>
      <c r="BF41" s="108">
        <f>-Elec!$P$6-Elec!$P$7-Elec!$P$5-Elec!$P$8-Elec!$P$9-Elec!$P$10-Elec!$P$11-Elec!$P$12-Elec!$P$13-Elec!$P$14-Elec!$P$15-Elec!$P$17-Elec!$P$16*Elec!$I$30</f>
        <v>-60878.799331083392</v>
      </c>
      <c r="BG41" s="108">
        <f>-Elec!$P$6-Elec!$P$7-Elec!$P$5-Elec!$P$8-Elec!$P$9-Elec!$P$10-Elec!$P$11-Elec!$P$12-Elec!$P$13-Elec!$P$14-Elec!$P$15-Elec!$P$17-Elec!$P$16*Elec!$I$30</f>
        <v>-60878.799331083392</v>
      </c>
      <c r="BH41" s="108">
        <f>-Elec!$P$6-Elec!$P$7-Elec!$P$5-Elec!$P$8-Elec!$P$9-Elec!$P$10-Elec!$P$11-Elec!$P$12-Elec!$P$13-Elec!$P$14-Elec!$P$15-Elec!$P$17-Elec!$P$16*Elec!$I$30</f>
        <v>-60878.799331083392</v>
      </c>
      <c r="BI41" s="108">
        <f>-Elec!$P$6-Elec!$P$7-Elec!$P$5-Elec!$P$8-Elec!$P$9-Elec!$P$10-Elec!$P$11-Elec!$P$12-Elec!$P$13-Elec!$P$14-Elec!$P$15-Elec!$P$17-Elec!$P$16*Elec!$I$30</f>
        <v>-60878.799331083392</v>
      </c>
      <c r="BJ41" s="108">
        <f>-Elec!$P$6-Elec!$P$7-Elec!$P$5-Elec!$P$8-Elec!$P$9-Elec!$P$10-Elec!$P$11-Elec!$P$12-Elec!$P$13-Elec!$P$14-Elec!$P$15-Elec!$P$17-Elec!$P$16*Elec!$I$30</f>
        <v>-60878.799331083392</v>
      </c>
      <c r="BK41" s="110">
        <f>-Elec!$P$6-Elec!$P$7-Elec!$P$5-Elec!$P$8-Elec!$P$9-Elec!$P$10-Elec!$P$11-Elec!$P$12-Elec!$P$13-Elec!$P$14-Elec!$P$15-Elec!$P$17-Elec!$P$16*Elec!$I$30</f>
        <v>-60878.799331083392</v>
      </c>
      <c r="BL41" s="109">
        <f>-Elec!$R$6-Elec!$R$7-Elec!$R$5-Elec!$R$8-Elec!$R$9-Elec!$R$10-Elec!$R$11-Elec!$R$12-Elec!$R$13-Elec!$R$14-Elec!$R$15-Elec!$R$17-Elec!$R$16*Elec!$I$30</f>
        <v>-66966.679264191742</v>
      </c>
      <c r="BM41" s="108">
        <f>-Elec!$R$6-Elec!$R$7-Elec!$R$5-Elec!$R$8-Elec!$R$9-Elec!$R$10-Elec!$R$11-Elec!$R$12-Elec!$R$13-Elec!$R$14-Elec!$R$15-Elec!$R$17-Elec!$R$16*Elec!$I$30</f>
        <v>-66966.679264191742</v>
      </c>
      <c r="BN41" s="108">
        <f>-Elec!$R$6-Elec!$R$7-Elec!$R$5-Elec!$R$8-Elec!$R$9-Elec!$R$10-Elec!$R$11-Elec!$R$12-Elec!$R$13-Elec!$R$14-Elec!$R$15-Elec!$R$17-Elec!$R$16*Elec!$I$30</f>
        <v>-66966.679264191742</v>
      </c>
      <c r="BO41" s="108">
        <f>-Elec!$R$6-Elec!$R$7-Elec!$R$5-Elec!$R$8-Elec!$R$9-Elec!$R$10-Elec!$R$11-Elec!$R$12-Elec!$R$13-Elec!$R$14-Elec!$R$15-Elec!$R$17-Elec!$R$16*Elec!$I$30</f>
        <v>-66966.679264191742</v>
      </c>
      <c r="BP41" s="108">
        <f>-Elec!$R$6-Elec!$R$7-Elec!$R$5-Elec!$R$8-Elec!$R$9-Elec!$R$10-Elec!$R$11-Elec!$R$12-Elec!$R$13-Elec!$R$14-Elec!$R$15-Elec!$R$17-Elec!$R$16*Elec!$I$30</f>
        <v>-66966.679264191742</v>
      </c>
      <c r="BQ41" s="108">
        <f>-Elec!$R$6-Elec!$R$7-Elec!$R$5-Elec!$R$8-Elec!$R$9-Elec!$R$10-Elec!$R$11-Elec!$R$12-Elec!$R$13-Elec!$R$14-Elec!$R$15-Elec!$R$17-Elec!$R$16*Elec!$I$30</f>
        <v>-66966.679264191742</v>
      </c>
      <c r="BR41" s="108">
        <f>-Elec!$R$6-Elec!$R$7-Elec!$R$5-Elec!$R$8-Elec!$R$9-Elec!$R$10-Elec!$R$11-Elec!$R$12-Elec!$R$13-Elec!$R$14-Elec!$R$15-Elec!$R$17-Elec!$R$16*Elec!$I$30</f>
        <v>-66966.679264191742</v>
      </c>
      <c r="BS41" s="108">
        <f>-Elec!$R$6-Elec!$R$7-Elec!$R$5-Elec!$R$8-Elec!$R$9-Elec!$R$10-Elec!$R$11-Elec!$R$12-Elec!$R$13-Elec!$R$14-Elec!$R$15-Elec!$R$17-Elec!$R$16*Elec!$I$30</f>
        <v>-66966.679264191742</v>
      </c>
      <c r="BT41" s="108">
        <f>-Elec!$R$6-Elec!$R$7-Elec!$R$5-Elec!$R$8-Elec!$R$9-Elec!$R$10-Elec!$R$11-Elec!$R$12-Elec!$R$13-Elec!$R$14-Elec!$R$15-Elec!$R$17-Elec!$R$16*Elec!$I$30</f>
        <v>-66966.679264191742</v>
      </c>
      <c r="BU41" s="108">
        <f>-Elec!$R$6-Elec!$R$7-Elec!$R$5-Elec!$R$8-Elec!$R$9-Elec!$R$10-Elec!$R$11-Elec!$R$12-Elec!$R$13-Elec!$R$14-Elec!$R$15-Elec!$R$17-Elec!$R$16*Elec!$I$30</f>
        <v>-66966.679264191742</v>
      </c>
      <c r="BV41" s="108">
        <f>-Elec!$R$6-Elec!$R$7-Elec!$R$5-Elec!$R$8-Elec!$R$9-Elec!$R$10-Elec!$R$11-Elec!$R$12-Elec!$R$13-Elec!$R$14-Elec!$R$15-Elec!$R$17-Elec!$R$16*Elec!$I$30</f>
        <v>-66966.679264191742</v>
      </c>
      <c r="BW41" s="110">
        <f>-Elec!$R$6-Elec!$R$7-Elec!$R$5-Elec!$R$8-Elec!$R$9-Elec!$R$10-Elec!$R$11-Elec!$R$12-Elec!$R$13-Elec!$R$14-Elec!$R$15-Elec!$R$17-Elec!$R$16*Elec!$I$30</f>
        <v>-66966.679264191742</v>
      </c>
      <c r="BX41" s="109">
        <f>-Elec!$T$6-Elec!$T$7-Elec!$T$5-Elec!$T$8-Elec!$T$9-Elec!$T$10-Elec!$T$11-Elec!$T$12-Elec!$T$13-Elec!$T$14-Elec!$T$15-Elec!$T$17-Elec!$T$16*Elec!$I$30</f>
        <v>-73663.347190610933</v>
      </c>
      <c r="BY41" s="108">
        <f>-Elec!$T$6-Elec!$T$7-Elec!$T$5-Elec!$T$8-Elec!$T$9-Elec!$T$10-Elec!$T$11-Elec!$T$12-Elec!$T$13-Elec!$T$14-Elec!$T$15-Elec!$T$17-Elec!$T$16*Elec!$I$30</f>
        <v>-73663.347190610933</v>
      </c>
      <c r="BZ41" s="108">
        <f>-Elec!$T$6-Elec!$T$7-Elec!$T$5-Elec!$T$8-Elec!$T$9-Elec!$T$10-Elec!$T$11-Elec!$T$12-Elec!$T$13-Elec!$T$14-Elec!$T$15-Elec!$T$17-Elec!$T$16*Elec!$I$30</f>
        <v>-73663.347190610933</v>
      </c>
      <c r="CA41" s="108">
        <f>-Elec!$T$6-Elec!$T$7-Elec!$T$5-Elec!$T$8-Elec!$T$9-Elec!$T$10-Elec!$T$11-Elec!$T$12-Elec!$T$13-Elec!$T$14-Elec!$T$15-Elec!$T$17-Elec!$T$16*Elec!$I$30</f>
        <v>-73663.347190610933</v>
      </c>
      <c r="CB41" s="108">
        <f>-Elec!$T$6-Elec!$T$7-Elec!$T$5-Elec!$T$8-Elec!$T$9-Elec!$T$10-Elec!$T$11-Elec!$T$12-Elec!$T$13-Elec!$T$14-Elec!$T$15-Elec!$T$17-Elec!$T$16*Elec!$I$30</f>
        <v>-73663.347190610933</v>
      </c>
      <c r="CC41" s="108">
        <f>-Elec!$T$6-Elec!$T$7-Elec!$T$5-Elec!$T$8-Elec!$T$9-Elec!$T$10-Elec!$T$11-Elec!$T$12-Elec!$T$13-Elec!$T$14-Elec!$T$15-Elec!$T$17-Elec!$T$16*Elec!$I$30</f>
        <v>-73663.347190610933</v>
      </c>
      <c r="CD41" s="108">
        <f>-Elec!$T$6-Elec!$T$7-Elec!$T$5-Elec!$T$8-Elec!$T$9-Elec!$T$10-Elec!$T$11-Elec!$T$12-Elec!$T$13-Elec!$T$14-Elec!$T$15-Elec!$T$17-Elec!$T$16*Elec!$I$30</f>
        <v>-73663.347190610933</v>
      </c>
      <c r="CE41" s="108">
        <f>-Elec!$T$6-Elec!$T$7-Elec!$T$5-Elec!$T$8-Elec!$T$9-Elec!$T$10-Elec!$T$11-Elec!$T$12-Elec!$T$13-Elec!$T$14-Elec!$T$15-Elec!$T$17-Elec!$T$16*Elec!$I$30</f>
        <v>-73663.347190610933</v>
      </c>
      <c r="CF41" s="108">
        <f>-Elec!$T$6-Elec!$T$7-Elec!$T$5-Elec!$T$8-Elec!$T$9-Elec!$T$10-Elec!$T$11-Elec!$T$12-Elec!$T$13-Elec!$T$14-Elec!$T$15-Elec!$T$17-Elec!$T$16*Elec!$I$30</f>
        <v>-73663.347190610933</v>
      </c>
      <c r="CG41" s="108">
        <f>-Elec!$T$6-Elec!$T$7-Elec!$T$5-Elec!$T$8-Elec!$T$9-Elec!$T$10-Elec!$T$11-Elec!$T$12-Elec!$T$13-Elec!$T$14-Elec!$T$15-Elec!$T$17-Elec!$T$16*Elec!$I$30</f>
        <v>-73663.347190610933</v>
      </c>
      <c r="CH41" s="108">
        <f>-Elec!$T$6-Elec!$T$7-Elec!$T$5-Elec!$T$8-Elec!$T$9-Elec!$T$10-Elec!$T$11-Elec!$T$12-Elec!$T$13-Elec!$T$14-Elec!$T$15-Elec!$T$17-Elec!$T$16*Elec!$I$30</f>
        <v>-73663.347190610933</v>
      </c>
      <c r="CI41" s="110">
        <f>-Elec!$T$6-Elec!$T$7-Elec!$T$5-Elec!$T$8-Elec!$T$9-Elec!$T$10-Elec!$T$11-Elec!$T$12-Elec!$T$13-Elec!$T$14-Elec!$T$15-Elec!$T$17-Elec!$T$16*Elec!$I$30</f>
        <v>-73663.347190610933</v>
      </c>
      <c r="CJ41" s="109">
        <f>-Elec!$V$6-Elec!$V$7-Elec!$V$5-Elec!$V$8-Elec!$V$9-Elec!$V$10-Elec!$V$11-Elec!$V$12-Elec!$V$13-Elec!$V$14-Elec!$V$15-Elec!$V$17-Elec!$V$16*Elec!$I$30</f>
        <v>-81029.681909672028</v>
      </c>
      <c r="CK41" s="108">
        <f>-Elec!$V$6-Elec!$V$7-Elec!$V$5-Elec!$V$8-Elec!$V$9-Elec!$V$10-Elec!$V$11-Elec!$V$12-Elec!$V$13-Elec!$V$14-Elec!$V$15-Elec!$V$17-Elec!$V$16*Elec!$I$30</f>
        <v>-81029.681909672028</v>
      </c>
      <c r="CL41" s="108">
        <f>-Elec!$V$6-Elec!$V$7-Elec!$V$5-Elec!$V$8-Elec!$V$9-Elec!$V$10-Elec!$V$11-Elec!$V$12-Elec!$V$13-Elec!$V$14-Elec!$V$15-Elec!$V$17-Elec!$V$16*Elec!$I$30</f>
        <v>-81029.681909672028</v>
      </c>
      <c r="CM41" s="108">
        <f>-Elec!$V$6-Elec!$V$7-Elec!$V$5-Elec!$V$8-Elec!$V$9-Elec!$V$10-Elec!$V$11-Elec!$V$12-Elec!$V$13-Elec!$V$14-Elec!$V$15-Elec!$V$17-Elec!$V$16*Elec!$I$30</f>
        <v>-81029.681909672028</v>
      </c>
      <c r="CN41" s="108">
        <f>-Elec!$V$6-Elec!$V$7-Elec!$V$5-Elec!$V$8-Elec!$V$9-Elec!$V$10-Elec!$V$11-Elec!$V$12-Elec!$V$13-Elec!$V$14-Elec!$V$15-Elec!$V$17-Elec!$V$16*Elec!$I$30</f>
        <v>-81029.681909672028</v>
      </c>
      <c r="CO41" s="108">
        <f>-Elec!$V$6-Elec!$V$7-Elec!$V$5-Elec!$V$8-Elec!$V$9-Elec!$V$10-Elec!$V$11-Elec!$V$12-Elec!$V$13-Elec!$V$14-Elec!$V$15-Elec!$V$17-Elec!$V$16*Elec!$I$30</f>
        <v>-81029.681909672028</v>
      </c>
      <c r="CP41" s="108">
        <f>-Elec!$V$6-Elec!$V$7-Elec!$V$5-Elec!$V$8-Elec!$V$9-Elec!$V$10-Elec!$V$11-Elec!$V$12-Elec!$V$13-Elec!$V$14-Elec!$V$15-Elec!$V$17-Elec!$V$16*Elec!$I$30</f>
        <v>-81029.681909672028</v>
      </c>
      <c r="CQ41" s="108">
        <f>-Elec!$V$6-Elec!$V$7-Elec!$V$5-Elec!$V$8-Elec!$V$9-Elec!$V$10-Elec!$V$11-Elec!$V$12-Elec!$V$13-Elec!$V$14-Elec!$V$15-Elec!$V$17-Elec!$V$16*Elec!$I$30</f>
        <v>-81029.681909672028</v>
      </c>
      <c r="CR41" s="108">
        <f>-Elec!$V$6-Elec!$V$7-Elec!$V$5-Elec!$V$8-Elec!$V$9-Elec!$V$10-Elec!$V$11-Elec!$V$12-Elec!$V$13-Elec!$V$14-Elec!$V$15-Elec!$V$17-Elec!$V$16*Elec!$I$30</f>
        <v>-81029.681909672028</v>
      </c>
      <c r="CS41" s="108">
        <f>-Elec!$V$6-Elec!$V$7-Elec!$V$5-Elec!$V$8-Elec!$V$9-Elec!$V$10-Elec!$V$11-Elec!$V$12-Elec!$V$13-Elec!$V$14-Elec!$V$15-Elec!$V$17-Elec!$V$16*Elec!$I$30</f>
        <v>-81029.681909672028</v>
      </c>
      <c r="CT41" s="108">
        <f>-Elec!$V$6-Elec!$V$7-Elec!$V$5-Elec!$V$8-Elec!$V$9-Elec!$V$10-Elec!$V$11-Elec!$V$12-Elec!$V$13-Elec!$V$14-Elec!$V$15-Elec!$V$17-Elec!$V$16*Elec!$I$30</f>
        <v>-81029.681909672028</v>
      </c>
      <c r="CU41" s="110">
        <f>-Elec!$V$6-Elec!$V$7-Elec!$V$5-Elec!$V$8-Elec!$V$9-Elec!$V$10-Elec!$V$11-Elec!$V$12-Elec!$V$13-Elec!$V$14-Elec!$V$15-Elec!$V$17-Elec!$V$16*Elec!$I$30</f>
        <v>-81029.681909672028</v>
      </c>
      <c r="CV41" s="109">
        <f>-Elec!$X$6-Elec!$X$7-Elec!$X$5-Elec!$X$8-Elec!$X$9-Elec!$X$10-Elec!$X$11-Elec!$X$12-Elec!$X$13-Elec!$X$14-Elec!$X$15-Elec!$X$17-Elec!$X$16*Elec!$I$30</f>
        <v>-89132.650100639221</v>
      </c>
      <c r="CW41" s="108">
        <f>-Elec!$X$6-Elec!$X$7-Elec!$X$5-Elec!$X$8-Elec!$X$9-Elec!$X$10-Elec!$X$11-Elec!$X$12-Elec!$X$13-Elec!$X$14-Elec!$X$15-Elec!$X$17-Elec!$X$16*Elec!$I$30</f>
        <v>-89132.650100639221</v>
      </c>
      <c r="CX41" s="108">
        <f>-Elec!$X$6-Elec!$X$7-Elec!$X$5-Elec!$X$8-Elec!$X$9-Elec!$X$10-Elec!$X$11-Elec!$X$12-Elec!$X$13-Elec!$X$14-Elec!$X$15-Elec!$X$17-Elec!$X$16*Elec!$I$30</f>
        <v>-89132.650100639221</v>
      </c>
      <c r="CY41" s="108">
        <f>-Elec!$X$6-Elec!$X$7-Elec!$X$5-Elec!$X$8-Elec!$X$9-Elec!$X$10-Elec!$X$11-Elec!$X$12-Elec!$X$13-Elec!$X$14-Elec!$X$15-Elec!$X$17-Elec!$X$16*Elec!$I$30</f>
        <v>-89132.650100639221</v>
      </c>
      <c r="CZ41" s="108">
        <f>-Elec!$X$6-Elec!$X$7-Elec!$X$5-Elec!$X$8-Elec!$X$9-Elec!$X$10-Elec!$X$11-Elec!$X$12-Elec!$X$13-Elec!$X$14-Elec!$X$15-Elec!$X$17-Elec!$X$16*Elec!$I$30</f>
        <v>-89132.650100639221</v>
      </c>
      <c r="DA41" s="108">
        <f>-Elec!$X$6-Elec!$X$7-Elec!$X$5-Elec!$X$8-Elec!$X$9-Elec!$X$10-Elec!$X$11-Elec!$X$12-Elec!$X$13-Elec!$X$14-Elec!$X$15-Elec!$X$17-Elec!$X$16*Elec!$I$30</f>
        <v>-89132.650100639221</v>
      </c>
      <c r="DB41" s="108">
        <f>-Elec!$X$6-Elec!$X$7-Elec!$X$5-Elec!$X$8-Elec!$X$9-Elec!$X$10-Elec!$X$11-Elec!$X$12-Elec!$X$13-Elec!$X$14-Elec!$X$15-Elec!$X$17-Elec!$X$16*Elec!$I$30</f>
        <v>-89132.650100639221</v>
      </c>
      <c r="DC41" s="108">
        <f>-Elec!$X$6-Elec!$X$7-Elec!$X$5-Elec!$X$8-Elec!$X$9-Elec!$X$10-Elec!$X$11-Elec!$X$12-Elec!$X$13-Elec!$X$14-Elec!$X$15-Elec!$X$17-Elec!$X$16*Elec!$I$30</f>
        <v>-89132.650100639221</v>
      </c>
      <c r="DD41" s="108">
        <f>-Elec!$X$6-Elec!$X$7-Elec!$X$5-Elec!$X$8-Elec!$X$9-Elec!$X$10-Elec!$X$11-Elec!$X$12-Elec!$X$13-Elec!$X$14-Elec!$X$15-Elec!$X$17-Elec!$X$16*Elec!$I$30</f>
        <v>-89132.650100639221</v>
      </c>
      <c r="DE41" s="108">
        <f>-Elec!$X$6-Elec!$X$7-Elec!$X$5-Elec!$X$8-Elec!$X$9-Elec!$X$10-Elec!$X$11-Elec!$X$12-Elec!$X$13-Elec!$X$14-Elec!$X$15-Elec!$X$17-Elec!$X$16*Elec!$I$30</f>
        <v>-89132.650100639221</v>
      </c>
      <c r="DF41" s="108">
        <f>-Elec!$X$6-Elec!$X$7-Elec!$X$5-Elec!$X$8-Elec!$X$9-Elec!$X$10-Elec!$X$11-Elec!$X$12-Elec!$X$13-Elec!$X$14-Elec!$X$15-Elec!$X$17-Elec!$X$16*Elec!$I$30</f>
        <v>-89132.650100639221</v>
      </c>
      <c r="DG41" s="110">
        <f>-Elec!$X$6-Elec!$X$7-Elec!$X$5-Elec!$X$8-Elec!$X$9-Elec!$X$10-Elec!$X$11-Elec!$X$12-Elec!$X$13-Elec!$X$14-Elec!$X$15-Elec!$X$17-Elec!$X$16*Elec!$I$30</f>
        <v>-89132.650100639221</v>
      </c>
      <c r="DH41" s="109">
        <f>-Elec!$Z$6-Elec!$Z$7-Elec!$Z$5-Elec!$Z$8-Elec!$Z$9-Elec!$Z$10-Elec!$Z$11-Elec!$Z$12-Elec!$Z$13-Elec!$Z$14-Elec!$Z$15-Elec!$Z$17-Elec!$Z$16*Elec!$I$30</f>
        <v>-98045.91511070315</v>
      </c>
      <c r="DI41" s="108">
        <f>-Elec!$Z$6-Elec!$Z$7-Elec!$Z$5-Elec!$Z$8-Elec!$Z$9-Elec!$Z$10-Elec!$Z$11-Elec!$Z$12-Elec!$Z$13-Elec!$Z$14-Elec!$Z$15-Elec!$Z$17-Elec!$Z$16*Elec!$I$30</f>
        <v>-98045.91511070315</v>
      </c>
      <c r="DJ41" s="108">
        <f>-Elec!$Z$6-Elec!$Z$7-Elec!$Z$5-Elec!$Z$8-Elec!$Z$9-Elec!$Z$10-Elec!$Z$11-Elec!$Z$12-Elec!$Z$13-Elec!$Z$14-Elec!$Z$15-Elec!$Z$17-Elec!$Z$16*Elec!$I$30</f>
        <v>-98045.91511070315</v>
      </c>
      <c r="DK41" s="108">
        <f>-Elec!$Z$6-Elec!$Z$7-Elec!$Z$5-Elec!$Z$8-Elec!$Z$9-Elec!$Z$10-Elec!$Z$11-Elec!$Z$12-Elec!$Z$13-Elec!$Z$14-Elec!$Z$15-Elec!$Z$17-Elec!$Z$16*Elec!$I$30</f>
        <v>-98045.91511070315</v>
      </c>
      <c r="DL41" s="108">
        <f>-Elec!$Z$6-Elec!$Z$7-Elec!$Z$5-Elec!$Z$8-Elec!$Z$9-Elec!$Z$10-Elec!$Z$11-Elec!$Z$12-Elec!$Z$13-Elec!$Z$14-Elec!$Z$15-Elec!$Z$17-Elec!$Z$16*Elec!$I$30</f>
        <v>-98045.91511070315</v>
      </c>
      <c r="DM41" s="108">
        <f>-Elec!$Z$6-Elec!$Z$7-Elec!$Z$5-Elec!$Z$8-Elec!$Z$9-Elec!$Z$10-Elec!$Z$11-Elec!$Z$12-Elec!$Z$13-Elec!$Z$14-Elec!$Z$15-Elec!$Z$17-Elec!$Z$16*Elec!$I$30</f>
        <v>-98045.91511070315</v>
      </c>
      <c r="DN41" s="108">
        <f>-Elec!$Z$6-Elec!$Z$7-Elec!$Z$5-Elec!$Z$8-Elec!$Z$9-Elec!$Z$10-Elec!$Z$11-Elec!$Z$12-Elec!$Z$13-Elec!$Z$14-Elec!$Z$15-Elec!$Z$17-Elec!$Z$16*Elec!$I$30</f>
        <v>-98045.91511070315</v>
      </c>
      <c r="DO41" s="108">
        <f>-Elec!$Z$6-Elec!$Z$7-Elec!$Z$5-Elec!$Z$8-Elec!$Z$9-Elec!$Z$10-Elec!$Z$11-Elec!$Z$12-Elec!$Z$13-Elec!$Z$14-Elec!$Z$15-Elec!$Z$17-Elec!$Z$16*Elec!$I$30</f>
        <v>-98045.91511070315</v>
      </c>
      <c r="DP41" s="108">
        <f>-Elec!$Z$6-Elec!$Z$7-Elec!$Z$5-Elec!$Z$8-Elec!$Z$9-Elec!$Z$10-Elec!$Z$11-Elec!$Z$12-Elec!$Z$13-Elec!$Z$14-Elec!$Z$15-Elec!$Z$17-Elec!$Z$16*Elec!$I$30</f>
        <v>-98045.91511070315</v>
      </c>
      <c r="DQ41" s="108">
        <f>-Elec!$Z$6-Elec!$Z$7-Elec!$Z$5-Elec!$Z$8-Elec!$Z$9-Elec!$Z$10-Elec!$Z$11-Elec!$Z$12-Elec!$Z$13-Elec!$Z$14-Elec!$Z$15-Elec!$Z$17-Elec!$Z$16*Elec!$I$30</f>
        <v>-98045.91511070315</v>
      </c>
      <c r="DR41" s="108">
        <f>-Elec!$Z$6-Elec!$Z$7-Elec!$Z$5-Elec!$Z$8-Elec!$Z$9-Elec!$Z$10-Elec!$Z$11-Elec!$Z$12-Elec!$Z$13-Elec!$Z$14-Elec!$Z$15-Elec!$Z$17-Elec!$Z$16*Elec!$I$30</f>
        <v>-98045.91511070315</v>
      </c>
      <c r="DS41" s="110">
        <f>-Elec!$Z$6-Elec!$Z$7-Elec!$Z$5-Elec!$Z$8-Elec!$Z$9-Elec!$Z$10-Elec!$Z$11-Elec!$Z$12-Elec!$Z$13-Elec!$Z$14-Elec!$Z$15-Elec!$Z$17-Elec!$Z$16*Elec!$I$30</f>
        <v>-98045.91511070315</v>
      </c>
    </row>
    <row r="42" spans="1:124" ht="15" x14ac:dyDescent="0.25">
      <c r="B42" s="162" t="s">
        <v>200</v>
      </c>
      <c r="C42" s="7"/>
      <c r="D42" s="403"/>
      <c r="E42" s="403"/>
      <c r="F42" s="403"/>
      <c r="G42" s="403"/>
      <c r="H42" s="403"/>
      <c r="I42" s="403"/>
      <c r="J42" s="403"/>
      <c r="K42" s="690"/>
      <c r="L42" s="690"/>
      <c r="M42" s="690"/>
      <c r="N42" s="690"/>
      <c r="O42" s="691"/>
      <c r="P42" s="344"/>
      <c r="Q42" s="108">
        <f>-(Production!R5*0.5)*Assumptions!$C$56*Q6</f>
        <v>0</v>
      </c>
      <c r="R42" s="108">
        <f>-(Production!S5*0.5)*Assumptions!$C$56*R6</f>
        <v>-132875</v>
      </c>
      <c r="S42" s="108">
        <f>-(Production!T5*0.5)*Assumptions!$C$56*S6</f>
        <v>0</v>
      </c>
      <c r="T42" s="108">
        <f>-(Production!U5*0.5)*Assumptions!$C$56*T6</f>
        <v>0</v>
      </c>
      <c r="U42" s="108">
        <f>-(Production!V5*0.5)*Assumptions!$C$56*U6</f>
        <v>0</v>
      </c>
      <c r="V42" s="108">
        <f>-(Production!W5*0.5)*Assumptions!$C$56*V6</f>
        <v>0</v>
      </c>
      <c r="W42" s="108">
        <f>-(Production!X5*0.5)*Assumptions!$C$56*W6</f>
        <v>0</v>
      </c>
      <c r="X42" s="108">
        <f>-(Production!Y5*0.5)*Assumptions!$C$56*X6</f>
        <v>0</v>
      </c>
      <c r="Y42" s="108">
        <f>-(Production!Z5*0.5)*Assumptions!$C$56*Y6</f>
        <v>0</v>
      </c>
      <c r="Z42" s="108">
        <f>-(Production!AA5*0.5)*Assumptions!$C$56*Z6</f>
        <v>0</v>
      </c>
      <c r="AA42" s="110">
        <f>-(Production!AB5*0.5)*Assumptions!$C$56*AA6</f>
        <v>0</v>
      </c>
      <c r="AB42" s="344">
        <f>-(Production!AC5*0.5)*Assumptions!$C$56*AB6</f>
        <v>0</v>
      </c>
      <c r="AC42" s="108">
        <f>-(Production!AD5*0.5)*Assumptions!$C$56*AC6</f>
        <v>0</v>
      </c>
      <c r="AD42" s="108">
        <f>-(Production!AE5*0.5)*Assumptions!$C$56*AD6</f>
        <v>-141246.12499999997</v>
      </c>
      <c r="AE42" s="108">
        <f>-(Production!AF5*0.5)*Assumptions!$C$56*AE6</f>
        <v>0</v>
      </c>
      <c r="AF42" s="108">
        <f>-(Production!AG5*0.5)*Assumptions!$C$56*AF6</f>
        <v>0</v>
      </c>
      <c r="AG42" s="108">
        <f>-(Production!AH5*0.5)*Assumptions!$C$56*AG6</f>
        <v>0</v>
      </c>
      <c r="AH42" s="108">
        <f>-(Production!AI5*0.5)*Assumptions!$C$56*AH6</f>
        <v>0</v>
      </c>
      <c r="AI42" s="108">
        <f>-(Production!AJ5*0.5)*Assumptions!$C$56*AI6</f>
        <v>0</v>
      </c>
      <c r="AJ42" s="108">
        <f>-(Production!AK5*0.5)*Assumptions!$C$56*AJ6</f>
        <v>0</v>
      </c>
      <c r="AK42" s="108">
        <f>-(Production!AL5*0.5)*Assumptions!$C$56*AK6</f>
        <v>0</v>
      </c>
      <c r="AL42" s="108">
        <f>-(Production!AM5*0.5)*Assumptions!$C$56*AL6</f>
        <v>0</v>
      </c>
      <c r="AM42" s="110">
        <f>-(Production!AN5*0.5)*Assumptions!$C$56*AM6</f>
        <v>0</v>
      </c>
      <c r="AN42" s="109">
        <f>-(Production!AO5*0.5)*Assumptions!$C$56*AN6</f>
        <v>0</v>
      </c>
      <c r="AO42" s="108">
        <f>-(Production!AP5*0.5)*Assumptions!$C$56*AO6</f>
        <v>0</v>
      </c>
      <c r="AP42" s="108">
        <f>-(Production!AQ5*0.5)*Assumptions!$C$56*AP6</f>
        <v>-150144.63087499997</v>
      </c>
      <c r="AQ42" s="108">
        <f>-(Production!AR5*0.5)*Assumptions!$C$56*AQ6</f>
        <v>0</v>
      </c>
      <c r="AR42" s="108">
        <f>-(Production!AS5*0.5)*Assumptions!$C$56*AR6</f>
        <v>0</v>
      </c>
      <c r="AS42" s="108">
        <f>-(Production!AT5*0.5)*Assumptions!$C$56*AS6</f>
        <v>0</v>
      </c>
      <c r="AT42" s="108">
        <f>-(Production!AU5*0.5)*Assumptions!$C$56*AT6</f>
        <v>0</v>
      </c>
      <c r="AU42" s="108">
        <f>-(Production!AV5*0.5)*Assumptions!$C$56*AU6</f>
        <v>0</v>
      </c>
      <c r="AV42" s="108">
        <f>-(Production!AW5*0.5)*Assumptions!$C$56*AV6</f>
        <v>0</v>
      </c>
      <c r="AW42" s="108">
        <f>-(Production!AX5*0.5)*Assumptions!$C$56*AW6</f>
        <v>0</v>
      </c>
      <c r="AX42" s="108">
        <f>-(Production!AY5*0.5)*Assumptions!$C$56*AX6</f>
        <v>0</v>
      </c>
      <c r="AY42" s="110">
        <f>-(Production!AZ5*0.5)*Assumptions!$C$56*AY6</f>
        <v>0</v>
      </c>
      <c r="AZ42" s="109">
        <f>-(Production!BA5*0.5)*Assumptions!$C$56*AZ6</f>
        <v>0</v>
      </c>
      <c r="BA42" s="108">
        <f>-(Production!BB5*0.5)*Assumptions!$C$56*BA6</f>
        <v>0</v>
      </c>
      <c r="BB42" s="108">
        <f>-(Production!BC5*0.5)*Assumptions!$C$56*BB6</f>
        <v>-159603.74262012495</v>
      </c>
      <c r="BC42" s="108">
        <f>-(Production!BD5*0.5)*Assumptions!$C$56*BC6</f>
        <v>0</v>
      </c>
      <c r="BD42" s="108">
        <f>-(Production!BE5*0.5)*Assumptions!$C$56*BD6</f>
        <v>0</v>
      </c>
      <c r="BE42" s="108">
        <f>-(Production!BF5*0.5)*Assumptions!$C$56*BE6</f>
        <v>0</v>
      </c>
      <c r="BF42" s="108">
        <f>-(Production!BG5*0.5)*Assumptions!$C$56*BF6</f>
        <v>0</v>
      </c>
      <c r="BG42" s="108">
        <f>-(Production!BH5*0.5)*Assumptions!$C$56*BG6</f>
        <v>0</v>
      </c>
      <c r="BH42" s="108">
        <f>-(Production!BI5*0.5)*Assumptions!$C$56*BH6</f>
        <v>0</v>
      </c>
      <c r="BI42" s="108">
        <f>-(Production!BJ5*0.5)*Assumptions!$C$56*BI6</f>
        <v>0</v>
      </c>
      <c r="BJ42" s="108">
        <f>-(Production!BK5*0.5)*Assumptions!$C$56*BJ6</f>
        <v>0</v>
      </c>
      <c r="BK42" s="110">
        <f>-(Production!BL5*0.5)*Assumptions!$C$56*BK6</f>
        <v>0</v>
      </c>
      <c r="BL42" s="109">
        <f>-(Production!BM5*0.5)*Assumptions!$C$56*BL6</f>
        <v>0</v>
      </c>
      <c r="BM42" s="108">
        <f>-(Production!BN5*0.5)*Assumptions!$C$56*BM6</f>
        <v>0</v>
      </c>
      <c r="BN42" s="108">
        <f>-(Production!BO5*0.5)*Assumptions!$C$56*BN6</f>
        <v>-169658.7784051928</v>
      </c>
      <c r="BO42" s="108">
        <f>-(Production!BP5*0.5)*Assumptions!$C$56*BO6</f>
        <v>0</v>
      </c>
      <c r="BP42" s="108">
        <f>-(Production!BQ5*0.5)*Assumptions!$C$56*BP6</f>
        <v>0</v>
      </c>
      <c r="BQ42" s="108">
        <f>-(Production!BR5*0.5)*Assumptions!$C$56*BQ6</f>
        <v>0</v>
      </c>
      <c r="BR42" s="108">
        <f>-(Production!BS5*0.5)*Assumptions!$C$56*BR6</f>
        <v>0</v>
      </c>
      <c r="BS42" s="108">
        <f>-(Production!BT5*0.5)*Assumptions!$C$56*BS6</f>
        <v>0</v>
      </c>
      <c r="BT42" s="108">
        <f>-(Production!BU5*0.5)*Assumptions!$C$56*BT6</f>
        <v>0</v>
      </c>
      <c r="BU42" s="108">
        <f>-(Production!BV5*0.5)*Assumptions!$C$56*BU6</f>
        <v>0</v>
      </c>
      <c r="BV42" s="108">
        <f>-(Production!BW5*0.5)*Assumptions!$C$56*BV6</f>
        <v>0</v>
      </c>
      <c r="BW42" s="110">
        <f>-(Production!BX5*0.5)*Assumptions!$C$56*BW6</f>
        <v>0</v>
      </c>
      <c r="BX42" s="109">
        <f>-(Production!BY5*0.5)*Assumptions!$C$56*BX6</f>
        <v>0</v>
      </c>
      <c r="BY42" s="108">
        <f>-(Production!BZ5*0.5)*Assumptions!$C$56*BY6</f>
        <v>0</v>
      </c>
      <c r="BZ42" s="108">
        <f>-(Production!CA5*0.5)*Assumptions!$C$56*BZ6</f>
        <v>-180347.28144471996</v>
      </c>
      <c r="CA42" s="108">
        <f>-(Production!CB5*0.5)*Assumptions!$C$56*CA6</f>
        <v>0</v>
      </c>
      <c r="CB42" s="108">
        <f>-(Production!CC5*0.5)*Assumptions!$C$56*CB6</f>
        <v>0</v>
      </c>
      <c r="CC42" s="108">
        <f>-(Production!CD5*0.5)*Assumptions!$C$56*CC6</f>
        <v>0</v>
      </c>
      <c r="CD42" s="108">
        <f>-(Production!CE5*0.5)*Assumptions!$C$56*CD6</f>
        <v>0</v>
      </c>
      <c r="CE42" s="108">
        <f>-(Production!CF5*0.5)*Assumptions!$C$56*CE6</f>
        <v>0</v>
      </c>
      <c r="CF42" s="108">
        <f>-(Production!CG5*0.5)*Assumptions!$C$56*CF6</f>
        <v>0</v>
      </c>
      <c r="CG42" s="108">
        <f>-(Production!CH5*0.5)*Assumptions!$C$56*CG6</f>
        <v>0</v>
      </c>
      <c r="CH42" s="108">
        <f>-(Production!CI5*0.5)*Assumptions!$C$56*CH6</f>
        <v>0</v>
      </c>
      <c r="CI42" s="110">
        <f>-(Production!CJ5*0.5)*Assumptions!$C$56*CI6</f>
        <v>0</v>
      </c>
      <c r="CJ42" s="109">
        <f>-(Production!CK5*0.5)*Assumptions!$C$56*CJ6</f>
        <v>0</v>
      </c>
      <c r="CK42" s="108">
        <f>-(Production!CL5*0.5)*Assumptions!$C$56*CK6</f>
        <v>0</v>
      </c>
      <c r="CL42" s="108">
        <f>-(Production!CM5*0.5)*Assumptions!$C$56*CL6</f>
        <v>-191709.16017573731</v>
      </c>
      <c r="CM42" s="108">
        <f>-(Production!CN5*0.5)*Assumptions!$C$56*CM6</f>
        <v>0</v>
      </c>
      <c r="CN42" s="108">
        <f>-(Production!CO5*0.5)*Assumptions!$C$56*CN6</f>
        <v>0</v>
      </c>
      <c r="CO42" s="108">
        <f>-(Production!CP5*0.5)*Assumptions!$C$56*CO6</f>
        <v>0</v>
      </c>
      <c r="CP42" s="108">
        <f>-(Production!CQ5*0.5)*Assumptions!$C$56*CP6</f>
        <v>0</v>
      </c>
      <c r="CQ42" s="108">
        <f>-(Production!CR5*0.5)*Assumptions!$C$56*CQ6</f>
        <v>0</v>
      </c>
      <c r="CR42" s="108">
        <f>-(Production!CS5*0.5)*Assumptions!$C$56*CR6</f>
        <v>0</v>
      </c>
      <c r="CS42" s="108">
        <f>-(Production!CT5*0.5)*Assumptions!$C$56*CS6</f>
        <v>0</v>
      </c>
      <c r="CT42" s="108">
        <f>-(Production!CU5*0.5)*Assumptions!$C$56*CT6</f>
        <v>0</v>
      </c>
      <c r="CU42" s="110">
        <f>-(Production!CV5*0.5)*Assumptions!$C$56*CU6</f>
        <v>0</v>
      </c>
      <c r="CV42" s="109">
        <f>-(Production!CW5*0.5)*Assumptions!$C$56*CV6</f>
        <v>0</v>
      </c>
      <c r="CW42" s="108">
        <f>-(Production!CX5*0.5)*Assumptions!$C$56*CW6</f>
        <v>0</v>
      </c>
      <c r="CX42" s="108">
        <f>-(Production!CY5*0.5)*Assumptions!$C$56*CX6</f>
        <v>-203786.83726680875</v>
      </c>
      <c r="CY42" s="108">
        <f>-(Production!CZ5*0.5)*Assumptions!$C$56*CY6</f>
        <v>0</v>
      </c>
      <c r="CZ42" s="108">
        <f>-(Production!DA5*0.5)*Assumptions!$C$56*CZ6</f>
        <v>0</v>
      </c>
      <c r="DA42" s="108">
        <f>-(Production!DB5*0.5)*Assumptions!$C$56*DA6</f>
        <v>0</v>
      </c>
      <c r="DB42" s="108">
        <f>-(Production!DC5*0.5)*Assumptions!$C$56*DB6</f>
        <v>0</v>
      </c>
      <c r="DC42" s="108">
        <f>-(Production!DD5*0.5)*Assumptions!$C$56*DC6</f>
        <v>0</v>
      </c>
      <c r="DD42" s="108">
        <f>-(Production!DE5*0.5)*Assumptions!$C$56*DD6</f>
        <v>0</v>
      </c>
      <c r="DE42" s="108">
        <f>-(Production!DF5*0.5)*Assumptions!$C$56*DE6</f>
        <v>0</v>
      </c>
      <c r="DF42" s="108">
        <f>-(Production!DG5*0.5)*Assumptions!$C$56*DF6</f>
        <v>0</v>
      </c>
      <c r="DG42" s="110">
        <f>-(Production!DH5*0.5)*Assumptions!$C$56*DG6</f>
        <v>0</v>
      </c>
      <c r="DH42" s="109">
        <f>-(Production!DI5*0.5)*Assumptions!$C$56*DH6</f>
        <v>0</v>
      </c>
      <c r="DI42" s="108">
        <f>-(Production!DJ5*0.5)*Assumptions!$C$56*DI6</f>
        <v>0</v>
      </c>
      <c r="DJ42" s="108">
        <f>-(Production!DK5*0.5)*Assumptions!$C$56*DJ6</f>
        <v>-216625.40801461769</v>
      </c>
      <c r="DK42" s="108">
        <f>-(Production!DL5*0.5)*Assumptions!$C$56*DK6</f>
        <v>0</v>
      </c>
      <c r="DL42" s="108">
        <f>-(Production!DM5*0.5)*Assumptions!$C$56*DL6</f>
        <v>0</v>
      </c>
      <c r="DM42" s="108">
        <f>-(Production!DN5*0.5)*Assumptions!$C$56*DM6</f>
        <v>0</v>
      </c>
      <c r="DN42" s="108">
        <f>-(Production!DO5*0.5)*Assumptions!$C$56*DN6</f>
        <v>0</v>
      </c>
      <c r="DO42" s="108">
        <f>-(Production!DP5*0.5)*Assumptions!$C$56*DO6</f>
        <v>0</v>
      </c>
      <c r="DP42" s="108">
        <f>-(Production!DQ5*0.5)*Assumptions!$C$56*DP6</f>
        <v>0</v>
      </c>
      <c r="DQ42" s="108">
        <f>-(Production!DR5*0.5)*Assumptions!$C$56*DQ6</f>
        <v>0</v>
      </c>
      <c r="DR42" s="108">
        <f>-(Production!DS5*0.5)*Assumptions!$C$56*DR6</f>
        <v>0</v>
      </c>
      <c r="DS42" s="110">
        <f>-(Production!DT5*0.5)*Assumptions!$C$56*DS6</f>
        <v>0</v>
      </c>
    </row>
    <row r="43" spans="1:124" ht="15" x14ac:dyDescent="0.25">
      <c r="B43" s="162" t="s">
        <v>201</v>
      </c>
      <c r="C43" s="7">
        <v>-25000</v>
      </c>
      <c r="D43" s="403"/>
      <c r="E43" s="403"/>
      <c r="F43" s="403"/>
      <c r="G43" s="403"/>
      <c r="H43" s="403"/>
      <c r="I43" s="403"/>
      <c r="J43" s="403"/>
      <c r="K43" s="690"/>
      <c r="L43" s="690"/>
      <c r="M43" s="690"/>
      <c r="N43" s="690"/>
      <c r="O43" s="691"/>
      <c r="P43" s="344"/>
      <c r="Q43" s="108"/>
      <c r="R43" s="108">
        <f t="shared" ref="R43:AW43" si="20">$C43*R6</f>
        <v>-26575</v>
      </c>
      <c r="S43" s="108">
        <f t="shared" si="20"/>
        <v>-26575</v>
      </c>
      <c r="T43" s="108">
        <f t="shared" si="20"/>
        <v>-26575</v>
      </c>
      <c r="U43" s="108">
        <f t="shared" si="20"/>
        <v>-26575</v>
      </c>
      <c r="V43" s="108">
        <f t="shared" si="20"/>
        <v>-26575</v>
      </c>
      <c r="W43" s="108">
        <f t="shared" si="20"/>
        <v>-26575</v>
      </c>
      <c r="X43" s="108">
        <f t="shared" si="20"/>
        <v>-26575</v>
      </c>
      <c r="Y43" s="108">
        <f t="shared" si="20"/>
        <v>-26575</v>
      </c>
      <c r="Z43" s="108">
        <f t="shared" si="20"/>
        <v>-26575</v>
      </c>
      <c r="AA43" s="110">
        <f t="shared" si="20"/>
        <v>-26575</v>
      </c>
      <c r="AB43" s="344">
        <f t="shared" si="20"/>
        <v>-28249.224999999995</v>
      </c>
      <c r="AC43" s="108">
        <f t="shared" si="20"/>
        <v>-28249.224999999995</v>
      </c>
      <c r="AD43" s="108">
        <f t="shared" si="20"/>
        <v>-28249.224999999995</v>
      </c>
      <c r="AE43" s="108">
        <f t="shared" si="20"/>
        <v>-28249.224999999995</v>
      </c>
      <c r="AF43" s="108">
        <f t="shared" si="20"/>
        <v>-28249.224999999995</v>
      </c>
      <c r="AG43" s="108">
        <f t="shared" si="20"/>
        <v>-28249.224999999995</v>
      </c>
      <c r="AH43" s="108">
        <f t="shared" si="20"/>
        <v>-28249.224999999995</v>
      </c>
      <c r="AI43" s="108">
        <f t="shared" si="20"/>
        <v>-28249.224999999995</v>
      </c>
      <c r="AJ43" s="108">
        <f t="shared" si="20"/>
        <v>-28249.224999999995</v>
      </c>
      <c r="AK43" s="108">
        <f t="shared" si="20"/>
        <v>-28249.224999999995</v>
      </c>
      <c r="AL43" s="108">
        <f t="shared" si="20"/>
        <v>-28249.224999999995</v>
      </c>
      <c r="AM43" s="110">
        <f t="shared" si="20"/>
        <v>-28249.224999999995</v>
      </c>
      <c r="AN43" s="109">
        <f t="shared" si="20"/>
        <v>-30028.926174999993</v>
      </c>
      <c r="AO43" s="108">
        <f t="shared" si="20"/>
        <v>-30028.926174999993</v>
      </c>
      <c r="AP43" s="108">
        <f t="shared" si="20"/>
        <v>-30028.926174999993</v>
      </c>
      <c r="AQ43" s="108">
        <f t="shared" si="20"/>
        <v>-30028.926174999993</v>
      </c>
      <c r="AR43" s="108">
        <f t="shared" si="20"/>
        <v>-30028.926174999993</v>
      </c>
      <c r="AS43" s="108">
        <f t="shared" si="20"/>
        <v>-30028.926174999993</v>
      </c>
      <c r="AT43" s="108">
        <f t="shared" si="20"/>
        <v>-30028.926174999993</v>
      </c>
      <c r="AU43" s="108">
        <f t="shared" si="20"/>
        <v>-30028.926174999993</v>
      </c>
      <c r="AV43" s="108">
        <f t="shared" si="20"/>
        <v>-30028.926174999993</v>
      </c>
      <c r="AW43" s="108">
        <f t="shared" si="20"/>
        <v>-30028.926174999993</v>
      </c>
      <c r="AX43" s="108">
        <f t="shared" ref="AX43:CC43" si="21">$C43*AX6</f>
        <v>-30028.926174999993</v>
      </c>
      <c r="AY43" s="110">
        <f t="shared" si="21"/>
        <v>-30028.926174999993</v>
      </c>
      <c r="AZ43" s="109">
        <f t="shared" si="21"/>
        <v>-31920.748524024988</v>
      </c>
      <c r="BA43" s="108">
        <f t="shared" si="21"/>
        <v>-31920.748524024988</v>
      </c>
      <c r="BB43" s="108">
        <f t="shared" si="21"/>
        <v>-31920.748524024988</v>
      </c>
      <c r="BC43" s="108">
        <f t="shared" si="21"/>
        <v>-31920.748524024988</v>
      </c>
      <c r="BD43" s="108">
        <f t="shared" si="21"/>
        <v>-31920.748524024988</v>
      </c>
      <c r="BE43" s="108">
        <f t="shared" si="21"/>
        <v>-31920.748524024988</v>
      </c>
      <c r="BF43" s="108">
        <f t="shared" si="21"/>
        <v>-31920.748524024988</v>
      </c>
      <c r="BG43" s="108">
        <f t="shared" si="21"/>
        <v>-31920.748524024988</v>
      </c>
      <c r="BH43" s="108">
        <f t="shared" si="21"/>
        <v>-31920.748524024988</v>
      </c>
      <c r="BI43" s="108">
        <f t="shared" si="21"/>
        <v>-31920.748524024988</v>
      </c>
      <c r="BJ43" s="108">
        <f t="shared" si="21"/>
        <v>-31920.748524024988</v>
      </c>
      <c r="BK43" s="110">
        <f t="shared" si="21"/>
        <v>-31920.748524024988</v>
      </c>
      <c r="BL43" s="109">
        <f t="shared" si="21"/>
        <v>-33931.755681038558</v>
      </c>
      <c r="BM43" s="108">
        <f t="shared" si="21"/>
        <v>-33931.755681038558</v>
      </c>
      <c r="BN43" s="108">
        <f t="shared" si="21"/>
        <v>-33931.755681038558</v>
      </c>
      <c r="BO43" s="108">
        <f t="shared" si="21"/>
        <v>-33931.755681038558</v>
      </c>
      <c r="BP43" s="108">
        <f t="shared" si="21"/>
        <v>-33931.755681038558</v>
      </c>
      <c r="BQ43" s="108">
        <f t="shared" si="21"/>
        <v>-33931.755681038558</v>
      </c>
      <c r="BR43" s="108">
        <f t="shared" si="21"/>
        <v>-33931.755681038558</v>
      </c>
      <c r="BS43" s="108">
        <f t="shared" si="21"/>
        <v>-33931.755681038558</v>
      </c>
      <c r="BT43" s="108">
        <f t="shared" si="21"/>
        <v>-33931.755681038558</v>
      </c>
      <c r="BU43" s="108">
        <f t="shared" si="21"/>
        <v>-33931.755681038558</v>
      </c>
      <c r="BV43" s="108">
        <f t="shared" si="21"/>
        <v>-33931.755681038558</v>
      </c>
      <c r="BW43" s="110">
        <f t="shared" si="21"/>
        <v>-33931.755681038558</v>
      </c>
      <c r="BX43" s="109">
        <f t="shared" si="21"/>
        <v>-36069.456288943991</v>
      </c>
      <c r="BY43" s="108">
        <f t="shared" si="21"/>
        <v>-36069.456288943991</v>
      </c>
      <c r="BZ43" s="108">
        <f t="shared" si="21"/>
        <v>-36069.456288943991</v>
      </c>
      <c r="CA43" s="108">
        <f t="shared" si="21"/>
        <v>-36069.456288943991</v>
      </c>
      <c r="CB43" s="108">
        <f t="shared" si="21"/>
        <v>-36069.456288943991</v>
      </c>
      <c r="CC43" s="108">
        <f t="shared" si="21"/>
        <v>-36069.456288943991</v>
      </c>
      <c r="CD43" s="108">
        <f t="shared" ref="CD43:DI43" si="22">$C43*CD6</f>
        <v>-36069.456288943991</v>
      </c>
      <c r="CE43" s="108">
        <f t="shared" si="22"/>
        <v>-36069.456288943991</v>
      </c>
      <c r="CF43" s="108">
        <f t="shared" si="22"/>
        <v>-36069.456288943991</v>
      </c>
      <c r="CG43" s="108">
        <f t="shared" si="22"/>
        <v>-36069.456288943991</v>
      </c>
      <c r="CH43" s="108">
        <f t="shared" si="22"/>
        <v>-36069.456288943991</v>
      </c>
      <c r="CI43" s="110">
        <f t="shared" si="22"/>
        <v>-36069.456288943991</v>
      </c>
      <c r="CJ43" s="109">
        <f t="shared" si="22"/>
        <v>-38341.832035147461</v>
      </c>
      <c r="CK43" s="108">
        <f t="shared" si="22"/>
        <v>-38341.832035147461</v>
      </c>
      <c r="CL43" s="108">
        <f t="shared" si="22"/>
        <v>-38341.832035147461</v>
      </c>
      <c r="CM43" s="108">
        <f t="shared" si="22"/>
        <v>-38341.832035147461</v>
      </c>
      <c r="CN43" s="108">
        <f t="shared" si="22"/>
        <v>-38341.832035147461</v>
      </c>
      <c r="CO43" s="108">
        <f t="shared" si="22"/>
        <v>-38341.832035147461</v>
      </c>
      <c r="CP43" s="108">
        <f t="shared" si="22"/>
        <v>-38341.832035147461</v>
      </c>
      <c r="CQ43" s="108">
        <f t="shared" si="22"/>
        <v>-38341.832035147461</v>
      </c>
      <c r="CR43" s="108">
        <f t="shared" si="22"/>
        <v>-38341.832035147461</v>
      </c>
      <c r="CS43" s="108">
        <f t="shared" si="22"/>
        <v>-38341.832035147461</v>
      </c>
      <c r="CT43" s="108">
        <f t="shared" si="22"/>
        <v>-38341.832035147461</v>
      </c>
      <c r="CU43" s="110">
        <f t="shared" si="22"/>
        <v>-38341.832035147461</v>
      </c>
      <c r="CV43" s="109">
        <f t="shared" si="22"/>
        <v>-40757.367453361745</v>
      </c>
      <c r="CW43" s="108">
        <f t="shared" si="22"/>
        <v>-40757.367453361745</v>
      </c>
      <c r="CX43" s="108">
        <f t="shared" si="22"/>
        <v>-40757.367453361745</v>
      </c>
      <c r="CY43" s="108">
        <f t="shared" si="22"/>
        <v>-40757.367453361745</v>
      </c>
      <c r="CZ43" s="108">
        <f t="shared" si="22"/>
        <v>-40757.367453361745</v>
      </c>
      <c r="DA43" s="108">
        <f t="shared" si="22"/>
        <v>-40757.367453361745</v>
      </c>
      <c r="DB43" s="108">
        <f t="shared" si="22"/>
        <v>-40757.367453361745</v>
      </c>
      <c r="DC43" s="108">
        <f t="shared" si="22"/>
        <v>-40757.367453361745</v>
      </c>
      <c r="DD43" s="108">
        <f t="shared" si="22"/>
        <v>-40757.367453361745</v>
      </c>
      <c r="DE43" s="108">
        <f t="shared" si="22"/>
        <v>-40757.367453361745</v>
      </c>
      <c r="DF43" s="108">
        <f t="shared" si="22"/>
        <v>-40757.367453361745</v>
      </c>
      <c r="DG43" s="110">
        <f t="shared" si="22"/>
        <v>-40757.367453361745</v>
      </c>
      <c r="DH43" s="109">
        <f t="shared" si="22"/>
        <v>-43325.081602923536</v>
      </c>
      <c r="DI43" s="108">
        <f t="shared" si="22"/>
        <v>-43325.081602923536</v>
      </c>
      <c r="DJ43" s="108">
        <f t="shared" ref="DJ43:DS43" si="23">$C43*DJ6</f>
        <v>-43325.081602923536</v>
      </c>
      <c r="DK43" s="108">
        <f t="shared" si="23"/>
        <v>-43325.081602923536</v>
      </c>
      <c r="DL43" s="108">
        <f t="shared" si="23"/>
        <v>-43325.081602923536</v>
      </c>
      <c r="DM43" s="108">
        <f t="shared" si="23"/>
        <v>-43325.081602923536</v>
      </c>
      <c r="DN43" s="108">
        <f t="shared" si="23"/>
        <v>-43325.081602923536</v>
      </c>
      <c r="DO43" s="108">
        <f t="shared" si="23"/>
        <v>-43325.081602923536</v>
      </c>
      <c r="DP43" s="108">
        <f t="shared" si="23"/>
        <v>-43325.081602923536</v>
      </c>
      <c r="DQ43" s="108">
        <f t="shared" si="23"/>
        <v>-43325.081602923536</v>
      </c>
      <c r="DR43" s="108">
        <f t="shared" si="23"/>
        <v>-43325.081602923536</v>
      </c>
      <c r="DS43" s="110">
        <f t="shared" si="23"/>
        <v>-43325.081602923536</v>
      </c>
    </row>
    <row r="44" spans="1:124" ht="15" x14ac:dyDescent="0.25">
      <c r="B44" s="162" t="s">
        <v>202</v>
      </c>
      <c r="C44" s="7">
        <v>-25000</v>
      </c>
      <c r="D44" s="403"/>
      <c r="E44" s="403"/>
      <c r="F44" s="403"/>
      <c r="G44" s="403"/>
      <c r="H44" s="403"/>
      <c r="I44" s="403"/>
      <c r="J44" s="403"/>
      <c r="K44" s="690"/>
      <c r="L44" s="690"/>
      <c r="M44" s="690"/>
      <c r="N44" s="690"/>
      <c r="O44" s="691"/>
      <c r="P44" s="344"/>
      <c r="Q44" s="108"/>
      <c r="R44" s="108">
        <f t="shared" ref="R44:AW44" si="24">$C44*R6</f>
        <v>-26575</v>
      </c>
      <c r="S44" s="108">
        <f t="shared" si="24"/>
        <v>-26575</v>
      </c>
      <c r="T44" s="108">
        <f t="shared" si="24"/>
        <v>-26575</v>
      </c>
      <c r="U44" s="108">
        <f t="shared" si="24"/>
        <v>-26575</v>
      </c>
      <c r="V44" s="108">
        <f t="shared" si="24"/>
        <v>-26575</v>
      </c>
      <c r="W44" s="108">
        <f t="shared" si="24"/>
        <v>-26575</v>
      </c>
      <c r="X44" s="108">
        <f t="shared" si="24"/>
        <v>-26575</v>
      </c>
      <c r="Y44" s="108">
        <f t="shared" si="24"/>
        <v>-26575</v>
      </c>
      <c r="Z44" s="108">
        <f t="shared" si="24"/>
        <v>-26575</v>
      </c>
      <c r="AA44" s="110">
        <f t="shared" si="24"/>
        <v>-26575</v>
      </c>
      <c r="AB44" s="344">
        <f t="shared" si="24"/>
        <v>-28249.224999999995</v>
      </c>
      <c r="AC44" s="108">
        <f t="shared" si="24"/>
        <v>-28249.224999999995</v>
      </c>
      <c r="AD44" s="108">
        <f t="shared" si="24"/>
        <v>-28249.224999999995</v>
      </c>
      <c r="AE44" s="108">
        <f t="shared" si="24"/>
        <v>-28249.224999999995</v>
      </c>
      <c r="AF44" s="108">
        <f t="shared" si="24"/>
        <v>-28249.224999999995</v>
      </c>
      <c r="AG44" s="108">
        <f t="shared" si="24"/>
        <v>-28249.224999999995</v>
      </c>
      <c r="AH44" s="108">
        <f t="shared" si="24"/>
        <v>-28249.224999999995</v>
      </c>
      <c r="AI44" s="108">
        <f t="shared" si="24"/>
        <v>-28249.224999999995</v>
      </c>
      <c r="AJ44" s="108">
        <f t="shared" si="24"/>
        <v>-28249.224999999995</v>
      </c>
      <c r="AK44" s="108">
        <f t="shared" si="24"/>
        <v>-28249.224999999995</v>
      </c>
      <c r="AL44" s="108">
        <f t="shared" si="24"/>
        <v>-28249.224999999995</v>
      </c>
      <c r="AM44" s="110">
        <f t="shared" si="24"/>
        <v>-28249.224999999995</v>
      </c>
      <c r="AN44" s="109">
        <f t="shared" si="24"/>
        <v>-30028.926174999993</v>
      </c>
      <c r="AO44" s="108">
        <f t="shared" si="24"/>
        <v>-30028.926174999993</v>
      </c>
      <c r="AP44" s="108">
        <f t="shared" si="24"/>
        <v>-30028.926174999993</v>
      </c>
      <c r="AQ44" s="108">
        <f t="shared" si="24"/>
        <v>-30028.926174999993</v>
      </c>
      <c r="AR44" s="108">
        <f t="shared" si="24"/>
        <v>-30028.926174999993</v>
      </c>
      <c r="AS44" s="108">
        <f t="shared" si="24"/>
        <v>-30028.926174999993</v>
      </c>
      <c r="AT44" s="108">
        <f t="shared" si="24"/>
        <v>-30028.926174999993</v>
      </c>
      <c r="AU44" s="108">
        <f t="shared" si="24"/>
        <v>-30028.926174999993</v>
      </c>
      <c r="AV44" s="108">
        <f t="shared" si="24"/>
        <v>-30028.926174999993</v>
      </c>
      <c r="AW44" s="108">
        <f t="shared" si="24"/>
        <v>-30028.926174999993</v>
      </c>
      <c r="AX44" s="108">
        <f t="shared" ref="AX44:CC44" si="25">$C44*AX6</f>
        <v>-30028.926174999993</v>
      </c>
      <c r="AY44" s="110">
        <f t="shared" si="25"/>
        <v>-30028.926174999993</v>
      </c>
      <c r="AZ44" s="109">
        <f t="shared" si="25"/>
        <v>-31920.748524024988</v>
      </c>
      <c r="BA44" s="108">
        <f t="shared" si="25"/>
        <v>-31920.748524024988</v>
      </c>
      <c r="BB44" s="108">
        <f t="shared" si="25"/>
        <v>-31920.748524024988</v>
      </c>
      <c r="BC44" s="108">
        <f t="shared" si="25"/>
        <v>-31920.748524024988</v>
      </c>
      <c r="BD44" s="108">
        <f t="shared" si="25"/>
        <v>-31920.748524024988</v>
      </c>
      <c r="BE44" s="108">
        <f t="shared" si="25"/>
        <v>-31920.748524024988</v>
      </c>
      <c r="BF44" s="108">
        <f t="shared" si="25"/>
        <v>-31920.748524024988</v>
      </c>
      <c r="BG44" s="108">
        <f t="shared" si="25"/>
        <v>-31920.748524024988</v>
      </c>
      <c r="BH44" s="108">
        <f t="shared" si="25"/>
        <v>-31920.748524024988</v>
      </c>
      <c r="BI44" s="108">
        <f t="shared" si="25"/>
        <v>-31920.748524024988</v>
      </c>
      <c r="BJ44" s="108">
        <f t="shared" si="25"/>
        <v>-31920.748524024988</v>
      </c>
      <c r="BK44" s="110">
        <f t="shared" si="25"/>
        <v>-31920.748524024988</v>
      </c>
      <c r="BL44" s="109">
        <f t="shared" si="25"/>
        <v>-33931.755681038558</v>
      </c>
      <c r="BM44" s="108">
        <f t="shared" si="25"/>
        <v>-33931.755681038558</v>
      </c>
      <c r="BN44" s="108">
        <f t="shared" si="25"/>
        <v>-33931.755681038558</v>
      </c>
      <c r="BO44" s="108">
        <f t="shared" si="25"/>
        <v>-33931.755681038558</v>
      </c>
      <c r="BP44" s="108">
        <f t="shared" si="25"/>
        <v>-33931.755681038558</v>
      </c>
      <c r="BQ44" s="108">
        <f t="shared" si="25"/>
        <v>-33931.755681038558</v>
      </c>
      <c r="BR44" s="108">
        <f t="shared" si="25"/>
        <v>-33931.755681038558</v>
      </c>
      <c r="BS44" s="108">
        <f t="shared" si="25"/>
        <v>-33931.755681038558</v>
      </c>
      <c r="BT44" s="108">
        <f t="shared" si="25"/>
        <v>-33931.755681038558</v>
      </c>
      <c r="BU44" s="108">
        <f t="shared" si="25"/>
        <v>-33931.755681038558</v>
      </c>
      <c r="BV44" s="108">
        <f t="shared" si="25"/>
        <v>-33931.755681038558</v>
      </c>
      <c r="BW44" s="110">
        <f t="shared" si="25"/>
        <v>-33931.755681038558</v>
      </c>
      <c r="BX44" s="109">
        <f t="shared" si="25"/>
        <v>-36069.456288943991</v>
      </c>
      <c r="BY44" s="108">
        <f t="shared" si="25"/>
        <v>-36069.456288943991</v>
      </c>
      <c r="BZ44" s="108">
        <f t="shared" si="25"/>
        <v>-36069.456288943991</v>
      </c>
      <c r="CA44" s="108">
        <f t="shared" si="25"/>
        <v>-36069.456288943991</v>
      </c>
      <c r="CB44" s="108">
        <f t="shared" si="25"/>
        <v>-36069.456288943991</v>
      </c>
      <c r="CC44" s="108">
        <f t="shared" si="25"/>
        <v>-36069.456288943991</v>
      </c>
      <c r="CD44" s="108">
        <f t="shared" ref="CD44:DI44" si="26">$C44*CD6</f>
        <v>-36069.456288943991</v>
      </c>
      <c r="CE44" s="108">
        <f t="shared" si="26"/>
        <v>-36069.456288943991</v>
      </c>
      <c r="CF44" s="108">
        <f t="shared" si="26"/>
        <v>-36069.456288943991</v>
      </c>
      <c r="CG44" s="108">
        <f t="shared" si="26"/>
        <v>-36069.456288943991</v>
      </c>
      <c r="CH44" s="108">
        <f t="shared" si="26"/>
        <v>-36069.456288943991</v>
      </c>
      <c r="CI44" s="110">
        <f t="shared" si="26"/>
        <v>-36069.456288943991</v>
      </c>
      <c r="CJ44" s="109">
        <f t="shared" si="26"/>
        <v>-38341.832035147461</v>
      </c>
      <c r="CK44" s="108">
        <f t="shared" si="26"/>
        <v>-38341.832035147461</v>
      </c>
      <c r="CL44" s="108">
        <f t="shared" si="26"/>
        <v>-38341.832035147461</v>
      </c>
      <c r="CM44" s="108">
        <f t="shared" si="26"/>
        <v>-38341.832035147461</v>
      </c>
      <c r="CN44" s="108">
        <f t="shared" si="26"/>
        <v>-38341.832035147461</v>
      </c>
      <c r="CO44" s="108">
        <f t="shared" si="26"/>
        <v>-38341.832035147461</v>
      </c>
      <c r="CP44" s="108">
        <f t="shared" si="26"/>
        <v>-38341.832035147461</v>
      </c>
      <c r="CQ44" s="108">
        <f t="shared" si="26"/>
        <v>-38341.832035147461</v>
      </c>
      <c r="CR44" s="108">
        <f t="shared" si="26"/>
        <v>-38341.832035147461</v>
      </c>
      <c r="CS44" s="108">
        <f t="shared" si="26"/>
        <v>-38341.832035147461</v>
      </c>
      <c r="CT44" s="108">
        <f t="shared" si="26"/>
        <v>-38341.832035147461</v>
      </c>
      <c r="CU44" s="110">
        <f t="shared" si="26"/>
        <v>-38341.832035147461</v>
      </c>
      <c r="CV44" s="109">
        <f t="shared" si="26"/>
        <v>-40757.367453361745</v>
      </c>
      <c r="CW44" s="108">
        <f t="shared" si="26"/>
        <v>-40757.367453361745</v>
      </c>
      <c r="CX44" s="108">
        <f t="shared" si="26"/>
        <v>-40757.367453361745</v>
      </c>
      <c r="CY44" s="108">
        <f t="shared" si="26"/>
        <v>-40757.367453361745</v>
      </c>
      <c r="CZ44" s="108">
        <f t="shared" si="26"/>
        <v>-40757.367453361745</v>
      </c>
      <c r="DA44" s="108">
        <f t="shared" si="26"/>
        <v>-40757.367453361745</v>
      </c>
      <c r="DB44" s="108">
        <f t="shared" si="26"/>
        <v>-40757.367453361745</v>
      </c>
      <c r="DC44" s="108">
        <f t="shared" si="26"/>
        <v>-40757.367453361745</v>
      </c>
      <c r="DD44" s="108">
        <f t="shared" si="26"/>
        <v>-40757.367453361745</v>
      </c>
      <c r="DE44" s="108">
        <f t="shared" si="26"/>
        <v>-40757.367453361745</v>
      </c>
      <c r="DF44" s="108">
        <f t="shared" si="26"/>
        <v>-40757.367453361745</v>
      </c>
      <c r="DG44" s="110">
        <f t="shared" si="26"/>
        <v>-40757.367453361745</v>
      </c>
      <c r="DH44" s="109">
        <f t="shared" si="26"/>
        <v>-43325.081602923536</v>
      </c>
      <c r="DI44" s="108">
        <f t="shared" si="26"/>
        <v>-43325.081602923536</v>
      </c>
      <c r="DJ44" s="108">
        <f t="shared" ref="DJ44:DS44" si="27">$C44*DJ6</f>
        <v>-43325.081602923536</v>
      </c>
      <c r="DK44" s="108">
        <f t="shared" si="27"/>
        <v>-43325.081602923536</v>
      </c>
      <c r="DL44" s="108">
        <f t="shared" si="27"/>
        <v>-43325.081602923536</v>
      </c>
      <c r="DM44" s="108">
        <f t="shared" si="27"/>
        <v>-43325.081602923536</v>
      </c>
      <c r="DN44" s="108">
        <f t="shared" si="27"/>
        <v>-43325.081602923536</v>
      </c>
      <c r="DO44" s="108">
        <f t="shared" si="27"/>
        <v>-43325.081602923536</v>
      </c>
      <c r="DP44" s="108">
        <f t="shared" si="27"/>
        <v>-43325.081602923536</v>
      </c>
      <c r="DQ44" s="108">
        <f t="shared" si="27"/>
        <v>-43325.081602923536</v>
      </c>
      <c r="DR44" s="108">
        <f t="shared" si="27"/>
        <v>-43325.081602923536</v>
      </c>
      <c r="DS44" s="110">
        <f t="shared" si="27"/>
        <v>-43325.081602923536</v>
      </c>
    </row>
    <row r="45" spans="1:124" ht="15" customHeight="1" x14ac:dyDescent="0.25">
      <c r="A45" s="9"/>
      <c r="B45" s="162"/>
      <c r="C45" s="7"/>
      <c r="D45" s="492"/>
      <c r="E45" s="492"/>
      <c r="F45" s="492"/>
      <c r="G45" s="492"/>
      <c r="H45" s="492"/>
      <c r="I45" s="492"/>
      <c r="J45" s="492"/>
      <c r="K45" s="492"/>
      <c r="L45" s="492"/>
      <c r="M45" s="492"/>
      <c r="N45" s="492"/>
      <c r="O45" s="689"/>
      <c r="P45" s="1186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607"/>
      <c r="AB45" s="1186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607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607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607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607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607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607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607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607"/>
    </row>
    <row r="46" spans="1:124" ht="15.75" x14ac:dyDescent="0.25">
      <c r="B46" s="168" t="s">
        <v>203</v>
      </c>
      <c r="D46" s="745"/>
      <c r="E46" s="745"/>
      <c r="F46" s="745"/>
      <c r="G46" s="745"/>
      <c r="H46" s="745"/>
      <c r="I46" s="745"/>
      <c r="J46" s="745"/>
      <c r="K46" s="745"/>
      <c r="L46" s="745"/>
      <c r="M46" s="745"/>
      <c r="N46" s="745"/>
      <c r="O46" s="688"/>
      <c r="P46" s="788"/>
      <c r="Q46" s="3"/>
      <c r="R46" s="3"/>
      <c r="S46" s="3"/>
      <c r="T46" s="3"/>
      <c r="U46" s="3"/>
      <c r="V46" s="3"/>
      <c r="W46" s="3"/>
      <c r="X46" s="3"/>
      <c r="Y46" s="3"/>
      <c r="Z46" s="3"/>
      <c r="AA46" s="500"/>
      <c r="AB46" s="788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500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500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500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500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500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500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500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500"/>
      <c r="DT46" s="3"/>
    </row>
    <row r="47" spans="1:124" ht="15" x14ac:dyDescent="0.25">
      <c r="B47" s="162" t="s">
        <v>190</v>
      </c>
      <c r="D47" s="403"/>
      <c r="E47" s="403"/>
      <c r="F47" s="403"/>
      <c r="G47" s="403"/>
      <c r="H47" s="403"/>
      <c r="I47" s="403"/>
      <c r="J47" s="403"/>
      <c r="K47" s="403"/>
      <c r="L47" s="403"/>
      <c r="M47" s="403"/>
      <c r="N47" s="403"/>
      <c r="O47" s="486"/>
      <c r="P47" s="344"/>
      <c r="Q47" s="109"/>
      <c r="R47" s="109">
        <f>SUM(HR!T34:T36)</f>
        <v>-24803.333333333332</v>
      </c>
      <c r="S47" s="109">
        <f>SUM(HR!U34:U36)</f>
        <v>-24803.333333333332</v>
      </c>
      <c r="T47" s="109">
        <f>SUM(HR!V34:V36)</f>
        <v>-24803.333333333332</v>
      </c>
      <c r="U47" s="109">
        <f>SUM(HR!W34:W36)</f>
        <v>-24803.333333333332</v>
      </c>
      <c r="V47" s="109">
        <f>SUM(HR!X34:X36)</f>
        <v>-24803.333333333332</v>
      </c>
      <c r="W47" s="109">
        <f>SUM(HR!Y34:Y36)</f>
        <v>-24803.333333333332</v>
      </c>
      <c r="X47" s="109">
        <f>SUM(HR!Z34:Z36)</f>
        <v>-24803.333333333332</v>
      </c>
      <c r="Y47" s="109">
        <f>SUM(HR!AA34:AA36)</f>
        <v>-24803.333333333332</v>
      </c>
      <c r="Z47" s="109">
        <f>SUM(HR!AB34:AB36)</f>
        <v>-24803.333333333332</v>
      </c>
      <c r="AA47" s="695">
        <f>SUM(HR!AC34:AC36)</f>
        <v>-24803.333333333332</v>
      </c>
      <c r="AB47" s="344">
        <f>SUM(HR!AD34:AD36)</f>
        <v>-26365.943333333325</v>
      </c>
      <c r="AC47" s="109">
        <f>SUM(HR!AE34:AE36)</f>
        <v>-45528.334291666659</v>
      </c>
      <c r="AD47" s="109">
        <f>SUM(HR!AF34:AF36)</f>
        <v>-45528.334291666659</v>
      </c>
      <c r="AE47" s="109">
        <f>SUM(HR!AG34:AG36)</f>
        <v>-45528.334291666659</v>
      </c>
      <c r="AF47" s="109">
        <f>SUM(HR!AH34:AH36)</f>
        <v>-45528.334291666659</v>
      </c>
      <c r="AG47" s="109">
        <f>SUM(HR!AI34:AI36)</f>
        <v>-45528.334291666659</v>
      </c>
      <c r="AH47" s="109">
        <f>SUM(HR!AJ34:AJ36)</f>
        <v>-45528.334291666659</v>
      </c>
      <c r="AI47" s="109">
        <f>SUM(HR!AK34:AK36)</f>
        <v>-45528.334291666659</v>
      </c>
      <c r="AJ47" s="109">
        <f>SUM(HR!AL34:AL36)</f>
        <v>-45528.334291666659</v>
      </c>
      <c r="AK47" s="109">
        <f>SUM(HR!AM34:AM36)</f>
        <v>-45528.334291666659</v>
      </c>
      <c r="AL47" s="109">
        <f>SUM(HR!AN34:AN36)</f>
        <v>-45528.334291666659</v>
      </c>
      <c r="AM47" s="695">
        <f>SUM(HR!AO34:AO36)</f>
        <v>-45528.334291666659</v>
      </c>
      <c r="AN47" s="109">
        <f>SUM(HR!AP34:AP36)</f>
        <v>-48396.619352041649</v>
      </c>
      <c r="AO47" s="109">
        <f>SUM(HR!AQ34:AQ36)</f>
        <v>-48396.619352041649</v>
      </c>
      <c r="AP47" s="109">
        <f>SUM(HR!AR34:AR36)</f>
        <v>-48396.619352041649</v>
      </c>
      <c r="AQ47" s="109">
        <f>SUM(HR!AS34:AS36)</f>
        <v>-48396.619352041649</v>
      </c>
      <c r="AR47" s="109">
        <f>SUM(HR!AT34:AT36)</f>
        <v>-48396.619352041649</v>
      </c>
      <c r="AS47" s="109">
        <f>SUM(HR!AU34:AU36)</f>
        <v>-48396.619352041649</v>
      </c>
      <c r="AT47" s="109">
        <f>SUM(HR!AV34:AV36)</f>
        <v>-48396.619352041649</v>
      </c>
      <c r="AU47" s="109">
        <f>SUM(HR!AW34:AW36)</f>
        <v>-48396.619352041649</v>
      </c>
      <c r="AV47" s="109">
        <f>SUM(HR!AX34:AX36)</f>
        <v>-48396.619352041649</v>
      </c>
      <c r="AW47" s="109">
        <f>SUM(HR!AY34:AY36)</f>
        <v>-48396.619352041649</v>
      </c>
      <c r="AX47" s="109">
        <f>SUM(HR!AZ34:AZ36)</f>
        <v>-48396.619352041649</v>
      </c>
      <c r="AY47" s="695">
        <f>SUM(HR!BA34:BA36)</f>
        <v>-48396.619352041649</v>
      </c>
      <c r="AZ47" s="109">
        <f>SUM(HR!BB34:BB36)</f>
        <v>-51445.606371220274</v>
      </c>
      <c r="BA47" s="109">
        <f>SUM(HR!BC34:BC36)</f>
        <v>-51445.606371220274</v>
      </c>
      <c r="BB47" s="109">
        <f>SUM(HR!BD34:BD36)</f>
        <v>-51445.606371220274</v>
      </c>
      <c r="BC47" s="109">
        <f>SUM(HR!BE34:BE36)</f>
        <v>-51445.606371220274</v>
      </c>
      <c r="BD47" s="109">
        <f>SUM(HR!BF34:BF36)</f>
        <v>-51445.606371220274</v>
      </c>
      <c r="BE47" s="109">
        <f>SUM(HR!BG34:BG36)</f>
        <v>-51445.606371220274</v>
      </c>
      <c r="BF47" s="109">
        <f>SUM(HR!BH34:BH36)</f>
        <v>-51445.606371220274</v>
      </c>
      <c r="BG47" s="109">
        <f>SUM(HR!BI34:BI36)</f>
        <v>-51445.606371220274</v>
      </c>
      <c r="BH47" s="109">
        <f>SUM(HR!BJ34:BJ36)</f>
        <v>-51445.606371220274</v>
      </c>
      <c r="BI47" s="109">
        <f>SUM(HR!BK34:BK36)</f>
        <v>-51445.606371220274</v>
      </c>
      <c r="BJ47" s="109">
        <f>SUM(HR!BL34:BL36)</f>
        <v>-51445.606371220274</v>
      </c>
      <c r="BK47" s="695">
        <f>SUM(HR!BM34:BM36)</f>
        <v>-51445.606371220274</v>
      </c>
      <c r="BL47" s="109">
        <f>SUM(HR!BN34:BN36)</f>
        <v>-54686.67957260715</v>
      </c>
      <c r="BM47" s="109">
        <f>SUM(HR!BO34:BO36)</f>
        <v>-54686.67957260715</v>
      </c>
      <c r="BN47" s="109">
        <f>SUM(HR!BP34:BP36)</f>
        <v>-54686.67957260715</v>
      </c>
      <c r="BO47" s="109">
        <f>SUM(HR!BQ34:BQ36)</f>
        <v>-54686.67957260715</v>
      </c>
      <c r="BP47" s="109">
        <f>SUM(HR!BR34:BR36)</f>
        <v>-54686.67957260715</v>
      </c>
      <c r="BQ47" s="109">
        <f>SUM(HR!BS34:BS36)</f>
        <v>-54686.67957260715</v>
      </c>
      <c r="BR47" s="109">
        <f>SUM(HR!BT34:BT36)</f>
        <v>-54686.67957260715</v>
      </c>
      <c r="BS47" s="109">
        <f>SUM(HR!BU34:BU36)</f>
        <v>-54686.67957260715</v>
      </c>
      <c r="BT47" s="109">
        <f>SUM(HR!BV34:BV36)</f>
        <v>-54686.67957260715</v>
      </c>
      <c r="BU47" s="109">
        <f>SUM(HR!BW34:BW36)</f>
        <v>-54686.67957260715</v>
      </c>
      <c r="BV47" s="109">
        <f>SUM(HR!BX34:BX36)</f>
        <v>-54686.67957260715</v>
      </c>
      <c r="BW47" s="695">
        <f>SUM(HR!BY34:BY36)</f>
        <v>-54686.67957260715</v>
      </c>
      <c r="BX47" s="109">
        <f>SUM(HR!BZ34:BZ36)</f>
        <v>-58131.940385681402</v>
      </c>
      <c r="BY47" s="109">
        <f>SUM(HR!CA34:CA36)</f>
        <v>-58131.940385681402</v>
      </c>
      <c r="BZ47" s="109">
        <f>SUM(HR!CB34:CB36)</f>
        <v>-58131.940385681402</v>
      </c>
      <c r="CA47" s="109">
        <f>SUM(HR!CC34:CC36)</f>
        <v>-58131.940385681402</v>
      </c>
      <c r="CB47" s="109">
        <f>SUM(HR!CD34:CD36)</f>
        <v>-58131.940385681402</v>
      </c>
      <c r="CC47" s="109">
        <f>SUM(HR!CE34:CE36)</f>
        <v>-58131.940385681402</v>
      </c>
      <c r="CD47" s="109">
        <f>SUM(HR!CF34:CF36)</f>
        <v>-58131.940385681402</v>
      </c>
      <c r="CE47" s="109">
        <f>SUM(HR!CG34:CG36)</f>
        <v>-58131.940385681402</v>
      </c>
      <c r="CF47" s="109">
        <f>SUM(HR!CH34:CH36)</f>
        <v>-58131.940385681402</v>
      </c>
      <c r="CG47" s="109">
        <f>SUM(HR!CI34:CI36)</f>
        <v>-58131.940385681402</v>
      </c>
      <c r="CH47" s="109">
        <f>SUM(HR!CJ34:CJ36)</f>
        <v>-58131.940385681402</v>
      </c>
      <c r="CI47" s="695">
        <f>SUM(HR!CK34:CK36)</f>
        <v>-58131.940385681402</v>
      </c>
      <c r="CJ47" s="109">
        <f>SUM(HR!CL34:CL36)</f>
        <v>-61794.252629979324</v>
      </c>
      <c r="CK47" s="109">
        <f>SUM(HR!CM34:CM36)</f>
        <v>-61794.252629979324</v>
      </c>
      <c r="CL47" s="109">
        <f>SUM(HR!CN34:CN36)</f>
        <v>-61794.252629979324</v>
      </c>
      <c r="CM47" s="109">
        <f>SUM(HR!CO34:CO36)</f>
        <v>-61794.252629979324</v>
      </c>
      <c r="CN47" s="109">
        <f>SUM(HR!CP34:CP36)</f>
        <v>-61794.252629979324</v>
      </c>
      <c r="CO47" s="109">
        <f>SUM(HR!CQ34:CQ36)</f>
        <v>-61794.252629979324</v>
      </c>
      <c r="CP47" s="109">
        <f>SUM(HR!CR34:CR36)</f>
        <v>-61794.252629979324</v>
      </c>
      <c r="CQ47" s="109">
        <f>SUM(HR!CS34:CS36)</f>
        <v>-61794.252629979324</v>
      </c>
      <c r="CR47" s="109">
        <f>SUM(HR!CT34:CT36)</f>
        <v>-61794.252629979324</v>
      </c>
      <c r="CS47" s="109">
        <f>SUM(HR!CU34:CU36)</f>
        <v>-61794.252629979324</v>
      </c>
      <c r="CT47" s="109">
        <f>SUM(HR!CV34:CV36)</f>
        <v>-61794.252629979324</v>
      </c>
      <c r="CU47" s="695">
        <f>SUM(HR!CW34:CW36)</f>
        <v>-61794.252629979324</v>
      </c>
      <c r="CV47" s="109">
        <f>SUM(HR!CX34:CX36)</f>
        <v>-65687.290545668016</v>
      </c>
      <c r="CW47" s="109">
        <f>SUM(HR!CY34:CY36)</f>
        <v>-65687.290545668016</v>
      </c>
      <c r="CX47" s="109">
        <f>SUM(HR!CZ34:CZ36)</f>
        <v>-65687.290545668016</v>
      </c>
      <c r="CY47" s="109">
        <f>SUM(HR!DA34:DA36)</f>
        <v>-65687.290545668016</v>
      </c>
      <c r="CZ47" s="109">
        <f>SUM(HR!DB34:DB36)</f>
        <v>-65687.290545668016</v>
      </c>
      <c r="DA47" s="109">
        <f>SUM(HR!DC34:DC36)</f>
        <v>-65687.290545668016</v>
      </c>
      <c r="DB47" s="109">
        <f>SUM(HR!DD34:DD36)</f>
        <v>-65687.290545668016</v>
      </c>
      <c r="DC47" s="109">
        <f>SUM(HR!DE34:DE36)</f>
        <v>-65687.290545668016</v>
      </c>
      <c r="DD47" s="109">
        <f>SUM(HR!DF34:DF36)</f>
        <v>-65687.290545668016</v>
      </c>
      <c r="DE47" s="109">
        <f>SUM(HR!DG34:DG36)</f>
        <v>-65687.290545668016</v>
      </c>
      <c r="DF47" s="109">
        <f>SUM(HR!DH34:DH36)</f>
        <v>-65687.290545668016</v>
      </c>
      <c r="DG47" s="695">
        <f>SUM(HR!DI34:DI36)</f>
        <v>-65687.290545668016</v>
      </c>
      <c r="DH47" s="109">
        <f>SUM(HR!DJ34:DJ36)</f>
        <v>-69825.5898500451</v>
      </c>
      <c r="DI47" s="109">
        <f>SUM(HR!DK34:DK36)</f>
        <v>-69825.5898500451</v>
      </c>
      <c r="DJ47" s="109">
        <f>SUM(HR!DL34:DL36)</f>
        <v>-69825.5898500451</v>
      </c>
      <c r="DK47" s="109">
        <f>SUM(HR!DM34:DM36)</f>
        <v>-69825.5898500451</v>
      </c>
      <c r="DL47" s="109">
        <f>SUM(HR!DN34:DN36)</f>
        <v>-69825.5898500451</v>
      </c>
      <c r="DM47" s="109">
        <f>SUM(HR!DO34:DO36)</f>
        <v>-69825.5898500451</v>
      </c>
      <c r="DN47" s="109">
        <f>SUM(HR!DP34:DP36)</f>
        <v>-69825.5898500451</v>
      </c>
      <c r="DO47" s="109">
        <f>SUM(HR!DQ34:DQ36)</f>
        <v>-69825.5898500451</v>
      </c>
      <c r="DP47" s="109">
        <f>SUM(HR!DR34:DR36)</f>
        <v>-69825.5898500451</v>
      </c>
      <c r="DQ47" s="109">
        <f>SUM(HR!DS34:DS36)</f>
        <v>-69825.5898500451</v>
      </c>
      <c r="DR47" s="109">
        <f>SUM(HR!DT34:DT36)</f>
        <v>-69825.5898500451</v>
      </c>
      <c r="DS47" s="695">
        <f>SUM(HR!DU34:DU36)</f>
        <v>-69825.5898500451</v>
      </c>
      <c r="DT47" s="3"/>
    </row>
    <row r="48" spans="1:124" ht="15" x14ac:dyDescent="0.25">
      <c r="B48" s="162" t="s">
        <v>204</v>
      </c>
      <c r="C48" s="7">
        <v>-25000</v>
      </c>
      <c r="D48" s="403"/>
      <c r="E48" s="403"/>
      <c r="F48" s="403"/>
      <c r="G48" s="403"/>
      <c r="H48" s="403"/>
      <c r="I48" s="403"/>
      <c r="J48" s="403"/>
      <c r="K48" s="403"/>
      <c r="L48" s="403"/>
      <c r="M48" s="403"/>
      <c r="N48" s="403"/>
      <c r="O48" s="486"/>
      <c r="P48" s="344"/>
      <c r="Q48" s="344"/>
      <c r="R48" s="109"/>
      <c r="S48" s="109"/>
      <c r="T48" s="344">
        <f>$C$48*T6</f>
        <v>-26575</v>
      </c>
      <c r="U48" s="109"/>
      <c r="V48" s="109"/>
      <c r="W48" s="344">
        <f>$C$48*W6</f>
        <v>-26575</v>
      </c>
      <c r="X48" s="109"/>
      <c r="Y48" s="109"/>
      <c r="Z48" s="344">
        <f>$C$48*Z6</f>
        <v>-26575</v>
      </c>
      <c r="AA48" s="695"/>
      <c r="AB48" s="344"/>
      <c r="AC48" s="344">
        <f>$C$48*AC6</f>
        <v>-28249.224999999995</v>
      </c>
      <c r="AD48" s="109"/>
      <c r="AE48" s="109"/>
      <c r="AF48" s="344">
        <f>$C$48*AF6</f>
        <v>-28249.224999999995</v>
      </c>
      <c r="AG48" s="109"/>
      <c r="AH48" s="109"/>
      <c r="AI48" s="344">
        <f>$C$48*AI6</f>
        <v>-28249.224999999995</v>
      </c>
      <c r="AJ48" s="109"/>
      <c r="AK48" s="109"/>
      <c r="AL48" s="344">
        <f>$C$48*AL6</f>
        <v>-28249.224999999995</v>
      </c>
      <c r="AM48" s="695"/>
      <c r="AN48" s="109"/>
      <c r="AO48" s="344">
        <f>$C$48*AO6</f>
        <v>-30028.926174999993</v>
      </c>
      <c r="AP48" s="109"/>
      <c r="AQ48" s="109"/>
      <c r="AR48" s="344">
        <f>$C$48*AR6</f>
        <v>-30028.926174999993</v>
      </c>
      <c r="AS48" s="109"/>
      <c r="AT48" s="109"/>
      <c r="AU48" s="344">
        <f>$C$48*AU6</f>
        <v>-30028.926174999993</v>
      </c>
      <c r="AV48" s="109"/>
      <c r="AW48" s="109"/>
      <c r="AX48" s="344">
        <f>$C$48*AX6</f>
        <v>-30028.926174999993</v>
      </c>
      <c r="AY48" s="687"/>
      <c r="AZ48" s="109"/>
      <c r="BA48" s="344">
        <f>$C$48*BA6</f>
        <v>-31920.748524024988</v>
      </c>
      <c r="BB48" s="109"/>
      <c r="BC48" s="109"/>
      <c r="BD48" s="344">
        <f>$C$48*BD6</f>
        <v>-31920.748524024988</v>
      </c>
      <c r="BE48" s="109"/>
      <c r="BF48" s="109"/>
      <c r="BG48" s="344">
        <f>$C$48*BG6</f>
        <v>-31920.748524024988</v>
      </c>
      <c r="BH48" s="109"/>
      <c r="BI48" s="109"/>
      <c r="BJ48" s="344">
        <f>$C$48*BJ6</f>
        <v>-31920.748524024988</v>
      </c>
      <c r="BK48" s="695"/>
      <c r="BL48" s="109"/>
      <c r="BM48" s="344">
        <f>$C$48*BM6</f>
        <v>-33931.755681038558</v>
      </c>
      <c r="BN48" s="109"/>
      <c r="BO48" s="109"/>
      <c r="BP48" s="344">
        <f>$C$48*BP6</f>
        <v>-33931.755681038558</v>
      </c>
      <c r="BQ48" s="109"/>
      <c r="BR48" s="109"/>
      <c r="BS48" s="344">
        <f>$C$48*BS6</f>
        <v>-33931.755681038558</v>
      </c>
      <c r="BT48" s="109"/>
      <c r="BU48" s="109"/>
      <c r="BV48" s="344">
        <f>$C$48*BV6</f>
        <v>-33931.755681038558</v>
      </c>
      <c r="BW48" s="695"/>
      <c r="BX48" s="109"/>
      <c r="BY48" s="344">
        <f>$C$48*BY6</f>
        <v>-36069.456288943991</v>
      </c>
      <c r="BZ48" s="109"/>
      <c r="CA48" s="109"/>
      <c r="CB48" s="344">
        <f>$C$48*CB6</f>
        <v>-36069.456288943991</v>
      </c>
      <c r="CC48" s="109"/>
      <c r="CD48" s="109"/>
      <c r="CE48" s="344">
        <f>$C$48*CE6</f>
        <v>-36069.456288943991</v>
      </c>
      <c r="CF48" s="109"/>
      <c r="CG48" s="109"/>
      <c r="CH48" s="344">
        <f>$C$48*CH6</f>
        <v>-36069.456288943991</v>
      </c>
      <c r="CI48" s="695"/>
      <c r="CJ48" s="109"/>
      <c r="CK48" s="344">
        <f>$C$48*CK6</f>
        <v>-38341.832035147461</v>
      </c>
      <c r="CL48" s="109"/>
      <c r="CM48" s="109"/>
      <c r="CN48" s="344">
        <f>$C$48*CN6</f>
        <v>-38341.832035147461</v>
      </c>
      <c r="CO48" s="109"/>
      <c r="CP48" s="109"/>
      <c r="CQ48" s="344">
        <f>$C$48*CQ6</f>
        <v>-38341.832035147461</v>
      </c>
      <c r="CR48" s="109"/>
      <c r="CS48" s="109"/>
      <c r="CT48" s="344">
        <f>$C$48*CT6</f>
        <v>-38341.832035147461</v>
      </c>
      <c r="CU48" s="695"/>
      <c r="CV48" s="109"/>
      <c r="CW48" s="344">
        <f>$C$48*CW6</f>
        <v>-40757.367453361745</v>
      </c>
      <c r="CX48" s="109"/>
      <c r="CY48" s="109"/>
      <c r="CZ48" s="344">
        <f>$C$48*CZ6</f>
        <v>-40757.367453361745</v>
      </c>
      <c r="DA48" s="109"/>
      <c r="DB48" s="109"/>
      <c r="DC48" s="344">
        <f>$C$48*DC6</f>
        <v>-40757.367453361745</v>
      </c>
      <c r="DD48" s="109"/>
      <c r="DE48" s="109"/>
      <c r="DF48" s="344">
        <f>$C$48*DF6</f>
        <v>-40757.367453361745</v>
      </c>
      <c r="DG48" s="695"/>
      <c r="DH48" s="109"/>
      <c r="DI48" s="344">
        <f>$C$48*DI6</f>
        <v>-43325.081602923536</v>
      </c>
      <c r="DJ48" s="109"/>
      <c r="DK48" s="109"/>
      <c r="DL48" s="344">
        <f>$C$48*DL6</f>
        <v>-43325.081602923536</v>
      </c>
      <c r="DM48" s="109"/>
      <c r="DN48" s="109"/>
      <c r="DO48" s="344">
        <f>$C$48*DO6</f>
        <v>-43325.081602923536</v>
      </c>
      <c r="DP48" s="109"/>
      <c r="DQ48" s="109"/>
      <c r="DR48" s="344">
        <f>$C$48*DR6</f>
        <v>-43325.081602923536</v>
      </c>
      <c r="DS48" s="695"/>
      <c r="DT48" s="3"/>
    </row>
    <row r="49" spans="2:124" ht="15" x14ac:dyDescent="0.25">
      <c r="B49" s="162" t="s">
        <v>1384</v>
      </c>
      <c r="C49" s="7">
        <v>-30000</v>
      </c>
      <c r="D49" s="403"/>
      <c r="E49" s="403"/>
      <c r="F49" s="403"/>
      <c r="G49" s="403"/>
      <c r="H49" s="403"/>
      <c r="I49" s="403"/>
      <c r="J49" s="403"/>
      <c r="K49" s="403"/>
      <c r="L49" s="403"/>
      <c r="M49" s="403"/>
      <c r="N49" s="403"/>
      <c r="O49" s="486"/>
      <c r="P49" s="344"/>
      <c r="Q49" s="109"/>
      <c r="R49" s="109">
        <f t="shared" ref="R49:CC49" si="28">$C$49*R6</f>
        <v>-31890</v>
      </c>
      <c r="S49" s="109">
        <f t="shared" si="28"/>
        <v>-31890</v>
      </c>
      <c r="T49" s="109">
        <f t="shared" si="28"/>
        <v>-31890</v>
      </c>
      <c r="U49" s="109">
        <f t="shared" si="28"/>
        <v>-31890</v>
      </c>
      <c r="V49" s="109">
        <f t="shared" si="28"/>
        <v>-31890</v>
      </c>
      <c r="W49" s="109">
        <f t="shared" si="28"/>
        <v>-31890</v>
      </c>
      <c r="X49" s="109">
        <f t="shared" si="28"/>
        <v>-31890</v>
      </c>
      <c r="Y49" s="109">
        <f t="shared" si="28"/>
        <v>-31890</v>
      </c>
      <c r="Z49" s="109">
        <f t="shared" si="28"/>
        <v>-31890</v>
      </c>
      <c r="AA49" s="695">
        <f t="shared" si="28"/>
        <v>-31890</v>
      </c>
      <c r="AB49" s="344">
        <f t="shared" si="28"/>
        <v>-33899.069999999992</v>
      </c>
      <c r="AC49" s="109">
        <f t="shared" si="28"/>
        <v>-33899.069999999992</v>
      </c>
      <c r="AD49" s="109">
        <f t="shared" si="28"/>
        <v>-33899.069999999992</v>
      </c>
      <c r="AE49" s="109">
        <f t="shared" si="28"/>
        <v>-33899.069999999992</v>
      </c>
      <c r="AF49" s="109">
        <f t="shared" si="28"/>
        <v>-33899.069999999992</v>
      </c>
      <c r="AG49" s="109">
        <f t="shared" si="28"/>
        <v>-33899.069999999992</v>
      </c>
      <c r="AH49" s="109">
        <f t="shared" si="28"/>
        <v>-33899.069999999992</v>
      </c>
      <c r="AI49" s="109">
        <f t="shared" si="28"/>
        <v>-33899.069999999992</v>
      </c>
      <c r="AJ49" s="109">
        <f t="shared" si="28"/>
        <v>-33899.069999999992</v>
      </c>
      <c r="AK49" s="109">
        <f t="shared" si="28"/>
        <v>-33899.069999999992</v>
      </c>
      <c r="AL49" s="109">
        <f t="shared" si="28"/>
        <v>-33899.069999999992</v>
      </c>
      <c r="AM49" s="695">
        <f t="shared" si="28"/>
        <v>-33899.069999999992</v>
      </c>
      <c r="AN49" s="109">
        <f t="shared" si="28"/>
        <v>-36034.711409999989</v>
      </c>
      <c r="AO49" s="109">
        <f t="shared" si="28"/>
        <v>-36034.711409999989</v>
      </c>
      <c r="AP49" s="109">
        <f t="shared" si="28"/>
        <v>-36034.711409999989</v>
      </c>
      <c r="AQ49" s="109">
        <f t="shared" si="28"/>
        <v>-36034.711409999989</v>
      </c>
      <c r="AR49" s="109">
        <f t="shared" si="28"/>
        <v>-36034.711409999989</v>
      </c>
      <c r="AS49" s="109">
        <f t="shared" si="28"/>
        <v>-36034.711409999989</v>
      </c>
      <c r="AT49" s="109">
        <f t="shared" si="28"/>
        <v>-36034.711409999989</v>
      </c>
      <c r="AU49" s="109">
        <f t="shared" si="28"/>
        <v>-36034.711409999989</v>
      </c>
      <c r="AV49" s="109">
        <f t="shared" si="28"/>
        <v>-36034.711409999989</v>
      </c>
      <c r="AW49" s="109">
        <f t="shared" si="28"/>
        <v>-36034.711409999989</v>
      </c>
      <c r="AX49" s="109">
        <f t="shared" si="28"/>
        <v>-36034.711409999989</v>
      </c>
      <c r="AY49" s="695">
        <f t="shared" si="28"/>
        <v>-36034.711409999989</v>
      </c>
      <c r="AZ49" s="109">
        <f t="shared" si="28"/>
        <v>-38304.898228829989</v>
      </c>
      <c r="BA49" s="109">
        <f t="shared" si="28"/>
        <v>-38304.898228829989</v>
      </c>
      <c r="BB49" s="109">
        <f t="shared" si="28"/>
        <v>-38304.898228829989</v>
      </c>
      <c r="BC49" s="109">
        <f t="shared" si="28"/>
        <v>-38304.898228829989</v>
      </c>
      <c r="BD49" s="109">
        <f t="shared" si="28"/>
        <v>-38304.898228829989</v>
      </c>
      <c r="BE49" s="109">
        <f t="shared" si="28"/>
        <v>-38304.898228829989</v>
      </c>
      <c r="BF49" s="109">
        <f t="shared" si="28"/>
        <v>-38304.898228829989</v>
      </c>
      <c r="BG49" s="109">
        <f t="shared" si="28"/>
        <v>-38304.898228829989</v>
      </c>
      <c r="BH49" s="109">
        <f t="shared" si="28"/>
        <v>-38304.898228829989</v>
      </c>
      <c r="BI49" s="109">
        <f t="shared" si="28"/>
        <v>-38304.898228829989</v>
      </c>
      <c r="BJ49" s="109">
        <f t="shared" si="28"/>
        <v>-38304.898228829989</v>
      </c>
      <c r="BK49" s="695">
        <f t="shared" si="28"/>
        <v>-38304.898228829989</v>
      </c>
      <c r="BL49" s="109">
        <f t="shared" si="28"/>
        <v>-40718.106817246276</v>
      </c>
      <c r="BM49" s="109">
        <f t="shared" si="28"/>
        <v>-40718.106817246276</v>
      </c>
      <c r="BN49" s="109">
        <f t="shared" si="28"/>
        <v>-40718.106817246276</v>
      </c>
      <c r="BO49" s="109">
        <f t="shared" si="28"/>
        <v>-40718.106817246276</v>
      </c>
      <c r="BP49" s="109">
        <f t="shared" si="28"/>
        <v>-40718.106817246276</v>
      </c>
      <c r="BQ49" s="109">
        <f t="shared" si="28"/>
        <v>-40718.106817246276</v>
      </c>
      <c r="BR49" s="109">
        <f t="shared" si="28"/>
        <v>-40718.106817246276</v>
      </c>
      <c r="BS49" s="109">
        <f t="shared" si="28"/>
        <v>-40718.106817246276</v>
      </c>
      <c r="BT49" s="109">
        <f t="shared" si="28"/>
        <v>-40718.106817246276</v>
      </c>
      <c r="BU49" s="109">
        <f t="shared" si="28"/>
        <v>-40718.106817246276</v>
      </c>
      <c r="BV49" s="109">
        <f t="shared" si="28"/>
        <v>-40718.106817246276</v>
      </c>
      <c r="BW49" s="695">
        <f t="shared" si="28"/>
        <v>-40718.106817246276</v>
      </c>
      <c r="BX49" s="109">
        <f t="shared" si="28"/>
        <v>-43283.347546732788</v>
      </c>
      <c r="BY49" s="109">
        <f t="shared" si="28"/>
        <v>-43283.347546732788</v>
      </c>
      <c r="BZ49" s="109">
        <f t="shared" si="28"/>
        <v>-43283.347546732788</v>
      </c>
      <c r="CA49" s="109">
        <f t="shared" si="28"/>
        <v>-43283.347546732788</v>
      </c>
      <c r="CB49" s="109">
        <f t="shared" si="28"/>
        <v>-43283.347546732788</v>
      </c>
      <c r="CC49" s="109">
        <f t="shared" si="28"/>
        <v>-43283.347546732788</v>
      </c>
      <c r="CD49" s="109">
        <f t="shared" ref="CD49:DS49" si="29">$C$49*CD6</f>
        <v>-43283.347546732788</v>
      </c>
      <c r="CE49" s="109">
        <f t="shared" si="29"/>
        <v>-43283.347546732788</v>
      </c>
      <c r="CF49" s="109">
        <f t="shared" si="29"/>
        <v>-43283.347546732788</v>
      </c>
      <c r="CG49" s="109">
        <f t="shared" si="29"/>
        <v>-43283.347546732788</v>
      </c>
      <c r="CH49" s="109">
        <f t="shared" si="29"/>
        <v>-43283.347546732788</v>
      </c>
      <c r="CI49" s="695">
        <f t="shared" si="29"/>
        <v>-43283.347546732788</v>
      </c>
      <c r="CJ49" s="109">
        <f t="shared" si="29"/>
        <v>-46010.198442176952</v>
      </c>
      <c r="CK49" s="109">
        <f t="shared" si="29"/>
        <v>-46010.198442176952</v>
      </c>
      <c r="CL49" s="109">
        <f t="shared" si="29"/>
        <v>-46010.198442176952</v>
      </c>
      <c r="CM49" s="109">
        <f t="shared" si="29"/>
        <v>-46010.198442176952</v>
      </c>
      <c r="CN49" s="109">
        <f t="shared" si="29"/>
        <v>-46010.198442176952</v>
      </c>
      <c r="CO49" s="109">
        <f t="shared" si="29"/>
        <v>-46010.198442176952</v>
      </c>
      <c r="CP49" s="109">
        <f t="shared" si="29"/>
        <v>-46010.198442176952</v>
      </c>
      <c r="CQ49" s="109">
        <f t="shared" si="29"/>
        <v>-46010.198442176952</v>
      </c>
      <c r="CR49" s="109">
        <f t="shared" si="29"/>
        <v>-46010.198442176952</v>
      </c>
      <c r="CS49" s="109">
        <f t="shared" si="29"/>
        <v>-46010.198442176952</v>
      </c>
      <c r="CT49" s="109">
        <f t="shared" si="29"/>
        <v>-46010.198442176952</v>
      </c>
      <c r="CU49" s="695">
        <f t="shared" si="29"/>
        <v>-46010.198442176952</v>
      </c>
      <c r="CV49" s="109">
        <f t="shared" si="29"/>
        <v>-48908.840944034098</v>
      </c>
      <c r="CW49" s="109">
        <f t="shared" si="29"/>
        <v>-48908.840944034098</v>
      </c>
      <c r="CX49" s="109">
        <f t="shared" si="29"/>
        <v>-48908.840944034098</v>
      </c>
      <c r="CY49" s="109">
        <f t="shared" si="29"/>
        <v>-48908.840944034098</v>
      </c>
      <c r="CZ49" s="109">
        <f t="shared" si="29"/>
        <v>-48908.840944034098</v>
      </c>
      <c r="DA49" s="109">
        <f t="shared" si="29"/>
        <v>-48908.840944034098</v>
      </c>
      <c r="DB49" s="109">
        <f t="shared" si="29"/>
        <v>-48908.840944034098</v>
      </c>
      <c r="DC49" s="109">
        <f t="shared" si="29"/>
        <v>-48908.840944034098</v>
      </c>
      <c r="DD49" s="109">
        <f t="shared" si="29"/>
        <v>-48908.840944034098</v>
      </c>
      <c r="DE49" s="109">
        <f t="shared" si="29"/>
        <v>-48908.840944034098</v>
      </c>
      <c r="DF49" s="109">
        <f t="shared" si="29"/>
        <v>-48908.840944034098</v>
      </c>
      <c r="DG49" s="695">
        <f t="shared" si="29"/>
        <v>-48908.840944034098</v>
      </c>
      <c r="DH49" s="109">
        <f t="shared" si="29"/>
        <v>-51990.097923508241</v>
      </c>
      <c r="DI49" s="109">
        <f t="shared" si="29"/>
        <v>-51990.097923508241</v>
      </c>
      <c r="DJ49" s="109">
        <f t="shared" si="29"/>
        <v>-51990.097923508241</v>
      </c>
      <c r="DK49" s="109">
        <f t="shared" si="29"/>
        <v>-51990.097923508241</v>
      </c>
      <c r="DL49" s="109">
        <f t="shared" si="29"/>
        <v>-51990.097923508241</v>
      </c>
      <c r="DM49" s="109">
        <f t="shared" si="29"/>
        <v>-51990.097923508241</v>
      </c>
      <c r="DN49" s="109">
        <f t="shared" si="29"/>
        <v>-51990.097923508241</v>
      </c>
      <c r="DO49" s="109">
        <f t="shared" si="29"/>
        <v>-51990.097923508241</v>
      </c>
      <c r="DP49" s="109">
        <f t="shared" si="29"/>
        <v>-51990.097923508241</v>
      </c>
      <c r="DQ49" s="109">
        <f t="shared" si="29"/>
        <v>-51990.097923508241</v>
      </c>
      <c r="DR49" s="109">
        <f t="shared" si="29"/>
        <v>-51990.097923508241</v>
      </c>
      <c r="DS49" s="695">
        <f t="shared" si="29"/>
        <v>-51990.097923508241</v>
      </c>
      <c r="DT49" s="3"/>
    </row>
    <row r="50" spans="2:124" ht="15" x14ac:dyDescent="0.25">
      <c r="B50" s="162" t="s">
        <v>272</v>
      </c>
      <c r="C50" s="7">
        <v>-20000</v>
      </c>
      <c r="D50" s="403"/>
      <c r="E50" s="403"/>
      <c r="F50" s="403"/>
      <c r="G50" s="403"/>
      <c r="H50" s="403"/>
      <c r="I50" s="403"/>
      <c r="J50" s="403"/>
      <c r="K50" s="403"/>
      <c r="L50" s="403"/>
      <c r="M50" s="403"/>
      <c r="N50" s="403"/>
      <c r="O50" s="486"/>
      <c r="P50" s="344"/>
      <c r="Q50" s="344"/>
      <c r="R50" s="344"/>
      <c r="S50" s="344"/>
      <c r="T50" s="344">
        <f>$C$50*T6</f>
        <v>-21260</v>
      </c>
      <c r="U50" s="344"/>
      <c r="V50" s="344"/>
      <c r="W50" s="344"/>
      <c r="X50" s="344"/>
      <c r="Y50" s="344"/>
      <c r="Z50" s="344">
        <f>$C$50*Z6</f>
        <v>-21260</v>
      </c>
      <c r="AA50" s="687"/>
      <c r="AB50" s="344"/>
      <c r="AC50" s="344"/>
      <c r="AD50" s="344"/>
      <c r="AE50" s="344"/>
      <c r="AF50" s="344">
        <f>$C$50*AF6</f>
        <v>-22599.379999999997</v>
      </c>
      <c r="AG50" s="344"/>
      <c r="AH50" s="344"/>
      <c r="AI50" s="344"/>
      <c r="AJ50" s="344"/>
      <c r="AK50" s="344"/>
      <c r="AL50" s="344">
        <f>$C$50*AL6</f>
        <v>-22599.379999999997</v>
      </c>
      <c r="AM50" s="687"/>
      <c r="AN50" s="109"/>
      <c r="AO50" s="344"/>
      <c r="AP50" s="344"/>
      <c r="AQ50" s="344"/>
      <c r="AR50" s="344">
        <f>$C$50*AR6</f>
        <v>-24023.140939999994</v>
      </c>
      <c r="AS50" s="344"/>
      <c r="AT50" s="344"/>
      <c r="AU50" s="344"/>
      <c r="AV50" s="344"/>
      <c r="AW50" s="344"/>
      <c r="AX50" s="344">
        <f>$C$50*AX6</f>
        <v>-24023.140939999994</v>
      </c>
      <c r="AY50" s="687"/>
      <c r="AZ50" s="109"/>
      <c r="BA50" s="344"/>
      <c r="BB50" s="344"/>
      <c r="BC50" s="344"/>
      <c r="BD50" s="344">
        <f>$C$50*BD6</f>
        <v>-25536.598819219991</v>
      </c>
      <c r="BE50" s="344"/>
      <c r="BF50" s="344"/>
      <c r="BG50" s="344"/>
      <c r="BH50" s="344"/>
      <c r="BI50" s="344"/>
      <c r="BJ50" s="344">
        <f>$C$50*BJ6</f>
        <v>-25536.598819219991</v>
      </c>
      <c r="BK50" s="687"/>
      <c r="BL50" s="109"/>
      <c r="BM50" s="344"/>
      <c r="BN50" s="344"/>
      <c r="BO50" s="344"/>
      <c r="BP50" s="344">
        <f>$C$50*BP6</f>
        <v>-27145.40454483085</v>
      </c>
      <c r="BQ50" s="344"/>
      <c r="BR50" s="344"/>
      <c r="BS50" s="344"/>
      <c r="BT50" s="344"/>
      <c r="BU50" s="344"/>
      <c r="BV50" s="344">
        <f>$C$50*BV6</f>
        <v>-27145.40454483085</v>
      </c>
      <c r="BW50" s="687"/>
      <c r="BX50" s="109"/>
      <c r="BY50" s="344"/>
      <c r="BZ50" s="344"/>
      <c r="CA50" s="344"/>
      <c r="CB50" s="344">
        <f>$C$50*CB6</f>
        <v>-28855.565031155191</v>
      </c>
      <c r="CC50" s="344"/>
      <c r="CD50" s="344"/>
      <c r="CE50" s="344"/>
      <c r="CF50" s="344"/>
      <c r="CG50" s="344"/>
      <c r="CH50" s="344">
        <f>$C$50*CH6</f>
        <v>-28855.565031155191</v>
      </c>
      <c r="CI50" s="687"/>
      <c r="CJ50" s="109"/>
      <c r="CK50" s="344"/>
      <c r="CL50" s="344"/>
      <c r="CM50" s="344"/>
      <c r="CN50" s="344">
        <f>$C$50*CN6</f>
        <v>-30673.465628117967</v>
      </c>
      <c r="CO50" s="344"/>
      <c r="CP50" s="344"/>
      <c r="CQ50" s="344"/>
      <c r="CR50" s="344"/>
      <c r="CS50" s="344"/>
      <c r="CT50" s="344">
        <f>$C$50*CT6</f>
        <v>-30673.465628117967</v>
      </c>
      <c r="CU50" s="687"/>
      <c r="CV50" s="109"/>
      <c r="CW50" s="344"/>
      <c r="CX50" s="344"/>
      <c r="CY50" s="344"/>
      <c r="CZ50" s="344">
        <f>$C$50*CZ6</f>
        <v>-32605.893962689399</v>
      </c>
      <c r="DA50" s="344"/>
      <c r="DB50" s="344"/>
      <c r="DC50" s="344"/>
      <c r="DD50" s="344"/>
      <c r="DE50" s="344"/>
      <c r="DF50" s="344">
        <f>$C$50*DF6</f>
        <v>-32605.893962689399</v>
      </c>
      <c r="DG50" s="687"/>
      <c r="DH50" s="109"/>
      <c r="DI50" s="344"/>
      <c r="DJ50" s="344"/>
      <c r="DK50" s="344"/>
      <c r="DL50" s="344">
        <f>$C$50*DL6</f>
        <v>-34660.06528233883</v>
      </c>
      <c r="DM50" s="344"/>
      <c r="DN50" s="344"/>
      <c r="DO50" s="344"/>
      <c r="DP50" s="344"/>
      <c r="DQ50" s="344"/>
      <c r="DR50" s="344">
        <f>$C$50*DR6</f>
        <v>-34660.06528233883</v>
      </c>
      <c r="DS50" s="687"/>
      <c r="DT50" s="3"/>
    </row>
    <row r="51" spans="2:124" ht="15" x14ac:dyDescent="0.25">
      <c r="B51" s="162" t="s">
        <v>1385</v>
      </c>
      <c r="C51" s="7">
        <v>-25000</v>
      </c>
      <c r="D51" s="745"/>
      <c r="E51" s="745"/>
      <c r="F51" s="745"/>
      <c r="G51" s="745"/>
      <c r="H51" s="745"/>
      <c r="I51" s="745"/>
      <c r="J51" s="745"/>
      <c r="K51" s="745"/>
      <c r="L51" s="745"/>
      <c r="M51" s="745"/>
      <c r="N51" s="745"/>
      <c r="O51" s="688"/>
      <c r="P51" s="344"/>
      <c r="Q51" s="109"/>
      <c r="R51" s="109"/>
      <c r="S51" s="109"/>
      <c r="T51" s="1124">
        <f>$C51*T6</f>
        <v>-26575</v>
      </c>
      <c r="U51" s="109"/>
      <c r="V51" s="109"/>
      <c r="W51" s="109"/>
      <c r="X51" s="109"/>
      <c r="Y51" s="109"/>
      <c r="Z51" s="1124">
        <f>$C51*Z6</f>
        <v>-26575</v>
      </c>
      <c r="AA51" s="695"/>
      <c r="AB51" s="344"/>
      <c r="AC51" s="109"/>
      <c r="AD51" s="109"/>
      <c r="AE51" s="109"/>
      <c r="AF51" s="1124">
        <f>$C51*AF6</f>
        <v>-28249.224999999995</v>
      </c>
      <c r="AG51" s="109"/>
      <c r="AH51" s="109"/>
      <c r="AI51" s="109"/>
      <c r="AJ51" s="109"/>
      <c r="AK51" s="109"/>
      <c r="AL51" s="1124">
        <f>$C51*AL6</f>
        <v>-28249.224999999995</v>
      </c>
      <c r="AM51" s="695"/>
      <c r="AN51" s="109"/>
      <c r="AO51" s="109"/>
      <c r="AP51" s="109"/>
      <c r="AQ51" s="109"/>
      <c r="AR51" s="1124">
        <f>$C51*AR6</f>
        <v>-30028.926174999993</v>
      </c>
      <c r="AS51" s="109"/>
      <c r="AT51" s="109"/>
      <c r="AU51" s="109"/>
      <c r="AV51" s="109"/>
      <c r="AW51" s="109"/>
      <c r="AX51" s="1124">
        <f>$C51*AX6</f>
        <v>-30028.926174999993</v>
      </c>
      <c r="AY51" s="695"/>
      <c r="AZ51" s="109"/>
      <c r="BA51" s="109"/>
      <c r="BB51" s="109"/>
      <c r="BC51" s="109"/>
      <c r="BD51" s="1124">
        <f>$C51*BD6</f>
        <v>-31920.748524024988</v>
      </c>
      <c r="BE51" s="109"/>
      <c r="BF51" s="109"/>
      <c r="BG51" s="109"/>
      <c r="BH51" s="109"/>
      <c r="BI51" s="109"/>
      <c r="BJ51" s="1124">
        <f>$C51*BJ6</f>
        <v>-31920.748524024988</v>
      </c>
      <c r="BK51" s="695"/>
      <c r="BL51" s="109"/>
      <c r="BM51" s="109"/>
      <c r="BN51" s="109"/>
      <c r="BO51" s="109"/>
      <c r="BP51" s="1124">
        <f>$C51*BP6</f>
        <v>-33931.755681038558</v>
      </c>
      <c r="BQ51" s="109"/>
      <c r="BR51" s="109"/>
      <c r="BS51" s="109"/>
      <c r="BT51" s="109"/>
      <c r="BU51" s="109"/>
      <c r="BV51" s="1124">
        <f>$C51*BV6</f>
        <v>-33931.755681038558</v>
      </c>
      <c r="BW51" s="695"/>
      <c r="BX51" s="109"/>
      <c r="BY51" s="109"/>
      <c r="BZ51" s="109"/>
      <c r="CA51" s="109"/>
      <c r="CB51" s="1124">
        <f>$C51*CB6</f>
        <v>-36069.456288943991</v>
      </c>
      <c r="CC51" s="109"/>
      <c r="CD51" s="109"/>
      <c r="CE51" s="109"/>
      <c r="CF51" s="109"/>
      <c r="CG51" s="109"/>
      <c r="CH51" s="1124">
        <f>$C51*CH6</f>
        <v>-36069.456288943991</v>
      </c>
      <c r="CI51" s="695"/>
      <c r="CJ51" s="109"/>
      <c r="CK51" s="109"/>
      <c r="CL51" s="109"/>
      <c r="CM51" s="109"/>
      <c r="CN51" s="1124">
        <f>$C51*CN6</f>
        <v>-38341.832035147461</v>
      </c>
      <c r="CO51" s="109"/>
      <c r="CP51" s="109"/>
      <c r="CQ51" s="109"/>
      <c r="CR51" s="109"/>
      <c r="CS51" s="109"/>
      <c r="CT51" s="1124">
        <f>$C51*CT6</f>
        <v>-38341.832035147461</v>
      </c>
      <c r="CU51" s="695"/>
      <c r="CV51" s="109"/>
      <c r="CW51" s="109"/>
      <c r="CX51" s="109"/>
      <c r="CY51" s="109"/>
      <c r="CZ51" s="1124">
        <f>$C51*CZ6</f>
        <v>-40757.367453361745</v>
      </c>
      <c r="DA51" s="109"/>
      <c r="DB51" s="109"/>
      <c r="DC51" s="109"/>
      <c r="DD51" s="109"/>
      <c r="DE51" s="109"/>
      <c r="DF51" s="1124">
        <f>$C51*DF6</f>
        <v>-40757.367453361745</v>
      </c>
      <c r="DG51" s="695"/>
      <c r="DH51" s="109"/>
      <c r="DI51" s="109"/>
      <c r="DJ51" s="109"/>
      <c r="DK51" s="109"/>
      <c r="DL51" s="1124">
        <f>$C51*DL6</f>
        <v>-43325.081602923536</v>
      </c>
      <c r="DM51" s="109"/>
      <c r="DN51" s="109"/>
      <c r="DO51" s="109"/>
      <c r="DP51" s="109"/>
      <c r="DQ51" s="109"/>
      <c r="DR51" s="1124">
        <f>$C51*DR6</f>
        <v>-43325.081602923536</v>
      </c>
      <c r="DS51" s="695"/>
      <c r="DT51" s="3"/>
    </row>
    <row r="52" spans="2:124" ht="15" x14ac:dyDescent="0.25">
      <c r="B52" s="162" t="s">
        <v>81</v>
      </c>
      <c r="C52" s="7">
        <v>-1000</v>
      </c>
      <c r="D52" s="403"/>
      <c r="E52" s="403"/>
      <c r="F52" s="403"/>
      <c r="G52" s="403"/>
      <c r="H52" s="403"/>
      <c r="I52" s="403"/>
      <c r="J52" s="403"/>
      <c r="K52" s="403"/>
      <c r="L52" s="403"/>
      <c r="M52" s="403"/>
      <c r="N52" s="403"/>
      <c r="O52" s="486"/>
      <c r="P52" s="344"/>
      <c r="Q52" s="109"/>
      <c r="R52" s="109">
        <f t="shared" ref="R52:CC52" si="30">$C$52*R6</f>
        <v>-1063</v>
      </c>
      <c r="S52" s="109">
        <f t="shared" si="30"/>
        <v>-1063</v>
      </c>
      <c r="T52" s="109">
        <f t="shared" si="30"/>
        <v>-1063</v>
      </c>
      <c r="U52" s="109">
        <f t="shared" si="30"/>
        <v>-1063</v>
      </c>
      <c r="V52" s="109">
        <f t="shared" si="30"/>
        <v>-1063</v>
      </c>
      <c r="W52" s="109">
        <f t="shared" si="30"/>
        <v>-1063</v>
      </c>
      <c r="X52" s="109">
        <f t="shared" si="30"/>
        <v>-1063</v>
      </c>
      <c r="Y52" s="109">
        <f t="shared" si="30"/>
        <v>-1063</v>
      </c>
      <c r="Z52" s="109">
        <f t="shared" si="30"/>
        <v>-1063</v>
      </c>
      <c r="AA52" s="695">
        <f t="shared" si="30"/>
        <v>-1063</v>
      </c>
      <c r="AB52" s="344">
        <f t="shared" si="30"/>
        <v>-1129.9689999999998</v>
      </c>
      <c r="AC52" s="109">
        <f t="shared" si="30"/>
        <v>-1129.9689999999998</v>
      </c>
      <c r="AD52" s="109">
        <f t="shared" si="30"/>
        <v>-1129.9689999999998</v>
      </c>
      <c r="AE52" s="109">
        <f t="shared" si="30"/>
        <v>-1129.9689999999998</v>
      </c>
      <c r="AF52" s="109">
        <f t="shared" si="30"/>
        <v>-1129.9689999999998</v>
      </c>
      <c r="AG52" s="109">
        <f t="shared" si="30"/>
        <v>-1129.9689999999998</v>
      </c>
      <c r="AH52" s="109">
        <f t="shared" si="30"/>
        <v>-1129.9689999999998</v>
      </c>
      <c r="AI52" s="109">
        <f t="shared" si="30"/>
        <v>-1129.9689999999998</v>
      </c>
      <c r="AJ52" s="109">
        <f t="shared" si="30"/>
        <v>-1129.9689999999998</v>
      </c>
      <c r="AK52" s="109">
        <f t="shared" si="30"/>
        <v>-1129.9689999999998</v>
      </c>
      <c r="AL52" s="109">
        <f t="shared" si="30"/>
        <v>-1129.9689999999998</v>
      </c>
      <c r="AM52" s="695">
        <f t="shared" si="30"/>
        <v>-1129.9689999999998</v>
      </c>
      <c r="AN52" s="109">
        <f t="shared" si="30"/>
        <v>-1201.1570469999997</v>
      </c>
      <c r="AO52" s="109">
        <f t="shared" si="30"/>
        <v>-1201.1570469999997</v>
      </c>
      <c r="AP52" s="109">
        <f t="shared" si="30"/>
        <v>-1201.1570469999997</v>
      </c>
      <c r="AQ52" s="109">
        <f t="shared" si="30"/>
        <v>-1201.1570469999997</v>
      </c>
      <c r="AR52" s="109">
        <f t="shared" si="30"/>
        <v>-1201.1570469999997</v>
      </c>
      <c r="AS52" s="109">
        <f t="shared" si="30"/>
        <v>-1201.1570469999997</v>
      </c>
      <c r="AT52" s="109">
        <f t="shared" si="30"/>
        <v>-1201.1570469999997</v>
      </c>
      <c r="AU52" s="109">
        <f t="shared" si="30"/>
        <v>-1201.1570469999997</v>
      </c>
      <c r="AV52" s="109">
        <f t="shared" si="30"/>
        <v>-1201.1570469999997</v>
      </c>
      <c r="AW52" s="109">
        <f t="shared" si="30"/>
        <v>-1201.1570469999997</v>
      </c>
      <c r="AX52" s="109">
        <f t="shared" si="30"/>
        <v>-1201.1570469999997</v>
      </c>
      <c r="AY52" s="695">
        <f t="shared" si="30"/>
        <v>-1201.1570469999997</v>
      </c>
      <c r="AZ52" s="109">
        <f t="shared" si="30"/>
        <v>-1276.8299409609995</v>
      </c>
      <c r="BA52" s="109">
        <f t="shared" si="30"/>
        <v>-1276.8299409609995</v>
      </c>
      <c r="BB52" s="109">
        <f t="shared" si="30"/>
        <v>-1276.8299409609995</v>
      </c>
      <c r="BC52" s="109">
        <f t="shared" si="30"/>
        <v>-1276.8299409609995</v>
      </c>
      <c r="BD52" s="109">
        <f t="shared" si="30"/>
        <v>-1276.8299409609995</v>
      </c>
      <c r="BE52" s="109">
        <f t="shared" si="30"/>
        <v>-1276.8299409609995</v>
      </c>
      <c r="BF52" s="109">
        <f t="shared" si="30"/>
        <v>-1276.8299409609995</v>
      </c>
      <c r="BG52" s="109">
        <f t="shared" si="30"/>
        <v>-1276.8299409609995</v>
      </c>
      <c r="BH52" s="109">
        <f t="shared" si="30"/>
        <v>-1276.8299409609995</v>
      </c>
      <c r="BI52" s="109">
        <f t="shared" si="30"/>
        <v>-1276.8299409609995</v>
      </c>
      <c r="BJ52" s="109">
        <f t="shared" si="30"/>
        <v>-1276.8299409609995</v>
      </c>
      <c r="BK52" s="695">
        <f t="shared" si="30"/>
        <v>-1276.8299409609995</v>
      </c>
      <c r="BL52" s="109">
        <f t="shared" si="30"/>
        <v>-1357.2702272415424</v>
      </c>
      <c r="BM52" s="109">
        <f t="shared" si="30"/>
        <v>-1357.2702272415424</v>
      </c>
      <c r="BN52" s="109">
        <f t="shared" si="30"/>
        <v>-1357.2702272415424</v>
      </c>
      <c r="BO52" s="109">
        <f t="shared" si="30"/>
        <v>-1357.2702272415424</v>
      </c>
      <c r="BP52" s="109">
        <f t="shared" si="30"/>
        <v>-1357.2702272415424</v>
      </c>
      <c r="BQ52" s="109">
        <f t="shared" si="30"/>
        <v>-1357.2702272415424</v>
      </c>
      <c r="BR52" s="109">
        <f t="shared" si="30"/>
        <v>-1357.2702272415424</v>
      </c>
      <c r="BS52" s="109">
        <f t="shared" si="30"/>
        <v>-1357.2702272415424</v>
      </c>
      <c r="BT52" s="109">
        <f t="shared" si="30"/>
        <v>-1357.2702272415424</v>
      </c>
      <c r="BU52" s="109">
        <f t="shared" si="30"/>
        <v>-1357.2702272415424</v>
      </c>
      <c r="BV52" s="109">
        <f t="shared" si="30"/>
        <v>-1357.2702272415424</v>
      </c>
      <c r="BW52" s="695">
        <f t="shared" si="30"/>
        <v>-1357.2702272415424</v>
      </c>
      <c r="BX52" s="109">
        <f t="shared" si="30"/>
        <v>-1442.7782515577596</v>
      </c>
      <c r="BY52" s="109">
        <f t="shared" si="30"/>
        <v>-1442.7782515577596</v>
      </c>
      <c r="BZ52" s="109">
        <f t="shared" si="30"/>
        <v>-1442.7782515577596</v>
      </c>
      <c r="CA52" s="109">
        <f t="shared" si="30"/>
        <v>-1442.7782515577596</v>
      </c>
      <c r="CB52" s="109">
        <f t="shared" si="30"/>
        <v>-1442.7782515577596</v>
      </c>
      <c r="CC52" s="109">
        <f t="shared" si="30"/>
        <v>-1442.7782515577596</v>
      </c>
      <c r="CD52" s="109">
        <f t="shared" ref="CD52:DS52" si="31">$C$52*CD6</f>
        <v>-1442.7782515577596</v>
      </c>
      <c r="CE52" s="109">
        <f t="shared" si="31"/>
        <v>-1442.7782515577596</v>
      </c>
      <c r="CF52" s="109">
        <f t="shared" si="31"/>
        <v>-1442.7782515577596</v>
      </c>
      <c r="CG52" s="109">
        <f t="shared" si="31"/>
        <v>-1442.7782515577596</v>
      </c>
      <c r="CH52" s="109">
        <f t="shared" si="31"/>
        <v>-1442.7782515577596</v>
      </c>
      <c r="CI52" s="695">
        <f t="shared" si="31"/>
        <v>-1442.7782515577596</v>
      </c>
      <c r="CJ52" s="109">
        <f t="shared" si="31"/>
        <v>-1533.6732814058985</v>
      </c>
      <c r="CK52" s="109">
        <f t="shared" si="31"/>
        <v>-1533.6732814058985</v>
      </c>
      <c r="CL52" s="109">
        <f t="shared" si="31"/>
        <v>-1533.6732814058985</v>
      </c>
      <c r="CM52" s="109">
        <f t="shared" si="31"/>
        <v>-1533.6732814058985</v>
      </c>
      <c r="CN52" s="109">
        <f t="shared" si="31"/>
        <v>-1533.6732814058985</v>
      </c>
      <c r="CO52" s="109">
        <f t="shared" si="31"/>
        <v>-1533.6732814058985</v>
      </c>
      <c r="CP52" s="109">
        <f t="shared" si="31"/>
        <v>-1533.6732814058985</v>
      </c>
      <c r="CQ52" s="109">
        <f t="shared" si="31"/>
        <v>-1533.6732814058985</v>
      </c>
      <c r="CR52" s="109">
        <f t="shared" si="31"/>
        <v>-1533.6732814058985</v>
      </c>
      <c r="CS52" s="109">
        <f t="shared" si="31"/>
        <v>-1533.6732814058985</v>
      </c>
      <c r="CT52" s="109">
        <f t="shared" si="31"/>
        <v>-1533.6732814058985</v>
      </c>
      <c r="CU52" s="695">
        <f t="shared" si="31"/>
        <v>-1533.6732814058985</v>
      </c>
      <c r="CV52" s="109">
        <f t="shared" si="31"/>
        <v>-1630.2946981344699</v>
      </c>
      <c r="CW52" s="109">
        <f t="shared" si="31"/>
        <v>-1630.2946981344699</v>
      </c>
      <c r="CX52" s="109">
        <f t="shared" si="31"/>
        <v>-1630.2946981344699</v>
      </c>
      <c r="CY52" s="109">
        <f t="shared" si="31"/>
        <v>-1630.2946981344699</v>
      </c>
      <c r="CZ52" s="109">
        <f t="shared" si="31"/>
        <v>-1630.2946981344699</v>
      </c>
      <c r="DA52" s="109">
        <f t="shared" si="31"/>
        <v>-1630.2946981344699</v>
      </c>
      <c r="DB52" s="109">
        <f t="shared" si="31"/>
        <v>-1630.2946981344699</v>
      </c>
      <c r="DC52" s="109">
        <f t="shared" si="31"/>
        <v>-1630.2946981344699</v>
      </c>
      <c r="DD52" s="109">
        <f t="shared" si="31"/>
        <v>-1630.2946981344699</v>
      </c>
      <c r="DE52" s="109">
        <f t="shared" si="31"/>
        <v>-1630.2946981344699</v>
      </c>
      <c r="DF52" s="109">
        <f t="shared" si="31"/>
        <v>-1630.2946981344699</v>
      </c>
      <c r="DG52" s="695">
        <f t="shared" si="31"/>
        <v>-1630.2946981344699</v>
      </c>
      <c r="DH52" s="109">
        <f t="shared" si="31"/>
        <v>-1733.0032641169414</v>
      </c>
      <c r="DI52" s="109">
        <f t="shared" si="31"/>
        <v>-1733.0032641169414</v>
      </c>
      <c r="DJ52" s="109">
        <f t="shared" si="31"/>
        <v>-1733.0032641169414</v>
      </c>
      <c r="DK52" s="109">
        <f t="shared" si="31"/>
        <v>-1733.0032641169414</v>
      </c>
      <c r="DL52" s="109">
        <f t="shared" si="31"/>
        <v>-1733.0032641169414</v>
      </c>
      <c r="DM52" s="109">
        <f t="shared" si="31"/>
        <v>-1733.0032641169414</v>
      </c>
      <c r="DN52" s="109">
        <f t="shared" si="31"/>
        <v>-1733.0032641169414</v>
      </c>
      <c r="DO52" s="109">
        <f t="shared" si="31"/>
        <v>-1733.0032641169414</v>
      </c>
      <c r="DP52" s="109">
        <f t="shared" si="31"/>
        <v>-1733.0032641169414</v>
      </c>
      <c r="DQ52" s="109">
        <f t="shared" si="31"/>
        <v>-1733.0032641169414</v>
      </c>
      <c r="DR52" s="109">
        <f t="shared" si="31"/>
        <v>-1733.0032641169414</v>
      </c>
      <c r="DS52" s="695">
        <f t="shared" si="31"/>
        <v>-1733.0032641169414</v>
      </c>
      <c r="DT52" s="3"/>
    </row>
    <row r="53" spans="2:124" ht="13.5" thickBot="1" x14ac:dyDescent="0.25">
      <c r="B53" s="722"/>
      <c r="C53" s="722"/>
      <c r="D53" s="746"/>
      <c r="E53" s="746"/>
      <c r="F53" s="746"/>
      <c r="G53" s="746"/>
      <c r="H53" s="746"/>
      <c r="I53" s="746"/>
      <c r="J53" s="746"/>
      <c r="K53" s="746"/>
      <c r="L53" s="746"/>
      <c r="M53" s="746"/>
      <c r="N53" s="746"/>
      <c r="O53" s="747"/>
      <c r="P53" s="1188"/>
      <c r="Q53" s="746"/>
      <c r="R53" s="746"/>
      <c r="S53" s="746"/>
      <c r="T53" s="746"/>
      <c r="U53" s="746"/>
      <c r="V53" s="746"/>
      <c r="W53" s="746"/>
      <c r="X53" s="746"/>
      <c r="Y53" s="746"/>
      <c r="Z53" s="746"/>
      <c r="AA53" s="747"/>
      <c r="AB53" s="1188"/>
      <c r="AC53" s="746"/>
      <c r="AD53" s="746"/>
      <c r="AE53" s="746"/>
      <c r="AF53" s="746"/>
      <c r="AG53" s="746"/>
      <c r="AH53" s="746"/>
      <c r="AI53" s="746"/>
      <c r="AJ53" s="746"/>
      <c r="AK53" s="746"/>
      <c r="AL53" s="746"/>
      <c r="AM53" s="747"/>
      <c r="AN53" s="746"/>
      <c r="AO53" s="746"/>
      <c r="AP53" s="746"/>
      <c r="AQ53" s="746"/>
      <c r="AR53" s="746"/>
      <c r="AS53" s="746"/>
      <c r="AT53" s="746"/>
      <c r="AU53" s="746"/>
      <c r="AV53" s="746"/>
      <c r="AW53" s="746"/>
      <c r="AX53" s="746"/>
      <c r="AY53" s="747"/>
      <c r="AZ53" s="746"/>
      <c r="BA53" s="746"/>
      <c r="BB53" s="746"/>
      <c r="BC53" s="746"/>
      <c r="BD53" s="746"/>
      <c r="BE53" s="746"/>
      <c r="BF53" s="746"/>
      <c r="BG53" s="746"/>
      <c r="BH53" s="746"/>
      <c r="BI53" s="746"/>
      <c r="BJ53" s="746"/>
      <c r="BK53" s="747"/>
      <c r="BL53" s="746"/>
      <c r="BM53" s="746"/>
      <c r="BN53" s="746"/>
      <c r="BO53" s="746"/>
      <c r="BP53" s="746"/>
      <c r="BQ53" s="746"/>
      <c r="BR53" s="746"/>
      <c r="BS53" s="746"/>
      <c r="BT53" s="746"/>
      <c r="BU53" s="746"/>
      <c r="BV53" s="746"/>
      <c r="BW53" s="747"/>
      <c r="BX53" s="746"/>
      <c r="BY53" s="746"/>
      <c r="BZ53" s="746"/>
      <c r="CA53" s="746"/>
      <c r="CB53" s="746"/>
      <c r="CC53" s="746"/>
      <c r="CD53" s="746"/>
      <c r="CE53" s="746"/>
      <c r="CF53" s="746"/>
      <c r="CG53" s="746"/>
      <c r="CH53" s="746"/>
      <c r="CI53" s="747"/>
      <c r="CJ53" s="746"/>
      <c r="CK53" s="746"/>
      <c r="CL53" s="746"/>
      <c r="CM53" s="746"/>
      <c r="CN53" s="746"/>
      <c r="CO53" s="746"/>
      <c r="CP53" s="746"/>
      <c r="CQ53" s="746"/>
      <c r="CR53" s="746"/>
      <c r="CS53" s="746"/>
      <c r="CT53" s="746"/>
      <c r="CU53" s="747"/>
      <c r="CV53" s="746"/>
      <c r="CW53" s="746"/>
      <c r="CX53" s="746"/>
      <c r="CY53" s="746"/>
      <c r="CZ53" s="746"/>
      <c r="DA53" s="746"/>
      <c r="DB53" s="746"/>
      <c r="DC53" s="746"/>
      <c r="DD53" s="746"/>
      <c r="DE53" s="746"/>
      <c r="DF53" s="746"/>
      <c r="DG53" s="747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7"/>
    </row>
    <row r="54" spans="2:124" x14ac:dyDescent="0.2">
      <c r="N54" s="384"/>
    </row>
  </sheetData>
  <mergeCells count="11">
    <mergeCell ref="CV2:DG2"/>
    <mergeCell ref="DH2:DS2"/>
    <mergeCell ref="AB2:AM2"/>
    <mergeCell ref="AN2:AY2"/>
    <mergeCell ref="AZ2:BK2"/>
    <mergeCell ref="BL2:BW2"/>
    <mergeCell ref="A1:C2"/>
    <mergeCell ref="P2:AA2"/>
    <mergeCell ref="D2:O2"/>
    <mergeCell ref="BX2:CI2"/>
    <mergeCell ref="CJ2:CU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DY34"/>
  <sheetViews>
    <sheetView zoomScale="77" zoomScaleNormal="77" zoomScalePageLayoutView="8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8" sqref="C8"/>
    </sheetView>
  </sheetViews>
  <sheetFormatPr defaultColWidth="11.7109375" defaultRowHeight="12.75" x14ac:dyDescent="0.2"/>
  <cols>
    <col min="1" max="1" width="4.7109375" style="2" customWidth="1"/>
    <col min="2" max="2" width="37.28515625" style="2" customWidth="1"/>
    <col min="3" max="3" width="7.7109375" style="2" customWidth="1"/>
    <col min="4" max="6" width="11.7109375" style="2"/>
    <col min="7" max="7" width="11.7109375" style="2" customWidth="1"/>
    <col min="8" max="16384" width="11.7109375" style="2"/>
  </cols>
  <sheetData>
    <row r="1" spans="1:129" ht="12.75" customHeight="1" x14ac:dyDescent="0.2">
      <c r="A1" s="1426" t="s">
        <v>187</v>
      </c>
      <c r="B1" s="1426"/>
      <c r="C1" s="6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500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500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500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500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500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500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500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500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500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500"/>
      <c r="DT1" s="3"/>
      <c r="DU1" s="3"/>
    </row>
    <row r="2" spans="1:129" ht="39" customHeight="1" x14ac:dyDescent="0.2">
      <c r="A2" s="1426"/>
      <c r="B2" s="1426"/>
      <c r="C2" s="69"/>
      <c r="D2" s="1420" t="s">
        <v>507</v>
      </c>
      <c r="E2" s="1420"/>
      <c r="F2" s="1420"/>
      <c r="G2" s="1420"/>
      <c r="H2" s="1420"/>
      <c r="I2" s="1420"/>
      <c r="J2" s="1420"/>
      <c r="K2" s="1420"/>
      <c r="L2" s="1420"/>
      <c r="M2" s="1420"/>
      <c r="N2" s="1420"/>
      <c r="O2" s="1421"/>
      <c r="P2" s="1415" t="s">
        <v>508</v>
      </c>
      <c r="Q2" s="1415"/>
      <c r="R2" s="1415"/>
      <c r="S2" s="1415"/>
      <c r="T2" s="1415"/>
      <c r="U2" s="1415"/>
      <c r="V2" s="1415"/>
      <c r="W2" s="1415"/>
      <c r="X2" s="1415"/>
      <c r="Y2" s="1415"/>
      <c r="Z2" s="1415"/>
      <c r="AA2" s="1416"/>
      <c r="AB2" s="1415" t="s">
        <v>509</v>
      </c>
      <c r="AC2" s="1415"/>
      <c r="AD2" s="1415"/>
      <c r="AE2" s="1415"/>
      <c r="AF2" s="1415"/>
      <c r="AG2" s="1415"/>
      <c r="AH2" s="1415"/>
      <c r="AI2" s="1415"/>
      <c r="AJ2" s="1415"/>
      <c r="AK2" s="1415"/>
      <c r="AL2" s="1415"/>
      <c r="AM2" s="1416"/>
      <c r="AN2" s="1415" t="s">
        <v>510</v>
      </c>
      <c r="AO2" s="1415"/>
      <c r="AP2" s="1415"/>
      <c r="AQ2" s="1415"/>
      <c r="AR2" s="1415"/>
      <c r="AS2" s="1415"/>
      <c r="AT2" s="1415"/>
      <c r="AU2" s="1415"/>
      <c r="AV2" s="1415"/>
      <c r="AW2" s="1415"/>
      <c r="AX2" s="1415"/>
      <c r="AY2" s="1416"/>
      <c r="AZ2" s="1415" t="s">
        <v>511</v>
      </c>
      <c r="BA2" s="1415"/>
      <c r="BB2" s="1415"/>
      <c r="BC2" s="1415"/>
      <c r="BD2" s="1415"/>
      <c r="BE2" s="1415"/>
      <c r="BF2" s="1415"/>
      <c r="BG2" s="1415"/>
      <c r="BH2" s="1415"/>
      <c r="BI2" s="1415"/>
      <c r="BJ2" s="1415"/>
      <c r="BK2" s="1416"/>
      <c r="BL2" s="1415" t="s">
        <v>512</v>
      </c>
      <c r="BM2" s="1415"/>
      <c r="BN2" s="1415"/>
      <c r="BO2" s="1415"/>
      <c r="BP2" s="1415"/>
      <c r="BQ2" s="1415"/>
      <c r="BR2" s="1415"/>
      <c r="BS2" s="1415"/>
      <c r="BT2" s="1415"/>
      <c r="BU2" s="1415"/>
      <c r="BV2" s="1415"/>
      <c r="BW2" s="1416"/>
      <c r="BX2" s="1415" t="s">
        <v>513</v>
      </c>
      <c r="BY2" s="1415"/>
      <c r="BZ2" s="1415"/>
      <c r="CA2" s="1415"/>
      <c r="CB2" s="1415"/>
      <c r="CC2" s="1415"/>
      <c r="CD2" s="1415"/>
      <c r="CE2" s="1415"/>
      <c r="CF2" s="1415"/>
      <c r="CG2" s="1415"/>
      <c r="CH2" s="1415"/>
      <c r="CI2" s="1416"/>
      <c r="CJ2" s="1415" t="s">
        <v>514</v>
      </c>
      <c r="CK2" s="1415"/>
      <c r="CL2" s="1415"/>
      <c r="CM2" s="1415"/>
      <c r="CN2" s="1415"/>
      <c r="CO2" s="1415"/>
      <c r="CP2" s="1415"/>
      <c r="CQ2" s="1415"/>
      <c r="CR2" s="1415"/>
      <c r="CS2" s="1415"/>
      <c r="CT2" s="1415"/>
      <c r="CU2" s="1416"/>
      <c r="CV2" s="1415" t="s">
        <v>515</v>
      </c>
      <c r="CW2" s="1415"/>
      <c r="CX2" s="1415"/>
      <c r="CY2" s="1415"/>
      <c r="CZ2" s="1415"/>
      <c r="DA2" s="1415"/>
      <c r="DB2" s="1415"/>
      <c r="DC2" s="1415"/>
      <c r="DD2" s="1415"/>
      <c r="DE2" s="1415"/>
      <c r="DF2" s="1415"/>
      <c r="DG2" s="1416"/>
      <c r="DH2" s="1415" t="s">
        <v>516</v>
      </c>
      <c r="DI2" s="1415"/>
      <c r="DJ2" s="1415"/>
      <c r="DK2" s="1415"/>
      <c r="DL2" s="1415"/>
      <c r="DM2" s="1415"/>
      <c r="DN2" s="1415"/>
      <c r="DO2" s="1415"/>
      <c r="DP2" s="1415"/>
      <c r="DQ2" s="1415"/>
      <c r="DR2" s="1415"/>
      <c r="DS2" s="1416"/>
      <c r="DT2" s="193"/>
      <c r="DU2" s="193"/>
      <c r="DV2" s="113"/>
      <c r="DW2" s="113"/>
      <c r="DX2" s="113"/>
      <c r="DY2" s="113"/>
    </row>
    <row r="3" spans="1:129" s="56" customFormat="1" ht="12.75" customHeight="1" x14ac:dyDescent="0.25">
      <c r="A3" s="1426"/>
      <c r="B3" s="1426"/>
      <c r="C3" s="111"/>
      <c r="D3" s="484" t="s">
        <v>175</v>
      </c>
      <c r="E3" s="484" t="s">
        <v>176</v>
      </c>
      <c r="F3" s="484" t="s">
        <v>177</v>
      </c>
      <c r="G3" s="484" t="s">
        <v>178</v>
      </c>
      <c r="H3" s="484" t="s">
        <v>167</v>
      </c>
      <c r="I3" s="484" t="s">
        <v>168</v>
      </c>
      <c r="J3" s="484" t="s">
        <v>169</v>
      </c>
      <c r="K3" s="484" t="s">
        <v>170</v>
      </c>
      <c r="L3" s="484" t="s">
        <v>171</v>
      </c>
      <c r="M3" s="484" t="s">
        <v>172</v>
      </c>
      <c r="N3" s="484" t="s">
        <v>173</v>
      </c>
      <c r="O3" s="694" t="s">
        <v>174</v>
      </c>
      <c r="P3" s="272" t="s">
        <v>175</v>
      </c>
      <c r="Q3" s="272" t="s">
        <v>176</v>
      </c>
      <c r="R3" s="272" t="s">
        <v>177</v>
      </c>
      <c r="S3" s="272" t="s">
        <v>178</v>
      </c>
      <c r="T3" s="272" t="s">
        <v>167</v>
      </c>
      <c r="U3" s="272" t="s">
        <v>168</v>
      </c>
      <c r="V3" s="272" t="s">
        <v>169</v>
      </c>
      <c r="W3" s="272" t="s">
        <v>170</v>
      </c>
      <c r="X3" s="272" t="s">
        <v>171</v>
      </c>
      <c r="Y3" s="272" t="s">
        <v>172</v>
      </c>
      <c r="Z3" s="272" t="s">
        <v>173</v>
      </c>
      <c r="AA3" s="603" t="s">
        <v>174</v>
      </c>
      <c r="AB3" s="272" t="s">
        <v>175</v>
      </c>
      <c r="AC3" s="272" t="s">
        <v>176</v>
      </c>
      <c r="AD3" s="272" t="s">
        <v>177</v>
      </c>
      <c r="AE3" s="272" t="s">
        <v>178</v>
      </c>
      <c r="AF3" s="272" t="s">
        <v>167</v>
      </c>
      <c r="AG3" s="272" t="s">
        <v>168</v>
      </c>
      <c r="AH3" s="272" t="s">
        <v>169</v>
      </c>
      <c r="AI3" s="272" t="s">
        <v>170</v>
      </c>
      <c r="AJ3" s="272" t="s">
        <v>171</v>
      </c>
      <c r="AK3" s="272" t="s">
        <v>172</v>
      </c>
      <c r="AL3" s="272" t="s">
        <v>173</v>
      </c>
      <c r="AM3" s="603" t="s">
        <v>174</v>
      </c>
      <c r="AN3" s="272" t="s">
        <v>175</v>
      </c>
      <c r="AO3" s="272" t="s">
        <v>176</v>
      </c>
      <c r="AP3" s="272" t="s">
        <v>177</v>
      </c>
      <c r="AQ3" s="272" t="s">
        <v>178</v>
      </c>
      <c r="AR3" s="272" t="s">
        <v>167</v>
      </c>
      <c r="AS3" s="272" t="s">
        <v>168</v>
      </c>
      <c r="AT3" s="272" t="s">
        <v>169</v>
      </c>
      <c r="AU3" s="272" t="s">
        <v>170</v>
      </c>
      <c r="AV3" s="272" t="s">
        <v>171</v>
      </c>
      <c r="AW3" s="272" t="s">
        <v>172</v>
      </c>
      <c r="AX3" s="272" t="s">
        <v>173</v>
      </c>
      <c r="AY3" s="603" t="s">
        <v>174</v>
      </c>
      <c r="AZ3" s="272" t="s">
        <v>175</v>
      </c>
      <c r="BA3" s="272" t="s">
        <v>176</v>
      </c>
      <c r="BB3" s="272" t="s">
        <v>177</v>
      </c>
      <c r="BC3" s="272" t="s">
        <v>178</v>
      </c>
      <c r="BD3" s="272" t="s">
        <v>167</v>
      </c>
      <c r="BE3" s="272" t="s">
        <v>168</v>
      </c>
      <c r="BF3" s="272" t="s">
        <v>169</v>
      </c>
      <c r="BG3" s="272" t="s">
        <v>170</v>
      </c>
      <c r="BH3" s="272" t="s">
        <v>171</v>
      </c>
      <c r="BI3" s="272" t="s">
        <v>172</v>
      </c>
      <c r="BJ3" s="272" t="s">
        <v>173</v>
      </c>
      <c r="BK3" s="603" t="s">
        <v>174</v>
      </c>
      <c r="BL3" s="272" t="s">
        <v>175</v>
      </c>
      <c r="BM3" s="272" t="s">
        <v>176</v>
      </c>
      <c r="BN3" s="272" t="s">
        <v>177</v>
      </c>
      <c r="BO3" s="272" t="s">
        <v>178</v>
      </c>
      <c r="BP3" s="272" t="s">
        <v>167</v>
      </c>
      <c r="BQ3" s="272" t="s">
        <v>168</v>
      </c>
      <c r="BR3" s="272" t="s">
        <v>169</v>
      </c>
      <c r="BS3" s="272" t="s">
        <v>170</v>
      </c>
      <c r="BT3" s="272" t="s">
        <v>171</v>
      </c>
      <c r="BU3" s="272" t="s">
        <v>172</v>
      </c>
      <c r="BV3" s="272" t="s">
        <v>173</v>
      </c>
      <c r="BW3" s="603" t="s">
        <v>174</v>
      </c>
      <c r="BX3" s="272" t="s">
        <v>175</v>
      </c>
      <c r="BY3" s="272" t="s">
        <v>176</v>
      </c>
      <c r="BZ3" s="272" t="s">
        <v>177</v>
      </c>
      <c r="CA3" s="272" t="s">
        <v>178</v>
      </c>
      <c r="CB3" s="272" t="s">
        <v>167</v>
      </c>
      <c r="CC3" s="272" t="s">
        <v>168</v>
      </c>
      <c r="CD3" s="272" t="s">
        <v>169</v>
      </c>
      <c r="CE3" s="272" t="s">
        <v>170</v>
      </c>
      <c r="CF3" s="272" t="s">
        <v>171</v>
      </c>
      <c r="CG3" s="272" t="s">
        <v>172</v>
      </c>
      <c r="CH3" s="272" t="s">
        <v>173</v>
      </c>
      <c r="CI3" s="603" t="s">
        <v>174</v>
      </c>
      <c r="CJ3" s="272" t="s">
        <v>175</v>
      </c>
      <c r="CK3" s="272" t="s">
        <v>176</v>
      </c>
      <c r="CL3" s="272" t="s">
        <v>177</v>
      </c>
      <c r="CM3" s="272" t="s">
        <v>178</v>
      </c>
      <c r="CN3" s="272" t="s">
        <v>167</v>
      </c>
      <c r="CO3" s="272" t="s">
        <v>168</v>
      </c>
      <c r="CP3" s="272" t="s">
        <v>169</v>
      </c>
      <c r="CQ3" s="272" t="s">
        <v>170</v>
      </c>
      <c r="CR3" s="272" t="s">
        <v>171</v>
      </c>
      <c r="CS3" s="272" t="s">
        <v>172</v>
      </c>
      <c r="CT3" s="272" t="s">
        <v>173</v>
      </c>
      <c r="CU3" s="603" t="s">
        <v>174</v>
      </c>
      <c r="CV3" s="272" t="s">
        <v>175</v>
      </c>
      <c r="CW3" s="272" t="s">
        <v>176</v>
      </c>
      <c r="CX3" s="272" t="s">
        <v>177</v>
      </c>
      <c r="CY3" s="272" t="s">
        <v>178</v>
      </c>
      <c r="CZ3" s="272" t="s">
        <v>167</v>
      </c>
      <c r="DA3" s="272" t="s">
        <v>168</v>
      </c>
      <c r="DB3" s="272" t="s">
        <v>169</v>
      </c>
      <c r="DC3" s="272" t="s">
        <v>170</v>
      </c>
      <c r="DD3" s="272" t="s">
        <v>171</v>
      </c>
      <c r="DE3" s="272" t="s">
        <v>172</v>
      </c>
      <c r="DF3" s="272" t="s">
        <v>173</v>
      </c>
      <c r="DG3" s="603" t="s">
        <v>174</v>
      </c>
      <c r="DH3" s="272" t="s">
        <v>175</v>
      </c>
      <c r="DI3" s="272" t="s">
        <v>176</v>
      </c>
      <c r="DJ3" s="272" t="s">
        <v>177</v>
      </c>
      <c r="DK3" s="272" t="s">
        <v>178</v>
      </c>
      <c r="DL3" s="272" t="s">
        <v>167</v>
      </c>
      <c r="DM3" s="272" t="s">
        <v>168</v>
      </c>
      <c r="DN3" s="272" t="s">
        <v>169</v>
      </c>
      <c r="DO3" s="272" t="s">
        <v>170</v>
      </c>
      <c r="DP3" s="272" t="s">
        <v>171</v>
      </c>
      <c r="DQ3" s="272" t="s">
        <v>172</v>
      </c>
      <c r="DR3" s="272" t="s">
        <v>173</v>
      </c>
      <c r="DS3" s="603" t="s">
        <v>174</v>
      </c>
      <c r="DT3" s="195"/>
      <c r="DU3" s="195"/>
    </row>
    <row r="4" spans="1:129" hidden="1" x14ac:dyDescent="0.2">
      <c r="B4" s="21" t="s">
        <v>88</v>
      </c>
      <c r="C4" s="20"/>
      <c r="D4" s="22">
        <f>Assumptions!$E5</f>
        <v>14</v>
      </c>
      <c r="E4" s="22">
        <f>Assumptions!$E5</f>
        <v>14</v>
      </c>
      <c r="F4" s="22">
        <f>Assumptions!$E5</f>
        <v>14</v>
      </c>
      <c r="G4" s="22">
        <f>Assumptions!$E5</f>
        <v>14</v>
      </c>
      <c r="H4" s="22">
        <f>Assumptions!$E5</f>
        <v>14</v>
      </c>
      <c r="I4" s="22">
        <f>Assumptions!$E5</f>
        <v>14</v>
      </c>
      <c r="J4" s="22">
        <f>Assumptions!$E5</f>
        <v>14</v>
      </c>
      <c r="K4" s="22">
        <f>Assumptions!$E5</f>
        <v>14</v>
      </c>
      <c r="L4" s="22">
        <f>Assumptions!$E5</f>
        <v>14</v>
      </c>
      <c r="M4" s="22">
        <f>Assumptions!$E5</f>
        <v>14</v>
      </c>
      <c r="N4" s="22">
        <f>Assumptions!$E5</f>
        <v>14</v>
      </c>
      <c r="O4" s="604">
        <f>Assumptions!$E5</f>
        <v>14</v>
      </c>
      <c r="P4" s="686">
        <f>Assumptions!$F5</f>
        <v>14.84</v>
      </c>
      <c r="Q4" s="22">
        <f>Assumptions!$F5</f>
        <v>14.84</v>
      </c>
      <c r="R4" s="22">
        <f>Assumptions!$F5</f>
        <v>14.84</v>
      </c>
      <c r="S4" s="22">
        <f>Assumptions!$F5</f>
        <v>14.84</v>
      </c>
      <c r="T4" s="22">
        <f>Assumptions!$F5</f>
        <v>14.84</v>
      </c>
      <c r="U4" s="22">
        <f>Assumptions!$F5</f>
        <v>14.84</v>
      </c>
      <c r="V4" s="22">
        <f>Assumptions!$F5</f>
        <v>14.84</v>
      </c>
      <c r="W4" s="22">
        <f>Assumptions!$F5</f>
        <v>14.84</v>
      </c>
      <c r="X4" s="22">
        <f>Assumptions!$F5</f>
        <v>14.84</v>
      </c>
      <c r="Y4" s="22">
        <f>Assumptions!$F5</f>
        <v>14.84</v>
      </c>
      <c r="Z4" s="22">
        <f>Assumptions!$F5</f>
        <v>14.84</v>
      </c>
      <c r="AA4" s="604">
        <f>Assumptions!$F5</f>
        <v>14.84</v>
      </c>
      <c r="AB4" s="686">
        <f>Assumptions!$G5</f>
        <v>15.730400000000001</v>
      </c>
      <c r="AC4" s="22">
        <f>Assumptions!$G5</f>
        <v>15.730400000000001</v>
      </c>
      <c r="AD4" s="22">
        <f>Assumptions!$G5</f>
        <v>15.730400000000001</v>
      </c>
      <c r="AE4" s="22">
        <f>Assumptions!$G5</f>
        <v>15.730400000000001</v>
      </c>
      <c r="AF4" s="22">
        <f>Assumptions!$G5</f>
        <v>15.730400000000001</v>
      </c>
      <c r="AG4" s="22">
        <f>Assumptions!$G5</f>
        <v>15.730400000000001</v>
      </c>
      <c r="AH4" s="22">
        <f>Assumptions!$G5</f>
        <v>15.730400000000001</v>
      </c>
      <c r="AI4" s="22">
        <f>Assumptions!$G5</f>
        <v>15.730400000000001</v>
      </c>
      <c r="AJ4" s="22">
        <f>Assumptions!$G5</f>
        <v>15.730400000000001</v>
      </c>
      <c r="AK4" s="22">
        <f>Assumptions!$G5</f>
        <v>15.730400000000001</v>
      </c>
      <c r="AL4" s="22">
        <f>Assumptions!$G5</f>
        <v>15.730400000000001</v>
      </c>
      <c r="AM4" s="604">
        <f>Assumptions!$G5</f>
        <v>15.730400000000001</v>
      </c>
      <c r="AN4" s="686">
        <f>Assumptions!$H5</f>
        <v>16.674224000000002</v>
      </c>
      <c r="AO4" s="22">
        <f>Assumptions!$H5</f>
        <v>16.674224000000002</v>
      </c>
      <c r="AP4" s="22">
        <f>Assumptions!$H5</f>
        <v>16.674224000000002</v>
      </c>
      <c r="AQ4" s="22">
        <f>Assumptions!$H5</f>
        <v>16.674224000000002</v>
      </c>
      <c r="AR4" s="22">
        <f>Assumptions!$H5</f>
        <v>16.674224000000002</v>
      </c>
      <c r="AS4" s="22">
        <f>Assumptions!$H5</f>
        <v>16.674224000000002</v>
      </c>
      <c r="AT4" s="22">
        <f>Assumptions!$H5</f>
        <v>16.674224000000002</v>
      </c>
      <c r="AU4" s="22">
        <f>Assumptions!$H5</f>
        <v>16.674224000000002</v>
      </c>
      <c r="AV4" s="22">
        <f>Assumptions!$H5</f>
        <v>16.674224000000002</v>
      </c>
      <c r="AW4" s="22">
        <f>Assumptions!$H5</f>
        <v>16.674224000000002</v>
      </c>
      <c r="AX4" s="22">
        <f>Assumptions!$H5</f>
        <v>16.674224000000002</v>
      </c>
      <c r="AY4" s="604">
        <f>Assumptions!$H5</f>
        <v>16.674224000000002</v>
      </c>
      <c r="AZ4" s="686">
        <f>Assumptions!$I5</f>
        <v>17.674677440000004</v>
      </c>
      <c r="BA4" s="22">
        <f>Assumptions!$I5</f>
        <v>17.674677440000004</v>
      </c>
      <c r="BB4" s="22">
        <f>Assumptions!$I5</f>
        <v>17.674677440000004</v>
      </c>
      <c r="BC4" s="22">
        <f>Assumptions!$I5</f>
        <v>17.674677440000004</v>
      </c>
      <c r="BD4" s="22">
        <f>Assumptions!$I5</f>
        <v>17.674677440000004</v>
      </c>
      <c r="BE4" s="22">
        <f>Assumptions!$I5</f>
        <v>17.674677440000004</v>
      </c>
      <c r="BF4" s="22">
        <f>Assumptions!$I5</f>
        <v>17.674677440000004</v>
      </c>
      <c r="BG4" s="22">
        <f>Assumptions!$I5</f>
        <v>17.674677440000004</v>
      </c>
      <c r="BH4" s="22">
        <f>Assumptions!$I5</f>
        <v>17.674677440000004</v>
      </c>
      <c r="BI4" s="22">
        <f>Assumptions!$I5</f>
        <v>17.674677440000004</v>
      </c>
      <c r="BJ4" s="22">
        <f>Assumptions!$I5</f>
        <v>17.674677440000004</v>
      </c>
      <c r="BK4" s="604">
        <f>Assumptions!$I5</f>
        <v>17.674677440000004</v>
      </c>
      <c r="BL4" s="686">
        <f>Assumptions!$J5</f>
        <v>18.735158086400006</v>
      </c>
      <c r="BM4" s="22">
        <f>Assumptions!$J5</f>
        <v>18.735158086400006</v>
      </c>
      <c r="BN4" s="22">
        <f>Assumptions!$J5</f>
        <v>18.735158086400006</v>
      </c>
      <c r="BO4" s="22">
        <f>Assumptions!$J5</f>
        <v>18.735158086400006</v>
      </c>
      <c r="BP4" s="22">
        <f>Assumptions!$J5</f>
        <v>18.735158086400006</v>
      </c>
      <c r="BQ4" s="22">
        <f>Assumptions!$J5</f>
        <v>18.735158086400006</v>
      </c>
      <c r="BR4" s="22">
        <f>Assumptions!$J5</f>
        <v>18.735158086400006</v>
      </c>
      <c r="BS4" s="22">
        <f>Assumptions!$J5</f>
        <v>18.735158086400006</v>
      </c>
      <c r="BT4" s="22">
        <f>Assumptions!$J5</f>
        <v>18.735158086400006</v>
      </c>
      <c r="BU4" s="22">
        <f>Assumptions!$J5</f>
        <v>18.735158086400006</v>
      </c>
      <c r="BV4" s="22">
        <f>Assumptions!$J5</f>
        <v>18.735158086400006</v>
      </c>
      <c r="BW4" s="604">
        <f>Assumptions!$J5</f>
        <v>18.735158086400006</v>
      </c>
      <c r="BX4" s="686">
        <f>Assumptions!$K5</f>
        <v>19.859267571584006</v>
      </c>
      <c r="BY4" s="22">
        <f>Assumptions!$K5</f>
        <v>19.859267571584006</v>
      </c>
      <c r="BZ4" s="22">
        <f>Assumptions!$K5</f>
        <v>19.859267571584006</v>
      </c>
      <c r="CA4" s="22">
        <f>Assumptions!$K5</f>
        <v>19.859267571584006</v>
      </c>
      <c r="CB4" s="22">
        <f>Assumptions!$K5</f>
        <v>19.859267571584006</v>
      </c>
      <c r="CC4" s="22">
        <f>Assumptions!$K5</f>
        <v>19.859267571584006</v>
      </c>
      <c r="CD4" s="22">
        <f>Assumptions!$K5</f>
        <v>19.859267571584006</v>
      </c>
      <c r="CE4" s="22">
        <f>Assumptions!$K5</f>
        <v>19.859267571584006</v>
      </c>
      <c r="CF4" s="22">
        <f>Assumptions!$K5</f>
        <v>19.859267571584006</v>
      </c>
      <c r="CG4" s="22">
        <f>Assumptions!$K5</f>
        <v>19.859267571584006</v>
      </c>
      <c r="CH4" s="22">
        <f>Assumptions!$K5</f>
        <v>19.859267571584006</v>
      </c>
      <c r="CI4" s="604">
        <f>Assumptions!$K5</f>
        <v>19.859267571584006</v>
      </c>
      <c r="CJ4" s="686">
        <f>Assumptions!$L5</f>
        <v>21.050823625879048</v>
      </c>
      <c r="CK4" s="22">
        <f>Assumptions!$L5</f>
        <v>21.050823625879048</v>
      </c>
      <c r="CL4" s="22">
        <f>Assumptions!$L5</f>
        <v>21.050823625879048</v>
      </c>
      <c r="CM4" s="22">
        <f>Assumptions!$L5</f>
        <v>21.050823625879048</v>
      </c>
      <c r="CN4" s="22">
        <f>Assumptions!$L5</f>
        <v>21.050823625879048</v>
      </c>
      <c r="CO4" s="22">
        <f>Assumptions!$L5</f>
        <v>21.050823625879048</v>
      </c>
      <c r="CP4" s="22">
        <f>Assumptions!$L5</f>
        <v>21.050823625879048</v>
      </c>
      <c r="CQ4" s="22">
        <f>Assumptions!$L5</f>
        <v>21.050823625879048</v>
      </c>
      <c r="CR4" s="22">
        <f>Assumptions!$L5</f>
        <v>21.050823625879048</v>
      </c>
      <c r="CS4" s="22">
        <f>Assumptions!$L5</f>
        <v>21.050823625879048</v>
      </c>
      <c r="CT4" s="22">
        <f>Assumptions!$L5</f>
        <v>21.050823625879048</v>
      </c>
      <c r="CU4" s="604">
        <f>Assumptions!$L5</f>
        <v>21.050823625879048</v>
      </c>
      <c r="CV4" s="686">
        <f>Assumptions!$M5</f>
        <v>22.313873043431791</v>
      </c>
      <c r="CW4" s="22">
        <f>Assumptions!$M5</f>
        <v>22.313873043431791</v>
      </c>
      <c r="CX4" s="22">
        <f>Assumptions!$M5</f>
        <v>22.313873043431791</v>
      </c>
      <c r="CY4" s="22">
        <f>Assumptions!$M5</f>
        <v>22.313873043431791</v>
      </c>
      <c r="CZ4" s="22">
        <f>Assumptions!$M5</f>
        <v>22.313873043431791</v>
      </c>
      <c r="DA4" s="22">
        <f>Assumptions!$M5</f>
        <v>22.313873043431791</v>
      </c>
      <c r="DB4" s="22">
        <f>Assumptions!$M5</f>
        <v>22.313873043431791</v>
      </c>
      <c r="DC4" s="22">
        <f>Assumptions!$M5</f>
        <v>22.313873043431791</v>
      </c>
      <c r="DD4" s="22">
        <f>Assumptions!$M5</f>
        <v>22.313873043431791</v>
      </c>
      <c r="DE4" s="22">
        <f>Assumptions!$M5</f>
        <v>22.313873043431791</v>
      </c>
      <c r="DF4" s="22">
        <f>Assumptions!$M5</f>
        <v>22.313873043431791</v>
      </c>
      <c r="DG4" s="604">
        <f>Assumptions!$M5</f>
        <v>22.313873043431791</v>
      </c>
      <c r="DH4" s="686">
        <f>Assumptions!$N5</f>
        <v>23.652705426037699</v>
      </c>
      <c r="DI4" s="22">
        <f>Assumptions!$N5</f>
        <v>23.652705426037699</v>
      </c>
      <c r="DJ4" s="22">
        <f>Assumptions!$N5</f>
        <v>23.652705426037699</v>
      </c>
      <c r="DK4" s="22">
        <f>Assumptions!$N5</f>
        <v>23.652705426037699</v>
      </c>
      <c r="DL4" s="22">
        <f>Assumptions!$N5</f>
        <v>23.652705426037699</v>
      </c>
      <c r="DM4" s="22">
        <f>Assumptions!$N5</f>
        <v>23.652705426037699</v>
      </c>
      <c r="DN4" s="22">
        <f>Assumptions!$N5</f>
        <v>23.652705426037699</v>
      </c>
      <c r="DO4" s="22">
        <f>Assumptions!$N5</f>
        <v>23.652705426037699</v>
      </c>
      <c r="DP4" s="22">
        <f>Assumptions!$N5</f>
        <v>23.652705426037699</v>
      </c>
      <c r="DQ4" s="22">
        <f>Assumptions!$N5</f>
        <v>23.652705426037699</v>
      </c>
      <c r="DR4" s="22">
        <f>Assumptions!$N5</f>
        <v>23.652705426037699</v>
      </c>
      <c r="DS4" s="604">
        <f>Assumptions!$N5</f>
        <v>23.652705426037699</v>
      </c>
      <c r="DT4" s="3"/>
      <c r="DU4" s="3"/>
    </row>
    <row r="5" spans="1:129" hidden="1" x14ac:dyDescent="0.2">
      <c r="B5" s="21" t="s">
        <v>89</v>
      </c>
      <c r="C5" s="20"/>
      <c r="D5" s="22">
        <f>Assumptions!$E6</f>
        <v>16</v>
      </c>
      <c r="E5" s="22">
        <f>Assumptions!$E6</f>
        <v>16</v>
      </c>
      <c r="F5" s="22">
        <f>Assumptions!$E6</f>
        <v>16</v>
      </c>
      <c r="G5" s="22">
        <f>Assumptions!$E6</f>
        <v>16</v>
      </c>
      <c r="H5" s="22">
        <f>Assumptions!$E6</f>
        <v>16</v>
      </c>
      <c r="I5" s="22">
        <f>Assumptions!$E6</f>
        <v>16</v>
      </c>
      <c r="J5" s="22">
        <f>Assumptions!$E6</f>
        <v>16</v>
      </c>
      <c r="K5" s="22">
        <f>Assumptions!$E6</f>
        <v>16</v>
      </c>
      <c r="L5" s="22">
        <f>Assumptions!$E6</f>
        <v>16</v>
      </c>
      <c r="M5" s="22">
        <f>Assumptions!$E6</f>
        <v>16</v>
      </c>
      <c r="N5" s="22">
        <f>Assumptions!$E6</f>
        <v>16</v>
      </c>
      <c r="O5" s="604">
        <f>Assumptions!$E6</f>
        <v>16</v>
      </c>
      <c r="P5" s="686">
        <f>Assumptions!$F6</f>
        <v>16.96</v>
      </c>
      <c r="Q5" s="22">
        <f>Assumptions!$F6</f>
        <v>16.96</v>
      </c>
      <c r="R5" s="22">
        <f>Assumptions!$F6</f>
        <v>16.96</v>
      </c>
      <c r="S5" s="22">
        <f>Assumptions!$F6</f>
        <v>16.96</v>
      </c>
      <c r="T5" s="22">
        <f>Assumptions!$F6</f>
        <v>16.96</v>
      </c>
      <c r="U5" s="22">
        <f>Assumptions!$F6</f>
        <v>16.96</v>
      </c>
      <c r="V5" s="22">
        <f>Assumptions!$F6</f>
        <v>16.96</v>
      </c>
      <c r="W5" s="22">
        <f>Assumptions!$F6</f>
        <v>16.96</v>
      </c>
      <c r="X5" s="22">
        <f>Assumptions!$F6</f>
        <v>16.96</v>
      </c>
      <c r="Y5" s="22">
        <f>Assumptions!$F6</f>
        <v>16.96</v>
      </c>
      <c r="Z5" s="22">
        <f>Assumptions!$F6</f>
        <v>16.96</v>
      </c>
      <c r="AA5" s="604">
        <f>Assumptions!$F6</f>
        <v>16.96</v>
      </c>
      <c r="AB5" s="686">
        <f>Assumptions!$G6</f>
        <v>17.977600000000002</v>
      </c>
      <c r="AC5" s="22">
        <f>Assumptions!$G6</f>
        <v>17.977600000000002</v>
      </c>
      <c r="AD5" s="22">
        <f>Assumptions!$G6</f>
        <v>17.977600000000002</v>
      </c>
      <c r="AE5" s="22">
        <f>Assumptions!$G6</f>
        <v>17.977600000000002</v>
      </c>
      <c r="AF5" s="22">
        <f>Assumptions!$G6</f>
        <v>17.977600000000002</v>
      </c>
      <c r="AG5" s="22">
        <f>Assumptions!$G6</f>
        <v>17.977600000000002</v>
      </c>
      <c r="AH5" s="22">
        <f>Assumptions!$G6</f>
        <v>17.977600000000002</v>
      </c>
      <c r="AI5" s="22">
        <f>Assumptions!$G6</f>
        <v>17.977600000000002</v>
      </c>
      <c r="AJ5" s="22">
        <f>Assumptions!$G6</f>
        <v>17.977600000000002</v>
      </c>
      <c r="AK5" s="22">
        <f>Assumptions!$G6</f>
        <v>17.977600000000002</v>
      </c>
      <c r="AL5" s="22">
        <f>Assumptions!$G6</f>
        <v>17.977600000000002</v>
      </c>
      <c r="AM5" s="604">
        <f>Assumptions!$G6</f>
        <v>17.977600000000002</v>
      </c>
      <c r="AN5" s="686">
        <f>Assumptions!$H6</f>
        <v>19.056256000000005</v>
      </c>
      <c r="AO5" s="22">
        <f>Assumptions!$H6</f>
        <v>19.056256000000005</v>
      </c>
      <c r="AP5" s="22">
        <f>Assumptions!$H6</f>
        <v>19.056256000000005</v>
      </c>
      <c r="AQ5" s="22">
        <f>Assumptions!$H6</f>
        <v>19.056256000000005</v>
      </c>
      <c r="AR5" s="22">
        <f>Assumptions!$H6</f>
        <v>19.056256000000005</v>
      </c>
      <c r="AS5" s="22">
        <f>Assumptions!$H6</f>
        <v>19.056256000000005</v>
      </c>
      <c r="AT5" s="22">
        <f>Assumptions!$H6</f>
        <v>19.056256000000005</v>
      </c>
      <c r="AU5" s="22">
        <f>Assumptions!$H6</f>
        <v>19.056256000000005</v>
      </c>
      <c r="AV5" s="22">
        <f>Assumptions!$H6</f>
        <v>19.056256000000005</v>
      </c>
      <c r="AW5" s="22">
        <f>Assumptions!$H6</f>
        <v>19.056256000000005</v>
      </c>
      <c r="AX5" s="22">
        <f>Assumptions!$H6</f>
        <v>19.056256000000005</v>
      </c>
      <c r="AY5" s="604">
        <f>Assumptions!$H6</f>
        <v>19.056256000000005</v>
      </c>
      <c r="AZ5" s="686">
        <f>Assumptions!$I6</f>
        <v>20.199631360000005</v>
      </c>
      <c r="BA5" s="22">
        <f>Assumptions!$I6</f>
        <v>20.199631360000005</v>
      </c>
      <c r="BB5" s="22">
        <f>Assumptions!$I6</f>
        <v>20.199631360000005</v>
      </c>
      <c r="BC5" s="22">
        <f>Assumptions!$I6</f>
        <v>20.199631360000005</v>
      </c>
      <c r="BD5" s="22">
        <f>Assumptions!$I6</f>
        <v>20.199631360000005</v>
      </c>
      <c r="BE5" s="22">
        <f>Assumptions!$I6</f>
        <v>20.199631360000005</v>
      </c>
      <c r="BF5" s="22">
        <f>Assumptions!$I6</f>
        <v>20.199631360000005</v>
      </c>
      <c r="BG5" s="22">
        <f>Assumptions!$I6</f>
        <v>20.199631360000005</v>
      </c>
      <c r="BH5" s="22">
        <f>Assumptions!$I6</f>
        <v>20.199631360000005</v>
      </c>
      <c r="BI5" s="22">
        <f>Assumptions!$I6</f>
        <v>20.199631360000005</v>
      </c>
      <c r="BJ5" s="22">
        <f>Assumptions!$I6</f>
        <v>20.199631360000005</v>
      </c>
      <c r="BK5" s="604">
        <f>Assumptions!$I6</f>
        <v>20.199631360000005</v>
      </c>
      <c r="BL5" s="686">
        <f>Assumptions!$J6</f>
        <v>21.411609241600008</v>
      </c>
      <c r="BM5" s="22">
        <f>Assumptions!$J6</f>
        <v>21.411609241600008</v>
      </c>
      <c r="BN5" s="22">
        <f>Assumptions!$J6</f>
        <v>21.411609241600008</v>
      </c>
      <c r="BO5" s="22">
        <f>Assumptions!$J6</f>
        <v>21.411609241600008</v>
      </c>
      <c r="BP5" s="22">
        <f>Assumptions!$J6</f>
        <v>21.411609241600008</v>
      </c>
      <c r="BQ5" s="22">
        <f>Assumptions!$J6</f>
        <v>21.411609241600008</v>
      </c>
      <c r="BR5" s="22">
        <f>Assumptions!$J6</f>
        <v>21.411609241600008</v>
      </c>
      <c r="BS5" s="22">
        <f>Assumptions!$J6</f>
        <v>21.411609241600008</v>
      </c>
      <c r="BT5" s="22">
        <f>Assumptions!$J6</f>
        <v>21.411609241600008</v>
      </c>
      <c r="BU5" s="22">
        <f>Assumptions!$J6</f>
        <v>21.411609241600008</v>
      </c>
      <c r="BV5" s="22">
        <f>Assumptions!$J6</f>
        <v>21.411609241600008</v>
      </c>
      <c r="BW5" s="604">
        <f>Assumptions!$J6</f>
        <v>21.411609241600008</v>
      </c>
      <c r="BX5" s="686">
        <f>Assumptions!$K6</f>
        <v>22.696305796096009</v>
      </c>
      <c r="BY5" s="22">
        <f>Assumptions!$K6</f>
        <v>22.696305796096009</v>
      </c>
      <c r="BZ5" s="22">
        <f>Assumptions!$K6</f>
        <v>22.696305796096009</v>
      </c>
      <c r="CA5" s="22">
        <f>Assumptions!$K6</f>
        <v>22.696305796096009</v>
      </c>
      <c r="CB5" s="22">
        <f>Assumptions!$K6</f>
        <v>22.696305796096009</v>
      </c>
      <c r="CC5" s="22">
        <f>Assumptions!$K6</f>
        <v>22.696305796096009</v>
      </c>
      <c r="CD5" s="22">
        <f>Assumptions!$K6</f>
        <v>22.696305796096009</v>
      </c>
      <c r="CE5" s="22">
        <f>Assumptions!$K6</f>
        <v>22.696305796096009</v>
      </c>
      <c r="CF5" s="22">
        <f>Assumptions!$K6</f>
        <v>22.696305796096009</v>
      </c>
      <c r="CG5" s="22">
        <f>Assumptions!$K6</f>
        <v>22.696305796096009</v>
      </c>
      <c r="CH5" s="22">
        <f>Assumptions!$K6</f>
        <v>22.696305796096009</v>
      </c>
      <c r="CI5" s="604">
        <f>Assumptions!$K6</f>
        <v>22.696305796096009</v>
      </c>
      <c r="CJ5" s="686">
        <f>Assumptions!$L6</f>
        <v>24.05808414386177</v>
      </c>
      <c r="CK5" s="22">
        <f>Assumptions!$L6</f>
        <v>24.05808414386177</v>
      </c>
      <c r="CL5" s="22">
        <f>Assumptions!$L6</f>
        <v>24.05808414386177</v>
      </c>
      <c r="CM5" s="22">
        <f>Assumptions!$L6</f>
        <v>24.05808414386177</v>
      </c>
      <c r="CN5" s="22">
        <f>Assumptions!$L6</f>
        <v>24.05808414386177</v>
      </c>
      <c r="CO5" s="22">
        <f>Assumptions!$L6</f>
        <v>24.05808414386177</v>
      </c>
      <c r="CP5" s="22">
        <f>Assumptions!$L6</f>
        <v>24.05808414386177</v>
      </c>
      <c r="CQ5" s="22">
        <f>Assumptions!$L6</f>
        <v>24.05808414386177</v>
      </c>
      <c r="CR5" s="22">
        <f>Assumptions!$L6</f>
        <v>24.05808414386177</v>
      </c>
      <c r="CS5" s="22">
        <f>Assumptions!$L6</f>
        <v>24.05808414386177</v>
      </c>
      <c r="CT5" s="22">
        <f>Assumptions!$L6</f>
        <v>24.05808414386177</v>
      </c>
      <c r="CU5" s="604">
        <f>Assumptions!$L6</f>
        <v>24.05808414386177</v>
      </c>
      <c r="CV5" s="686">
        <f>Assumptions!$M6</f>
        <v>25.501569192493477</v>
      </c>
      <c r="CW5" s="22">
        <f>Assumptions!$M6</f>
        <v>25.501569192493477</v>
      </c>
      <c r="CX5" s="22">
        <f>Assumptions!$M6</f>
        <v>25.501569192493477</v>
      </c>
      <c r="CY5" s="22">
        <f>Assumptions!$M6</f>
        <v>25.501569192493477</v>
      </c>
      <c r="CZ5" s="22">
        <f>Assumptions!$M6</f>
        <v>25.501569192493477</v>
      </c>
      <c r="DA5" s="22">
        <f>Assumptions!$M6</f>
        <v>25.501569192493477</v>
      </c>
      <c r="DB5" s="22">
        <f>Assumptions!$M6</f>
        <v>25.501569192493477</v>
      </c>
      <c r="DC5" s="22">
        <f>Assumptions!$M6</f>
        <v>25.501569192493477</v>
      </c>
      <c r="DD5" s="22">
        <f>Assumptions!$M6</f>
        <v>25.501569192493477</v>
      </c>
      <c r="DE5" s="22">
        <f>Assumptions!$M6</f>
        <v>25.501569192493477</v>
      </c>
      <c r="DF5" s="22">
        <f>Assumptions!$M6</f>
        <v>25.501569192493477</v>
      </c>
      <c r="DG5" s="604">
        <f>Assumptions!$M6</f>
        <v>25.501569192493477</v>
      </c>
      <c r="DH5" s="686">
        <f>Assumptions!$N6</f>
        <v>27.031663344043086</v>
      </c>
      <c r="DI5" s="22">
        <f>Assumptions!$N6</f>
        <v>27.031663344043086</v>
      </c>
      <c r="DJ5" s="22">
        <f>Assumptions!$N6</f>
        <v>27.031663344043086</v>
      </c>
      <c r="DK5" s="22">
        <f>Assumptions!$N6</f>
        <v>27.031663344043086</v>
      </c>
      <c r="DL5" s="22">
        <f>Assumptions!$N6</f>
        <v>27.031663344043086</v>
      </c>
      <c r="DM5" s="22">
        <f>Assumptions!$N6</f>
        <v>27.031663344043086</v>
      </c>
      <c r="DN5" s="22">
        <f>Assumptions!$N6</f>
        <v>27.031663344043086</v>
      </c>
      <c r="DO5" s="22">
        <f>Assumptions!$N6</f>
        <v>27.031663344043086</v>
      </c>
      <c r="DP5" s="22">
        <f>Assumptions!$N6</f>
        <v>27.031663344043086</v>
      </c>
      <c r="DQ5" s="22">
        <f>Assumptions!$N6</f>
        <v>27.031663344043086</v>
      </c>
      <c r="DR5" s="22">
        <f>Assumptions!$N6</f>
        <v>27.031663344043086</v>
      </c>
      <c r="DS5" s="604">
        <f>Assumptions!$N6</f>
        <v>27.031663344043086</v>
      </c>
      <c r="DT5" s="3"/>
      <c r="DU5" s="3"/>
    </row>
    <row r="6" spans="1:129" hidden="1" x14ac:dyDescent="0.2">
      <c r="B6" s="21" t="s">
        <v>311</v>
      </c>
      <c r="C6" s="20"/>
      <c r="D6" s="22">
        <f>Assumptions!$E7</f>
        <v>1</v>
      </c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604">
        <f>Assumptions!$E7</f>
        <v>1</v>
      </c>
      <c r="P6" s="686">
        <f>Assumptions!$F7</f>
        <v>1.0629999999999999</v>
      </c>
      <c r="Q6" s="22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604">
        <f>Assumptions!$F7</f>
        <v>1.0629999999999999</v>
      </c>
      <c r="AB6" s="686">
        <f>Assumptions!$G7</f>
        <v>1.1299689999999998</v>
      </c>
      <c r="AC6" s="22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604">
        <f>Assumptions!$G7</f>
        <v>1.1299689999999998</v>
      </c>
      <c r="AN6" s="686">
        <f>Assumptions!$H7</f>
        <v>1.2011570469999997</v>
      </c>
      <c r="AO6" s="22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604">
        <f>Assumptions!$H7</f>
        <v>1.2011570469999997</v>
      </c>
      <c r="AZ6" s="686">
        <f>Assumptions!$I7</f>
        <v>1.2768299409609996</v>
      </c>
      <c r="BA6" s="22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604">
        <f>Assumptions!$I7</f>
        <v>1.2768299409609996</v>
      </c>
      <c r="BL6" s="686">
        <f>Assumptions!$J7</f>
        <v>1.3572702272415424</v>
      </c>
      <c r="BM6" s="22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604">
        <f>Assumptions!$J7</f>
        <v>1.3572702272415424</v>
      </c>
      <c r="BX6" s="686">
        <f>Assumptions!$K7</f>
        <v>1.4427782515577596</v>
      </c>
      <c r="BY6" s="22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604">
        <f>Assumptions!$K7</f>
        <v>1.4427782515577596</v>
      </c>
      <c r="CJ6" s="686">
        <f>Assumptions!$L7</f>
        <v>1.5336732814058984</v>
      </c>
      <c r="CK6" s="22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604">
        <f>Assumptions!$L7</f>
        <v>1.5336732814058984</v>
      </c>
      <c r="CV6" s="686">
        <f>Assumptions!$M7</f>
        <v>1.6302946981344699</v>
      </c>
      <c r="CW6" s="22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604">
        <f>Assumptions!$M7</f>
        <v>1.6302946981344699</v>
      </c>
      <c r="DH6" s="686">
        <f>Assumptions!$N7</f>
        <v>1.7330032641169415</v>
      </c>
      <c r="DI6" s="22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604">
        <f>Assumptions!$N7</f>
        <v>1.7330032641169415</v>
      </c>
      <c r="DT6" s="3"/>
      <c r="DU6" s="3"/>
    </row>
    <row r="7" spans="1:129" ht="24.75" customHeight="1" x14ac:dyDescent="0.3">
      <c r="A7" s="126"/>
      <c r="B7" s="161" t="s">
        <v>260</v>
      </c>
      <c r="C7" s="7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606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606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606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606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606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606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606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606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606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606"/>
      <c r="DT7" s="3"/>
      <c r="DU7" s="3"/>
    </row>
    <row r="8" spans="1:129" ht="15" x14ac:dyDescent="0.25">
      <c r="B8" s="162" t="s">
        <v>1</v>
      </c>
      <c r="C8" s="7">
        <v>-35000</v>
      </c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86"/>
      <c r="P8" s="109"/>
      <c r="Q8" s="109"/>
      <c r="R8" s="109">
        <f t="shared" ref="R8:CB8" si="0">$C8*R6</f>
        <v>-37205</v>
      </c>
      <c r="S8" s="109">
        <f t="shared" si="0"/>
        <v>-37205</v>
      </c>
      <c r="T8" s="109">
        <f t="shared" si="0"/>
        <v>-37205</v>
      </c>
      <c r="U8" s="109">
        <f t="shared" si="0"/>
        <v>-37205</v>
      </c>
      <c r="V8" s="109">
        <f t="shared" si="0"/>
        <v>-37205</v>
      </c>
      <c r="W8" s="109">
        <f t="shared" si="0"/>
        <v>-37205</v>
      </c>
      <c r="X8" s="109">
        <f t="shared" si="0"/>
        <v>-37205</v>
      </c>
      <c r="Y8" s="109">
        <f t="shared" si="0"/>
        <v>-37205</v>
      </c>
      <c r="Z8" s="109">
        <f t="shared" si="0"/>
        <v>-37205</v>
      </c>
      <c r="AA8" s="695">
        <f t="shared" si="0"/>
        <v>-37205</v>
      </c>
      <c r="AB8" s="109">
        <f t="shared" si="0"/>
        <v>-39548.914999999994</v>
      </c>
      <c r="AC8" s="109">
        <f t="shared" si="0"/>
        <v>-39548.914999999994</v>
      </c>
      <c r="AD8" s="109">
        <f t="shared" si="0"/>
        <v>-39548.914999999994</v>
      </c>
      <c r="AE8" s="109">
        <f t="shared" si="0"/>
        <v>-39548.914999999994</v>
      </c>
      <c r="AF8" s="109">
        <f t="shared" si="0"/>
        <v>-39548.914999999994</v>
      </c>
      <c r="AG8" s="109">
        <f t="shared" si="0"/>
        <v>-39548.914999999994</v>
      </c>
      <c r="AH8" s="109">
        <f t="shared" si="0"/>
        <v>-39548.914999999994</v>
      </c>
      <c r="AI8" s="109">
        <f t="shared" si="0"/>
        <v>-39548.914999999994</v>
      </c>
      <c r="AJ8" s="109">
        <f t="shared" si="0"/>
        <v>-39548.914999999994</v>
      </c>
      <c r="AK8" s="109">
        <f t="shared" si="0"/>
        <v>-39548.914999999994</v>
      </c>
      <c r="AL8" s="109">
        <f t="shared" si="0"/>
        <v>-39548.914999999994</v>
      </c>
      <c r="AM8" s="695">
        <f t="shared" si="0"/>
        <v>-39548.914999999994</v>
      </c>
      <c r="AN8" s="109">
        <f t="shared" si="0"/>
        <v>-42040.496644999992</v>
      </c>
      <c r="AO8" s="109">
        <f t="shared" si="0"/>
        <v>-42040.496644999992</v>
      </c>
      <c r="AP8" s="109">
        <f t="shared" si="0"/>
        <v>-42040.496644999992</v>
      </c>
      <c r="AQ8" s="109">
        <f t="shared" si="0"/>
        <v>-42040.496644999992</v>
      </c>
      <c r="AR8" s="109">
        <f t="shared" si="0"/>
        <v>-42040.496644999992</v>
      </c>
      <c r="AS8" s="109">
        <f t="shared" si="0"/>
        <v>-42040.496644999992</v>
      </c>
      <c r="AT8" s="109">
        <f t="shared" si="0"/>
        <v>-42040.496644999992</v>
      </c>
      <c r="AU8" s="109">
        <f t="shared" si="0"/>
        <v>-42040.496644999992</v>
      </c>
      <c r="AV8" s="109">
        <f t="shared" si="0"/>
        <v>-42040.496644999992</v>
      </c>
      <c r="AW8" s="109">
        <f t="shared" si="0"/>
        <v>-42040.496644999992</v>
      </c>
      <c r="AX8" s="109">
        <f t="shared" si="0"/>
        <v>-42040.496644999992</v>
      </c>
      <c r="AY8" s="695">
        <f t="shared" si="0"/>
        <v>-42040.496644999992</v>
      </c>
      <c r="AZ8" s="109">
        <f t="shared" si="0"/>
        <v>-44689.047933634982</v>
      </c>
      <c r="BA8" s="109">
        <f t="shared" si="0"/>
        <v>-44689.047933634982</v>
      </c>
      <c r="BB8" s="109">
        <f t="shared" si="0"/>
        <v>-44689.047933634982</v>
      </c>
      <c r="BC8" s="109">
        <f t="shared" si="0"/>
        <v>-44689.047933634982</v>
      </c>
      <c r="BD8" s="109">
        <f t="shared" si="0"/>
        <v>-44689.047933634982</v>
      </c>
      <c r="BE8" s="109">
        <f t="shared" si="0"/>
        <v>-44689.047933634982</v>
      </c>
      <c r="BF8" s="109">
        <f t="shared" si="0"/>
        <v>-44689.047933634982</v>
      </c>
      <c r="BG8" s="109">
        <f t="shared" si="0"/>
        <v>-44689.047933634982</v>
      </c>
      <c r="BH8" s="109">
        <f t="shared" si="0"/>
        <v>-44689.047933634982</v>
      </c>
      <c r="BI8" s="109">
        <f t="shared" si="0"/>
        <v>-44689.047933634982</v>
      </c>
      <c r="BJ8" s="109">
        <f t="shared" si="0"/>
        <v>-44689.047933634982</v>
      </c>
      <c r="BK8" s="695">
        <f t="shared" si="0"/>
        <v>-44689.047933634982</v>
      </c>
      <c r="BL8" s="109">
        <f t="shared" si="0"/>
        <v>-47504.457953453988</v>
      </c>
      <c r="BM8" s="109">
        <f t="shared" si="0"/>
        <v>-47504.457953453988</v>
      </c>
      <c r="BN8" s="109">
        <f t="shared" si="0"/>
        <v>-47504.457953453988</v>
      </c>
      <c r="BO8" s="109">
        <f t="shared" si="0"/>
        <v>-47504.457953453988</v>
      </c>
      <c r="BP8" s="109">
        <f t="shared" si="0"/>
        <v>-47504.457953453988</v>
      </c>
      <c r="BQ8" s="109">
        <f t="shared" si="0"/>
        <v>-47504.457953453988</v>
      </c>
      <c r="BR8" s="109">
        <f t="shared" si="0"/>
        <v>-47504.457953453988</v>
      </c>
      <c r="BS8" s="109">
        <f t="shared" si="0"/>
        <v>-47504.457953453988</v>
      </c>
      <c r="BT8" s="109">
        <f t="shared" si="0"/>
        <v>-47504.457953453988</v>
      </c>
      <c r="BU8" s="109">
        <f t="shared" si="0"/>
        <v>-47504.457953453988</v>
      </c>
      <c r="BV8" s="109">
        <f t="shared" si="0"/>
        <v>-47504.457953453988</v>
      </c>
      <c r="BW8" s="695">
        <f t="shared" si="0"/>
        <v>-47504.457953453988</v>
      </c>
      <c r="BX8" s="109">
        <f t="shared" si="0"/>
        <v>-50497.238804521585</v>
      </c>
      <c r="BY8" s="109">
        <f t="shared" si="0"/>
        <v>-50497.238804521585</v>
      </c>
      <c r="BZ8" s="109">
        <f t="shared" si="0"/>
        <v>-50497.238804521585</v>
      </c>
      <c r="CA8" s="109">
        <f t="shared" si="0"/>
        <v>-50497.238804521585</v>
      </c>
      <c r="CB8" s="109">
        <f t="shared" si="0"/>
        <v>-50497.238804521585</v>
      </c>
      <c r="CC8" s="109">
        <f t="shared" ref="CC8:DS8" si="1">$C8*CC6</f>
        <v>-50497.238804521585</v>
      </c>
      <c r="CD8" s="109">
        <f t="shared" si="1"/>
        <v>-50497.238804521585</v>
      </c>
      <c r="CE8" s="109">
        <f t="shared" si="1"/>
        <v>-50497.238804521585</v>
      </c>
      <c r="CF8" s="109">
        <f t="shared" si="1"/>
        <v>-50497.238804521585</v>
      </c>
      <c r="CG8" s="109">
        <f t="shared" si="1"/>
        <v>-50497.238804521585</v>
      </c>
      <c r="CH8" s="109">
        <f t="shared" si="1"/>
        <v>-50497.238804521585</v>
      </c>
      <c r="CI8" s="695">
        <f t="shared" si="1"/>
        <v>-50497.238804521585</v>
      </c>
      <c r="CJ8" s="109">
        <f t="shared" si="1"/>
        <v>-53678.564849206443</v>
      </c>
      <c r="CK8" s="109">
        <f t="shared" si="1"/>
        <v>-53678.564849206443</v>
      </c>
      <c r="CL8" s="109">
        <f t="shared" si="1"/>
        <v>-53678.564849206443</v>
      </c>
      <c r="CM8" s="109">
        <f t="shared" si="1"/>
        <v>-53678.564849206443</v>
      </c>
      <c r="CN8" s="109">
        <f t="shared" si="1"/>
        <v>-53678.564849206443</v>
      </c>
      <c r="CO8" s="109">
        <f t="shared" si="1"/>
        <v>-53678.564849206443</v>
      </c>
      <c r="CP8" s="109">
        <f t="shared" si="1"/>
        <v>-53678.564849206443</v>
      </c>
      <c r="CQ8" s="109">
        <f t="shared" si="1"/>
        <v>-53678.564849206443</v>
      </c>
      <c r="CR8" s="109">
        <f t="shared" si="1"/>
        <v>-53678.564849206443</v>
      </c>
      <c r="CS8" s="109">
        <f t="shared" si="1"/>
        <v>-53678.564849206443</v>
      </c>
      <c r="CT8" s="109">
        <f t="shared" si="1"/>
        <v>-53678.564849206443</v>
      </c>
      <c r="CU8" s="695">
        <f t="shared" si="1"/>
        <v>-53678.564849206443</v>
      </c>
      <c r="CV8" s="109">
        <f t="shared" si="1"/>
        <v>-57060.314434706444</v>
      </c>
      <c r="CW8" s="109">
        <f t="shared" si="1"/>
        <v>-57060.314434706444</v>
      </c>
      <c r="CX8" s="109">
        <f t="shared" si="1"/>
        <v>-57060.314434706444</v>
      </c>
      <c r="CY8" s="109">
        <f t="shared" si="1"/>
        <v>-57060.314434706444</v>
      </c>
      <c r="CZ8" s="109">
        <f t="shared" si="1"/>
        <v>-57060.314434706444</v>
      </c>
      <c r="DA8" s="109">
        <f t="shared" si="1"/>
        <v>-57060.314434706444</v>
      </c>
      <c r="DB8" s="109">
        <f t="shared" si="1"/>
        <v>-57060.314434706444</v>
      </c>
      <c r="DC8" s="109">
        <f t="shared" si="1"/>
        <v>-57060.314434706444</v>
      </c>
      <c r="DD8" s="109">
        <f t="shared" si="1"/>
        <v>-57060.314434706444</v>
      </c>
      <c r="DE8" s="109">
        <f t="shared" si="1"/>
        <v>-57060.314434706444</v>
      </c>
      <c r="DF8" s="109">
        <f t="shared" si="1"/>
        <v>-57060.314434706444</v>
      </c>
      <c r="DG8" s="695">
        <f t="shared" si="1"/>
        <v>-57060.314434706444</v>
      </c>
      <c r="DH8" s="109">
        <f t="shared" si="1"/>
        <v>-60655.114244092954</v>
      </c>
      <c r="DI8" s="109">
        <f t="shared" si="1"/>
        <v>-60655.114244092954</v>
      </c>
      <c r="DJ8" s="109">
        <f t="shared" si="1"/>
        <v>-60655.114244092954</v>
      </c>
      <c r="DK8" s="109">
        <f t="shared" si="1"/>
        <v>-60655.114244092954</v>
      </c>
      <c r="DL8" s="109">
        <f t="shared" si="1"/>
        <v>-60655.114244092954</v>
      </c>
      <c r="DM8" s="109">
        <f t="shared" si="1"/>
        <v>-60655.114244092954</v>
      </c>
      <c r="DN8" s="109">
        <f t="shared" si="1"/>
        <v>-60655.114244092954</v>
      </c>
      <c r="DO8" s="109">
        <f t="shared" si="1"/>
        <v>-60655.114244092954</v>
      </c>
      <c r="DP8" s="109">
        <f t="shared" si="1"/>
        <v>-60655.114244092954</v>
      </c>
      <c r="DQ8" s="109">
        <f t="shared" si="1"/>
        <v>-60655.114244092954</v>
      </c>
      <c r="DR8" s="109">
        <f t="shared" si="1"/>
        <v>-60655.114244092954</v>
      </c>
      <c r="DS8" s="695">
        <f t="shared" si="1"/>
        <v>-60655.114244092954</v>
      </c>
      <c r="DT8" s="3"/>
      <c r="DU8" s="3"/>
    </row>
    <row r="9" spans="1:129" ht="15" x14ac:dyDescent="0.25">
      <c r="B9" s="162" t="s">
        <v>2</v>
      </c>
      <c r="C9" s="7">
        <v>-45000</v>
      </c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86"/>
      <c r="P9" s="109"/>
      <c r="Q9" s="108"/>
      <c r="R9" s="108">
        <f>$C9*R6</f>
        <v>-47835</v>
      </c>
      <c r="S9" s="108">
        <v>0</v>
      </c>
      <c r="T9" s="108">
        <v>0</v>
      </c>
      <c r="U9" s="108">
        <v>0</v>
      </c>
      <c r="V9" s="108">
        <v>0</v>
      </c>
      <c r="W9" s="108">
        <v>0</v>
      </c>
      <c r="X9" s="108">
        <v>0</v>
      </c>
      <c r="Y9" s="108">
        <v>0</v>
      </c>
      <c r="Z9" s="108">
        <v>0</v>
      </c>
      <c r="AA9" s="110">
        <v>0</v>
      </c>
      <c r="AB9" s="109">
        <v>0</v>
      </c>
      <c r="AC9" s="108">
        <v>0</v>
      </c>
      <c r="AD9" s="108">
        <f>$C9*AD6</f>
        <v>-50848.604999999989</v>
      </c>
      <c r="AE9" s="108">
        <v>0</v>
      </c>
      <c r="AF9" s="108">
        <v>0</v>
      </c>
      <c r="AG9" s="108">
        <v>0</v>
      </c>
      <c r="AH9" s="108">
        <v>0</v>
      </c>
      <c r="AI9" s="108">
        <v>0</v>
      </c>
      <c r="AJ9" s="108">
        <v>0</v>
      </c>
      <c r="AK9" s="108">
        <v>0</v>
      </c>
      <c r="AL9" s="108">
        <v>0</v>
      </c>
      <c r="AM9" s="110">
        <v>0</v>
      </c>
      <c r="AN9" s="109">
        <v>0</v>
      </c>
      <c r="AO9" s="108">
        <v>0</v>
      </c>
      <c r="AP9" s="108">
        <f>$C9*AP6</f>
        <v>-54052.067114999983</v>
      </c>
      <c r="AQ9" s="108">
        <v>0</v>
      </c>
      <c r="AR9" s="108">
        <v>0</v>
      </c>
      <c r="AS9" s="108">
        <v>0</v>
      </c>
      <c r="AT9" s="108">
        <v>0</v>
      </c>
      <c r="AU9" s="108">
        <v>0</v>
      </c>
      <c r="AV9" s="108">
        <v>0</v>
      </c>
      <c r="AW9" s="108">
        <v>0</v>
      </c>
      <c r="AX9" s="108">
        <v>0</v>
      </c>
      <c r="AY9" s="110">
        <v>0</v>
      </c>
      <c r="AZ9" s="109">
        <v>0</v>
      </c>
      <c r="BA9" s="108">
        <v>0</v>
      </c>
      <c r="BB9" s="108">
        <f>$C9*BB6</f>
        <v>-57457.347343244983</v>
      </c>
      <c r="BC9" s="108">
        <v>0</v>
      </c>
      <c r="BD9" s="108">
        <v>0</v>
      </c>
      <c r="BE9" s="108">
        <v>0</v>
      </c>
      <c r="BF9" s="108">
        <v>0</v>
      </c>
      <c r="BG9" s="108">
        <v>0</v>
      </c>
      <c r="BH9" s="108">
        <v>0</v>
      </c>
      <c r="BI9" s="108">
        <v>0</v>
      </c>
      <c r="BJ9" s="108">
        <v>0</v>
      </c>
      <c r="BK9" s="110">
        <v>0</v>
      </c>
      <c r="BL9" s="109">
        <v>0</v>
      </c>
      <c r="BM9" s="108">
        <v>0</v>
      </c>
      <c r="BN9" s="108">
        <f>$C9*BN6</f>
        <v>-61077.160225869411</v>
      </c>
      <c r="BO9" s="108">
        <v>0</v>
      </c>
      <c r="BP9" s="108">
        <v>0</v>
      </c>
      <c r="BQ9" s="108">
        <v>0</v>
      </c>
      <c r="BR9" s="108">
        <v>0</v>
      </c>
      <c r="BS9" s="108">
        <v>0</v>
      </c>
      <c r="BT9" s="108">
        <v>0</v>
      </c>
      <c r="BU9" s="108">
        <v>0</v>
      </c>
      <c r="BV9" s="108">
        <v>0</v>
      </c>
      <c r="BW9" s="110">
        <v>0</v>
      </c>
      <c r="BX9" s="109">
        <v>0</v>
      </c>
      <c r="BY9" s="108">
        <v>0</v>
      </c>
      <c r="BZ9" s="108">
        <f>$C9*BZ6</f>
        <v>-64925.021320099186</v>
      </c>
      <c r="CA9" s="108">
        <v>0</v>
      </c>
      <c r="CB9" s="108">
        <v>0</v>
      </c>
      <c r="CC9" s="108">
        <v>0</v>
      </c>
      <c r="CD9" s="108">
        <v>0</v>
      </c>
      <c r="CE9" s="108">
        <v>0</v>
      </c>
      <c r="CF9" s="108">
        <v>0</v>
      </c>
      <c r="CG9" s="108">
        <v>0</v>
      </c>
      <c r="CH9" s="108">
        <v>0</v>
      </c>
      <c r="CI9" s="110">
        <v>0</v>
      </c>
      <c r="CJ9" s="109">
        <v>0</v>
      </c>
      <c r="CK9" s="108">
        <v>0</v>
      </c>
      <c r="CL9" s="108">
        <f>$C9*CL6</f>
        <v>-69015.297663265432</v>
      </c>
      <c r="CM9" s="108">
        <v>0</v>
      </c>
      <c r="CN9" s="108">
        <v>0</v>
      </c>
      <c r="CO9" s="108">
        <v>0</v>
      </c>
      <c r="CP9" s="108">
        <v>0</v>
      </c>
      <c r="CQ9" s="108">
        <v>0</v>
      </c>
      <c r="CR9" s="108">
        <v>0</v>
      </c>
      <c r="CS9" s="108">
        <v>0</v>
      </c>
      <c r="CT9" s="108">
        <v>0</v>
      </c>
      <c r="CU9" s="110">
        <v>0</v>
      </c>
      <c r="CV9" s="109">
        <v>0</v>
      </c>
      <c r="CW9" s="108">
        <v>0</v>
      </c>
      <c r="CX9" s="108">
        <f>$C9*CX6</f>
        <v>-73363.261416051144</v>
      </c>
      <c r="CY9" s="108">
        <v>0</v>
      </c>
      <c r="CZ9" s="108">
        <v>0</v>
      </c>
      <c r="DA9" s="108">
        <v>0</v>
      </c>
      <c r="DB9" s="108">
        <v>0</v>
      </c>
      <c r="DC9" s="108">
        <v>0</v>
      </c>
      <c r="DD9" s="108">
        <v>0</v>
      </c>
      <c r="DE9" s="108">
        <v>0</v>
      </c>
      <c r="DF9" s="108">
        <v>0</v>
      </c>
      <c r="DG9" s="110">
        <v>0</v>
      </c>
      <c r="DH9" s="109">
        <v>0</v>
      </c>
      <c r="DI9" s="108">
        <v>0</v>
      </c>
      <c r="DJ9" s="108">
        <f>$C9*DJ6</f>
        <v>-77985.146885262366</v>
      </c>
      <c r="DK9" s="108">
        <v>0</v>
      </c>
      <c r="DL9" s="108">
        <v>0</v>
      </c>
      <c r="DM9" s="108">
        <v>0</v>
      </c>
      <c r="DN9" s="108">
        <v>0</v>
      </c>
      <c r="DO9" s="108">
        <v>0</v>
      </c>
      <c r="DP9" s="108">
        <v>0</v>
      </c>
      <c r="DQ9" s="108">
        <v>0</v>
      </c>
      <c r="DR9" s="108">
        <v>0</v>
      </c>
      <c r="DS9" s="110">
        <v>0</v>
      </c>
      <c r="DT9" s="3"/>
      <c r="DU9" s="3"/>
    </row>
    <row r="10" spans="1:129" ht="15" x14ac:dyDescent="0.25">
      <c r="B10" s="162" t="s">
        <v>3</v>
      </c>
      <c r="C10" s="7">
        <v>-8000</v>
      </c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86"/>
      <c r="P10" s="109"/>
      <c r="Q10" s="108"/>
      <c r="R10" s="108">
        <f t="shared" ref="R10:CA10" si="2">$C10*R$6</f>
        <v>-8504</v>
      </c>
      <c r="S10" s="108">
        <f t="shared" si="2"/>
        <v>-8504</v>
      </c>
      <c r="T10" s="108">
        <f t="shared" si="2"/>
        <v>-8504</v>
      </c>
      <c r="U10" s="108">
        <f t="shared" si="2"/>
        <v>-8504</v>
      </c>
      <c r="V10" s="108">
        <f t="shared" si="2"/>
        <v>-8504</v>
      </c>
      <c r="W10" s="108">
        <f t="shared" si="2"/>
        <v>-8504</v>
      </c>
      <c r="X10" s="108">
        <f t="shared" si="2"/>
        <v>-8504</v>
      </c>
      <c r="Y10" s="108">
        <f t="shared" si="2"/>
        <v>-8504</v>
      </c>
      <c r="Z10" s="108">
        <f t="shared" si="2"/>
        <v>-8504</v>
      </c>
      <c r="AA10" s="110">
        <f t="shared" si="2"/>
        <v>-8504</v>
      </c>
      <c r="AB10" s="109">
        <f t="shared" si="2"/>
        <v>-9039.7519999999986</v>
      </c>
      <c r="AC10" s="108">
        <f t="shared" si="2"/>
        <v>-9039.7519999999986</v>
      </c>
      <c r="AD10" s="108">
        <f t="shared" si="2"/>
        <v>-9039.7519999999986</v>
      </c>
      <c r="AE10" s="108">
        <f t="shared" si="2"/>
        <v>-9039.7519999999986</v>
      </c>
      <c r="AF10" s="108">
        <f t="shared" si="2"/>
        <v>-9039.7519999999986</v>
      </c>
      <c r="AG10" s="108">
        <f t="shared" si="2"/>
        <v>-9039.7519999999986</v>
      </c>
      <c r="AH10" s="108">
        <f t="shared" si="2"/>
        <v>-9039.7519999999986</v>
      </c>
      <c r="AI10" s="108">
        <f t="shared" si="2"/>
        <v>-9039.7519999999986</v>
      </c>
      <c r="AJ10" s="108">
        <f t="shared" si="2"/>
        <v>-9039.7519999999986</v>
      </c>
      <c r="AK10" s="108">
        <f t="shared" si="2"/>
        <v>-9039.7519999999986</v>
      </c>
      <c r="AL10" s="108">
        <f t="shared" si="2"/>
        <v>-9039.7519999999986</v>
      </c>
      <c r="AM10" s="110">
        <f t="shared" si="2"/>
        <v>-9039.7519999999986</v>
      </c>
      <c r="AN10" s="109">
        <f t="shared" si="2"/>
        <v>-9609.2563759999975</v>
      </c>
      <c r="AO10" s="108">
        <f t="shared" si="2"/>
        <v>-9609.2563759999975</v>
      </c>
      <c r="AP10" s="108">
        <f t="shared" si="2"/>
        <v>-9609.2563759999975</v>
      </c>
      <c r="AQ10" s="108">
        <f t="shared" si="2"/>
        <v>-9609.2563759999975</v>
      </c>
      <c r="AR10" s="108">
        <f t="shared" si="2"/>
        <v>-9609.2563759999975</v>
      </c>
      <c r="AS10" s="108">
        <f t="shared" si="2"/>
        <v>-9609.2563759999975</v>
      </c>
      <c r="AT10" s="108">
        <f t="shared" si="2"/>
        <v>-9609.2563759999975</v>
      </c>
      <c r="AU10" s="108">
        <f t="shared" si="2"/>
        <v>-9609.2563759999975</v>
      </c>
      <c r="AV10" s="108">
        <f t="shared" si="2"/>
        <v>-9609.2563759999975</v>
      </c>
      <c r="AW10" s="108">
        <f t="shared" si="2"/>
        <v>-9609.2563759999975</v>
      </c>
      <c r="AX10" s="108">
        <f t="shared" si="2"/>
        <v>-9609.2563759999975</v>
      </c>
      <c r="AY10" s="110">
        <f t="shared" si="2"/>
        <v>-9609.2563759999975</v>
      </c>
      <c r="AZ10" s="109">
        <f t="shared" si="2"/>
        <v>-10214.639527687996</v>
      </c>
      <c r="BA10" s="108">
        <f t="shared" si="2"/>
        <v>-10214.639527687996</v>
      </c>
      <c r="BB10" s="108">
        <f t="shared" si="2"/>
        <v>-10214.639527687996</v>
      </c>
      <c r="BC10" s="108">
        <f t="shared" si="2"/>
        <v>-10214.639527687996</v>
      </c>
      <c r="BD10" s="108">
        <f t="shared" si="2"/>
        <v>-10214.639527687996</v>
      </c>
      <c r="BE10" s="108">
        <f t="shared" si="2"/>
        <v>-10214.639527687996</v>
      </c>
      <c r="BF10" s="108">
        <f t="shared" si="2"/>
        <v>-10214.639527687996</v>
      </c>
      <c r="BG10" s="108">
        <f t="shared" si="2"/>
        <v>-10214.639527687996</v>
      </c>
      <c r="BH10" s="108">
        <f t="shared" si="2"/>
        <v>-10214.639527687996</v>
      </c>
      <c r="BI10" s="108">
        <f t="shared" si="2"/>
        <v>-10214.639527687996</v>
      </c>
      <c r="BJ10" s="108">
        <f t="shared" si="2"/>
        <v>-10214.639527687996</v>
      </c>
      <c r="BK10" s="110">
        <f t="shared" si="2"/>
        <v>-10214.639527687996</v>
      </c>
      <c r="BL10" s="109">
        <f t="shared" si="2"/>
        <v>-10858.16181793234</v>
      </c>
      <c r="BM10" s="108">
        <f t="shared" si="2"/>
        <v>-10858.16181793234</v>
      </c>
      <c r="BN10" s="108">
        <f t="shared" si="2"/>
        <v>-10858.16181793234</v>
      </c>
      <c r="BO10" s="108">
        <f t="shared" si="2"/>
        <v>-10858.16181793234</v>
      </c>
      <c r="BP10" s="108">
        <f t="shared" si="2"/>
        <v>-10858.16181793234</v>
      </c>
      <c r="BQ10" s="108">
        <f t="shared" si="2"/>
        <v>-10858.16181793234</v>
      </c>
      <c r="BR10" s="108">
        <f t="shared" si="2"/>
        <v>-10858.16181793234</v>
      </c>
      <c r="BS10" s="108">
        <f t="shared" si="2"/>
        <v>-10858.16181793234</v>
      </c>
      <c r="BT10" s="108">
        <f t="shared" si="2"/>
        <v>-10858.16181793234</v>
      </c>
      <c r="BU10" s="108">
        <f t="shared" si="2"/>
        <v>-10858.16181793234</v>
      </c>
      <c r="BV10" s="108">
        <f t="shared" si="2"/>
        <v>-10858.16181793234</v>
      </c>
      <c r="BW10" s="110">
        <f t="shared" si="2"/>
        <v>-10858.16181793234</v>
      </c>
      <c r="BX10" s="109">
        <f t="shared" si="2"/>
        <v>-11542.226012462077</v>
      </c>
      <c r="BY10" s="108">
        <f t="shared" si="2"/>
        <v>-11542.226012462077</v>
      </c>
      <c r="BZ10" s="108">
        <f t="shared" si="2"/>
        <v>-11542.226012462077</v>
      </c>
      <c r="CA10" s="108">
        <f t="shared" si="2"/>
        <v>-11542.226012462077</v>
      </c>
      <c r="CB10" s="108">
        <f t="shared" ref="CB10:DS12" si="3">$C10*CB$6</f>
        <v>-11542.226012462077</v>
      </c>
      <c r="CC10" s="108">
        <f t="shared" si="3"/>
        <v>-11542.226012462077</v>
      </c>
      <c r="CD10" s="108">
        <f t="shared" si="3"/>
        <v>-11542.226012462077</v>
      </c>
      <c r="CE10" s="108">
        <f t="shared" si="3"/>
        <v>-11542.226012462077</v>
      </c>
      <c r="CF10" s="108">
        <f t="shared" si="3"/>
        <v>-11542.226012462077</v>
      </c>
      <c r="CG10" s="108">
        <f t="shared" si="3"/>
        <v>-11542.226012462077</v>
      </c>
      <c r="CH10" s="108">
        <f t="shared" si="3"/>
        <v>-11542.226012462077</v>
      </c>
      <c r="CI10" s="110">
        <f t="shared" si="3"/>
        <v>-11542.226012462077</v>
      </c>
      <c r="CJ10" s="109">
        <f t="shared" si="3"/>
        <v>-12269.386251247188</v>
      </c>
      <c r="CK10" s="108">
        <f t="shared" si="3"/>
        <v>-12269.386251247188</v>
      </c>
      <c r="CL10" s="108">
        <f t="shared" si="3"/>
        <v>-12269.386251247188</v>
      </c>
      <c r="CM10" s="108">
        <f t="shared" si="3"/>
        <v>-12269.386251247188</v>
      </c>
      <c r="CN10" s="108">
        <f t="shared" si="3"/>
        <v>-12269.386251247188</v>
      </c>
      <c r="CO10" s="108">
        <f t="shared" si="3"/>
        <v>-12269.386251247188</v>
      </c>
      <c r="CP10" s="108">
        <f t="shared" si="3"/>
        <v>-12269.386251247188</v>
      </c>
      <c r="CQ10" s="108">
        <f t="shared" si="3"/>
        <v>-12269.386251247188</v>
      </c>
      <c r="CR10" s="108">
        <f t="shared" si="3"/>
        <v>-12269.386251247188</v>
      </c>
      <c r="CS10" s="108">
        <f t="shared" si="3"/>
        <v>-12269.386251247188</v>
      </c>
      <c r="CT10" s="108">
        <f t="shared" si="3"/>
        <v>-12269.386251247188</v>
      </c>
      <c r="CU10" s="110">
        <f t="shared" si="3"/>
        <v>-12269.386251247188</v>
      </c>
      <c r="CV10" s="109">
        <f t="shared" si="3"/>
        <v>-13042.357585075759</v>
      </c>
      <c r="CW10" s="108">
        <f t="shared" si="3"/>
        <v>-13042.357585075759</v>
      </c>
      <c r="CX10" s="108">
        <f t="shared" si="3"/>
        <v>-13042.357585075759</v>
      </c>
      <c r="CY10" s="108">
        <f t="shared" si="3"/>
        <v>-13042.357585075759</v>
      </c>
      <c r="CZ10" s="108">
        <f t="shared" si="3"/>
        <v>-13042.357585075759</v>
      </c>
      <c r="DA10" s="108">
        <f t="shared" si="3"/>
        <v>-13042.357585075759</v>
      </c>
      <c r="DB10" s="108">
        <f t="shared" si="3"/>
        <v>-13042.357585075759</v>
      </c>
      <c r="DC10" s="108">
        <f t="shared" si="3"/>
        <v>-13042.357585075759</v>
      </c>
      <c r="DD10" s="108">
        <f t="shared" si="3"/>
        <v>-13042.357585075759</v>
      </c>
      <c r="DE10" s="108">
        <f t="shared" si="3"/>
        <v>-13042.357585075759</v>
      </c>
      <c r="DF10" s="108">
        <f t="shared" si="3"/>
        <v>-13042.357585075759</v>
      </c>
      <c r="DG10" s="110">
        <f t="shared" si="3"/>
        <v>-13042.357585075759</v>
      </c>
      <c r="DH10" s="109">
        <f t="shared" si="3"/>
        <v>-13864.026112935531</v>
      </c>
      <c r="DI10" s="108">
        <f t="shared" si="3"/>
        <v>-13864.026112935531</v>
      </c>
      <c r="DJ10" s="108">
        <f t="shared" si="3"/>
        <v>-13864.026112935531</v>
      </c>
      <c r="DK10" s="108">
        <f t="shared" si="3"/>
        <v>-13864.026112935531</v>
      </c>
      <c r="DL10" s="108">
        <f t="shared" si="3"/>
        <v>-13864.026112935531</v>
      </c>
      <c r="DM10" s="108">
        <f t="shared" si="3"/>
        <v>-13864.026112935531</v>
      </c>
      <c r="DN10" s="108">
        <f t="shared" si="3"/>
        <v>-13864.026112935531</v>
      </c>
      <c r="DO10" s="108">
        <f t="shared" si="3"/>
        <v>-13864.026112935531</v>
      </c>
      <c r="DP10" s="108">
        <f t="shared" si="3"/>
        <v>-13864.026112935531</v>
      </c>
      <c r="DQ10" s="108">
        <f t="shared" si="3"/>
        <v>-13864.026112935531</v>
      </c>
      <c r="DR10" s="108">
        <f t="shared" si="3"/>
        <v>-13864.026112935531</v>
      </c>
      <c r="DS10" s="110">
        <f t="shared" si="3"/>
        <v>-13864.026112935531</v>
      </c>
      <c r="DT10" s="3"/>
      <c r="DU10" s="3"/>
    </row>
    <row r="11" spans="1:129" ht="15" x14ac:dyDescent="0.25">
      <c r="B11" s="162" t="s">
        <v>256</v>
      </c>
      <c r="C11" s="7">
        <v>-16000</v>
      </c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86"/>
      <c r="P11" s="109"/>
      <c r="Q11" s="108"/>
      <c r="R11" s="108">
        <f t="shared" ref="R11:CB12" si="4">$C11*R$6</f>
        <v>-17008</v>
      </c>
      <c r="S11" s="108">
        <f t="shared" si="4"/>
        <v>-17008</v>
      </c>
      <c r="T11" s="108">
        <f t="shared" si="4"/>
        <v>-17008</v>
      </c>
      <c r="U11" s="108">
        <f t="shared" si="4"/>
        <v>-17008</v>
      </c>
      <c r="V11" s="108">
        <f t="shared" si="4"/>
        <v>-17008</v>
      </c>
      <c r="W11" s="108">
        <f t="shared" si="4"/>
        <v>-17008</v>
      </c>
      <c r="X11" s="108">
        <f t="shared" si="4"/>
        <v>-17008</v>
      </c>
      <c r="Y11" s="108">
        <f t="shared" si="4"/>
        <v>-17008</v>
      </c>
      <c r="Z11" s="108">
        <f t="shared" si="4"/>
        <v>-17008</v>
      </c>
      <c r="AA11" s="110">
        <f t="shared" si="4"/>
        <v>-17008</v>
      </c>
      <c r="AB11" s="109">
        <f t="shared" si="4"/>
        <v>-18079.503999999997</v>
      </c>
      <c r="AC11" s="108">
        <f t="shared" si="4"/>
        <v>-18079.503999999997</v>
      </c>
      <c r="AD11" s="108">
        <f t="shared" si="4"/>
        <v>-18079.503999999997</v>
      </c>
      <c r="AE11" s="108">
        <f t="shared" si="4"/>
        <v>-18079.503999999997</v>
      </c>
      <c r="AF11" s="108">
        <f t="shared" si="4"/>
        <v>-18079.503999999997</v>
      </c>
      <c r="AG11" s="108">
        <f t="shared" si="4"/>
        <v>-18079.503999999997</v>
      </c>
      <c r="AH11" s="108">
        <f t="shared" si="4"/>
        <v>-18079.503999999997</v>
      </c>
      <c r="AI11" s="108">
        <f t="shared" si="4"/>
        <v>-18079.503999999997</v>
      </c>
      <c r="AJ11" s="108">
        <f t="shared" si="4"/>
        <v>-18079.503999999997</v>
      </c>
      <c r="AK11" s="108">
        <f t="shared" si="4"/>
        <v>-18079.503999999997</v>
      </c>
      <c r="AL11" s="108">
        <f t="shared" si="4"/>
        <v>-18079.503999999997</v>
      </c>
      <c r="AM11" s="110">
        <f t="shared" si="4"/>
        <v>-18079.503999999997</v>
      </c>
      <c r="AN11" s="109">
        <f t="shared" si="4"/>
        <v>-19218.512751999995</v>
      </c>
      <c r="AO11" s="108">
        <f t="shared" si="4"/>
        <v>-19218.512751999995</v>
      </c>
      <c r="AP11" s="108">
        <f t="shared" si="4"/>
        <v>-19218.512751999995</v>
      </c>
      <c r="AQ11" s="108">
        <f t="shared" si="4"/>
        <v>-19218.512751999995</v>
      </c>
      <c r="AR11" s="108">
        <f t="shared" si="4"/>
        <v>-19218.512751999995</v>
      </c>
      <c r="AS11" s="108">
        <f t="shared" si="4"/>
        <v>-19218.512751999995</v>
      </c>
      <c r="AT11" s="108">
        <f t="shared" si="4"/>
        <v>-19218.512751999995</v>
      </c>
      <c r="AU11" s="108">
        <f t="shared" si="4"/>
        <v>-19218.512751999995</v>
      </c>
      <c r="AV11" s="108">
        <f t="shared" si="4"/>
        <v>-19218.512751999995</v>
      </c>
      <c r="AW11" s="108">
        <f t="shared" si="4"/>
        <v>-19218.512751999995</v>
      </c>
      <c r="AX11" s="108">
        <f t="shared" si="4"/>
        <v>-19218.512751999995</v>
      </c>
      <c r="AY11" s="110">
        <f t="shared" si="4"/>
        <v>-19218.512751999995</v>
      </c>
      <c r="AZ11" s="109">
        <f t="shared" si="4"/>
        <v>-20429.279055375991</v>
      </c>
      <c r="BA11" s="108">
        <f t="shared" si="4"/>
        <v>-20429.279055375991</v>
      </c>
      <c r="BB11" s="108">
        <f t="shared" si="4"/>
        <v>-20429.279055375991</v>
      </c>
      <c r="BC11" s="108">
        <f t="shared" si="4"/>
        <v>-20429.279055375991</v>
      </c>
      <c r="BD11" s="108">
        <f t="shared" si="4"/>
        <v>-20429.279055375991</v>
      </c>
      <c r="BE11" s="108">
        <f t="shared" si="4"/>
        <v>-20429.279055375991</v>
      </c>
      <c r="BF11" s="108">
        <f t="shared" si="4"/>
        <v>-20429.279055375991</v>
      </c>
      <c r="BG11" s="108">
        <f t="shared" si="4"/>
        <v>-20429.279055375991</v>
      </c>
      <c r="BH11" s="108">
        <f t="shared" si="4"/>
        <v>-20429.279055375991</v>
      </c>
      <c r="BI11" s="108">
        <f t="shared" si="4"/>
        <v>-20429.279055375991</v>
      </c>
      <c r="BJ11" s="108">
        <f t="shared" si="4"/>
        <v>-20429.279055375991</v>
      </c>
      <c r="BK11" s="110">
        <f t="shared" si="4"/>
        <v>-20429.279055375991</v>
      </c>
      <c r="BL11" s="109">
        <f t="shared" si="4"/>
        <v>-21716.323635864679</v>
      </c>
      <c r="BM11" s="108">
        <f t="shared" si="4"/>
        <v>-21716.323635864679</v>
      </c>
      <c r="BN11" s="108">
        <f t="shared" si="4"/>
        <v>-21716.323635864679</v>
      </c>
      <c r="BO11" s="108">
        <f t="shared" si="4"/>
        <v>-21716.323635864679</v>
      </c>
      <c r="BP11" s="108">
        <f t="shared" si="4"/>
        <v>-21716.323635864679</v>
      </c>
      <c r="BQ11" s="108">
        <f t="shared" si="4"/>
        <v>-21716.323635864679</v>
      </c>
      <c r="BR11" s="108">
        <f t="shared" si="4"/>
        <v>-21716.323635864679</v>
      </c>
      <c r="BS11" s="108">
        <f t="shared" si="4"/>
        <v>-21716.323635864679</v>
      </c>
      <c r="BT11" s="108">
        <f t="shared" si="4"/>
        <v>-21716.323635864679</v>
      </c>
      <c r="BU11" s="108">
        <f t="shared" si="4"/>
        <v>-21716.323635864679</v>
      </c>
      <c r="BV11" s="108">
        <f t="shared" si="4"/>
        <v>-21716.323635864679</v>
      </c>
      <c r="BW11" s="110">
        <f t="shared" si="4"/>
        <v>-21716.323635864679</v>
      </c>
      <c r="BX11" s="109">
        <f t="shared" si="4"/>
        <v>-23084.452024924154</v>
      </c>
      <c r="BY11" s="108">
        <f t="shared" si="4"/>
        <v>-23084.452024924154</v>
      </c>
      <c r="BZ11" s="108">
        <f t="shared" si="4"/>
        <v>-23084.452024924154</v>
      </c>
      <c r="CA11" s="108">
        <f t="shared" si="4"/>
        <v>-23084.452024924154</v>
      </c>
      <c r="CB11" s="108">
        <f t="shared" si="4"/>
        <v>-23084.452024924154</v>
      </c>
      <c r="CC11" s="108">
        <f t="shared" si="3"/>
        <v>-23084.452024924154</v>
      </c>
      <c r="CD11" s="108">
        <f t="shared" si="3"/>
        <v>-23084.452024924154</v>
      </c>
      <c r="CE11" s="108">
        <f t="shared" si="3"/>
        <v>-23084.452024924154</v>
      </c>
      <c r="CF11" s="108">
        <f t="shared" si="3"/>
        <v>-23084.452024924154</v>
      </c>
      <c r="CG11" s="108">
        <f t="shared" si="3"/>
        <v>-23084.452024924154</v>
      </c>
      <c r="CH11" s="108">
        <f t="shared" si="3"/>
        <v>-23084.452024924154</v>
      </c>
      <c r="CI11" s="110">
        <f t="shared" si="3"/>
        <v>-23084.452024924154</v>
      </c>
      <c r="CJ11" s="109">
        <f t="shared" si="3"/>
        <v>-24538.772502494376</v>
      </c>
      <c r="CK11" s="108">
        <f t="shared" si="3"/>
        <v>-24538.772502494376</v>
      </c>
      <c r="CL11" s="108">
        <f t="shared" si="3"/>
        <v>-24538.772502494376</v>
      </c>
      <c r="CM11" s="108">
        <f t="shared" si="3"/>
        <v>-24538.772502494376</v>
      </c>
      <c r="CN11" s="108">
        <f t="shared" si="3"/>
        <v>-24538.772502494376</v>
      </c>
      <c r="CO11" s="108">
        <f t="shared" si="3"/>
        <v>-24538.772502494376</v>
      </c>
      <c r="CP11" s="108">
        <f t="shared" si="3"/>
        <v>-24538.772502494376</v>
      </c>
      <c r="CQ11" s="108">
        <f t="shared" si="3"/>
        <v>-24538.772502494376</v>
      </c>
      <c r="CR11" s="108">
        <f t="shared" si="3"/>
        <v>-24538.772502494376</v>
      </c>
      <c r="CS11" s="108">
        <f t="shared" si="3"/>
        <v>-24538.772502494376</v>
      </c>
      <c r="CT11" s="108">
        <f t="shared" si="3"/>
        <v>-24538.772502494376</v>
      </c>
      <c r="CU11" s="110">
        <f t="shared" si="3"/>
        <v>-24538.772502494376</v>
      </c>
      <c r="CV11" s="109">
        <f t="shared" si="3"/>
        <v>-26084.715170151518</v>
      </c>
      <c r="CW11" s="108">
        <f t="shared" si="3"/>
        <v>-26084.715170151518</v>
      </c>
      <c r="CX11" s="108">
        <f t="shared" si="3"/>
        <v>-26084.715170151518</v>
      </c>
      <c r="CY11" s="108">
        <f t="shared" si="3"/>
        <v>-26084.715170151518</v>
      </c>
      <c r="CZ11" s="108">
        <f t="shared" si="3"/>
        <v>-26084.715170151518</v>
      </c>
      <c r="DA11" s="108">
        <f t="shared" si="3"/>
        <v>-26084.715170151518</v>
      </c>
      <c r="DB11" s="108">
        <f t="shared" si="3"/>
        <v>-26084.715170151518</v>
      </c>
      <c r="DC11" s="108">
        <f t="shared" si="3"/>
        <v>-26084.715170151518</v>
      </c>
      <c r="DD11" s="108">
        <f t="shared" si="3"/>
        <v>-26084.715170151518</v>
      </c>
      <c r="DE11" s="108">
        <f t="shared" si="3"/>
        <v>-26084.715170151518</v>
      </c>
      <c r="DF11" s="108">
        <f t="shared" si="3"/>
        <v>-26084.715170151518</v>
      </c>
      <c r="DG11" s="110">
        <f t="shared" si="3"/>
        <v>-26084.715170151518</v>
      </c>
      <c r="DH11" s="109">
        <f t="shared" si="3"/>
        <v>-27728.052225871063</v>
      </c>
      <c r="DI11" s="108">
        <f t="shared" si="3"/>
        <v>-27728.052225871063</v>
      </c>
      <c r="DJ11" s="108">
        <f t="shared" si="3"/>
        <v>-27728.052225871063</v>
      </c>
      <c r="DK11" s="108">
        <f t="shared" si="3"/>
        <v>-27728.052225871063</v>
      </c>
      <c r="DL11" s="108">
        <f t="shared" si="3"/>
        <v>-27728.052225871063</v>
      </c>
      <c r="DM11" s="108">
        <f t="shared" si="3"/>
        <v>-27728.052225871063</v>
      </c>
      <c r="DN11" s="108">
        <f t="shared" si="3"/>
        <v>-27728.052225871063</v>
      </c>
      <c r="DO11" s="108">
        <f t="shared" si="3"/>
        <v>-27728.052225871063</v>
      </c>
      <c r="DP11" s="108">
        <f t="shared" si="3"/>
        <v>-27728.052225871063</v>
      </c>
      <c r="DQ11" s="108">
        <f t="shared" si="3"/>
        <v>-27728.052225871063</v>
      </c>
      <c r="DR11" s="108">
        <f t="shared" si="3"/>
        <v>-27728.052225871063</v>
      </c>
      <c r="DS11" s="110">
        <f t="shared" si="3"/>
        <v>-27728.052225871063</v>
      </c>
      <c r="DT11" s="3"/>
      <c r="DU11" s="3"/>
    </row>
    <row r="12" spans="1:129" ht="15" x14ac:dyDescent="0.25">
      <c r="B12" s="162" t="s">
        <v>99</v>
      </c>
      <c r="C12" s="7">
        <v>-20000</v>
      </c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86"/>
      <c r="P12" s="109"/>
      <c r="Q12" s="108"/>
      <c r="R12" s="108">
        <f t="shared" si="4"/>
        <v>-21260</v>
      </c>
      <c r="S12" s="108">
        <f t="shared" si="4"/>
        <v>-21260</v>
      </c>
      <c r="T12" s="108">
        <f t="shared" si="4"/>
        <v>-21260</v>
      </c>
      <c r="U12" s="108">
        <f t="shared" si="4"/>
        <v>-21260</v>
      </c>
      <c r="V12" s="108">
        <f t="shared" si="4"/>
        <v>-21260</v>
      </c>
      <c r="W12" s="108">
        <f t="shared" si="4"/>
        <v>-21260</v>
      </c>
      <c r="X12" s="108">
        <f t="shared" si="4"/>
        <v>-21260</v>
      </c>
      <c r="Y12" s="108">
        <f t="shared" si="4"/>
        <v>-21260</v>
      </c>
      <c r="Z12" s="108">
        <f t="shared" si="4"/>
        <v>-21260</v>
      </c>
      <c r="AA12" s="110">
        <f t="shared" si="4"/>
        <v>-21260</v>
      </c>
      <c r="AB12" s="109">
        <f t="shared" si="4"/>
        <v>-22599.379999999997</v>
      </c>
      <c r="AC12" s="108">
        <f t="shared" si="4"/>
        <v>-22599.379999999997</v>
      </c>
      <c r="AD12" s="108">
        <f t="shared" si="4"/>
        <v>-22599.379999999997</v>
      </c>
      <c r="AE12" s="108">
        <f t="shared" si="4"/>
        <v>-22599.379999999997</v>
      </c>
      <c r="AF12" s="108">
        <f t="shared" si="4"/>
        <v>-22599.379999999997</v>
      </c>
      <c r="AG12" s="108">
        <f t="shared" si="4"/>
        <v>-22599.379999999997</v>
      </c>
      <c r="AH12" s="108">
        <f t="shared" si="4"/>
        <v>-22599.379999999997</v>
      </c>
      <c r="AI12" s="108">
        <f t="shared" si="4"/>
        <v>-22599.379999999997</v>
      </c>
      <c r="AJ12" s="108">
        <f t="shared" si="4"/>
        <v>-22599.379999999997</v>
      </c>
      <c r="AK12" s="108">
        <f t="shared" si="4"/>
        <v>-22599.379999999997</v>
      </c>
      <c r="AL12" s="108">
        <f t="shared" si="4"/>
        <v>-22599.379999999997</v>
      </c>
      <c r="AM12" s="110">
        <f t="shared" si="4"/>
        <v>-22599.379999999997</v>
      </c>
      <c r="AN12" s="109">
        <f t="shared" si="4"/>
        <v>-24023.140939999994</v>
      </c>
      <c r="AO12" s="108">
        <f t="shared" si="4"/>
        <v>-24023.140939999994</v>
      </c>
      <c r="AP12" s="108">
        <f t="shared" si="4"/>
        <v>-24023.140939999994</v>
      </c>
      <c r="AQ12" s="108">
        <f t="shared" si="4"/>
        <v>-24023.140939999994</v>
      </c>
      <c r="AR12" s="108">
        <f t="shared" si="4"/>
        <v>-24023.140939999994</v>
      </c>
      <c r="AS12" s="108">
        <f t="shared" si="4"/>
        <v>-24023.140939999994</v>
      </c>
      <c r="AT12" s="108">
        <f t="shared" si="4"/>
        <v>-24023.140939999994</v>
      </c>
      <c r="AU12" s="108">
        <f t="shared" si="4"/>
        <v>-24023.140939999994</v>
      </c>
      <c r="AV12" s="108">
        <f t="shared" si="4"/>
        <v>-24023.140939999994</v>
      </c>
      <c r="AW12" s="108">
        <f t="shared" si="4"/>
        <v>-24023.140939999994</v>
      </c>
      <c r="AX12" s="108">
        <f t="shared" si="4"/>
        <v>-24023.140939999994</v>
      </c>
      <c r="AY12" s="110">
        <f t="shared" si="4"/>
        <v>-24023.140939999994</v>
      </c>
      <c r="AZ12" s="109">
        <f t="shared" si="4"/>
        <v>-25536.598819219991</v>
      </c>
      <c r="BA12" s="108">
        <f t="shared" si="4"/>
        <v>-25536.598819219991</v>
      </c>
      <c r="BB12" s="108">
        <f t="shared" si="4"/>
        <v>-25536.598819219991</v>
      </c>
      <c r="BC12" s="108">
        <f t="shared" si="4"/>
        <v>-25536.598819219991</v>
      </c>
      <c r="BD12" s="108">
        <f t="shared" si="4"/>
        <v>-25536.598819219991</v>
      </c>
      <c r="BE12" s="108">
        <f t="shared" si="4"/>
        <v>-25536.598819219991</v>
      </c>
      <c r="BF12" s="108">
        <f t="shared" si="4"/>
        <v>-25536.598819219991</v>
      </c>
      <c r="BG12" s="108">
        <f t="shared" si="4"/>
        <v>-25536.598819219991</v>
      </c>
      <c r="BH12" s="108">
        <f t="shared" si="4"/>
        <v>-25536.598819219991</v>
      </c>
      <c r="BI12" s="108">
        <f t="shared" si="4"/>
        <v>-25536.598819219991</v>
      </c>
      <c r="BJ12" s="108">
        <f t="shared" si="4"/>
        <v>-25536.598819219991</v>
      </c>
      <c r="BK12" s="110">
        <f t="shared" si="4"/>
        <v>-25536.598819219991</v>
      </c>
      <c r="BL12" s="109">
        <f t="shared" si="4"/>
        <v>-27145.40454483085</v>
      </c>
      <c r="BM12" s="108">
        <f t="shared" si="4"/>
        <v>-27145.40454483085</v>
      </c>
      <c r="BN12" s="108">
        <f t="shared" si="4"/>
        <v>-27145.40454483085</v>
      </c>
      <c r="BO12" s="108">
        <f t="shared" si="4"/>
        <v>-27145.40454483085</v>
      </c>
      <c r="BP12" s="108">
        <f t="shared" si="4"/>
        <v>-27145.40454483085</v>
      </c>
      <c r="BQ12" s="108">
        <f t="shared" si="4"/>
        <v>-27145.40454483085</v>
      </c>
      <c r="BR12" s="108">
        <f t="shared" si="4"/>
        <v>-27145.40454483085</v>
      </c>
      <c r="BS12" s="108">
        <f t="shared" si="4"/>
        <v>-27145.40454483085</v>
      </c>
      <c r="BT12" s="108">
        <f t="shared" si="4"/>
        <v>-27145.40454483085</v>
      </c>
      <c r="BU12" s="108">
        <f t="shared" si="4"/>
        <v>-27145.40454483085</v>
      </c>
      <c r="BV12" s="108">
        <f t="shared" si="4"/>
        <v>-27145.40454483085</v>
      </c>
      <c r="BW12" s="110">
        <f t="shared" si="4"/>
        <v>-27145.40454483085</v>
      </c>
      <c r="BX12" s="109">
        <f t="shared" si="4"/>
        <v>-28855.565031155191</v>
      </c>
      <c r="BY12" s="108">
        <f t="shared" si="4"/>
        <v>-28855.565031155191</v>
      </c>
      <c r="BZ12" s="108">
        <f t="shared" si="4"/>
        <v>-28855.565031155191</v>
      </c>
      <c r="CA12" s="108">
        <f t="shared" si="4"/>
        <v>-28855.565031155191</v>
      </c>
      <c r="CB12" s="108">
        <f t="shared" si="4"/>
        <v>-28855.565031155191</v>
      </c>
      <c r="CC12" s="108">
        <f t="shared" si="3"/>
        <v>-28855.565031155191</v>
      </c>
      <c r="CD12" s="108">
        <f t="shared" si="3"/>
        <v>-28855.565031155191</v>
      </c>
      <c r="CE12" s="108">
        <f t="shared" si="3"/>
        <v>-28855.565031155191</v>
      </c>
      <c r="CF12" s="108">
        <f t="shared" si="3"/>
        <v>-28855.565031155191</v>
      </c>
      <c r="CG12" s="108">
        <f t="shared" si="3"/>
        <v>-28855.565031155191</v>
      </c>
      <c r="CH12" s="108">
        <f t="shared" si="3"/>
        <v>-28855.565031155191</v>
      </c>
      <c r="CI12" s="110">
        <f t="shared" si="3"/>
        <v>-28855.565031155191</v>
      </c>
      <c r="CJ12" s="109">
        <f t="shared" si="3"/>
        <v>-30673.465628117967</v>
      </c>
      <c r="CK12" s="108">
        <f t="shared" si="3"/>
        <v>-30673.465628117967</v>
      </c>
      <c r="CL12" s="108">
        <f t="shared" si="3"/>
        <v>-30673.465628117967</v>
      </c>
      <c r="CM12" s="108">
        <f t="shared" si="3"/>
        <v>-30673.465628117967</v>
      </c>
      <c r="CN12" s="108">
        <f t="shared" si="3"/>
        <v>-30673.465628117967</v>
      </c>
      <c r="CO12" s="108">
        <f t="shared" si="3"/>
        <v>-30673.465628117967</v>
      </c>
      <c r="CP12" s="108">
        <f t="shared" si="3"/>
        <v>-30673.465628117967</v>
      </c>
      <c r="CQ12" s="108">
        <f t="shared" si="3"/>
        <v>-30673.465628117967</v>
      </c>
      <c r="CR12" s="108">
        <f t="shared" si="3"/>
        <v>-30673.465628117967</v>
      </c>
      <c r="CS12" s="108">
        <f t="shared" si="3"/>
        <v>-30673.465628117967</v>
      </c>
      <c r="CT12" s="108">
        <f t="shared" si="3"/>
        <v>-30673.465628117967</v>
      </c>
      <c r="CU12" s="110">
        <f t="shared" si="3"/>
        <v>-30673.465628117967</v>
      </c>
      <c r="CV12" s="109">
        <f t="shared" si="3"/>
        <v>-32605.893962689399</v>
      </c>
      <c r="CW12" s="108">
        <f t="shared" si="3"/>
        <v>-32605.893962689399</v>
      </c>
      <c r="CX12" s="108">
        <f t="shared" si="3"/>
        <v>-32605.893962689399</v>
      </c>
      <c r="CY12" s="108">
        <f t="shared" si="3"/>
        <v>-32605.893962689399</v>
      </c>
      <c r="CZ12" s="108">
        <f t="shared" si="3"/>
        <v>-32605.893962689399</v>
      </c>
      <c r="DA12" s="108">
        <f t="shared" si="3"/>
        <v>-32605.893962689399</v>
      </c>
      <c r="DB12" s="108">
        <f t="shared" si="3"/>
        <v>-32605.893962689399</v>
      </c>
      <c r="DC12" s="108">
        <f t="shared" si="3"/>
        <v>-32605.893962689399</v>
      </c>
      <c r="DD12" s="108">
        <f t="shared" si="3"/>
        <v>-32605.893962689399</v>
      </c>
      <c r="DE12" s="108">
        <f t="shared" si="3"/>
        <v>-32605.893962689399</v>
      </c>
      <c r="DF12" s="108">
        <f t="shared" si="3"/>
        <v>-32605.893962689399</v>
      </c>
      <c r="DG12" s="110">
        <f t="shared" si="3"/>
        <v>-32605.893962689399</v>
      </c>
      <c r="DH12" s="109">
        <f t="shared" si="3"/>
        <v>-34660.06528233883</v>
      </c>
      <c r="DI12" s="108">
        <f t="shared" si="3"/>
        <v>-34660.06528233883</v>
      </c>
      <c r="DJ12" s="108">
        <f t="shared" si="3"/>
        <v>-34660.06528233883</v>
      </c>
      <c r="DK12" s="108">
        <f t="shared" si="3"/>
        <v>-34660.06528233883</v>
      </c>
      <c r="DL12" s="108">
        <f t="shared" si="3"/>
        <v>-34660.06528233883</v>
      </c>
      <c r="DM12" s="108">
        <f t="shared" si="3"/>
        <v>-34660.06528233883</v>
      </c>
      <c r="DN12" s="108">
        <f t="shared" si="3"/>
        <v>-34660.06528233883</v>
      </c>
      <c r="DO12" s="108">
        <f t="shared" si="3"/>
        <v>-34660.06528233883</v>
      </c>
      <c r="DP12" s="108">
        <f t="shared" si="3"/>
        <v>-34660.06528233883</v>
      </c>
      <c r="DQ12" s="108">
        <f t="shared" si="3"/>
        <v>-34660.06528233883</v>
      </c>
      <c r="DR12" s="108">
        <f t="shared" si="3"/>
        <v>-34660.06528233883</v>
      </c>
      <c r="DS12" s="110">
        <f t="shared" si="3"/>
        <v>-34660.06528233883</v>
      </c>
      <c r="DT12" s="3"/>
      <c r="DU12" s="3"/>
    </row>
    <row r="13" spans="1:129" ht="15" x14ac:dyDescent="0.25">
      <c r="B13" s="162" t="s">
        <v>4</v>
      </c>
      <c r="C13" s="7">
        <v>-4000</v>
      </c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86"/>
      <c r="P13" s="109"/>
      <c r="Q13" s="108"/>
      <c r="R13" s="108">
        <f t="shared" ref="R13:CB15" si="5">$C13*R$6</f>
        <v>-4252</v>
      </c>
      <c r="S13" s="108">
        <f t="shared" si="5"/>
        <v>-4252</v>
      </c>
      <c r="T13" s="108">
        <f t="shared" si="5"/>
        <v>-4252</v>
      </c>
      <c r="U13" s="108">
        <f t="shared" si="5"/>
        <v>-4252</v>
      </c>
      <c r="V13" s="108">
        <f t="shared" si="5"/>
        <v>-4252</v>
      </c>
      <c r="W13" s="108">
        <f t="shared" si="5"/>
        <v>-4252</v>
      </c>
      <c r="X13" s="108">
        <f t="shared" si="5"/>
        <v>-4252</v>
      </c>
      <c r="Y13" s="108">
        <f t="shared" si="5"/>
        <v>-4252</v>
      </c>
      <c r="Z13" s="108">
        <f t="shared" si="5"/>
        <v>-4252</v>
      </c>
      <c r="AA13" s="110">
        <f t="shared" si="5"/>
        <v>-4252</v>
      </c>
      <c r="AB13" s="109">
        <f t="shared" si="5"/>
        <v>-4519.8759999999993</v>
      </c>
      <c r="AC13" s="108">
        <f t="shared" si="5"/>
        <v>-4519.8759999999993</v>
      </c>
      <c r="AD13" s="108">
        <f t="shared" si="5"/>
        <v>-4519.8759999999993</v>
      </c>
      <c r="AE13" s="108">
        <f t="shared" si="5"/>
        <v>-4519.8759999999993</v>
      </c>
      <c r="AF13" s="108">
        <f t="shared" si="5"/>
        <v>-4519.8759999999993</v>
      </c>
      <c r="AG13" s="108">
        <f t="shared" si="5"/>
        <v>-4519.8759999999993</v>
      </c>
      <c r="AH13" s="108">
        <f t="shared" si="5"/>
        <v>-4519.8759999999993</v>
      </c>
      <c r="AI13" s="108">
        <f t="shared" si="5"/>
        <v>-4519.8759999999993</v>
      </c>
      <c r="AJ13" s="108">
        <f t="shared" si="5"/>
        <v>-4519.8759999999993</v>
      </c>
      <c r="AK13" s="108">
        <f t="shared" si="5"/>
        <v>-4519.8759999999993</v>
      </c>
      <c r="AL13" s="108">
        <f t="shared" si="5"/>
        <v>-4519.8759999999993</v>
      </c>
      <c r="AM13" s="110">
        <f t="shared" si="5"/>
        <v>-4519.8759999999993</v>
      </c>
      <c r="AN13" s="109">
        <f t="shared" si="5"/>
        <v>-4804.6281879999988</v>
      </c>
      <c r="AO13" s="108">
        <f t="shared" si="5"/>
        <v>-4804.6281879999988</v>
      </c>
      <c r="AP13" s="108">
        <f t="shared" si="5"/>
        <v>-4804.6281879999988</v>
      </c>
      <c r="AQ13" s="108">
        <f t="shared" si="5"/>
        <v>-4804.6281879999988</v>
      </c>
      <c r="AR13" s="108">
        <f t="shared" si="5"/>
        <v>-4804.6281879999988</v>
      </c>
      <c r="AS13" s="108">
        <f t="shared" si="5"/>
        <v>-4804.6281879999988</v>
      </c>
      <c r="AT13" s="108">
        <f t="shared" si="5"/>
        <v>-4804.6281879999988</v>
      </c>
      <c r="AU13" s="108">
        <f t="shared" si="5"/>
        <v>-4804.6281879999988</v>
      </c>
      <c r="AV13" s="108">
        <f t="shared" si="5"/>
        <v>-4804.6281879999988</v>
      </c>
      <c r="AW13" s="108">
        <f t="shared" si="5"/>
        <v>-4804.6281879999988</v>
      </c>
      <c r="AX13" s="108">
        <f t="shared" si="5"/>
        <v>-4804.6281879999988</v>
      </c>
      <c r="AY13" s="110">
        <f t="shared" si="5"/>
        <v>-4804.6281879999988</v>
      </c>
      <c r="AZ13" s="109">
        <f t="shared" si="5"/>
        <v>-5107.3197638439979</v>
      </c>
      <c r="BA13" s="108">
        <f t="shared" si="5"/>
        <v>-5107.3197638439979</v>
      </c>
      <c r="BB13" s="108">
        <f t="shared" si="5"/>
        <v>-5107.3197638439979</v>
      </c>
      <c r="BC13" s="108">
        <f t="shared" si="5"/>
        <v>-5107.3197638439979</v>
      </c>
      <c r="BD13" s="108">
        <f t="shared" si="5"/>
        <v>-5107.3197638439979</v>
      </c>
      <c r="BE13" s="108">
        <f t="shared" si="5"/>
        <v>-5107.3197638439979</v>
      </c>
      <c r="BF13" s="108">
        <f t="shared" si="5"/>
        <v>-5107.3197638439979</v>
      </c>
      <c r="BG13" s="108">
        <f t="shared" si="5"/>
        <v>-5107.3197638439979</v>
      </c>
      <c r="BH13" s="108">
        <f t="shared" si="5"/>
        <v>-5107.3197638439979</v>
      </c>
      <c r="BI13" s="108">
        <f t="shared" si="5"/>
        <v>-5107.3197638439979</v>
      </c>
      <c r="BJ13" s="108">
        <f t="shared" si="5"/>
        <v>-5107.3197638439979</v>
      </c>
      <c r="BK13" s="110">
        <f t="shared" si="5"/>
        <v>-5107.3197638439979</v>
      </c>
      <c r="BL13" s="109">
        <f t="shared" si="5"/>
        <v>-5429.0809089661698</v>
      </c>
      <c r="BM13" s="108">
        <f t="shared" si="5"/>
        <v>-5429.0809089661698</v>
      </c>
      <c r="BN13" s="108">
        <f t="shared" si="5"/>
        <v>-5429.0809089661698</v>
      </c>
      <c r="BO13" s="108">
        <f t="shared" si="5"/>
        <v>-5429.0809089661698</v>
      </c>
      <c r="BP13" s="108">
        <f t="shared" si="5"/>
        <v>-5429.0809089661698</v>
      </c>
      <c r="BQ13" s="108">
        <f t="shared" si="5"/>
        <v>-5429.0809089661698</v>
      </c>
      <c r="BR13" s="108">
        <f t="shared" si="5"/>
        <v>-5429.0809089661698</v>
      </c>
      <c r="BS13" s="108">
        <f t="shared" si="5"/>
        <v>-5429.0809089661698</v>
      </c>
      <c r="BT13" s="108">
        <f t="shared" si="5"/>
        <v>-5429.0809089661698</v>
      </c>
      <c r="BU13" s="108">
        <f t="shared" si="5"/>
        <v>-5429.0809089661698</v>
      </c>
      <c r="BV13" s="108">
        <f t="shared" si="5"/>
        <v>-5429.0809089661698</v>
      </c>
      <c r="BW13" s="110">
        <f t="shared" si="5"/>
        <v>-5429.0809089661698</v>
      </c>
      <c r="BX13" s="109">
        <f t="shared" si="5"/>
        <v>-5771.1130062310385</v>
      </c>
      <c r="BY13" s="108">
        <f t="shared" si="5"/>
        <v>-5771.1130062310385</v>
      </c>
      <c r="BZ13" s="108">
        <f t="shared" si="5"/>
        <v>-5771.1130062310385</v>
      </c>
      <c r="CA13" s="108">
        <f t="shared" si="5"/>
        <v>-5771.1130062310385</v>
      </c>
      <c r="CB13" s="108">
        <f t="shared" si="5"/>
        <v>-5771.1130062310385</v>
      </c>
      <c r="CC13" s="108">
        <f t="shared" ref="CC13:DS14" si="6">$C13*CC$6</f>
        <v>-5771.1130062310385</v>
      </c>
      <c r="CD13" s="108">
        <f t="shared" si="6"/>
        <v>-5771.1130062310385</v>
      </c>
      <c r="CE13" s="108">
        <f t="shared" si="6"/>
        <v>-5771.1130062310385</v>
      </c>
      <c r="CF13" s="108">
        <f t="shared" si="6"/>
        <v>-5771.1130062310385</v>
      </c>
      <c r="CG13" s="108">
        <f t="shared" si="6"/>
        <v>-5771.1130062310385</v>
      </c>
      <c r="CH13" s="108">
        <f t="shared" si="6"/>
        <v>-5771.1130062310385</v>
      </c>
      <c r="CI13" s="110">
        <f t="shared" si="6"/>
        <v>-5771.1130062310385</v>
      </c>
      <c r="CJ13" s="109">
        <f t="shared" si="6"/>
        <v>-6134.6931256235939</v>
      </c>
      <c r="CK13" s="108">
        <f t="shared" si="6"/>
        <v>-6134.6931256235939</v>
      </c>
      <c r="CL13" s="108">
        <f t="shared" si="6"/>
        <v>-6134.6931256235939</v>
      </c>
      <c r="CM13" s="108">
        <f t="shared" si="6"/>
        <v>-6134.6931256235939</v>
      </c>
      <c r="CN13" s="108">
        <f t="shared" si="6"/>
        <v>-6134.6931256235939</v>
      </c>
      <c r="CO13" s="108">
        <f t="shared" si="6"/>
        <v>-6134.6931256235939</v>
      </c>
      <c r="CP13" s="108">
        <f t="shared" si="6"/>
        <v>-6134.6931256235939</v>
      </c>
      <c r="CQ13" s="108">
        <f t="shared" si="6"/>
        <v>-6134.6931256235939</v>
      </c>
      <c r="CR13" s="108">
        <f t="shared" si="6"/>
        <v>-6134.6931256235939</v>
      </c>
      <c r="CS13" s="108">
        <f t="shared" si="6"/>
        <v>-6134.6931256235939</v>
      </c>
      <c r="CT13" s="108">
        <f t="shared" si="6"/>
        <v>-6134.6931256235939</v>
      </c>
      <c r="CU13" s="110">
        <f t="shared" si="6"/>
        <v>-6134.6931256235939</v>
      </c>
      <c r="CV13" s="109">
        <f t="shared" si="6"/>
        <v>-6521.1787925378794</v>
      </c>
      <c r="CW13" s="108">
        <f t="shared" si="6"/>
        <v>-6521.1787925378794</v>
      </c>
      <c r="CX13" s="108">
        <f t="shared" si="6"/>
        <v>-6521.1787925378794</v>
      </c>
      <c r="CY13" s="108">
        <f t="shared" si="6"/>
        <v>-6521.1787925378794</v>
      </c>
      <c r="CZ13" s="108">
        <f t="shared" si="6"/>
        <v>-6521.1787925378794</v>
      </c>
      <c r="DA13" s="108">
        <f t="shared" si="6"/>
        <v>-6521.1787925378794</v>
      </c>
      <c r="DB13" s="108">
        <f t="shared" si="6"/>
        <v>-6521.1787925378794</v>
      </c>
      <c r="DC13" s="108">
        <f t="shared" si="6"/>
        <v>-6521.1787925378794</v>
      </c>
      <c r="DD13" s="108">
        <f t="shared" si="6"/>
        <v>-6521.1787925378794</v>
      </c>
      <c r="DE13" s="108">
        <f t="shared" si="6"/>
        <v>-6521.1787925378794</v>
      </c>
      <c r="DF13" s="108">
        <f t="shared" si="6"/>
        <v>-6521.1787925378794</v>
      </c>
      <c r="DG13" s="110">
        <f t="shared" si="6"/>
        <v>-6521.1787925378794</v>
      </c>
      <c r="DH13" s="109">
        <f t="shared" si="6"/>
        <v>-6932.0130564677656</v>
      </c>
      <c r="DI13" s="108">
        <f t="shared" si="6"/>
        <v>-6932.0130564677656</v>
      </c>
      <c r="DJ13" s="108">
        <f t="shared" si="6"/>
        <v>-6932.0130564677656</v>
      </c>
      <c r="DK13" s="108">
        <f t="shared" si="6"/>
        <v>-6932.0130564677656</v>
      </c>
      <c r="DL13" s="108">
        <f t="shared" si="6"/>
        <v>-6932.0130564677656</v>
      </c>
      <c r="DM13" s="108">
        <f t="shared" si="6"/>
        <v>-6932.0130564677656</v>
      </c>
      <c r="DN13" s="108">
        <f t="shared" si="6"/>
        <v>-6932.0130564677656</v>
      </c>
      <c r="DO13" s="108">
        <f t="shared" si="6"/>
        <v>-6932.0130564677656</v>
      </c>
      <c r="DP13" s="108">
        <f t="shared" si="6"/>
        <v>-6932.0130564677656</v>
      </c>
      <c r="DQ13" s="108">
        <f t="shared" si="6"/>
        <v>-6932.0130564677656</v>
      </c>
      <c r="DR13" s="108">
        <f t="shared" si="6"/>
        <v>-6932.0130564677656</v>
      </c>
      <c r="DS13" s="110">
        <f t="shared" si="6"/>
        <v>-6932.0130564677656</v>
      </c>
      <c r="DT13" s="3"/>
      <c r="DU13" s="3"/>
    </row>
    <row r="14" spans="1:129" ht="15" x14ac:dyDescent="0.25">
      <c r="B14" s="169" t="s">
        <v>266</v>
      </c>
      <c r="C14" s="7">
        <v>-20000</v>
      </c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86"/>
      <c r="P14" s="109"/>
      <c r="Q14" s="108"/>
      <c r="R14" s="108">
        <f t="shared" si="5"/>
        <v>-21260</v>
      </c>
      <c r="S14" s="108">
        <f t="shared" si="5"/>
        <v>-21260</v>
      </c>
      <c r="T14" s="108">
        <f t="shared" si="5"/>
        <v>-21260</v>
      </c>
      <c r="U14" s="108">
        <f t="shared" si="5"/>
        <v>-21260</v>
      </c>
      <c r="V14" s="108">
        <f t="shared" si="5"/>
        <v>-21260</v>
      </c>
      <c r="W14" s="108">
        <f t="shared" si="5"/>
        <v>-21260</v>
      </c>
      <c r="X14" s="108">
        <f t="shared" si="5"/>
        <v>-21260</v>
      </c>
      <c r="Y14" s="108">
        <f t="shared" si="5"/>
        <v>-21260</v>
      </c>
      <c r="Z14" s="108">
        <f t="shared" si="5"/>
        <v>-21260</v>
      </c>
      <c r="AA14" s="110">
        <f t="shared" si="5"/>
        <v>-21260</v>
      </c>
      <c r="AB14" s="109">
        <f t="shared" si="5"/>
        <v>-22599.379999999997</v>
      </c>
      <c r="AC14" s="108">
        <f t="shared" si="5"/>
        <v>-22599.379999999997</v>
      </c>
      <c r="AD14" s="108">
        <f t="shared" si="5"/>
        <v>-22599.379999999997</v>
      </c>
      <c r="AE14" s="108">
        <f t="shared" si="5"/>
        <v>-22599.379999999997</v>
      </c>
      <c r="AF14" s="108">
        <f t="shared" si="5"/>
        <v>-22599.379999999997</v>
      </c>
      <c r="AG14" s="108">
        <f t="shared" si="5"/>
        <v>-22599.379999999997</v>
      </c>
      <c r="AH14" s="108">
        <f t="shared" si="5"/>
        <v>-22599.379999999997</v>
      </c>
      <c r="AI14" s="108">
        <f t="shared" si="5"/>
        <v>-22599.379999999997</v>
      </c>
      <c r="AJ14" s="108">
        <f t="shared" si="5"/>
        <v>-22599.379999999997</v>
      </c>
      <c r="AK14" s="108">
        <f t="shared" si="5"/>
        <v>-22599.379999999997</v>
      </c>
      <c r="AL14" s="108">
        <f t="shared" si="5"/>
        <v>-22599.379999999997</v>
      </c>
      <c r="AM14" s="110">
        <f t="shared" si="5"/>
        <v>-22599.379999999997</v>
      </c>
      <c r="AN14" s="109">
        <f t="shared" si="5"/>
        <v>-24023.140939999994</v>
      </c>
      <c r="AO14" s="108">
        <f t="shared" si="5"/>
        <v>-24023.140939999994</v>
      </c>
      <c r="AP14" s="108">
        <f t="shared" si="5"/>
        <v>-24023.140939999994</v>
      </c>
      <c r="AQ14" s="108">
        <f t="shared" si="5"/>
        <v>-24023.140939999994</v>
      </c>
      <c r="AR14" s="108">
        <f t="shared" si="5"/>
        <v>-24023.140939999994</v>
      </c>
      <c r="AS14" s="108">
        <f t="shared" si="5"/>
        <v>-24023.140939999994</v>
      </c>
      <c r="AT14" s="108">
        <f t="shared" si="5"/>
        <v>-24023.140939999994</v>
      </c>
      <c r="AU14" s="108">
        <f t="shared" si="5"/>
        <v>-24023.140939999994</v>
      </c>
      <c r="AV14" s="108">
        <f t="shared" si="5"/>
        <v>-24023.140939999994</v>
      </c>
      <c r="AW14" s="108">
        <f t="shared" si="5"/>
        <v>-24023.140939999994</v>
      </c>
      <c r="AX14" s="108">
        <f t="shared" si="5"/>
        <v>-24023.140939999994</v>
      </c>
      <c r="AY14" s="110">
        <f t="shared" si="5"/>
        <v>-24023.140939999994</v>
      </c>
      <c r="AZ14" s="109">
        <f t="shared" si="5"/>
        <v>-25536.598819219991</v>
      </c>
      <c r="BA14" s="108">
        <f t="shared" si="5"/>
        <v>-25536.598819219991</v>
      </c>
      <c r="BB14" s="108">
        <f t="shared" si="5"/>
        <v>-25536.598819219991</v>
      </c>
      <c r="BC14" s="108">
        <f t="shared" si="5"/>
        <v>-25536.598819219991</v>
      </c>
      <c r="BD14" s="108">
        <f t="shared" si="5"/>
        <v>-25536.598819219991</v>
      </c>
      <c r="BE14" s="108">
        <f t="shared" si="5"/>
        <v>-25536.598819219991</v>
      </c>
      <c r="BF14" s="108">
        <f t="shared" si="5"/>
        <v>-25536.598819219991</v>
      </c>
      <c r="BG14" s="108">
        <f t="shared" si="5"/>
        <v>-25536.598819219991</v>
      </c>
      <c r="BH14" s="108">
        <f t="shared" si="5"/>
        <v>-25536.598819219991</v>
      </c>
      <c r="BI14" s="108">
        <f t="shared" si="5"/>
        <v>-25536.598819219991</v>
      </c>
      <c r="BJ14" s="108">
        <f t="shared" si="5"/>
        <v>-25536.598819219991</v>
      </c>
      <c r="BK14" s="110">
        <f t="shared" si="5"/>
        <v>-25536.598819219991</v>
      </c>
      <c r="BL14" s="109">
        <f t="shared" si="5"/>
        <v>-27145.40454483085</v>
      </c>
      <c r="BM14" s="108">
        <f t="shared" si="5"/>
        <v>-27145.40454483085</v>
      </c>
      <c r="BN14" s="108">
        <f t="shared" si="5"/>
        <v>-27145.40454483085</v>
      </c>
      <c r="BO14" s="108">
        <f t="shared" si="5"/>
        <v>-27145.40454483085</v>
      </c>
      <c r="BP14" s="108">
        <f t="shared" si="5"/>
        <v>-27145.40454483085</v>
      </c>
      <c r="BQ14" s="108">
        <f t="shared" si="5"/>
        <v>-27145.40454483085</v>
      </c>
      <c r="BR14" s="108">
        <f t="shared" si="5"/>
        <v>-27145.40454483085</v>
      </c>
      <c r="BS14" s="108">
        <f t="shared" si="5"/>
        <v>-27145.40454483085</v>
      </c>
      <c r="BT14" s="108">
        <f t="shared" si="5"/>
        <v>-27145.40454483085</v>
      </c>
      <c r="BU14" s="108">
        <f t="shared" si="5"/>
        <v>-27145.40454483085</v>
      </c>
      <c r="BV14" s="108">
        <f t="shared" si="5"/>
        <v>-27145.40454483085</v>
      </c>
      <c r="BW14" s="110">
        <f t="shared" si="5"/>
        <v>-27145.40454483085</v>
      </c>
      <c r="BX14" s="109">
        <f t="shared" si="5"/>
        <v>-28855.565031155191</v>
      </c>
      <c r="BY14" s="108">
        <f t="shared" si="5"/>
        <v>-28855.565031155191</v>
      </c>
      <c r="BZ14" s="108">
        <f t="shared" si="5"/>
        <v>-28855.565031155191</v>
      </c>
      <c r="CA14" s="108">
        <f t="shared" si="5"/>
        <v>-28855.565031155191</v>
      </c>
      <c r="CB14" s="108">
        <f t="shared" si="5"/>
        <v>-28855.565031155191</v>
      </c>
      <c r="CC14" s="108">
        <f t="shared" si="6"/>
        <v>-28855.565031155191</v>
      </c>
      <c r="CD14" s="108">
        <f t="shared" si="6"/>
        <v>-28855.565031155191</v>
      </c>
      <c r="CE14" s="108">
        <f t="shared" si="6"/>
        <v>-28855.565031155191</v>
      </c>
      <c r="CF14" s="108">
        <f t="shared" si="6"/>
        <v>-28855.565031155191</v>
      </c>
      <c r="CG14" s="108">
        <f t="shared" si="6"/>
        <v>-28855.565031155191</v>
      </c>
      <c r="CH14" s="108">
        <f t="shared" si="6"/>
        <v>-28855.565031155191</v>
      </c>
      <c r="CI14" s="110">
        <f t="shared" si="6"/>
        <v>-28855.565031155191</v>
      </c>
      <c r="CJ14" s="109">
        <f t="shared" si="6"/>
        <v>-30673.465628117967</v>
      </c>
      <c r="CK14" s="108">
        <f t="shared" si="6"/>
        <v>-30673.465628117967</v>
      </c>
      <c r="CL14" s="108">
        <f t="shared" si="6"/>
        <v>-30673.465628117967</v>
      </c>
      <c r="CM14" s="108">
        <f t="shared" si="6"/>
        <v>-30673.465628117967</v>
      </c>
      <c r="CN14" s="108">
        <f t="shared" si="6"/>
        <v>-30673.465628117967</v>
      </c>
      <c r="CO14" s="108">
        <f t="shared" si="6"/>
        <v>-30673.465628117967</v>
      </c>
      <c r="CP14" s="108">
        <f t="shared" si="6"/>
        <v>-30673.465628117967</v>
      </c>
      <c r="CQ14" s="108">
        <f t="shared" si="6"/>
        <v>-30673.465628117967</v>
      </c>
      <c r="CR14" s="108">
        <f t="shared" si="6"/>
        <v>-30673.465628117967</v>
      </c>
      <c r="CS14" s="108">
        <f t="shared" si="6"/>
        <v>-30673.465628117967</v>
      </c>
      <c r="CT14" s="108">
        <f t="shared" si="6"/>
        <v>-30673.465628117967</v>
      </c>
      <c r="CU14" s="110">
        <f t="shared" si="6"/>
        <v>-30673.465628117967</v>
      </c>
      <c r="CV14" s="109">
        <f t="shared" si="6"/>
        <v>-32605.893962689399</v>
      </c>
      <c r="CW14" s="108">
        <f t="shared" si="6"/>
        <v>-32605.893962689399</v>
      </c>
      <c r="CX14" s="108">
        <f t="shared" si="6"/>
        <v>-32605.893962689399</v>
      </c>
      <c r="CY14" s="108">
        <f t="shared" si="6"/>
        <v>-32605.893962689399</v>
      </c>
      <c r="CZ14" s="108">
        <f t="shared" si="6"/>
        <v>-32605.893962689399</v>
      </c>
      <c r="DA14" s="108">
        <f t="shared" si="6"/>
        <v>-32605.893962689399</v>
      </c>
      <c r="DB14" s="108">
        <f t="shared" si="6"/>
        <v>-32605.893962689399</v>
      </c>
      <c r="DC14" s="108">
        <f t="shared" si="6"/>
        <v>-32605.893962689399</v>
      </c>
      <c r="DD14" s="108">
        <f t="shared" si="6"/>
        <v>-32605.893962689399</v>
      </c>
      <c r="DE14" s="108">
        <f t="shared" si="6"/>
        <v>-32605.893962689399</v>
      </c>
      <c r="DF14" s="108">
        <f t="shared" si="6"/>
        <v>-32605.893962689399</v>
      </c>
      <c r="DG14" s="110">
        <f t="shared" si="6"/>
        <v>-32605.893962689399</v>
      </c>
      <c r="DH14" s="109">
        <f t="shared" si="6"/>
        <v>-34660.06528233883</v>
      </c>
      <c r="DI14" s="108">
        <f t="shared" si="6"/>
        <v>-34660.06528233883</v>
      </c>
      <c r="DJ14" s="108">
        <f t="shared" si="6"/>
        <v>-34660.06528233883</v>
      </c>
      <c r="DK14" s="108">
        <f t="shared" si="6"/>
        <v>-34660.06528233883</v>
      </c>
      <c r="DL14" s="108">
        <f t="shared" si="6"/>
        <v>-34660.06528233883</v>
      </c>
      <c r="DM14" s="108">
        <f t="shared" si="6"/>
        <v>-34660.06528233883</v>
      </c>
      <c r="DN14" s="108">
        <f t="shared" si="6"/>
        <v>-34660.06528233883</v>
      </c>
      <c r="DO14" s="108">
        <f t="shared" si="6"/>
        <v>-34660.06528233883</v>
      </c>
      <c r="DP14" s="108">
        <f t="shared" si="6"/>
        <v>-34660.06528233883</v>
      </c>
      <c r="DQ14" s="108">
        <f t="shared" si="6"/>
        <v>-34660.06528233883</v>
      </c>
      <c r="DR14" s="108">
        <f t="shared" si="6"/>
        <v>-34660.06528233883</v>
      </c>
      <c r="DS14" s="110">
        <f t="shared" si="6"/>
        <v>-34660.06528233883</v>
      </c>
      <c r="DT14" s="3"/>
      <c r="DU14" s="3"/>
    </row>
    <row r="15" spans="1:129" ht="15" x14ac:dyDescent="0.25">
      <c r="B15" s="162" t="s">
        <v>5</v>
      </c>
      <c r="C15" s="7">
        <v>-5000</v>
      </c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86"/>
      <c r="P15" s="109"/>
      <c r="Q15" s="108"/>
      <c r="R15" s="108"/>
      <c r="S15" s="108">
        <f t="shared" si="5"/>
        <v>-5315</v>
      </c>
      <c r="T15" s="108">
        <f t="shared" si="5"/>
        <v>-5315</v>
      </c>
      <c r="U15" s="108">
        <f t="shared" si="5"/>
        <v>-5315</v>
      </c>
      <c r="V15" s="108">
        <f t="shared" si="5"/>
        <v>-5315</v>
      </c>
      <c r="W15" s="108">
        <f t="shared" si="5"/>
        <v>-5315</v>
      </c>
      <c r="X15" s="108">
        <f t="shared" si="5"/>
        <v>-5315</v>
      </c>
      <c r="Y15" s="108">
        <f t="shared" si="5"/>
        <v>-5315</v>
      </c>
      <c r="Z15" s="108">
        <f t="shared" si="5"/>
        <v>-5315</v>
      </c>
      <c r="AA15" s="110">
        <f t="shared" si="5"/>
        <v>-5315</v>
      </c>
      <c r="AB15" s="109">
        <f t="shared" si="5"/>
        <v>-5649.8449999999993</v>
      </c>
      <c r="AC15" s="108">
        <f t="shared" si="5"/>
        <v>-5649.8449999999993</v>
      </c>
      <c r="AD15" s="108">
        <f t="shared" si="5"/>
        <v>-5649.8449999999993</v>
      </c>
      <c r="AE15" s="108">
        <f t="shared" si="5"/>
        <v>-5649.8449999999993</v>
      </c>
      <c r="AF15" s="108">
        <f t="shared" si="5"/>
        <v>-5649.8449999999993</v>
      </c>
      <c r="AG15" s="108">
        <f t="shared" si="5"/>
        <v>-5649.8449999999993</v>
      </c>
      <c r="AH15" s="108">
        <f t="shared" si="5"/>
        <v>-5649.8449999999993</v>
      </c>
      <c r="AI15" s="108">
        <f t="shared" si="5"/>
        <v>-5649.8449999999993</v>
      </c>
      <c r="AJ15" s="108">
        <f t="shared" si="5"/>
        <v>-5649.8449999999993</v>
      </c>
      <c r="AK15" s="108">
        <f t="shared" si="5"/>
        <v>-5649.8449999999993</v>
      </c>
      <c r="AL15" s="108">
        <f t="shared" si="5"/>
        <v>-5649.8449999999993</v>
      </c>
      <c r="AM15" s="110">
        <f t="shared" si="5"/>
        <v>-5649.8449999999993</v>
      </c>
      <c r="AN15" s="109">
        <f t="shared" si="5"/>
        <v>-6005.7852349999985</v>
      </c>
      <c r="AO15" s="108">
        <f t="shared" si="5"/>
        <v>-6005.7852349999985</v>
      </c>
      <c r="AP15" s="108">
        <f t="shared" si="5"/>
        <v>-6005.7852349999985</v>
      </c>
      <c r="AQ15" s="108">
        <f t="shared" si="5"/>
        <v>-6005.7852349999985</v>
      </c>
      <c r="AR15" s="108">
        <f t="shared" si="5"/>
        <v>-6005.7852349999985</v>
      </c>
      <c r="AS15" s="108">
        <f t="shared" si="5"/>
        <v>-6005.7852349999985</v>
      </c>
      <c r="AT15" s="108">
        <f t="shared" si="5"/>
        <v>-6005.7852349999985</v>
      </c>
      <c r="AU15" s="108">
        <f t="shared" si="5"/>
        <v>-6005.7852349999985</v>
      </c>
      <c r="AV15" s="108">
        <f t="shared" si="5"/>
        <v>-6005.7852349999985</v>
      </c>
      <c r="AW15" s="108">
        <f t="shared" si="5"/>
        <v>-6005.7852349999985</v>
      </c>
      <c r="AX15" s="108">
        <f t="shared" si="5"/>
        <v>-6005.7852349999985</v>
      </c>
      <c r="AY15" s="110">
        <f t="shared" si="5"/>
        <v>-6005.7852349999985</v>
      </c>
      <c r="AZ15" s="109">
        <f t="shared" si="5"/>
        <v>-6384.1497048049978</v>
      </c>
      <c r="BA15" s="108">
        <f t="shared" si="5"/>
        <v>-6384.1497048049978</v>
      </c>
      <c r="BB15" s="108">
        <f t="shared" si="5"/>
        <v>-6384.1497048049978</v>
      </c>
      <c r="BC15" s="108">
        <f t="shared" si="5"/>
        <v>-6384.1497048049978</v>
      </c>
      <c r="BD15" s="108">
        <f t="shared" si="5"/>
        <v>-6384.1497048049978</v>
      </c>
      <c r="BE15" s="108">
        <f t="shared" si="5"/>
        <v>-6384.1497048049978</v>
      </c>
      <c r="BF15" s="108">
        <f t="shared" si="5"/>
        <v>-6384.1497048049978</v>
      </c>
      <c r="BG15" s="108">
        <f t="shared" si="5"/>
        <v>-6384.1497048049978</v>
      </c>
      <c r="BH15" s="108">
        <f t="shared" si="5"/>
        <v>-6384.1497048049978</v>
      </c>
      <c r="BI15" s="108">
        <f t="shared" si="5"/>
        <v>-6384.1497048049978</v>
      </c>
      <c r="BJ15" s="108">
        <f t="shared" si="5"/>
        <v>-6384.1497048049978</v>
      </c>
      <c r="BK15" s="110">
        <f t="shared" si="5"/>
        <v>-6384.1497048049978</v>
      </c>
      <c r="BL15" s="109">
        <f t="shared" si="5"/>
        <v>-6786.3511362077124</v>
      </c>
      <c r="BM15" s="108">
        <f t="shared" si="5"/>
        <v>-6786.3511362077124</v>
      </c>
      <c r="BN15" s="108">
        <f t="shared" si="5"/>
        <v>-6786.3511362077124</v>
      </c>
      <c r="BO15" s="108">
        <f t="shared" si="5"/>
        <v>-6786.3511362077124</v>
      </c>
      <c r="BP15" s="108">
        <f t="shared" si="5"/>
        <v>-6786.3511362077124</v>
      </c>
      <c r="BQ15" s="108">
        <f t="shared" si="5"/>
        <v>-6786.3511362077124</v>
      </c>
      <c r="BR15" s="108">
        <f t="shared" si="5"/>
        <v>-6786.3511362077124</v>
      </c>
      <c r="BS15" s="108">
        <f t="shared" si="5"/>
        <v>-6786.3511362077124</v>
      </c>
      <c r="BT15" s="108">
        <f t="shared" si="5"/>
        <v>-6786.3511362077124</v>
      </c>
      <c r="BU15" s="108">
        <f t="shared" si="5"/>
        <v>-6786.3511362077124</v>
      </c>
      <c r="BV15" s="108">
        <f t="shared" si="5"/>
        <v>-6786.3511362077124</v>
      </c>
      <c r="BW15" s="110">
        <f t="shared" si="5"/>
        <v>-6786.3511362077124</v>
      </c>
      <c r="BX15" s="109">
        <f t="shared" si="5"/>
        <v>-7213.8912577887977</v>
      </c>
      <c r="BY15" s="108">
        <f t="shared" si="5"/>
        <v>-7213.8912577887977</v>
      </c>
      <c r="BZ15" s="108">
        <f t="shared" si="5"/>
        <v>-7213.8912577887977</v>
      </c>
      <c r="CA15" s="108">
        <f t="shared" si="5"/>
        <v>-7213.8912577887977</v>
      </c>
      <c r="CB15" s="108">
        <f t="shared" ref="CB15:DG15" si="7">$C15*CB$6</f>
        <v>-7213.8912577887977</v>
      </c>
      <c r="CC15" s="108">
        <f t="shared" si="7"/>
        <v>-7213.8912577887977</v>
      </c>
      <c r="CD15" s="108">
        <f t="shared" si="7"/>
        <v>-7213.8912577887977</v>
      </c>
      <c r="CE15" s="108">
        <f t="shared" si="7"/>
        <v>-7213.8912577887977</v>
      </c>
      <c r="CF15" s="108">
        <f t="shared" si="7"/>
        <v>-7213.8912577887977</v>
      </c>
      <c r="CG15" s="108">
        <f t="shared" si="7"/>
        <v>-7213.8912577887977</v>
      </c>
      <c r="CH15" s="108">
        <f t="shared" si="7"/>
        <v>-7213.8912577887977</v>
      </c>
      <c r="CI15" s="110">
        <f t="shared" si="7"/>
        <v>-7213.8912577887977</v>
      </c>
      <c r="CJ15" s="109">
        <f t="shared" si="7"/>
        <v>-7668.3664070294917</v>
      </c>
      <c r="CK15" s="108">
        <f t="shared" si="7"/>
        <v>-7668.3664070294917</v>
      </c>
      <c r="CL15" s="108">
        <f t="shared" si="7"/>
        <v>-7668.3664070294917</v>
      </c>
      <c r="CM15" s="108">
        <f t="shared" si="7"/>
        <v>-7668.3664070294917</v>
      </c>
      <c r="CN15" s="108">
        <f t="shared" si="7"/>
        <v>-7668.3664070294917</v>
      </c>
      <c r="CO15" s="108">
        <f t="shared" si="7"/>
        <v>-7668.3664070294917</v>
      </c>
      <c r="CP15" s="108">
        <f t="shared" si="7"/>
        <v>-7668.3664070294917</v>
      </c>
      <c r="CQ15" s="108">
        <f t="shared" si="7"/>
        <v>-7668.3664070294917</v>
      </c>
      <c r="CR15" s="108">
        <f t="shared" si="7"/>
        <v>-7668.3664070294917</v>
      </c>
      <c r="CS15" s="108">
        <f t="shared" si="7"/>
        <v>-7668.3664070294917</v>
      </c>
      <c r="CT15" s="108">
        <f t="shared" si="7"/>
        <v>-7668.3664070294917</v>
      </c>
      <c r="CU15" s="110">
        <f t="shared" si="7"/>
        <v>-7668.3664070294917</v>
      </c>
      <c r="CV15" s="109">
        <f t="shared" si="7"/>
        <v>-8151.4734906723497</v>
      </c>
      <c r="CW15" s="108">
        <f t="shared" si="7"/>
        <v>-8151.4734906723497</v>
      </c>
      <c r="CX15" s="108">
        <f t="shared" si="7"/>
        <v>-8151.4734906723497</v>
      </c>
      <c r="CY15" s="108">
        <f t="shared" si="7"/>
        <v>-8151.4734906723497</v>
      </c>
      <c r="CZ15" s="108">
        <f t="shared" si="7"/>
        <v>-8151.4734906723497</v>
      </c>
      <c r="DA15" s="108">
        <f t="shared" si="7"/>
        <v>-8151.4734906723497</v>
      </c>
      <c r="DB15" s="108">
        <f t="shared" si="7"/>
        <v>-8151.4734906723497</v>
      </c>
      <c r="DC15" s="108">
        <f t="shared" si="7"/>
        <v>-8151.4734906723497</v>
      </c>
      <c r="DD15" s="108">
        <f t="shared" si="7"/>
        <v>-8151.4734906723497</v>
      </c>
      <c r="DE15" s="108">
        <f t="shared" si="7"/>
        <v>-8151.4734906723497</v>
      </c>
      <c r="DF15" s="108">
        <f t="shared" si="7"/>
        <v>-8151.4734906723497</v>
      </c>
      <c r="DG15" s="110">
        <f t="shared" si="7"/>
        <v>-8151.4734906723497</v>
      </c>
      <c r="DH15" s="109">
        <f t="shared" ref="DH15:DS15" si="8">$C15*DH$6</f>
        <v>-8665.0163205847075</v>
      </c>
      <c r="DI15" s="108">
        <f t="shared" si="8"/>
        <v>-8665.0163205847075</v>
      </c>
      <c r="DJ15" s="108">
        <f t="shared" si="8"/>
        <v>-8665.0163205847075</v>
      </c>
      <c r="DK15" s="108">
        <f t="shared" si="8"/>
        <v>-8665.0163205847075</v>
      </c>
      <c r="DL15" s="108">
        <f t="shared" si="8"/>
        <v>-8665.0163205847075</v>
      </c>
      <c r="DM15" s="108">
        <f t="shared" si="8"/>
        <v>-8665.0163205847075</v>
      </c>
      <c r="DN15" s="108">
        <f t="shared" si="8"/>
        <v>-8665.0163205847075</v>
      </c>
      <c r="DO15" s="108">
        <f t="shared" si="8"/>
        <v>-8665.0163205847075</v>
      </c>
      <c r="DP15" s="108">
        <f t="shared" si="8"/>
        <v>-8665.0163205847075</v>
      </c>
      <c r="DQ15" s="108">
        <f t="shared" si="8"/>
        <v>-8665.0163205847075</v>
      </c>
      <c r="DR15" s="108">
        <f t="shared" si="8"/>
        <v>-8665.0163205847075</v>
      </c>
      <c r="DS15" s="110">
        <f t="shared" si="8"/>
        <v>-8665.0163205847075</v>
      </c>
      <c r="DT15" s="3"/>
      <c r="DU15" s="3"/>
    </row>
    <row r="16" spans="1:129" ht="15" x14ac:dyDescent="0.25">
      <c r="B16" s="162" t="s">
        <v>357</v>
      </c>
      <c r="C16" s="7">
        <v>-4000</v>
      </c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86"/>
      <c r="P16" s="109"/>
      <c r="Q16" s="108"/>
      <c r="R16" s="108">
        <f t="shared" ref="R16:AU16" si="9">$C16*R6</f>
        <v>-4252</v>
      </c>
      <c r="S16" s="108">
        <f t="shared" si="9"/>
        <v>-4252</v>
      </c>
      <c r="T16" s="108">
        <f t="shared" si="9"/>
        <v>-4252</v>
      </c>
      <c r="U16" s="108">
        <f t="shared" si="9"/>
        <v>-4252</v>
      </c>
      <c r="V16" s="108">
        <f t="shared" si="9"/>
        <v>-4252</v>
      </c>
      <c r="W16" s="108">
        <f t="shared" si="9"/>
        <v>-4252</v>
      </c>
      <c r="X16" s="108">
        <f t="shared" si="9"/>
        <v>-4252</v>
      </c>
      <c r="Y16" s="108">
        <f t="shared" si="9"/>
        <v>-4252</v>
      </c>
      <c r="Z16" s="108">
        <f t="shared" si="9"/>
        <v>-4252</v>
      </c>
      <c r="AA16" s="110">
        <f t="shared" si="9"/>
        <v>-4252</v>
      </c>
      <c r="AB16" s="109">
        <f t="shared" si="9"/>
        <v>-4519.8759999999993</v>
      </c>
      <c r="AC16" s="108">
        <f t="shared" si="9"/>
        <v>-4519.8759999999993</v>
      </c>
      <c r="AD16" s="108">
        <f t="shared" si="9"/>
        <v>-4519.8759999999993</v>
      </c>
      <c r="AE16" s="108">
        <f t="shared" si="9"/>
        <v>-4519.8759999999993</v>
      </c>
      <c r="AF16" s="108">
        <f t="shared" si="9"/>
        <v>-4519.8759999999993</v>
      </c>
      <c r="AG16" s="108">
        <f t="shared" si="9"/>
        <v>-4519.8759999999993</v>
      </c>
      <c r="AH16" s="108">
        <f t="shared" si="9"/>
        <v>-4519.8759999999993</v>
      </c>
      <c r="AI16" s="108">
        <f t="shared" si="9"/>
        <v>-4519.8759999999993</v>
      </c>
      <c r="AJ16" s="108">
        <f t="shared" si="9"/>
        <v>-4519.8759999999993</v>
      </c>
      <c r="AK16" s="108">
        <f t="shared" si="9"/>
        <v>-4519.8759999999993</v>
      </c>
      <c r="AL16" s="108">
        <f t="shared" si="9"/>
        <v>-4519.8759999999993</v>
      </c>
      <c r="AM16" s="110">
        <f t="shared" si="9"/>
        <v>-4519.8759999999993</v>
      </c>
      <c r="AN16" s="109">
        <f t="shared" si="9"/>
        <v>-4804.6281879999988</v>
      </c>
      <c r="AO16" s="108">
        <f t="shared" si="9"/>
        <v>-4804.6281879999988</v>
      </c>
      <c r="AP16" s="108">
        <f t="shared" si="9"/>
        <v>-4804.6281879999988</v>
      </c>
      <c r="AQ16" s="108">
        <f t="shared" si="9"/>
        <v>-4804.6281879999988</v>
      </c>
      <c r="AR16" s="108">
        <f t="shared" si="9"/>
        <v>-4804.6281879999988</v>
      </c>
      <c r="AS16" s="108">
        <f t="shared" si="9"/>
        <v>-4804.6281879999988</v>
      </c>
      <c r="AT16" s="108">
        <f t="shared" si="9"/>
        <v>-4804.6281879999988</v>
      </c>
      <c r="AU16" s="108">
        <f t="shared" si="9"/>
        <v>-4804.6281879999988</v>
      </c>
      <c r="AV16" s="108">
        <f t="shared" ref="AV16:CA16" si="10">$C16*AV6</f>
        <v>-4804.6281879999988</v>
      </c>
      <c r="AW16" s="108">
        <f t="shared" si="10"/>
        <v>-4804.6281879999988</v>
      </c>
      <c r="AX16" s="108">
        <f t="shared" si="10"/>
        <v>-4804.6281879999988</v>
      </c>
      <c r="AY16" s="110">
        <f t="shared" si="10"/>
        <v>-4804.6281879999988</v>
      </c>
      <c r="AZ16" s="109">
        <f t="shared" si="10"/>
        <v>-5107.3197638439979</v>
      </c>
      <c r="BA16" s="108">
        <f t="shared" si="10"/>
        <v>-5107.3197638439979</v>
      </c>
      <c r="BB16" s="108">
        <f t="shared" si="10"/>
        <v>-5107.3197638439979</v>
      </c>
      <c r="BC16" s="108">
        <f t="shared" si="10"/>
        <v>-5107.3197638439979</v>
      </c>
      <c r="BD16" s="108">
        <f t="shared" si="10"/>
        <v>-5107.3197638439979</v>
      </c>
      <c r="BE16" s="108">
        <f t="shared" si="10"/>
        <v>-5107.3197638439979</v>
      </c>
      <c r="BF16" s="108">
        <f t="shared" si="10"/>
        <v>-5107.3197638439979</v>
      </c>
      <c r="BG16" s="108">
        <f t="shared" si="10"/>
        <v>-5107.3197638439979</v>
      </c>
      <c r="BH16" s="108">
        <f t="shared" si="10"/>
        <v>-5107.3197638439979</v>
      </c>
      <c r="BI16" s="108">
        <f t="shared" si="10"/>
        <v>-5107.3197638439979</v>
      </c>
      <c r="BJ16" s="108">
        <f t="shared" si="10"/>
        <v>-5107.3197638439979</v>
      </c>
      <c r="BK16" s="110">
        <f t="shared" si="10"/>
        <v>-5107.3197638439979</v>
      </c>
      <c r="BL16" s="109">
        <f t="shared" si="10"/>
        <v>-5429.0809089661698</v>
      </c>
      <c r="BM16" s="108">
        <f t="shared" si="10"/>
        <v>-5429.0809089661698</v>
      </c>
      <c r="BN16" s="108">
        <f t="shared" si="10"/>
        <v>-5429.0809089661698</v>
      </c>
      <c r="BO16" s="108">
        <f t="shared" si="10"/>
        <v>-5429.0809089661698</v>
      </c>
      <c r="BP16" s="108">
        <f t="shared" si="10"/>
        <v>-5429.0809089661698</v>
      </c>
      <c r="BQ16" s="108">
        <f t="shared" si="10"/>
        <v>-5429.0809089661698</v>
      </c>
      <c r="BR16" s="108">
        <f t="shared" si="10"/>
        <v>-5429.0809089661698</v>
      </c>
      <c r="BS16" s="108">
        <f t="shared" si="10"/>
        <v>-5429.0809089661698</v>
      </c>
      <c r="BT16" s="108">
        <f t="shared" si="10"/>
        <v>-5429.0809089661698</v>
      </c>
      <c r="BU16" s="108">
        <f t="shared" si="10"/>
        <v>-5429.0809089661698</v>
      </c>
      <c r="BV16" s="108">
        <f t="shared" si="10"/>
        <v>-5429.0809089661698</v>
      </c>
      <c r="BW16" s="110">
        <f t="shared" si="10"/>
        <v>-5429.0809089661698</v>
      </c>
      <c r="BX16" s="109">
        <f t="shared" si="10"/>
        <v>-5771.1130062310385</v>
      </c>
      <c r="BY16" s="108">
        <f t="shared" si="10"/>
        <v>-5771.1130062310385</v>
      </c>
      <c r="BZ16" s="108">
        <f t="shared" si="10"/>
        <v>-5771.1130062310385</v>
      </c>
      <c r="CA16" s="108">
        <f t="shared" si="10"/>
        <v>-5771.1130062310385</v>
      </c>
      <c r="CB16" s="108">
        <f t="shared" ref="CB16:DG16" si="11">$C16*CB6</f>
        <v>-5771.1130062310385</v>
      </c>
      <c r="CC16" s="108">
        <f t="shared" si="11"/>
        <v>-5771.1130062310385</v>
      </c>
      <c r="CD16" s="108">
        <f t="shared" si="11"/>
        <v>-5771.1130062310385</v>
      </c>
      <c r="CE16" s="108">
        <f t="shared" si="11"/>
        <v>-5771.1130062310385</v>
      </c>
      <c r="CF16" s="108">
        <f t="shared" si="11"/>
        <v>-5771.1130062310385</v>
      </c>
      <c r="CG16" s="108">
        <f t="shared" si="11"/>
        <v>-5771.1130062310385</v>
      </c>
      <c r="CH16" s="108">
        <f t="shared" si="11"/>
        <v>-5771.1130062310385</v>
      </c>
      <c r="CI16" s="110">
        <f t="shared" si="11"/>
        <v>-5771.1130062310385</v>
      </c>
      <c r="CJ16" s="109">
        <f t="shared" si="11"/>
        <v>-6134.6931256235939</v>
      </c>
      <c r="CK16" s="108">
        <f t="shared" si="11"/>
        <v>-6134.6931256235939</v>
      </c>
      <c r="CL16" s="108">
        <f t="shared" si="11"/>
        <v>-6134.6931256235939</v>
      </c>
      <c r="CM16" s="108">
        <f t="shared" si="11"/>
        <v>-6134.6931256235939</v>
      </c>
      <c r="CN16" s="108">
        <f t="shared" si="11"/>
        <v>-6134.6931256235939</v>
      </c>
      <c r="CO16" s="108">
        <f t="shared" si="11"/>
        <v>-6134.6931256235939</v>
      </c>
      <c r="CP16" s="108">
        <f t="shared" si="11"/>
        <v>-6134.6931256235939</v>
      </c>
      <c r="CQ16" s="108">
        <f t="shared" si="11"/>
        <v>-6134.6931256235939</v>
      </c>
      <c r="CR16" s="108">
        <f t="shared" si="11"/>
        <v>-6134.6931256235939</v>
      </c>
      <c r="CS16" s="108">
        <f t="shared" si="11"/>
        <v>-6134.6931256235939</v>
      </c>
      <c r="CT16" s="108">
        <f t="shared" si="11"/>
        <v>-6134.6931256235939</v>
      </c>
      <c r="CU16" s="110">
        <f t="shared" si="11"/>
        <v>-6134.6931256235939</v>
      </c>
      <c r="CV16" s="109">
        <f t="shared" si="11"/>
        <v>-6521.1787925378794</v>
      </c>
      <c r="CW16" s="108">
        <f t="shared" si="11"/>
        <v>-6521.1787925378794</v>
      </c>
      <c r="CX16" s="108">
        <f t="shared" si="11"/>
        <v>-6521.1787925378794</v>
      </c>
      <c r="CY16" s="108">
        <f t="shared" si="11"/>
        <v>-6521.1787925378794</v>
      </c>
      <c r="CZ16" s="108">
        <f t="shared" si="11"/>
        <v>-6521.1787925378794</v>
      </c>
      <c r="DA16" s="108">
        <f t="shared" si="11"/>
        <v>-6521.1787925378794</v>
      </c>
      <c r="DB16" s="108">
        <f t="shared" si="11"/>
        <v>-6521.1787925378794</v>
      </c>
      <c r="DC16" s="108">
        <f t="shared" si="11"/>
        <v>-6521.1787925378794</v>
      </c>
      <c r="DD16" s="108">
        <f t="shared" si="11"/>
        <v>-6521.1787925378794</v>
      </c>
      <c r="DE16" s="108">
        <f t="shared" si="11"/>
        <v>-6521.1787925378794</v>
      </c>
      <c r="DF16" s="108">
        <f t="shared" si="11"/>
        <v>-6521.1787925378794</v>
      </c>
      <c r="DG16" s="110">
        <f t="shared" si="11"/>
        <v>-6521.1787925378794</v>
      </c>
      <c r="DH16" s="109">
        <f t="shared" ref="DH16:DS16" si="12">$C16*DH6</f>
        <v>-6932.0130564677656</v>
      </c>
      <c r="DI16" s="108">
        <f t="shared" si="12"/>
        <v>-6932.0130564677656</v>
      </c>
      <c r="DJ16" s="108">
        <f t="shared" si="12"/>
        <v>-6932.0130564677656</v>
      </c>
      <c r="DK16" s="108">
        <f t="shared" si="12"/>
        <v>-6932.0130564677656</v>
      </c>
      <c r="DL16" s="108">
        <f t="shared" si="12"/>
        <v>-6932.0130564677656</v>
      </c>
      <c r="DM16" s="108">
        <f t="shared" si="12"/>
        <v>-6932.0130564677656</v>
      </c>
      <c r="DN16" s="108">
        <f t="shared" si="12"/>
        <v>-6932.0130564677656</v>
      </c>
      <c r="DO16" s="108">
        <f t="shared" si="12"/>
        <v>-6932.0130564677656</v>
      </c>
      <c r="DP16" s="108">
        <f t="shared" si="12"/>
        <v>-6932.0130564677656</v>
      </c>
      <c r="DQ16" s="108">
        <f t="shared" si="12"/>
        <v>-6932.0130564677656</v>
      </c>
      <c r="DR16" s="108">
        <f t="shared" si="12"/>
        <v>-6932.0130564677656</v>
      </c>
      <c r="DS16" s="110">
        <f t="shared" si="12"/>
        <v>-6932.0130564677656</v>
      </c>
      <c r="DT16" s="3"/>
      <c r="DU16" s="3"/>
    </row>
    <row r="17" spans="1:125" ht="15" x14ac:dyDescent="0.25">
      <c r="B17" s="162" t="s">
        <v>262</v>
      </c>
      <c r="C17" s="7">
        <v>-25000</v>
      </c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86"/>
      <c r="P17" s="109"/>
      <c r="Q17" s="108"/>
      <c r="R17" s="108">
        <v>0</v>
      </c>
      <c r="S17" s="108">
        <f>$C17*S6</f>
        <v>-26575</v>
      </c>
      <c r="T17" s="108">
        <v>0</v>
      </c>
      <c r="U17" s="108">
        <v>0</v>
      </c>
      <c r="V17" s="108">
        <f>$C17*V6</f>
        <v>-26575</v>
      </c>
      <c r="W17" s="108">
        <v>0</v>
      </c>
      <c r="X17" s="108">
        <v>0</v>
      </c>
      <c r="Y17" s="108">
        <f>$C17*Y6</f>
        <v>-26575</v>
      </c>
      <c r="Z17" s="108">
        <v>0</v>
      </c>
      <c r="AA17" s="110">
        <v>0</v>
      </c>
      <c r="AB17" s="109">
        <f>$C17*AB6</f>
        <v>-28249.224999999995</v>
      </c>
      <c r="AC17" s="108">
        <v>0</v>
      </c>
      <c r="AD17" s="108">
        <v>0</v>
      </c>
      <c r="AE17" s="108">
        <f>$C17*AE6</f>
        <v>-28249.224999999995</v>
      </c>
      <c r="AF17" s="108">
        <v>0</v>
      </c>
      <c r="AG17" s="108">
        <v>0</v>
      </c>
      <c r="AH17" s="108">
        <f>$C17*AH6</f>
        <v>-28249.224999999995</v>
      </c>
      <c r="AI17" s="108">
        <v>0</v>
      </c>
      <c r="AJ17" s="108">
        <v>0</v>
      </c>
      <c r="AK17" s="108">
        <f>$C17*AK6</f>
        <v>-28249.224999999995</v>
      </c>
      <c r="AL17" s="108">
        <v>0</v>
      </c>
      <c r="AM17" s="110">
        <v>0</v>
      </c>
      <c r="AN17" s="109">
        <f>$C17*AN6</f>
        <v>-30028.926174999993</v>
      </c>
      <c r="AO17" s="108">
        <v>0</v>
      </c>
      <c r="AP17" s="108">
        <v>0</v>
      </c>
      <c r="AQ17" s="108">
        <f>$C17*AQ6</f>
        <v>-30028.926174999993</v>
      </c>
      <c r="AR17" s="108">
        <v>0</v>
      </c>
      <c r="AS17" s="108">
        <v>0</v>
      </c>
      <c r="AT17" s="108">
        <f>$C17*AT6</f>
        <v>-30028.926174999993</v>
      </c>
      <c r="AU17" s="108">
        <v>0</v>
      </c>
      <c r="AV17" s="108">
        <v>0</v>
      </c>
      <c r="AW17" s="108">
        <f>$C17*AW6</f>
        <v>-30028.926174999993</v>
      </c>
      <c r="AX17" s="108">
        <v>0</v>
      </c>
      <c r="AY17" s="110">
        <v>0</v>
      </c>
      <c r="AZ17" s="109">
        <f>$C17*AZ6</f>
        <v>-31920.748524024988</v>
      </c>
      <c r="BA17" s="108">
        <v>0</v>
      </c>
      <c r="BB17" s="108">
        <v>0</v>
      </c>
      <c r="BC17" s="108">
        <f>$C17*BC6</f>
        <v>-31920.748524024988</v>
      </c>
      <c r="BD17" s="108">
        <v>0</v>
      </c>
      <c r="BE17" s="108">
        <v>0</v>
      </c>
      <c r="BF17" s="108">
        <f>$C17*BF6</f>
        <v>-31920.748524024988</v>
      </c>
      <c r="BG17" s="108">
        <v>0</v>
      </c>
      <c r="BH17" s="108">
        <v>0</v>
      </c>
      <c r="BI17" s="108">
        <f>$C17*BI6</f>
        <v>-31920.748524024988</v>
      </c>
      <c r="BJ17" s="108">
        <v>0</v>
      </c>
      <c r="BK17" s="110">
        <v>0</v>
      </c>
      <c r="BL17" s="109">
        <f>$C17*BL6</f>
        <v>-33931.755681038558</v>
      </c>
      <c r="BM17" s="108">
        <v>0</v>
      </c>
      <c r="BN17" s="108">
        <v>0</v>
      </c>
      <c r="BO17" s="108">
        <f>$C17*BO6</f>
        <v>-33931.755681038558</v>
      </c>
      <c r="BP17" s="108">
        <v>0</v>
      </c>
      <c r="BQ17" s="108">
        <v>0</v>
      </c>
      <c r="BR17" s="108">
        <f>$C17*BR6</f>
        <v>-33931.755681038558</v>
      </c>
      <c r="BS17" s="108">
        <v>0</v>
      </c>
      <c r="BT17" s="108">
        <v>0</v>
      </c>
      <c r="BU17" s="108">
        <f>$C17*BU6</f>
        <v>-33931.755681038558</v>
      </c>
      <c r="BV17" s="108">
        <v>0</v>
      </c>
      <c r="BW17" s="110">
        <v>0</v>
      </c>
      <c r="BX17" s="109">
        <f>$C17*BX6</f>
        <v>-36069.456288943991</v>
      </c>
      <c r="BY17" s="108">
        <v>0</v>
      </c>
      <c r="BZ17" s="108">
        <v>0</v>
      </c>
      <c r="CA17" s="108">
        <f>$C17*CA6</f>
        <v>-36069.456288943991</v>
      </c>
      <c r="CB17" s="108">
        <v>0</v>
      </c>
      <c r="CC17" s="108">
        <v>0</v>
      </c>
      <c r="CD17" s="108">
        <f>$C17*CD6</f>
        <v>-36069.456288943991</v>
      </c>
      <c r="CE17" s="108">
        <v>0</v>
      </c>
      <c r="CF17" s="108">
        <v>0</v>
      </c>
      <c r="CG17" s="108">
        <f>$C17*CG6</f>
        <v>-36069.456288943991</v>
      </c>
      <c r="CH17" s="108">
        <v>0</v>
      </c>
      <c r="CI17" s="110">
        <v>0</v>
      </c>
      <c r="CJ17" s="109">
        <f>$C17*CJ6</f>
        <v>-38341.832035147461</v>
      </c>
      <c r="CK17" s="108">
        <v>0</v>
      </c>
      <c r="CL17" s="108">
        <v>0</v>
      </c>
      <c r="CM17" s="108">
        <f>$C17*CM6</f>
        <v>-38341.832035147461</v>
      </c>
      <c r="CN17" s="108">
        <v>0</v>
      </c>
      <c r="CO17" s="108">
        <v>0</v>
      </c>
      <c r="CP17" s="108">
        <f>$C17*CP6</f>
        <v>-38341.832035147461</v>
      </c>
      <c r="CQ17" s="108">
        <v>0</v>
      </c>
      <c r="CR17" s="108">
        <v>0</v>
      </c>
      <c r="CS17" s="108">
        <f>$C17*CS6</f>
        <v>-38341.832035147461</v>
      </c>
      <c r="CT17" s="108">
        <v>0</v>
      </c>
      <c r="CU17" s="110">
        <v>0</v>
      </c>
      <c r="CV17" s="109">
        <f>$C17*CV6</f>
        <v>-40757.367453361745</v>
      </c>
      <c r="CW17" s="108">
        <v>0</v>
      </c>
      <c r="CX17" s="108">
        <v>0</v>
      </c>
      <c r="CY17" s="108">
        <f>$C17*CY6</f>
        <v>-40757.367453361745</v>
      </c>
      <c r="CZ17" s="108">
        <v>0</v>
      </c>
      <c r="DA17" s="108">
        <v>0</v>
      </c>
      <c r="DB17" s="108">
        <f>$C17*DB6</f>
        <v>-40757.367453361745</v>
      </c>
      <c r="DC17" s="108">
        <v>0</v>
      </c>
      <c r="DD17" s="108">
        <v>0</v>
      </c>
      <c r="DE17" s="108">
        <f>$C17*DE6</f>
        <v>-40757.367453361745</v>
      </c>
      <c r="DF17" s="108">
        <v>0</v>
      </c>
      <c r="DG17" s="110">
        <v>0</v>
      </c>
      <c r="DH17" s="109">
        <f>$C17*DH6</f>
        <v>-43325.081602923536</v>
      </c>
      <c r="DI17" s="108">
        <v>0</v>
      </c>
      <c r="DJ17" s="108">
        <v>0</v>
      </c>
      <c r="DK17" s="108">
        <f>$C17*DK6</f>
        <v>-43325.081602923536</v>
      </c>
      <c r="DL17" s="108">
        <v>0</v>
      </c>
      <c r="DM17" s="108">
        <v>0</v>
      </c>
      <c r="DN17" s="108">
        <f>$C17*DN6</f>
        <v>-43325.081602923536</v>
      </c>
      <c r="DO17" s="108">
        <v>0</v>
      </c>
      <c r="DP17" s="108">
        <v>0</v>
      </c>
      <c r="DQ17" s="108">
        <f>$C17*DQ6</f>
        <v>-43325.081602923536</v>
      </c>
      <c r="DR17" s="108">
        <v>0</v>
      </c>
      <c r="DS17" s="110">
        <v>0</v>
      </c>
      <c r="DT17" s="3"/>
      <c r="DU17" s="3"/>
    </row>
    <row r="18" spans="1:125" ht="15" x14ac:dyDescent="0.25">
      <c r="B18" s="162" t="s">
        <v>353</v>
      </c>
      <c r="C18" s="1123">
        <f>SUM('9.CAPEX'!C11:C16)*0.01/12</f>
        <v>-72136.050827814252</v>
      </c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86"/>
      <c r="P18" s="109"/>
      <c r="Q18" s="108"/>
      <c r="R18" s="108">
        <f t="shared" ref="R18:AC18" si="13">$C18*R$6</f>
        <v>-76680.622029966544</v>
      </c>
      <c r="S18" s="108">
        <f t="shared" si="13"/>
        <v>-76680.622029966544</v>
      </c>
      <c r="T18" s="108">
        <f t="shared" si="13"/>
        <v>-76680.622029966544</v>
      </c>
      <c r="U18" s="108">
        <f t="shared" si="13"/>
        <v>-76680.622029966544</v>
      </c>
      <c r="V18" s="108">
        <f t="shared" si="13"/>
        <v>-76680.622029966544</v>
      </c>
      <c r="W18" s="108">
        <f t="shared" si="13"/>
        <v>-76680.622029966544</v>
      </c>
      <c r="X18" s="108">
        <f t="shared" si="13"/>
        <v>-76680.622029966544</v>
      </c>
      <c r="Y18" s="108">
        <f t="shared" si="13"/>
        <v>-76680.622029966544</v>
      </c>
      <c r="Z18" s="108">
        <f t="shared" si="13"/>
        <v>-76680.622029966544</v>
      </c>
      <c r="AA18" s="110">
        <f t="shared" si="13"/>
        <v>-76680.622029966544</v>
      </c>
      <c r="AB18" s="109">
        <f t="shared" si="13"/>
        <v>-81511.501217854428</v>
      </c>
      <c r="AC18" s="108">
        <f t="shared" si="13"/>
        <v>-81511.501217854428</v>
      </c>
      <c r="AD18" s="108">
        <f t="shared" ref="AD18:CB18" si="14">$C18*AD$6</f>
        <v>-81511.501217854428</v>
      </c>
      <c r="AE18" s="108">
        <f t="shared" si="14"/>
        <v>-81511.501217854428</v>
      </c>
      <c r="AF18" s="108">
        <f t="shared" si="14"/>
        <v>-81511.501217854428</v>
      </c>
      <c r="AG18" s="108">
        <f t="shared" si="14"/>
        <v>-81511.501217854428</v>
      </c>
      <c r="AH18" s="108">
        <f t="shared" si="14"/>
        <v>-81511.501217854428</v>
      </c>
      <c r="AI18" s="108">
        <f t="shared" si="14"/>
        <v>-81511.501217854428</v>
      </c>
      <c r="AJ18" s="108">
        <f t="shared" si="14"/>
        <v>-81511.501217854428</v>
      </c>
      <c r="AK18" s="108">
        <f t="shared" si="14"/>
        <v>-81511.501217854428</v>
      </c>
      <c r="AL18" s="108">
        <f t="shared" si="14"/>
        <v>-81511.501217854428</v>
      </c>
      <c r="AM18" s="110">
        <f t="shared" si="14"/>
        <v>-81511.501217854428</v>
      </c>
      <c r="AN18" s="109">
        <f t="shared" si="14"/>
        <v>-86646.725794579252</v>
      </c>
      <c r="AO18" s="108">
        <f t="shared" si="14"/>
        <v>-86646.725794579252</v>
      </c>
      <c r="AP18" s="108">
        <f t="shared" si="14"/>
        <v>-86646.725794579252</v>
      </c>
      <c r="AQ18" s="108">
        <f t="shared" si="14"/>
        <v>-86646.725794579252</v>
      </c>
      <c r="AR18" s="108">
        <f t="shared" si="14"/>
        <v>-86646.725794579252</v>
      </c>
      <c r="AS18" s="108">
        <f t="shared" si="14"/>
        <v>-86646.725794579252</v>
      </c>
      <c r="AT18" s="108">
        <f t="shared" si="14"/>
        <v>-86646.725794579252</v>
      </c>
      <c r="AU18" s="108">
        <f t="shared" si="14"/>
        <v>-86646.725794579252</v>
      </c>
      <c r="AV18" s="108">
        <f t="shared" si="14"/>
        <v>-86646.725794579252</v>
      </c>
      <c r="AW18" s="108">
        <f t="shared" si="14"/>
        <v>-86646.725794579252</v>
      </c>
      <c r="AX18" s="108">
        <f t="shared" si="14"/>
        <v>-86646.725794579252</v>
      </c>
      <c r="AY18" s="110">
        <f t="shared" si="14"/>
        <v>-86646.725794579252</v>
      </c>
      <c r="AZ18" s="109">
        <f t="shared" si="14"/>
        <v>-92105.469519637729</v>
      </c>
      <c r="BA18" s="108">
        <f t="shared" si="14"/>
        <v>-92105.469519637729</v>
      </c>
      <c r="BB18" s="108">
        <f t="shared" si="14"/>
        <v>-92105.469519637729</v>
      </c>
      <c r="BC18" s="108">
        <f t="shared" si="14"/>
        <v>-92105.469519637729</v>
      </c>
      <c r="BD18" s="108">
        <f t="shared" si="14"/>
        <v>-92105.469519637729</v>
      </c>
      <c r="BE18" s="108">
        <f t="shared" si="14"/>
        <v>-92105.469519637729</v>
      </c>
      <c r="BF18" s="108">
        <f t="shared" si="14"/>
        <v>-92105.469519637729</v>
      </c>
      <c r="BG18" s="108">
        <f t="shared" si="14"/>
        <v>-92105.469519637729</v>
      </c>
      <c r="BH18" s="108">
        <f t="shared" si="14"/>
        <v>-92105.469519637729</v>
      </c>
      <c r="BI18" s="108">
        <f t="shared" si="14"/>
        <v>-92105.469519637729</v>
      </c>
      <c r="BJ18" s="108">
        <f t="shared" si="14"/>
        <v>-92105.469519637729</v>
      </c>
      <c r="BK18" s="110">
        <f t="shared" si="14"/>
        <v>-92105.469519637729</v>
      </c>
      <c r="BL18" s="109">
        <f t="shared" si="14"/>
        <v>-97908.1140993749</v>
      </c>
      <c r="BM18" s="108">
        <f t="shared" si="14"/>
        <v>-97908.1140993749</v>
      </c>
      <c r="BN18" s="108">
        <f t="shared" si="14"/>
        <v>-97908.1140993749</v>
      </c>
      <c r="BO18" s="108">
        <f t="shared" si="14"/>
        <v>-97908.1140993749</v>
      </c>
      <c r="BP18" s="108">
        <f t="shared" si="14"/>
        <v>-97908.1140993749</v>
      </c>
      <c r="BQ18" s="108">
        <f t="shared" si="14"/>
        <v>-97908.1140993749</v>
      </c>
      <c r="BR18" s="108">
        <f t="shared" si="14"/>
        <v>-97908.1140993749</v>
      </c>
      <c r="BS18" s="108">
        <f t="shared" si="14"/>
        <v>-97908.1140993749</v>
      </c>
      <c r="BT18" s="108">
        <f t="shared" si="14"/>
        <v>-97908.1140993749</v>
      </c>
      <c r="BU18" s="108">
        <f t="shared" si="14"/>
        <v>-97908.1140993749</v>
      </c>
      <c r="BV18" s="108">
        <f t="shared" si="14"/>
        <v>-97908.1140993749</v>
      </c>
      <c r="BW18" s="110">
        <f t="shared" si="14"/>
        <v>-97908.1140993749</v>
      </c>
      <c r="BX18" s="109">
        <f t="shared" si="14"/>
        <v>-104076.32528763553</v>
      </c>
      <c r="BY18" s="108">
        <f t="shared" si="14"/>
        <v>-104076.32528763553</v>
      </c>
      <c r="BZ18" s="108">
        <f t="shared" si="14"/>
        <v>-104076.32528763553</v>
      </c>
      <c r="CA18" s="108">
        <f t="shared" si="14"/>
        <v>-104076.32528763553</v>
      </c>
      <c r="CB18" s="108">
        <f t="shared" si="14"/>
        <v>-104076.32528763553</v>
      </c>
      <c r="CC18" s="108">
        <f t="shared" ref="CC18:DH18" si="15">$C18*CC$6</f>
        <v>-104076.32528763553</v>
      </c>
      <c r="CD18" s="108">
        <f t="shared" si="15"/>
        <v>-104076.32528763553</v>
      </c>
      <c r="CE18" s="108">
        <f t="shared" si="15"/>
        <v>-104076.32528763553</v>
      </c>
      <c r="CF18" s="108">
        <f t="shared" si="15"/>
        <v>-104076.32528763553</v>
      </c>
      <c r="CG18" s="108">
        <f t="shared" si="15"/>
        <v>-104076.32528763553</v>
      </c>
      <c r="CH18" s="108">
        <f t="shared" si="15"/>
        <v>-104076.32528763553</v>
      </c>
      <c r="CI18" s="110">
        <f t="shared" si="15"/>
        <v>-104076.32528763553</v>
      </c>
      <c r="CJ18" s="109">
        <f t="shared" si="15"/>
        <v>-110633.13378075656</v>
      </c>
      <c r="CK18" s="108">
        <f t="shared" si="15"/>
        <v>-110633.13378075656</v>
      </c>
      <c r="CL18" s="108">
        <f t="shared" si="15"/>
        <v>-110633.13378075656</v>
      </c>
      <c r="CM18" s="108">
        <f t="shared" si="15"/>
        <v>-110633.13378075656</v>
      </c>
      <c r="CN18" s="108">
        <f t="shared" si="15"/>
        <v>-110633.13378075656</v>
      </c>
      <c r="CO18" s="108">
        <f t="shared" si="15"/>
        <v>-110633.13378075656</v>
      </c>
      <c r="CP18" s="108">
        <f t="shared" si="15"/>
        <v>-110633.13378075656</v>
      </c>
      <c r="CQ18" s="108">
        <f t="shared" si="15"/>
        <v>-110633.13378075656</v>
      </c>
      <c r="CR18" s="108">
        <f t="shared" si="15"/>
        <v>-110633.13378075656</v>
      </c>
      <c r="CS18" s="108">
        <f t="shared" si="15"/>
        <v>-110633.13378075656</v>
      </c>
      <c r="CT18" s="108">
        <f t="shared" si="15"/>
        <v>-110633.13378075656</v>
      </c>
      <c r="CU18" s="110">
        <f t="shared" si="15"/>
        <v>-110633.13378075656</v>
      </c>
      <c r="CV18" s="109">
        <f t="shared" si="15"/>
        <v>-117603.02120894422</v>
      </c>
      <c r="CW18" s="108">
        <f t="shared" si="15"/>
        <v>-117603.02120894422</v>
      </c>
      <c r="CX18" s="108">
        <f t="shared" si="15"/>
        <v>-117603.02120894422</v>
      </c>
      <c r="CY18" s="108">
        <f t="shared" si="15"/>
        <v>-117603.02120894422</v>
      </c>
      <c r="CZ18" s="108">
        <f t="shared" si="15"/>
        <v>-117603.02120894422</v>
      </c>
      <c r="DA18" s="108">
        <f t="shared" si="15"/>
        <v>-117603.02120894422</v>
      </c>
      <c r="DB18" s="108">
        <f t="shared" si="15"/>
        <v>-117603.02120894422</v>
      </c>
      <c r="DC18" s="108">
        <f t="shared" si="15"/>
        <v>-117603.02120894422</v>
      </c>
      <c r="DD18" s="108">
        <f t="shared" si="15"/>
        <v>-117603.02120894422</v>
      </c>
      <c r="DE18" s="108">
        <f t="shared" si="15"/>
        <v>-117603.02120894422</v>
      </c>
      <c r="DF18" s="108">
        <f t="shared" si="15"/>
        <v>-117603.02120894422</v>
      </c>
      <c r="DG18" s="110">
        <f t="shared" si="15"/>
        <v>-117603.02120894422</v>
      </c>
      <c r="DH18" s="109">
        <f t="shared" si="15"/>
        <v>-125012.0115451077</v>
      </c>
      <c r="DI18" s="108">
        <f t="shared" ref="DI18:DS18" si="16">$C18*DI$6</f>
        <v>-125012.0115451077</v>
      </c>
      <c r="DJ18" s="108">
        <f t="shared" si="16"/>
        <v>-125012.0115451077</v>
      </c>
      <c r="DK18" s="108">
        <f t="shared" si="16"/>
        <v>-125012.0115451077</v>
      </c>
      <c r="DL18" s="108">
        <f t="shared" si="16"/>
        <v>-125012.0115451077</v>
      </c>
      <c r="DM18" s="108">
        <f t="shared" si="16"/>
        <v>-125012.0115451077</v>
      </c>
      <c r="DN18" s="108">
        <f t="shared" si="16"/>
        <v>-125012.0115451077</v>
      </c>
      <c r="DO18" s="108">
        <f t="shared" si="16"/>
        <v>-125012.0115451077</v>
      </c>
      <c r="DP18" s="108">
        <f t="shared" si="16"/>
        <v>-125012.0115451077</v>
      </c>
      <c r="DQ18" s="108">
        <f t="shared" si="16"/>
        <v>-125012.0115451077</v>
      </c>
      <c r="DR18" s="108">
        <f t="shared" si="16"/>
        <v>-125012.0115451077</v>
      </c>
      <c r="DS18" s="110">
        <f t="shared" si="16"/>
        <v>-125012.0115451077</v>
      </c>
      <c r="DT18" s="3"/>
      <c r="DU18" s="3"/>
    </row>
    <row r="19" spans="1:125" ht="15" x14ac:dyDescent="0.25">
      <c r="B19" s="162" t="s">
        <v>263</v>
      </c>
      <c r="C19" s="7">
        <v>-20000</v>
      </c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86"/>
      <c r="P19" s="109"/>
      <c r="Q19" s="108"/>
      <c r="R19" s="108">
        <f t="shared" ref="R19:AU19" si="17">$C19*R6</f>
        <v>-21260</v>
      </c>
      <c r="S19" s="108">
        <f t="shared" si="17"/>
        <v>-21260</v>
      </c>
      <c r="T19" s="108">
        <f t="shared" si="17"/>
        <v>-21260</v>
      </c>
      <c r="U19" s="108">
        <f t="shared" si="17"/>
        <v>-21260</v>
      </c>
      <c r="V19" s="108">
        <f t="shared" si="17"/>
        <v>-21260</v>
      </c>
      <c r="W19" s="108">
        <f t="shared" si="17"/>
        <v>-21260</v>
      </c>
      <c r="X19" s="108">
        <f t="shared" si="17"/>
        <v>-21260</v>
      </c>
      <c r="Y19" s="108">
        <f t="shared" si="17"/>
        <v>-21260</v>
      </c>
      <c r="Z19" s="108">
        <f t="shared" si="17"/>
        <v>-21260</v>
      </c>
      <c r="AA19" s="110">
        <f t="shared" si="17"/>
        <v>-21260</v>
      </c>
      <c r="AB19" s="109">
        <f t="shared" si="17"/>
        <v>-22599.379999999997</v>
      </c>
      <c r="AC19" s="108">
        <f t="shared" si="17"/>
        <v>-22599.379999999997</v>
      </c>
      <c r="AD19" s="108">
        <f t="shared" si="17"/>
        <v>-22599.379999999997</v>
      </c>
      <c r="AE19" s="108">
        <f t="shared" si="17"/>
        <v>-22599.379999999997</v>
      </c>
      <c r="AF19" s="108">
        <f t="shared" si="17"/>
        <v>-22599.379999999997</v>
      </c>
      <c r="AG19" s="108">
        <f t="shared" si="17"/>
        <v>-22599.379999999997</v>
      </c>
      <c r="AH19" s="108">
        <f t="shared" si="17"/>
        <v>-22599.379999999997</v>
      </c>
      <c r="AI19" s="108">
        <f t="shared" si="17"/>
        <v>-22599.379999999997</v>
      </c>
      <c r="AJ19" s="108">
        <f t="shared" si="17"/>
        <v>-22599.379999999997</v>
      </c>
      <c r="AK19" s="108">
        <f t="shared" si="17"/>
        <v>-22599.379999999997</v>
      </c>
      <c r="AL19" s="108">
        <f t="shared" si="17"/>
        <v>-22599.379999999997</v>
      </c>
      <c r="AM19" s="110">
        <f t="shared" si="17"/>
        <v>-22599.379999999997</v>
      </c>
      <c r="AN19" s="109">
        <f t="shared" si="17"/>
        <v>-24023.140939999994</v>
      </c>
      <c r="AO19" s="108">
        <f t="shared" si="17"/>
        <v>-24023.140939999994</v>
      </c>
      <c r="AP19" s="108">
        <f t="shared" si="17"/>
        <v>-24023.140939999994</v>
      </c>
      <c r="AQ19" s="108">
        <f t="shared" si="17"/>
        <v>-24023.140939999994</v>
      </c>
      <c r="AR19" s="108">
        <f t="shared" si="17"/>
        <v>-24023.140939999994</v>
      </c>
      <c r="AS19" s="108">
        <f t="shared" si="17"/>
        <v>-24023.140939999994</v>
      </c>
      <c r="AT19" s="108">
        <f t="shared" si="17"/>
        <v>-24023.140939999994</v>
      </c>
      <c r="AU19" s="108">
        <f t="shared" si="17"/>
        <v>-24023.140939999994</v>
      </c>
      <c r="AV19" s="108">
        <f t="shared" ref="AV19:CA19" si="18">$C19*AV6</f>
        <v>-24023.140939999994</v>
      </c>
      <c r="AW19" s="108">
        <f t="shared" si="18"/>
        <v>-24023.140939999994</v>
      </c>
      <c r="AX19" s="108">
        <f t="shared" si="18"/>
        <v>-24023.140939999994</v>
      </c>
      <c r="AY19" s="110">
        <f t="shared" si="18"/>
        <v>-24023.140939999994</v>
      </c>
      <c r="AZ19" s="109">
        <f t="shared" si="18"/>
        <v>-25536.598819219991</v>
      </c>
      <c r="BA19" s="108">
        <f t="shared" si="18"/>
        <v>-25536.598819219991</v>
      </c>
      <c r="BB19" s="108">
        <f t="shared" si="18"/>
        <v>-25536.598819219991</v>
      </c>
      <c r="BC19" s="108">
        <f t="shared" si="18"/>
        <v>-25536.598819219991</v>
      </c>
      <c r="BD19" s="108">
        <f t="shared" si="18"/>
        <v>-25536.598819219991</v>
      </c>
      <c r="BE19" s="108">
        <f t="shared" si="18"/>
        <v>-25536.598819219991</v>
      </c>
      <c r="BF19" s="108">
        <f t="shared" si="18"/>
        <v>-25536.598819219991</v>
      </c>
      <c r="BG19" s="108">
        <f t="shared" si="18"/>
        <v>-25536.598819219991</v>
      </c>
      <c r="BH19" s="108">
        <f t="shared" si="18"/>
        <v>-25536.598819219991</v>
      </c>
      <c r="BI19" s="108">
        <f t="shared" si="18"/>
        <v>-25536.598819219991</v>
      </c>
      <c r="BJ19" s="108">
        <f t="shared" si="18"/>
        <v>-25536.598819219991</v>
      </c>
      <c r="BK19" s="110">
        <f t="shared" si="18"/>
        <v>-25536.598819219991</v>
      </c>
      <c r="BL19" s="109">
        <f t="shared" si="18"/>
        <v>-27145.40454483085</v>
      </c>
      <c r="BM19" s="108">
        <f t="shared" si="18"/>
        <v>-27145.40454483085</v>
      </c>
      <c r="BN19" s="108">
        <f t="shared" si="18"/>
        <v>-27145.40454483085</v>
      </c>
      <c r="BO19" s="108">
        <f t="shared" si="18"/>
        <v>-27145.40454483085</v>
      </c>
      <c r="BP19" s="108">
        <f t="shared" si="18"/>
        <v>-27145.40454483085</v>
      </c>
      <c r="BQ19" s="108">
        <f t="shared" si="18"/>
        <v>-27145.40454483085</v>
      </c>
      <c r="BR19" s="108">
        <f t="shared" si="18"/>
        <v>-27145.40454483085</v>
      </c>
      <c r="BS19" s="108">
        <f t="shared" si="18"/>
        <v>-27145.40454483085</v>
      </c>
      <c r="BT19" s="108">
        <f t="shared" si="18"/>
        <v>-27145.40454483085</v>
      </c>
      <c r="BU19" s="108">
        <f t="shared" si="18"/>
        <v>-27145.40454483085</v>
      </c>
      <c r="BV19" s="108">
        <f t="shared" si="18"/>
        <v>-27145.40454483085</v>
      </c>
      <c r="BW19" s="110">
        <f t="shared" si="18"/>
        <v>-27145.40454483085</v>
      </c>
      <c r="BX19" s="109">
        <f t="shared" si="18"/>
        <v>-28855.565031155191</v>
      </c>
      <c r="BY19" s="108">
        <f t="shared" si="18"/>
        <v>-28855.565031155191</v>
      </c>
      <c r="BZ19" s="108">
        <f t="shared" si="18"/>
        <v>-28855.565031155191</v>
      </c>
      <c r="CA19" s="108">
        <f t="shared" si="18"/>
        <v>-28855.565031155191</v>
      </c>
      <c r="CB19" s="108">
        <f t="shared" ref="CB19:DG19" si="19">$C19*CB6</f>
        <v>-28855.565031155191</v>
      </c>
      <c r="CC19" s="108">
        <f t="shared" si="19"/>
        <v>-28855.565031155191</v>
      </c>
      <c r="CD19" s="108">
        <f t="shared" si="19"/>
        <v>-28855.565031155191</v>
      </c>
      <c r="CE19" s="108">
        <f t="shared" si="19"/>
        <v>-28855.565031155191</v>
      </c>
      <c r="CF19" s="108">
        <f t="shared" si="19"/>
        <v>-28855.565031155191</v>
      </c>
      <c r="CG19" s="108">
        <f t="shared" si="19"/>
        <v>-28855.565031155191</v>
      </c>
      <c r="CH19" s="108">
        <f t="shared" si="19"/>
        <v>-28855.565031155191</v>
      </c>
      <c r="CI19" s="110">
        <f t="shared" si="19"/>
        <v>-28855.565031155191</v>
      </c>
      <c r="CJ19" s="109">
        <f t="shared" si="19"/>
        <v>-30673.465628117967</v>
      </c>
      <c r="CK19" s="108">
        <f t="shared" si="19"/>
        <v>-30673.465628117967</v>
      </c>
      <c r="CL19" s="108">
        <f t="shared" si="19"/>
        <v>-30673.465628117967</v>
      </c>
      <c r="CM19" s="108">
        <f t="shared" si="19"/>
        <v>-30673.465628117967</v>
      </c>
      <c r="CN19" s="108">
        <f t="shared" si="19"/>
        <v>-30673.465628117967</v>
      </c>
      <c r="CO19" s="108">
        <f t="shared" si="19"/>
        <v>-30673.465628117967</v>
      </c>
      <c r="CP19" s="108">
        <f t="shared" si="19"/>
        <v>-30673.465628117967</v>
      </c>
      <c r="CQ19" s="108">
        <f t="shared" si="19"/>
        <v>-30673.465628117967</v>
      </c>
      <c r="CR19" s="108">
        <f t="shared" si="19"/>
        <v>-30673.465628117967</v>
      </c>
      <c r="CS19" s="108">
        <f t="shared" si="19"/>
        <v>-30673.465628117967</v>
      </c>
      <c r="CT19" s="108">
        <f t="shared" si="19"/>
        <v>-30673.465628117967</v>
      </c>
      <c r="CU19" s="110">
        <f t="shared" si="19"/>
        <v>-30673.465628117967</v>
      </c>
      <c r="CV19" s="109">
        <f t="shared" si="19"/>
        <v>-32605.893962689399</v>
      </c>
      <c r="CW19" s="108">
        <f t="shared" si="19"/>
        <v>-32605.893962689399</v>
      </c>
      <c r="CX19" s="108">
        <f t="shared" si="19"/>
        <v>-32605.893962689399</v>
      </c>
      <c r="CY19" s="108">
        <f t="shared" si="19"/>
        <v>-32605.893962689399</v>
      </c>
      <c r="CZ19" s="108">
        <f t="shared" si="19"/>
        <v>-32605.893962689399</v>
      </c>
      <c r="DA19" s="108">
        <f t="shared" si="19"/>
        <v>-32605.893962689399</v>
      </c>
      <c r="DB19" s="108">
        <f t="shared" si="19"/>
        <v>-32605.893962689399</v>
      </c>
      <c r="DC19" s="108">
        <f t="shared" si="19"/>
        <v>-32605.893962689399</v>
      </c>
      <c r="DD19" s="108">
        <f t="shared" si="19"/>
        <v>-32605.893962689399</v>
      </c>
      <c r="DE19" s="108">
        <f t="shared" si="19"/>
        <v>-32605.893962689399</v>
      </c>
      <c r="DF19" s="108">
        <f t="shared" si="19"/>
        <v>-32605.893962689399</v>
      </c>
      <c r="DG19" s="110">
        <f t="shared" si="19"/>
        <v>-32605.893962689399</v>
      </c>
      <c r="DH19" s="109">
        <f t="shared" ref="DH19:DS19" si="20">$C19*DH6</f>
        <v>-34660.06528233883</v>
      </c>
      <c r="DI19" s="108">
        <f t="shared" si="20"/>
        <v>-34660.06528233883</v>
      </c>
      <c r="DJ19" s="108">
        <f t="shared" si="20"/>
        <v>-34660.06528233883</v>
      </c>
      <c r="DK19" s="108">
        <f t="shared" si="20"/>
        <v>-34660.06528233883</v>
      </c>
      <c r="DL19" s="108">
        <f t="shared" si="20"/>
        <v>-34660.06528233883</v>
      </c>
      <c r="DM19" s="108">
        <f t="shared" si="20"/>
        <v>-34660.06528233883</v>
      </c>
      <c r="DN19" s="108">
        <f t="shared" si="20"/>
        <v>-34660.06528233883</v>
      </c>
      <c r="DO19" s="108">
        <f t="shared" si="20"/>
        <v>-34660.06528233883</v>
      </c>
      <c r="DP19" s="108">
        <f t="shared" si="20"/>
        <v>-34660.06528233883</v>
      </c>
      <c r="DQ19" s="108">
        <f t="shared" si="20"/>
        <v>-34660.06528233883</v>
      </c>
      <c r="DR19" s="108">
        <f t="shared" si="20"/>
        <v>-34660.06528233883</v>
      </c>
      <c r="DS19" s="110">
        <f t="shared" si="20"/>
        <v>-34660.06528233883</v>
      </c>
      <c r="DT19" s="3"/>
      <c r="DU19" s="3"/>
    </row>
    <row r="20" spans="1:125" ht="15" x14ac:dyDescent="0.25">
      <c r="B20" s="162" t="s">
        <v>264</v>
      </c>
      <c r="C20" s="7">
        <v>-50000</v>
      </c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86"/>
      <c r="P20" s="109"/>
      <c r="Q20" s="108"/>
      <c r="R20" s="108">
        <f t="shared" ref="R20:AU20" si="21">$C20*R6</f>
        <v>-53150</v>
      </c>
      <c r="S20" s="108">
        <f t="shared" si="21"/>
        <v>-53150</v>
      </c>
      <c r="T20" s="108">
        <f t="shared" si="21"/>
        <v>-53150</v>
      </c>
      <c r="U20" s="108">
        <f t="shared" si="21"/>
        <v>-53150</v>
      </c>
      <c r="V20" s="108">
        <f t="shared" si="21"/>
        <v>-53150</v>
      </c>
      <c r="W20" s="108">
        <f t="shared" si="21"/>
        <v>-53150</v>
      </c>
      <c r="X20" s="108">
        <f t="shared" si="21"/>
        <v>-53150</v>
      </c>
      <c r="Y20" s="108">
        <f t="shared" si="21"/>
        <v>-53150</v>
      </c>
      <c r="Z20" s="108">
        <f t="shared" si="21"/>
        <v>-53150</v>
      </c>
      <c r="AA20" s="110">
        <f t="shared" si="21"/>
        <v>-53150</v>
      </c>
      <c r="AB20" s="109">
        <f t="shared" si="21"/>
        <v>-56498.44999999999</v>
      </c>
      <c r="AC20" s="108">
        <f t="shared" si="21"/>
        <v>-56498.44999999999</v>
      </c>
      <c r="AD20" s="108">
        <f t="shared" si="21"/>
        <v>-56498.44999999999</v>
      </c>
      <c r="AE20" s="108">
        <f t="shared" si="21"/>
        <v>-56498.44999999999</v>
      </c>
      <c r="AF20" s="108">
        <f t="shared" si="21"/>
        <v>-56498.44999999999</v>
      </c>
      <c r="AG20" s="108">
        <f t="shared" si="21"/>
        <v>-56498.44999999999</v>
      </c>
      <c r="AH20" s="108">
        <f t="shared" si="21"/>
        <v>-56498.44999999999</v>
      </c>
      <c r="AI20" s="108">
        <f t="shared" si="21"/>
        <v>-56498.44999999999</v>
      </c>
      <c r="AJ20" s="108">
        <f t="shared" si="21"/>
        <v>-56498.44999999999</v>
      </c>
      <c r="AK20" s="108">
        <f t="shared" si="21"/>
        <v>-56498.44999999999</v>
      </c>
      <c r="AL20" s="108">
        <f t="shared" si="21"/>
        <v>-56498.44999999999</v>
      </c>
      <c r="AM20" s="110">
        <f t="shared" si="21"/>
        <v>-56498.44999999999</v>
      </c>
      <c r="AN20" s="109">
        <f t="shared" si="21"/>
        <v>-60057.852349999986</v>
      </c>
      <c r="AO20" s="108">
        <f t="shared" si="21"/>
        <v>-60057.852349999986</v>
      </c>
      <c r="AP20" s="108">
        <f t="shared" si="21"/>
        <v>-60057.852349999986</v>
      </c>
      <c r="AQ20" s="108">
        <f t="shared" si="21"/>
        <v>-60057.852349999986</v>
      </c>
      <c r="AR20" s="108">
        <f t="shared" si="21"/>
        <v>-60057.852349999986</v>
      </c>
      <c r="AS20" s="108">
        <f t="shared" si="21"/>
        <v>-60057.852349999986</v>
      </c>
      <c r="AT20" s="108">
        <f t="shared" si="21"/>
        <v>-60057.852349999986</v>
      </c>
      <c r="AU20" s="108">
        <f t="shared" si="21"/>
        <v>-60057.852349999986</v>
      </c>
      <c r="AV20" s="108">
        <f t="shared" ref="AV20:CA20" si="22">$C20*AV6</f>
        <v>-60057.852349999986</v>
      </c>
      <c r="AW20" s="108">
        <f t="shared" si="22"/>
        <v>-60057.852349999986</v>
      </c>
      <c r="AX20" s="108">
        <f t="shared" si="22"/>
        <v>-60057.852349999986</v>
      </c>
      <c r="AY20" s="110">
        <f t="shared" si="22"/>
        <v>-60057.852349999986</v>
      </c>
      <c r="AZ20" s="109">
        <f t="shared" si="22"/>
        <v>-63841.497048049976</v>
      </c>
      <c r="BA20" s="108">
        <f t="shared" si="22"/>
        <v>-63841.497048049976</v>
      </c>
      <c r="BB20" s="108">
        <f t="shared" si="22"/>
        <v>-63841.497048049976</v>
      </c>
      <c r="BC20" s="108">
        <f t="shared" si="22"/>
        <v>-63841.497048049976</v>
      </c>
      <c r="BD20" s="108">
        <f t="shared" si="22"/>
        <v>-63841.497048049976</v>
      </c>
      <c r="BE20" s="108">
        <f t="shared" si="22"/>
        <v>-63841.497048049976</v>
      </c>
      <c r="BF20" s="108">
        <f t="shared" si="22"/>
        <v>-63841.497048049976</v>
      </c>
      <c r="BG20" s="108">
        <f t="shared" si="22"/>
        <v>-63841.497048049976</v>
      </c>
      <c r="BH20" s="108">
        <f t="shared" si="22"/>
        <v>-63841.497048049976</v>
      </c>
      <c r="BI20" s="108">
        <f t="shared" si="22"/>
        <v>-63841.497048049976</v>
      </c>
      <c r="BJ20" s="108">
        <f t="shared" si="22"/>
        <v>-63841.497048049976</v>
      </c>
      <c r="BK20" s="110">
        <f t="shared" si="22"/>
        <v>-63841.497048049976</v>
      </c>
      <c r="BL20" s="109">
        <f t="shared" si="22"/>
        <v>-67863.511362077115</v>
      </c>
      <c r="BM20" s="108">
        <f t="shared" si="22"/>
        <v>-67863.511362077115</v>
      </c>
      <c r="BN20" s="108">
        <f t="shared" si="22"/>
        <v>-67863.511362077115</v>
      </c>
      <c r="BO20" s="108">
        <f t="shared" si="22"/>
        <v>-67863.511362077115</v>
      </c>
      <c r="BP20" s="108">
        <f t="shared" si="22"/>
        <v>-67863.511362077115</v>
      </c>
      <c r="BQ20" s="108">
        <f t="shared" si="22"/>
        <v>-67863.511362077115</v>
      </c>
      <c r="BR20" s="108">
        <f t="shared" si="22"/>
        <v>-67863.511362077115</v>
      </c>
      <c r="BS20" s="108">
        <f t="shared" si="22"/>
        <v>-67863.511362077115</v>
      </c>
      <c r="BT20" s="108">
        <f t="shared" si="22"/>
        <v>-67863.511362077115</v>
      </c>
      <c r="BU20" s="108">
        <f t="shared" si="22"/>
        <v>-67863.511362077115</v>
      </c>
      <c r="BV20" s="108">
        <f t="shared" si="22"/>
        <v>-67863.511362077115</v>
      </c>
      <c r="BW20" s="110">
        <f t="shared" si="22"/>
        <v>-67863.511362077115</v>
      </c>
      <c r="BX20" s="109">
        <f t="shared" si="22"/>
        <v>-72138.912577887982</v>
      </c>
      <c r="BY20" s="108">
        <f t="shared" si="22"/>
        <v>-72138.912577887982</v>
      </c>
      <c r="BZ20" s="108">
        <f t="shared" si="22"/>
        <v>-72138.912577887982</v>
      </c>
      <c r="CA20" s="108">
        <f t="shared" si="22"/>
        <v>-72138.912577887982</v>
      </c>
      <c r="CB20" s="108">
        <f t="shared" ref="CB20:DG20" si="23">$C20*CB6</f>
        <v>-72138.912577887982</v>
      </c>
      <c r="CC20" s="108">
        <f t="shared" si="23"/>
        <v>-72138.912577887982</v>
      </c>
      <c r="CD20" s="108">
        <f t="shared" si="23"/>
        <v>-72138.912577887982</v>
      </c>
      <c r="CE20" s="108">
        <f t="shared" si="23"/>
        <v>-72138.912577887982</v>
      </c>
      <c r="CF20" s="108">
        <f t="shared" si="23"/>
        <v>-72138.912577887982</v>
      </c>
      <c r="CG20" s="108">
        <f t="shared" si="23"/>
        <v>-72138.912577887982</v>
      </c>
      <c r="CH20" s="108">
        <f t="shared" si="23"/>
        <v>-72138.912577887982</v>
      </c>
      <c r="CI20" s="110">
        <f t="shared" si="23"/>
        <v>-72138.912577887982</v>
      </c>
      <c r="CJ20" s="109">
        <f t="shared" si="23"/>
        <v>-76683.664070294923</v>
      </c>
      <c r="CK20" s="108">
        <f t="shared" si="23"/>
        <v>-76683.664070294923</v>
      </c>
      <c r="CL20" s="108">
        <f t="shared" si="23"/>
        <v>-76683.664070294923</v>
      </c>
      <c r="CM20" s="108">
        <f t="shared" si="23"/>
        <v>-76683.664070294923</v>
      </c>
      <c r="CN20" s="108">
        <f t="shared" si="23"/>
        <v>-76683.664070294923</v>
      </c>
      <c r="CO20" s="108">
        <f t="shared" si="23"/>
        <v>-76683.664070294923</v>
      </c>
      <c r="CP20" s="108">
        <f t="shared" si="23"/>
        <v>-76683.664070294923</v>
      </c>
      <c r="CQ20" s="108">
        <f t="shared" si="23"/>
        <v>-76683.664070294923</v>
      </c>
      <c r="CR20" s="108">
        <f t="shared" si="23"/>
        <v>-76683.664070294923</v>
      </c>
      <c r="CS20" s="108">
        <f t="shared" si="23"/>
        <v>-76683.664070294923</v>
      </c>
      <c r="CT20" s="108">
        <f t="shared" si="23"/>
        <v>-76683.664070294923</v>
      </c>
      <c r="CU20" s="110">
        <f t="shared" si="23"/>
        <v>-76683.664070294923</v>
      </c>
      <c r="CV20" s="109">
        <f t="shared" si="23"/>
        <v>-81514.73490672349</v>
      </c>
      <c r="CW20" s="108">
        <f t="shared" si="23"/>
        <v>-81514.73490672349</v>
      </c>
      <c r="CX20" s="108">
        <f t="shared" si="23"/>
        <v>-81514.73490672349</v>
      </c>
      <c r="CY20" s="108">
        <f t="shared" si="23"/>
        <v>-81514.73490672349</v>
      </c>
      <c r="CZ20" s="108">
        <f t="shared" si="23"/>
        <v>-81514.73490672349</v>
      </c>
      <c r="DA20" s="108">
        <f t="shared" si="23"/>
        <v>-81514.73490672349</v>
      </c>
      <c r="DB20" s="108">
        <f t="shared" si="23"/>
        <v>-81514.73490672349</v>
      </c>
      <c r="DC20" s="108">
        <f t="shared" si="23"/>
        <v>-81514.73490672349</v>
      </c>
      <c r="DD20" s="108">
        <f t="shared" si="23"/>
        <v>-81514.73490672349</v>
      </c>
      <c r="DE20" s="108">
        <f t="shared" si="23"/>
        <v>-81514.73490672349</v>
      </c>
      <c r="DF20" s="108">
        <f t="shared" si="23"/>
        <v>-81514.73490672349</v>
      </c>
      <c r="DG20" s="110">
        <f t="shared" si="23"/>
        <v>-81514.73490672349</v>
      </c>
      <c r="DH20" s="109">
        <f t="shared" ref="DH20:DS20" si="24">$C20*DH6</f>
        <v>-86650.163205847071</v>
      </c>
      <c r="DI20" s="108">
        <f t="shared" si="24"/>
        <v>-86650.163205847071</v>
      </c>
      <c r="DJ20" s="108">
        <f t="shared" si="24"/>
        <v>-86650.163205847071</v>
      </c>
      <c r="DK20" s="108">
        <f t="shared" si="24"/>
        <v>-86650.163205847071</v>
      </c>
      <c r="DL20" s="108">
        <f t="shared" si="24"/>
        <v>-86650.163205847071</v>
      </c>
      <c r="DM20" s="108">
        <f t="shared" si="24"/>
        <v>-86650.163205847071</v>
      </c>
      <c r="DN20" s="108">
        <f t="shared" si="24"/>
        <v>-86650.163205847071</v>
      </c>
      <c r="DO20" s="108">
        <f t="shared" si="24"/>
        <v>-86650.163205847071</v>
      </c>
      <c r="DP20" s="108">
        <f t="shared" si="24"/>
        <v>-86650.163205847071</v>
      </c>
      <c r="DQ20" s="108">
        <f t="shared" si="24"/>
        <v>-86650.163205847071</v>
      </c>
      <c r="DR20" s="108">
        <f t="shared" si="24"/>
        <v>-86650.163205847071</v>
      </c>
      <c r="DS20" s="110">
        <f t="shared" si="24"/>
        <v>-86650.163205847071</v>
      </c>
      <c r="DT20" s="3"/>
      <c r="DU20" s="3"/>
    </row>
    <row r="21" spans="1:125" ht="15" x14ac:dyDescent="0.25">
      <c r="B21" s="162" t="s">
        <v>6</v>
      </c>
      <c r="C21" s="7">
        <v>-14000</v>
      </c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86"/>
      <c r="P21" s="109"/>
      <c r="Q21" s="108"/>
      <c r="R21" s="108">
        <f t="shared" ref="R21:AB21" si="25">$C21*R$6</f>
        <v>-14882</v>
      </c>
      <c r="S21" s="108">
        <f t="shared" si="25"/>
        <v>-14882</v>
      </c>
      <c r="T21" s="108">
        <f t="shared" si="25"/>
        <v>-14882</v>
      </c>
      <c r="U21" s="108">
        <f t="shared" si="25"/>
        <v>-14882</v>
      </c>
      <c r="V21" s="108">
        <f t="shared" si="25"/>
        <v>-14882</v>
      </c>
      <c r="W21" s="108">
        <f t="shared" si="25"/>
        <v>-14882</v>
      </c>
      <c r="X21" s="108">
        <f t="shared" si="25"/>
        <v>-14882</v>
      </c>
      <c r="Y21" s="108">
        <f t="shared" si="25"/>
        <v>-14882</v>
      </c>
      <c r="Z21" s="108">
        <f t="shared" si="25"/>
        <v>-14882</v>
      </c>
      <c r="AA21" s="110">
        <f t="shared" si="25"/>
        <v>-14882</v>
      </c>
      <c r="AB21" s="109">
        <f t="shared" si="25"/>
        <v>-15819.565999999997</v>
      </c>
      <c r="AC21" s="108">
        <f t="shared" ref="AC21:AK21" si="26">$C21*AC$6</f>
        <v>-15819.565999999997</v>
      </c>
      <c r="AD21" s="108">
        <f t="shared" si="26"/>
        <v>-15819.565999999997</v>
      </c>
      <c r="AE21" s="108">
        <f t="shared" si="26"/>
        <v>-15819.565999999997</v>
      </c>
      <c r="AF21" s="108">
        <f t="shared" si="26"/>
        <v>-15819.565999999997</v>
      </c>
      <c r="AG21" s="108">
        <f t="shared" si="26"/>
        <v>-15819.565999999997</v>
      </c>
      <c r="AH21" s="108">
        <f t="shared" si="26"/>
        <v>-15819.565999999997</v>
      </c>
      <c r="AI21" s="108">
        <f t="shared" si="26"/>
        <v>-15819.565999999997</v>
      </c>
      <c r="AJ21" s="108">
        <f t="shared" si="26"/>
        <v>-15819.565999999997</v>
      </c>
      <c r="AK21" s="108">
        <f t="shared" si="26"/>
        <v>-15819.565999999997</v>
      </c>
      <c r="AL21" s="108">
        <f>$C21*AL$6</f>
        <v>-15819.565999999997</v>
      </c>
      <c r="AM21" s="110">
        <f t="shared" ref="AM21:AW21" si="27">$C21*AM$6</f>
        <v>-15819.565999999997</v>
      </c>
      <c r="AN21" s="109">
        <f t="shared" si="27"/>
        <v>-16816.198657999998</v>
      </c>
      <c r="AO21" s="108">
        <f t="shared" si="27"/>
        <v>-16816.198657999998</v>
      </c>
      <c r="AP21" s="108">
        <f t="shared" si="27"/>
        <v>-16816.198657999998</v>
      </c>
      <c r="AQ21" s="108">
        <f t="shared" si="27"/>
        <v>-16816.198657999998</v>
      </c>
      <c r="AR21" s="108">
        <f t="shared" si="27"/>
        <v>-16816.198657999998</v>
      </c>
      <c r="AS21" s="108">
        <f t="shared" si="27"/>
        <v>-16816.198657999998</v>
      </c>
      <c r="AT21" s="108">
        <f t="shared" si="27"/>
        <v>-16816.198657999998</v>
      </c>
      <c r="AU21" s="108">
        <f t="shared" si="27"/>
        <v>-16816.198657999998</v>
      </c>
      <c r="AV21" s="108">
        <f t="shared" si="27"/>
        <v>-16816.198657999998</v>
      </c>
      <c r="AW21" s="108">
        <f t="shared" si="27"/>
        <v>-16816.198657999998</v>
      </c>
      <c r="AX21" s="108">
        <f>$C21*AX$6</f>
        <v>-16816.198657999998</v>
      </c>
      <c r="AY21" s="110">
        <f t="shared" ref="AY21:BI21" si="28">$C21*AY$6</f>
        <v>-16816.198657999998</v>
      </c>
      <c r="AZ21" s="109">
        <f t="shared" si="28"/>
        <v>-17875.619173453993</v>
      </c>
      <c r="BA21" s="108">
        <f t="shared" si="28"/>
        <v>-17875.619173453993</v>
      </c>
      <c r="BB21" s="108">
        <f t="shared" si="28"/>
        <v>-17875.619173453993</v>
      </c>
      <c r="BC21" s="108">
        <f t="shared" si="28"/>
        <v>-17875.619173453993</v>
      </c>
      <c r="BD21" s="108">
        <f t="shared" si="28"/>
        <v>-17875.619173453993</v>
      </c>
      <c r="BE21" s="108">
        <f t="shared" si="28"/>
        <v>-17875.619173453993</v>
      </c>
      <c r="BF21" s="108">
        <f t="shared" si="28"/>
        <v>-17875.619173453993</v>
      </c>
      <c r="BG21" s="108">
        <f t="shared" si="28"/>
        <v>-17875.619173453993</v>
      </c>
      <c r="BH21" s="108">
        <f t="shared" si="28"/>
        <v>-17875.619173453993</v>
      </c>
      <c r="BI21" s="108">
        <f t="shared" si="28"/>
        <v>-17875.619173453993</v>
      </c>
      <c r="BJ21" s="108">
        <f>$C21*BJ$6</f>
        <v>-17875.619173453993</v>
      </c>
      <c r="BK21" s="110">
        <f t="shared" ref="BK21:BU21" si="29">$C21*BK$6</f>
        <v>-17875.619173453993</v>
      </c>
      <c r="BL21" s="109">
        <f t="shared" si="29"/>
        <v>-19001.783181381594</v>
      </c>
      <c r="BM21" s="108">
        <f t="shared" si="29"/>
        <v>-19001.783181381594</v>
      </c>
      <c r="BN21" s="108">
        <f t="shared" si="29"/>
        <v>-19001.783181381594</v>
      </c>
      <c r="BO21" s="108">
        <f t="shared" si="29"/>
        <v>-19001.783181381594</v>
      </c>
      <c r="BP21" s="108">
        <f t="shared" si="29"/>
        <v>-19001.783181381594</v>
      </c>
      <c r="BQ21" s="108">
        <f t="shared" si="29"/>
        <v>-19001.783181381594</v>
      </c>
      <c r="BR21" s="108">
        <f t="shared" si="29"/>
        <v>-19001.783181381594</v>
      </c>
      <c r="BS21" s="108">
        <f t="shared" si="29"/>
        <v>-19001.783181381594</v>
      </c>
      <c r="BT21" s="108">
        <f t="shared" si="29"/>
        <v>-19001.783181381594</v>
      </c>
      <c r="BU21" s="108">
        <f t="shared" si="29"/>
        <v>-19001.783181381594</v>
      </c>
      <c r="BV21" s="108">
        <f>$C21*BV$6</f>
        <v>-19001.783181381594</v>
      </c>
      <c r="BW21" s="110">
        <f t="shared" ref="BW21:CG21" si="30">$C21*BW$6</f>
        <v>-19001.783181381594</v>
      </c>
      <c r="BX21" s="109">
        <f t="shared" si="30"/>
        <v>-20198.895521808634</v>
      </c>
      <c r="BY21" s="108">
        <f t="shared" si="30"/>
        <v>-20198.895521808634</v>
      </c>
      <c r="BZ21" s="108">
        <f t="shared" si="30"/>
        <v>-20198.895521808634</v>
      </c>
      <c r="CA21" s="108">
        <f t="shared" si="30"/>
        <v>-20198.895521808634</v>
      </c>
      <c r="CB21" s="108">
        <f t="shared" si="30"/>
        <v>-20198.895521808634</v>
      </c>
      <c r="CC21" s="108">
        <f t="shared" si="30"/>
        <v>-20198.895521808634</v>
      </c>
      <c r="CD21" s="108">
        <f t="shared" si="30"/>
        <v>-20198.895521808634</v>
      </c>
      <c r="CE21" s="108">
        <f t="shared" si="30"/>
        <v>-20198.895521808634</v>
      </c>
      <c r="CF21" s="108">
        <f t="shared" si="30"/>
        <v>-20198.895521808634</v>
      </c>
      <c r="CG21" s="108">
        <f t="shared" si="30"/>
        <v>-20198.895521808634</v>
      </c>
      <c r="CH21" s="108">
        <f>$C21*CH$6</f>
        <v>-20198.895521808634</v>
      </c>
      <c r="CI21" s="110">
        <f t="shared" ref="CI21:CS21" si="31">$C21*CI$6</f>
        <v>-20198.895521808634</v>
      </c>
      <c r="CJ21" s="109">
        <f t="shared" si="31"/>
        <v>-21471.425939682576</v>
      </c>
      <c r="CK21" s="108">
        <f t="shared" si="31"/>
        <v>-21471.425939682576</v>
      </c>
      <c r="CL21" s="108">
        <f t="shared" si="31"/>
        <v>-21471.425939682576</v>
      </c>
      <c r="CM21" s="108">
        <f t="shared" si="31"/>
        <v>-21471.425939682576</v>
      </c>
      <c r="CN21" s="108">
        <f t="shared" si="31"/>
        <v>-21471.425939682576</v>
      </c>
      <c r="CO21" s="108">
        <f t="shared" si="31"/>
        <v>-21471.425939682576</v>
      </c>
      <c r="CP21" s="108">
        <f t="shared" si="31"/>
        <v>-21471.425939682576</v>
      </c>
      <c r="CQ21" s="108">
        <f t="shared" si="31"/>
        <v>-21471.425939682576</v>
      </c>
      <c r="CR21" s="108">
        <f t="shared" si="31"/>
        <v>-21471.425939682576</v>
      </c>
      <c r="CS21" s="108">
        <f t="shared" si="31"/>
        <v>-21471.425939682576</v>
      </c>
      <c r="CT21" s="108">
        <f>$C21*CT$6</f>
        <v>-21471.425939682576</v>
      </c>
      <c r="CU21" s="110">
        <f t="shared" ref="CU21:DE21" si="32">$C21*CU$6</f>
        <v>-21471.425939682576</v>
      </c>
      <c r="CV21" s="109">
        <f t="shared" si="32"/>
        <v>-22824.125773882581</v>
      </c>
      <c r="CW21" s="108">
        <f t="shared" si="32"/>
        <v>-22824.125773882581</v>
      </c>
      <c r="CX21" s="108">
        <f t="shared" si="32"/>
        <v>-22824.125773882581</v>
      </c>
      <c r="CY21" s="108">
        <f t="shared" si="32"/>
        <v>-22824.125773882581</v>
      </c>
      <c r="CZ21" s="108">
        <f t="shared" si="32"/>
        <v>-22824.125773882581</v>
      </c>
      <c r="DA21" s="108">
        <f t="shared" si="32"/>
        <v>-22824.125773882581</v>
      </c>
      <c r="DB21" s="108">
        <f t="shared" si="32"/>
        <v>-22824.125773882581</v>
      </c>
      <c r="DC21" s="108">
        <f t="shared" si="32"/>
        <v>-22824.125773882581</v>
      </c>
      <c r="DD21" s="108">
        <f t="shared" si="32"/>
        <v>-22824.125773882581</v>
      </c>
      <c r="DE21" s="108">
        <f t="shared" si="32"/>
        <v>-22824.125773882581</v>
      </c>
      <c r="DF21" s="108">
        <f>$C21*DF$6</f>
        <v>-22824.125773882581</v>
      </c>
      <c r="DG21" s="110">
        <f t="shared" ref="DG21:DQ21" si="33">$C21*DG$6</f>
        <v>-22824.125773882581</v>
      </c>
      <c r="DH21" s="109">
        <f t="shared" si="33"/>
        <v>-24262.045697637182</v>
      </c>
      <c r="DI21" s="108">
        <f t="shared" si="33"/>
        <v>-24262.045697637182</v>
      </c>
      <c r="DJ21" s="108">
        <f t="shared" si="33"/>
        <v>-24262.045697637182</v>
      </c>
      <c r="DK21" s="108">
        <f t="shared" si="33"/>
        <v>-24262.045697637182</v>
      </c>
      <c r="DL21" s="108">
        <f t="shared" si="33"/>
        <v>-24262.045697637182</v>
      </c>
      <c r="DM21" s="108">
        <f t="shared" si="33"/>
        <v>-24262.045697637182</v>
      </c>
      <c r="DN21" s="108">
        <f t="shared" si="33"/>
        <v>-24262.045697637182</v>
      </c>
      <c r="DO21" s="108">
        <f t="shared" si="33"/>
        <v>-24262.045697637182</v>
      </c>
      <c r="DP21" s="108">
        <f t="shared" si="33"/>
        <v>-24262.045697637182</v>
      </c>
      <c r="DQ21" s="108">
        <f t="shared" si="33"/>
        <v>-24262.045697637182</v>
      </c>
      <c r="DR21" s="108">
        <f>$C21*DR$6</f>
        <v>-24262.045697637182</v>
      </c>
      <c r="DS21" s="110">
        <f>$C21*DS$6</f>
        <v>-24262.045697637182</v>
      </c>
      <c r="DT21" s="3"/>
      <c r="DU21" s="3"/>
    </row>
    <row r="22" spans="1:125" ht="15" x14ac:dyDescent="0.25">
      <c r="B22" s="162" t="s">
        <v>257</v>
      </c>
      <c r="C22" s="7">
        <v>-500</v>
      </c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86"/>
      <c r="P22" s="109"/>
      <c r="Q22" s="108"/>
      <c r="R22" s="108">
        <f t="shared" ref="R22:AW22" si="34">$C22*R6</f>
        <v>-531.5</v>
      </c>
      <c r="S22" s="108">
        <f t="shared" si="34"/>
        <v>-531.5</v>
      </c>
      <c r="T22" s="108">
        <f t="shared" si="34"/>
        <v>-531.5</v>
      </c>
      <c r="U22" s="108">
        <f t="shared" si="34"/>
        <v>-531.5</v>
      </c>
      <c r="V22" s="108">
        <f t="shared" si="34"/>
        <v>-531.5</v>
      </c>
      <c r="W22" s="108">
        <f t="shared" si="34"/>
        <v>-531.5</v>
      </c>
      <c r="X22" s="108">
        <f t="shared" si="34"/>
        <v>-531.5</v>
      </c>
      <c r="Y22" s="108">
        <f t="shared" si="34"/>
        <v>-531.5</v>
      </c>
      <c r="Z22" s="108">
        <f t="shared" si="34"/>
        <v>-531.5</v>
      </c>
      <c r="AA22" s="110">
        <f t="shared" si="34"/>
        <v>-531.5</v>
      </c>
      <c r="AB22" s="109">
        <f t="shared" si="34"/>
        <v>-564.98449999999991</v>
      </c>
      <c r="AC22" s="108">
        <f t="shared" si="34"/>
        <v>-564.98449999999991</v>
      </c>
      <c r="AD22" s="108">
        <f t="shared" si="34"/>
        <v>-564.98449999999991</v>
      </c>
      <c r="AE22" s="108">
        <f t="shared" si="34"/>
        <v>-564.98449999999991</v>
      </c>
      <c r="AF22" s="108">
        <f t="shared" si="34"/>
        <v>-564.98449999999991</v>
      </c>
      <c r="AG22" s="108">
        <f t="shared" si="34"/>
        <v>-564.98449999999991</v>
      </c>
      <c r="AH22" s="108">
        <f t="shared" si="34"/>
        <v>-564.98449999999991</v>
      </c>
      <c r="AI22" s="108">
        <f t="shared" si="34"/>
        <v>-564.98449999999991</v>
      </c>
      <c r="AJ22" s="108">
        <f t="shared" si="34"/>
        <v>-564.98449999999991</v>
      </c>
      <c r="AK22" s="108">
        <f t="shared" si="34"/>
        <v>-564.98449999999991</v>
      </c>
      <c r="AL22" s="108">
        <f t="shared" si="34"/>
        <v>-564.98449999999991</v>
      </c>
      <c r="AM22" s="110">
        <f t="shared" si="34"/>
        <v>-564.98449999999991</v>
      </c>
      <c r="AN22" s="109">
        <f t="shared" si="34"/>
        <v>-600.57852349999985</v>
      </c>
      <c r="AO22" s="108">
        <f t="shared" si="34"/>
        <v>-600.57852349999985</v>
      </c>
      <c r="AP22" s="108">
        <f t="shared" si="34"/>
        <v>-600.57852349999985</v>
      </c>
      <c r="AQ22" s="108">
        <f t="shared" si="34"/>
        <v>-600.57852349999985</v>
      </c>
      <c r="AR22" s="108">
        <f t="shared" si="34"/>
        <v>-600.57852349999985</v>
      </c>
      <c r="AS22" s="108">
        <f t="shared" si="34"/>
        <v>-600.57852349999985</v>
      </c>
      <c r="AT22" s="108">
        <f t="shared" si="34"/>
        <v>-600.57852349999985</v>
      </c>
      <c r="AU22" s="108">
        <f t="shared" si="34"/>
        <v>-600.57852349999985</v>
      </c>
      <c r="AV22" s="108">
        <f t="shared" si="34"/>
        <v>-600.57852349999985</v>
      </c>
      <c r="AW22" s="108">
        <f t="shared" si="34"/>
        <v>-600.57852349999985</v>
      </c>
      <c r="AX22" s="108">
        <f t="shared" ref="AX22:CC22" si="35">$C22*AX6</f>
        <v>-600.57852349999985</v>
      </c>
      <c r="AY22" s="110">
        <f t="shared" si="35"/>
        <v>-600.57852349999985</v>
      </c>
      <c r="AZ22" s="109">
        <f t="shared" si="35"/>
        <v>-638.41497048049973</v>
      </c>
      <c r="BA22" s="108">
        <f t="shared" si="35"/>
        <v>-638.41497048049973</v>
      </c>
      <c r="BB22" s="108">
        <f t="shared" si="35"/>
        <v>-638.41497048049973</v>
      </c>
      <c r="BC22" s="108">
        <f t="shared" si="35"/>
        <v>-638.41497048049973</v>
      </c>
      <c r="BD22" s="108">
        <f t="shared" si="35"/>
        <v>-638.41497048049973</v>
      </c>
      <c r="BE22" s="108">
        <f t="shared" si="35"/>
        <v>-638.41497048049973</v>
      </c>
      <c r="BF22" s="108">
        <f t="shared" si="35"/>
        <v>-638.41497048049973</v>
      </c>
      <c r="BG22" s="108">
        <f t="shared" si="35"/>
        <v>-638.41497048049973</v>
      </c>
      <c r="BH22" s="108">
        <f t="shared" si="35"/>
        <v>-638.41497048049973</v>
      </c>
      <c r="BI22" s="108">
        <f t="shared" si="35"/>
        <v>-638.41497048049973</v>
      </c>
      <c r="BJ22" s="108">
        <f t="shared" si="35"/>
        <v>-638.41497048049973</v>
      </c>
      <c r="BK22" s="110">
        <f t="shared" si="35"/>
        <v>-638.41497048049973</v>
      </c>
      <c r="BL22" s="109">
        <f t="shared" si="35"/>
        <v>-678.63511362077122</v>
      </c>
      <c r="BM22" s="108">
        <f t="shared" si="35"/>
        <v>-678.63511362077122</v>
      </c>
      <c r="BN22" s="108">
        <f t="shared" si="35"/>
        <v>-678.63511362077122</v>
      </c>
      <c r="BO22" s="108">
        <f t="shared" si="35"/>
        <v>-678.63511362077122</v>
      </c>
      <c r="BP22" s="108">
        <f t="shared" si="35"/>
        <v>-678.63511362077122</v>
      </c>
      <c r="BQ22" s="108">
        <f t="shared" si="35"/>
        <v>-678.63511362077122</v>
      </c>
      <c r="BR22" s="108">
        <f t="shared" si="35"/>
        <v>-678.63511362077122</v>
      </c>
      <c r="BS22" s="108">
        <f t="shared" si="35"/>
        <v>-678.63511362077122</v>
      </c>
      <c r="BT22" s="108">
        <f t="shared" si="35"/>
        <v>-678.63511362077122</v>
      </c>
      <c r="BU22" s="108">
        <f t="shared" si="35"/>
        <v>-678.63511362077122</v>
      </c>
      <c r="BV22" s="108">
        <f t="shared" si="35"/>
        <v>-678.63511362077122</v>
      </c>
      <c r="BW22" s="110">
        <f t="shared" si="35"/>
        <v>-678.63511362077122</v>
      </c>
      <c r="BX22" s="109">
        <f t="shared" si="35"/>
        <v>-721.38912577887982</v>
      </c>
      <c r="BY22" s="108">
        <f t="shared" si="35"/>
        <v>-721.38912577887982</v>
      </c>
      <c r="BZ22" s="108">
        <f t="shared" si="35"/>
        <v>-721.38912577887982</v>
      </c>
      <c r="CA22" s="108">
        <f t="shared" si="35"/>
        <v>-721.38912577887982</v>
      </c>
      <c r="CB22" s="108">
        <f t="shared" si="35"/>
        <v>-721.38912577887982</v>
      </c>
      <c r="CC22" s="108">
        <f t="shared" si="35"/>
        <v>-721.38912577887982</v>
      </c>
      <c r="CD22" s="108">
        <f t="shared" ref="CD22:DI22" si="36">$C22*CD6</f>
        <v>-721.38912577887982</v>
      </c>
      <c r="CE22" s="108">
        <f t="shared" si="36"/>
        <v>-721.38912577887982</v>
      </c>
      <c r="CF22" s="108">
        <f t="shared" si="36"/>
        <v>-721.38912577887982</v>
      </c>
      <c r="CG22" s="108">
        <f t="shared" si="36"/>
        <v>-721.38912577887982</v>
      </c>
      <c r="CH22" s="108">
        <f t="shared" si="36"/>
        <v>-721.38912577887982</v>
      </c>
      <c r="CI22" s="110">
        <f t="shared" si="36"/>
        <v>-721.38912577887982</v>
      </c>
      <c r="CJ22" s="109">
        <f t="shared" si="36"/>
        <v>-766.83664070294924</v>
      </c>
      <c r="CK22" s="108">
        <f t="shared" si="36"/>
        <v>-766.83664070294924</v>
      </c>
      <c r="CL22" s="108">
        <f t="shared" si="36"/>
        <v>-766.83664070294924</v>
      </c>
      <c r="CM22" s="108">
        <f t="shared" si="36"/>
        <v>-766.83664070294924</v>
      </c>
      <c r="CN22" s="108">
        <f t="shared" si="36"/>
        <v>-766.83664070294924</v>
      </c>
      <c r="CO22" s="108">
        <f t="shared" si="36"/>
        <v>-766.83664070294924</v>
      </c>
      <c r="CP22" s="108">
        <f t="shared" si="36"/>
        <v>-766.83664070294924</v>
      </c>
      <c r="CQ22" s="108">
        <f t="shared" si="36"/>
        <v>-766.83664070294924</v>
      </c>
      <c r="CR22" s="108">
        <f t="shared" si="36"/>
        <v>-766.83664070294924</v>
      </c>
      <c r="CS22" s="108">
        <f t="shared" si="36"/>
        <v>-766.83664070294924</v>
      </c>
      <c r="CT22" s="108">
        <f t="shared" si="36"/>
        <v>-766.83664070294924</v>
      </c>
      <c r="CU22" s="110">
        <f t="shared" si="36"/>
        <v>-766.83664070294924</v>
      </c>
      <c r="CV22" s="109">
        <f t="shared" si="36"/>
        <v>-815.14734906723493</v>
      </c>
      <c r="CW22" s="108">
        <f t="shared" si="36"/>
        <v>-815.14734906723493</v>
      </c>
      <c r="CX22" s="108">
        <f t="shared" si="36"/>
        <v>-815.14734906723493</v>
      </c>
      <c r="CY22" s="108">
        <f t="shared" si="36"/>
        <v>-815.14734906723493</v>
      </c>
      <c r="CZ22" s="108">
        <f t="shared" si="36"/>
        <v>-815.14734906723493</v>
      </c>
      <c r="DA22" s="108">
        <f t="shared" si="36"/>
        <v>-815.14734906723493</v>
      </c>
      <c r="DB22" s="108">
        <f t="shared" si="36"/>
        <v>-815.14734906723493</v>
      </c>
      <c r="DC22" s="108">
        <f t="shared" si="36"/>
        <v>-815.14734906723493</v>
      </c>
      <c r="DD22" s="108">
        <f t="shared" si="36"/>
        <v>-815.14734906723493</v>
      </c>
      <c r="DE22" s="108">
        <f t="shared" si="36"/>
        <v>-815.14734906723493</v>
      </c>
      <c r="DF22" s="108">
        <f t="shared" si="36"/>
        <v>-815.14734906723493</v>
      </c>
      <c r="DG22" s="110">
        <f t="shared" si="36"/>
        <v>-815.14734906723493</v>
      </c>
      <c r="DH22" s="109">
        <f t="shared" si="36"/>
        <v>-866.5016320584707</v>
      </c>
      <c r="DI22" s="108">
        <f t="shared" si="36"/>
        <v>-866.5016320584707</v>
      </c>
      <c r="DJ22" s="108">
        <f t="shared" ref="DJ22:DS22" si="37">$C22*DJ6</f>
        <v>-866.5016320584707</v>
      </c>
      <c r="DK22" s="108">
        <f t="shared" si="37"/>
        <v>-866.5016320584707</v>
      </c>
      <c r="DL22" s="108">
        <f t="shared" si="37"/>
        <v>-866.5016320584707</v>
      </c>
      <c r="DM22" s="108">
        <f t="shared" si="37"/>
        <v>-866.5016320584707</v>
      </c>
      <c r="DN22" s="108">
        <f t="shared" si="37"/>
        <v>-866.5016320584707</v>
      </c>
      <c r="DO22" s="108">
        <f t="shared" si="37"/>
        <v>-866.5016320584707</v>
      </c>
      <c r="DP22" s="108">
        <f t="shared" si="37"/>
        <v>-866.5016320584707</v>
      </c>
      <c r="DQ22" s="108">
        <f t="shared" si="37"/>
        <v>-866.5016320584707</v>
      </c>
      <c r="DR22" s="108">
        <f t="shared" si="37"/>
        <v>-866.5016320584707</v>
      </c>
      <c r="DS22" s="110">
        <f t="shared" si="37"/>
        <v>-866.5016320584707</v>
      </c>
      <c r="DT22" s="3"/>
      <c r="DU22" s="3"/>
    </row>
    <row r="23" spans="1:125" ht="15" x14ac:dyDescent="0.25">
      <c r="B23" s="162" t="s">
        <v>258</v>
      </c>
      <c r="C23" s="7">
        <v>-5000</v>
      </c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86"/>
      <c r="P23" s="109"/>
      <c r="Q23" s="108"/>
      <c r="R23" s="108">
        <f t="shared" ref="R23:CB23" si="38">$C23*R$6</f>
        <v>-5315</v>
      </c>
      <c r="S23" s="108">
        <f t="shared" si="38"/>
        <v>-5315</v>
      </c>
      <c r="T23" s="108">
        <f t="shared" si="38"/>
        <v>-5315</v>
      </c>
      <c r="U23" s="108">
        <f t="shared" si="38"/>
        <v>-5315</v>
      </c>
      <c r="V23" s="108">
        <f t="shared" si="38"/>
        <v>-5315</v>
      </c>
      <c r="W23" s="108">
        <f t="shared" si="38"/>
        <v>-5315</v>
      </c>
      <c r="X23" s="108">
        <f t="shared" si="38"/>
        <v>-5315</v>
      </c>
      <c r="Y23" s="108">
        <f t="shared" si="38"/>
        <v>-5315</v>
      </c>
      <c r="Z23" s="108">
        <f t="shared" si="38"/>
        <v>-5315</v>
      </c>
      <c r="AA23" s="110">
        <f t="shared" si="38"/>
        <v>-5315</v>
      </c>
      <c r="AB23" s="109">
        <v>-24268</v>
      </c>
      <c r="AC23" s="108">
        <f t="shared" si="38"/>
        <v>-5649.8449999999993</v>
      </c>
      <c r="AD23" s="108">
        <f t="shared" si="38"/>
        <v>-5649.8449999999993</v>
      </c>
      <c r="AE23" s="108">
        <f t="shared" si="38"/>
        <v>-5649.8449999999993</v>
      </c>
      <c r="AF23" s="108">
        <f t="shared" si="38"/>
        <v>-5649.8449999999993</v>
      </c>
      <c r="AG23" s="108">
        <f t="shared" si="38"/>
        <v>-5649.8449999999993</v>
      </c>
      <c r="AH23" s="108">
        <f t="shared" si="38"/>
        <v>-5649.8449999999993</v>
      </c>
      <c r="AI23" s="108">
        <f t="shared" si="38"/>
        <v>-5649.8449999999993</v>
      </c>
      <c r="AJ23" s="108">
        <f t="shared" si="38"/>
        <v>-5649.8449999999993</v>
      </c>
      <c r="AK23" s="108">
        <f t="shared" si="38"/>
        <v>-5649.8449999999993</v>
      </c>
      <c r="AL23" s="108">
        <f t="shared" si="38"/>
        <v>-5649.8449999999993</v>
      </c>
      <c r="AM23" s="110">
        <f t="shared" si="38"/>
        <v>-5649.8449999999993</v>
      </c>
      <c r="AN23" s="109">
        <f t="shared" si="38"/>
        <v>-6005.7852349999985</v>
      </c>
      <c r="AO23" s="108">
        <f t="shared" si="38"/>
        <v>-6005.7852349999985</v>
      </c>
      <c r="AP23" s="108">
        <f t="shared" si="38"/>
        <v>-6005.7852349999985</v>
      </c>
      <c r="AQ23" s="108">
        <f t="shared" si="38"/>
        <v>-6005.7852349999985</v>
      </c>
      <c r="AR23" s="108">
        <f t="shared" si="38"/>
        <v>-6005.7852349999985</v>
      </c>
      <c r="AS23" s="108">
        <f t="shared" si="38"/>
        <v>-6005.7852349999985</v>
      </c>
      <c r="AT23" s="108">
        <f t="shared" si="38"/>
        <v>-6005.7852349999985</v>
      </c>
      <c r="AU23" s="108">
        <f t="shared" si="38"/>
        <v>-6005.7852349999985</v>
      </c>
      <c r="AV23" s="108">
        <f t="shared" si="38"/>
        <v>-6005.7852349999985</v>
      </c>
      <c r="AW23" s="108">
        <f t="shared" si="38"/>
        <v>-6005.7852349999985</v>
      </c>
      <c r="AX23" s="108">
        <f t="shared" si="38"/>
        <v>-6005.7852349999985</v>
      </c>
      <c r="AY23" s="110">
        <f t="shared" si="38"/>
        <v>-6005.7852349999985</v>
      </c>
      <c r="AZ23" s="109">
        <f t="shared" si="38"/>
        <v>-6384.1497048049978</v>
      </c>
      <c r="BA23" s="108">
        <f t="shared" si="38"/>
        <v>-6384.1497048049978</v>
      </c>
      <c r="BB23" s="108">
        <f t="shared" si="38"/>
        <v>-6384.1497048049978</v>
      </c>
      <c r="BC23" s="108">
        <f t="shared" si="38"/>
        <v>-6384.1497048049978</v>
      </c>
      <c r="BD23" s="108">
        <f t="shared" si="38"/>
        <v>-6384.1497048049978</v>
      </c>
      <c r="BE23" s="108">
        <f t="shared" si="38"/>
        <v>-6384.1497048049978</v>
      </c>
      <c r="BF23" s="108">
        <f t="shared" si="38"/>
        <v>-6384.1497048049978</v>
      </c>
      <c r="BG23" s="108">
        <f t="shared" si="38"/>
        <v>-6384.1497048049978</v>
      </c>
      <c r="BH23" s="108">
        <f t="shared" si="38"/>
        <v>-6384.1497048049978</v>
      </c>
      <c r="BI23" s="108">
        <f t="shared" si="38"/>
        <v>-6384.1497048049978</v>
      </c>
      <c r="BJ23" s="108">
        <f t="shared" si="38"/>
        <v>-6384.1497048049978</v>
      </c>
      <c r="BK23" s="110">
        <f t="shared" si="38"/>
        <v>-6384.1497048049978</v>
      </c>
      <c r="BL23" s="109">
        <f t="shared" si="38"/>
        <v>-6786.3511362077124</v>
      </c>
      <c r="BM23" s="108">
        <f t="shared" si="38"/>
        <v>-6786.3511362077124</v>
      </c>
      <c r="BN23" s="108">
        <f t="shared" si="38"/>
        <v>-6786.3511362077124</v>
      </c>
      <c r="BO23" s="108">
        <f t="shared" si="38"/>
        <v>-6786.3511362077124</v>
      </c>
      <c r="BP23" s="108">
        <f t="shared" si="38"/>
        <v>-6786.3511362077124</v>
      </c>
      <c r="BQ23" s="108">
        <f t="shared" si="38"/>
        <v>-6786.3511362077124</v>
      </c>
      <c r="BR23" s="108">
        <f t="shared" si="38"/>
        <v>-6786.3511362077124</v>
      </c>
      <c r="BS23" s="108">
        <f t="shared" si="38"/>
        <v>-6786.3511362077124</v>
      </c>
      <c r="BT23" s="108">
        <f t="shared" si="38"/>
        <v>-6786.3511362077124</v>
      </c>
      <c r="BU23" s="108">
        <f t="shared" si="38"/>
        <v>-6786.3511362077124</v>
      </c>
      <c r="BV23" s="108">
        <f t="shared" si="38"/>
        <v>-6786.3511362077124</v>
      </c>
      <c r="BW23" s="110">
        <f t="shared" si="38"/>
        <v>-6786.3511362077124</v>
      </c>
      <c r="BX23" s="109">
        <f t="shared" si="38"/>
        <v>-7213.8912577887977</v>
      </c>
      <c r="BY23" s="108">
        <f t="shared" si="38"/>
        <v>-7213.8912577887977</v>
      </c>
      <c r="BZ23" s="108">
        <f t="shared" si="38"/>
        <v>-7213.8912577887977</v>
      </c>
      <c r="CA23" s="108">
        <f t="shared" si="38"/>
        <v>-7213.8912577887977</v>
      </c>
      <c r="CB23" s="108">
        <f t="shared" si="38"/>
        <v>-7213.8912577887977</v>
      </c>
      <c r="CC23" s="108">
        <f t="shared" ref="CC23:DS23" si="39">$C23*CC$6</f>
        <v>-7213.8912577887977</v>
      </c>
      <c r="CD23" s="108">
        <f t="shared" si="39"/>
        <v>-7213.8912577887977</v>
      </c>
      <c r="CE23" s="108">
        <f t="shared" si="39"/>
        <v>-7213.8912577887977</v>
      </c>
      <c r="CF23" s="108">
        <f t="shared" si="39"/>
        <v>-7213.8912577887977</v>
      </c>
      <c r="CG23" s="108">
        <f t="shared" si="39"/>
        <v>-7213.8912577887977</v>
      </c>
      <c r="CH23" s="108">
        <f t="shared" si="39"/>
        <v>-7213.8912577887977</v>
      </c>
      <c r="CI23" s="110">
        <f t="shared" si="39"/>
        <v>-7213.8912577887977</v>
      </c>
      <c r="CJ23" s="109">
        <f t="shared" si="39"/>
        <v>-7668.3664070294917</v>
      </c>
      <c r="CK23" s="108">
        <f t="shared" si="39"/>
        <v>-7668.3664070294917</v>
      </c>
      <c r="CL23" s="108">
        <f t="shared" si="39"/>
        <v>-7668.3664070294917</v>
      </c>
      <c r="CM23" s="108">
        <f t="shared" si="39"/>
        <v>-7668.3664070294917</v>
      </c>
      <c r="CN23" s="108">
        <f t="shared" si="39"/>
        <v>-7668.3664070294917</v>
      </c>
      <c r="CO23" s="108">
        <f t="shared" si="39"/>
        <v>-7668.3664070294917</v>
      </c>
      <c r="CP23" s="108">
        <f t="shared" si="39"/>
        <v>-7668.3664070294917</v>
      </c>
      <c r="CQ23" s="108">
        <f t="shared" si="39"/>
        <v>-7668.3664070294917</v>
      </c>
      <c r="CR23" s="108">
        <f t="shared" si="39"/>
        <v>-7668.3664070294917</v>
      </c>
      <c r="CS23" s="108">
        <f t="shared" si="39"/>
        <v>-7668.3664070294917</v>
      </c>
      <c r="CT23" s="108">
        <f t="shared" si="39"/>
        <v>-7668.3664070294917</v>
      </c>
      <c r="CU23" s="110">
        <f t="shared" si="39"/>
        <v>-7668.3664070294917</v>
      </c>
      <c r="CV23" s="109">
        <f t="shared" si="39"/>
        <v>-8151.4734906723497</v>
      </c>
      <c r="CW23" s="108">
        <f t="shared" si="39"/>
        <v>-8151.4734906723497</v>
      </c>
      <c r="CX23" s="108">
        <f t="shared" si="39"/>
        <v>-8151.4734906723497</v>
      </c>
      <c r="CY23" s="108">
        <f t="shared" si="39"/>
        <v>-8151.4734906723497</v>
      </c>
      <c r="CZ23" s="108">
        <f t="shared" si="39"/>
        <v>-8151.4734906723497</v>
      </c>
      <c r="DA23" s="108">
        <f t="shared" si="39"/>
        <v>-8151.4734906723497</v>
      </c>
      <c r="DB23" s="108">
        <f t="shared" si="39"/>
        <v>-8151.4734906723497</v>
      </c>
      <c r="DC23" s="108">
        <f t="shared" si="39"/>
        <v>-8151.4734906723497</v>
      </c>
      <c r="DD23" s="108">
        <f t="shared" si="39"/>
        <v>-8151.4734906723497</v>
      </c>
      <c r="DE23" s="108">
        <f t="shared" si="39"/>
        <v>-8151.4734906723497</v>
      </c>
      <c r="DF23" s="108">
        <f t="shared" si="39"/>
        <v>-8151.4734906723497</v>
      </c>
      <c r="DG23" s="110">
        <f t="shared" si="39"/>
        <v>-8151.4734906723497</v>
      </c>
      <c r="DH23" s="109">
        <f t="shared" si="39"/>
        <v>-8665.0163205847075</v>
      </c>
      <c r="DI23" s="108">
        <f t="shared" si="39"/>
        <v>-8665.0163205847075</v>
      </c>
      <c r="DJ23" s="108">
        <f t="shared" si="39"/>
        <v>-8665.0163205847075</v>
      </c>
      <c r="DK23" s="108">
        <f t="shared" si="39"/>
        <v>-8665.0163205847075</v>
      </c>
      <c r="DL23" s="108">
        <f t="shared" si="39"/>
        <v>-8665.0163205847075</v>
      </c>
      <c r="DM23" s="108">
        <f t="shared" si="39"/>
        <v>-8665.0163205847075</v>
      </c>
      <c r="DN23" s="108">
        <f t="shared" si="39"/>
        <v>-8665.0163205847075</v>
      </c>
      <c r="DO23" s="108">
        <f t="shared" si="39"/>
        <v>-8665.0163205847075</v>
      </c>
      <c r="DP23" s="108">
        <f t="shared" si="39"/>
        <v>-8665.0163205847075</v>
      </c>
      <c r="DQ23" s="108">
        <f t="shared" si="39"/>
        <v>-8665.0163205847075</v>
      </c>
      <c r="DR23" s="108">
        <f t="shared" si="39"/>
        <v>-8665.0163205847075</v>
      </c>
      <c r="DS23" s="110">
        <f t="shared" si="39"/>
        <v>-8665.0163205847075</v>
      </c>
      <c r="DT23" s="3"/>
      <c r="DU23" s="3"/>
    </row>
    <row r="24" spans="1:125" s="268" customFormat="1" ht="15" x14ac:dyDescent="0.25">
      <c r="B24" s="169" t="s">
        <v>261</v>
      </c>
      <c r="C24" s="20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87"/>
      <c r="P24" s="280"/>
      <c r="Q24" s="310"/>
      <c r="R24" s="310">
        <f>SUM(HR!T38:T44)+SUM(HR!T9:T12)</f>
        <v>-277177.25</v>
      </c>
      <c r="S24" s="310">
        <f>SUM(HR!U38:U44)+SUM(HR!U9:U12)</f>
        <v>-277177.25</v>
      </c>
      <c r="T24" s="310">
        <f>SUM(HR!V38:V44)+SUM(HR!V9:V12)</f>
        <v>-277177.25</v>
      </c>
      <c r="U24" s="310">
        <f>SUM(HR!W38:W44)+SUM(HR!W9:W12)</f>
        <v>-277177.25</v>
      </c>
      <c r="V24" s="310">
        <f>SUM(HR!X38:X44)+SUM(HR!X9:X12)</f>
        <v>-277177.25</v>
      </c>
      <c r="W24" s="310">
        <f>SUM(HR!Y38:Y44)+SUM(HR!Y9:Y12)</f>
        <v>-277177.25</v>
      </c>
      <c r="X24" s="310">
        <f>SUM(HR!Z38:Z44)+SUM(HR!Z9:Z12)</f>
        <v>-277177.25</v>
      </c>
      <c r="Y24" s="310">
        <f>SUM(HR!AA38:AA44)+SUM(HR!AA9:AA12)</f>
        <v>-277177.25</v>
      </c>
      <c r="Z24" s="310">
        <f>SUM(HR!AB38:AB44)+SUM(HR!AB9:AB12)</f>
        <v>-277177.25</v>
      </c>
      <c r="AA24" s="311">
        <f>SUM(HR!AC38:AC44)+SUM(HR!AC9:AC12)</f>
        <v>-277177.25</v>
      </c>
      <c r="AB24" s="280">
        <f>SUM(HR!AD38:AD44)+SUM(HR!AD9:AD12)</f>
        <v>-294639.41674999997</v>
      </c>
      <c r="AC24" s="310">
        <f>SUM(HR!AE38:AE44)+SUM(HR!AE9:AE12)</f>
        <v>-294639.41674999997</v>
      </c>
      <c r="AD24" s="310">
        <f>SUM(HR!AF38:AF44)+SUM(HR!AF9:AF12)</f>
        <v>-294639.41674999997</v>
      </c>
      <c r="AE24" s="310">
        <f>SUM(HR!AG38:AG44)+SUM(HR!AG9:AG12)</f>
        <v>-294639.41674999997</v>
      </c>
      <c r="AF24" s="310">
        <f>SUM(HR!AH38:AH44)+SUM(HR!AH9:AH12)</f>
        <v>-294639.41674999997</v>
      </c>
      <c r="AG24" s="310">
        <f>SUM(HR!AI38:AI44)+SUM(HR!AI9:AI12)</f>
        <v>-294639.41674999997</v>
      </c>
      <c r="AH24" s="310">
        <f>SUM(HR!AJ38:AJ44)+SUM(HR!AJ9:AJ12)</f>
        <v>-294639.41674999997</v>
      </c>
      <c r="AI24" s="310">
        <f>SUM(HR!AK38:AK44)+SUM(HR!AK9:AK12)</f>
        <v>-294639.41674999997</v>
      </c>
      <c r="AJ24" s="310">
        <f>SUM(HR!AL38:AL44)+SUM(HR!AL9:AL12)</f>
        <v>-294639.41674999997</v>
      </c>
      <c r="AK24" s="310">
        <f>SUM(HR!AM38:AM44)+SUM(HR!AM9:AM12)</f>
        <v>-294639.41674999997</v>
      </c>
      <c r="AL24" s="310">
        <f>SUM(HR!AN38:AN44)+SUM(HR!AN9:AN12)</f>
        <v>-294639.41674999997</v>
      </c>
      <c r="AM24" s="311">
        <f>SUM(HR!AO38:AO44)+SUM(HR!AO9:AO12)</f>
        <v>-294639.41674999997</v>
      </c>
      <c r="AN24" s="280">
        <f>SUM(HR!AP38:AP44)+SUM(HR!AP9:AP12)</f>
        <v>-358845.66779124993</v>
      </c>
      <c r="AO24" s="310">
        <f>SUM(HR!AQ38:AQ44)+SUM(HR!AQ9:AQ12)</f>
        <v>-358845.66779124993</v>
      </c>
      <c r="AP24" s="310">
        <f>SUM(HR!AR38:AR44)+SUM(HR!AR9:AR12)</f>
        <v>-358845.66779124993</v>
      </c>
      <c r="AQ24" s="310">
        <f>SUM(HR!AS38:AS44)+SUM(HR!AS9:AS12)</f>
        <v>-358845.66779124993</v>
      </c>
      <c r="AR24" s="310">
        <f>SUM(HR!AT38:AT44)+SUM(HR!AT9:AT12)</f>
        <v>-358845.66779124993</v>
      </c>
      <c r="AS24" s="310">
        <f>SUM(HR!AU38:AU44)+SUM(HR!AU9:AU12)</f>
        <v>-358845.66779124993</v>
      </c>
      <c r="AT24" s="310">
        <f>SUM(HR!AV38:AV44)+SUM(HR!AV9:AV12)</f>
        <v>-358845.66779124993</v>
      </c>
      <c r="AU24" s="310">
        <f>SUM(HR!AW38:AW44)+SUM(HR!AW9:AW12)</f>
        <v>-358845.66779124993</v>
      </c>
      <c r="AV24" s="310">
        <f>SUM(HR!AX38:AX44)+SUM(HR!AX9:AX12)</f>
        <v>-358845.66779124993</v>
      </c>
      <c r="AW24" s="310">
        <f>SUM(HR!AY38:AY44)+SUM(HR!AY9:AY12)</f>
        <v>-358845.66779124993</v>
      </c>
      <c r="AX24" s="310">
        <f>SUM(HR!AZ38:AZ44)+SUM(HR!AZ9:AZ12)</f>
        <v>-358845.66779124993</v>
      </c>
      <c r="AY24" s="311">
        <f>SUM(HR!BA38:BA44)+SUM(HR!BA9:BA12)</f>
        <v>-358845.66779124993</v>
      </c>
      <c r="AZ24" s="280">
        <f>SUM(HR!BB38:BB44)+SUM(HR!BB9:BB12)</f>
        <v>-381452.94486209861</v>
      </c>
      <c r="BA24" s="310">
        <f>SUM(HR!BC38:BC44)+SUM(HR!BC9:BC12)</f>
        <v>-381452.94486209861</v>
      </c>
      <c r="BB24" s="310">
        <f>SUM(HR!BD38:BD44)+SUM(HR!BD9:BD12)</f>
        <v>-381452.94486209861</v>
      </c>
      <c r="BC24" s="310">
        <f>SUM(HR!BE38:BE44)+SUM(HR!BE9:BE12)</f>
        <v>-381452.94486209861</v>
      </c>
      <c r="BD24" s="310">
        <f>SUM(HR!BF38:BF44)+SUM(HR!BF9:BF12)</f>
        <v>-381452.94486209861</v>
      </c>
      <c r="BE24" s="310">
        <f>SUM(HR!BG38:BG44)+SUM(HR!BG9:BG12)</f>
        <v>-381452.94486209861</v>
      </c>
      <c r="BF24" s="310">
        <f>SUM(HR!BH38:BH44)+SUM(HR!BH9:BH12)</f>
        <v>-381452.94486209861</v>
      </c>
      <c r="BG24" s="310">
        <f>SUM(HR!BI38:BI44)+SUM(HR!BI9:BI12)</f>
        <v>-381452.94486209861</v>
      </c>
      <c r="BH24" s="310">
        <f>SUM(HR!BJ38:BJ44)+SUM(HR!BJ9:BJ12)</f>
        <v>-381452.94486209861</v>
      </c>
      <c r="BI24" s="310">
        <f>SUM(HR!BK38:BK44)+SUM(HR!BK9:BK12)</f>
        <v>-381452.94486209861</v>
      </c>
      <c r="BJ24" s="310">
        <f>SUM(HR!BL38:BL44)+SUM(HR!BL9:BL12)</f>
        <v>-381452.94486209861</v>
      </c>
      <c r="BK24" s="311">
        <f>SUM(HR!BM38:BM44)+SUM(HR!BM9:BM12)</f>
        <v>-381452.94486209861</v>
      </c>
      <c r="BL24" s="280">
        <f>SUM(HR!BN38:BN44)+SUM(HR!BN9:BN12)</f>
        <v>-405484.48038841086</v>
      </c>
      <c r="BM24" s="310">
        <f>SUM(HR!BO38:BO44)+SUM(HR!BO9:BO12)</f>
        <v>-405484.48038841086</v>
      </c>
      <c r="BN24" s="310">
        <f>SUM(HR!BP38:BP44)+SUM(HR!BP9:BP12)</f>
        <v>-405484.48038841086</v>
      </c>
      <c r="BO24" s="310">
        <f>SUM(HR!BQ38:BQ44)+SUM(HR!BQ9:BQ12)</f>
        <v>-405484.48038841086</v>
      </c>
      <c r="BP24" s="310">
        <f>SUM(HR!BR38:BR44)+SUM(HR!BR9:BR12)</f>
        <v>-405484.48038841086</v>
      </c>
      <c r="BQ24" s="310">
        <f>SUM(HR!BS38:BS44)+SUM(HR!BS9:BS12)</f>
        <v>-405484.48038841086</v>
      </c>
      <c r="BR24" s="310">
        <f>SUM(HR!BT38:BT44)+SUM(HR!BT9:BT12)</f>
        <v>-405484.48038841086</v>
      </c>
      <c r="BS24" s="310">
        <f>SUM(HR!BU38:BU44)+SUM(HR!BU9:BU12)</f>
        <v>-405484.48038841086</v>
      </c>
      <c r="BT24" s="310">
        <f>SUM(HR!BV38:BV44)+SUM(HR!BV9:BV12)</f>
        <v>-405484.48038841086</v>
      </c>
      <c r="BU24" s="310">
        <f>SUM(HR!BW38:BW44)+SUM(HR!BW9:BW12)</f>
        <v>-405484.48038841086</v>
      </c>
      <c r="BV24" s="310">
        <f>SUM(HR!BX38:BX44)+SUM(HR!BX9:BX12)</f>
        <v>-405484.48038841086</v>
      </c>
      <c r="BW24" s="311">
        <f>SUM(HR!BY38:BY44)+SUM(HR!BY9:BY12)</f>
        <v>-405484.48038841086</v>
      </c>
      <c r="BX24" s="280">
        <f>SUM(HR!BZ38:BZ44)+SUM(HR!BZ9:BZ12)</f>
        <v>-431030.00265288074</v>
      </c>
      <c r="BY24" s="310">
        <f>SUM(HR!CA38:CA44)+SUM(HR!CA9:CA12)</f>
        <v>-431030.00265288074</v>
      </c>
      <c r="BZ24" s="310">
        <f>SUM(HR!CB38:CB44)+SUM(HR!CB9:CB12)</f>
        <v>-431030.00265288074</v>
      </c>
      <c r="CA24" s="310">
        <f>SUM(HR!CC38:CC44)+SUM(HR!CC9:CC12)</f>
        <v>-431030.00265288074</v>
      </c>
      <c r="CB24" s="310">
        <f>SUM(HR!CD38:CD44)+SUM(HR!CD9:CD12)</f>
        <v>-431030.00265288074</v>
      </c>
      <c r="CC24" s="310">
        <f>SUM(HR!CE38:CE44)+SUM(HR!CE9:CE12)</f>
        <v>-431030.00265288074</v>
      </c>
      <c r="CD24" s="310">
        <f>SUM(HR!CF38:CF44)+SUM(HR!CF9:CF12)</f>
        <v>-431030.00265288074</v>
      </c>
      <c r="CE24" s="310">
        <f>SUM(HR!CG38:CG44)+SUM(HR!CG9:CG12)</f>
        <v>-431030.00265288074</v>
      </c>
      <c r="CF24" s="310">
        <f>SUM(HR!CH38:CH44)+SUM(HR!CH9:CH12)</f>
        <v>-431030.00265288074</v>
      </c>
      <c r="CG24" s="310">
        <f>SUM(HR!CI38:CI44)+SUM(HR!CI9:CI12)</f>
        <v>-431030.00265288074</v>
      </c>
      <c r="CH24" s="310">
        <f>SUM(HR!CJ38:CJ44)+SUM(HR!CJ9:CJ12)</f>
        <v>-431030.00265288074</v>
      </c>
      <c r="CI24" s="311">
        <f>SUM(HR!CK38:CK44)+SUM(HR!CK9:CK12)</f>
        <v>-431030.00265288074</v>
      </c>
      <c r="CJ24" s="280">
        <f>SUM(HR!CL38:CL44)+SUM(HR!CL9:CL12)</f>
        <v>-458184.89282001217</v>
      </c>
      <c r="CK24" s="310">
        <f>SUM(HR!CM38:CM44)+SUM(HR!CM9:CM12)</f>
        <v>-458184.89282001217</v>
      </c>
      <c r="CL24" s="310">
        <f>SUM(HR!CN38:CN44)+SUM(HR!CN9:CN12)</f>
        <v>-458184.89282001217</v>
      </c>
      <c r="CM24" s="310">
        <f>SUM(HR!CO38:CO44)+SUM(HR!CO9:CO12)</f>
        <v>-458184.89282001217</v>
      </c>
      <c r="CN24" s="310">
        <f>SUM(HR!CP38:CP44)+SUM(HR!CP9:CP12)</f>
        <v>-458184.89282001217</v>
      </c>
      <c r="CO24" s="310">
        <f>SUM(HR!CQ38:CQ44)+SUM(HR!CQ9:CQ12)</f>
        <v>-458184.89282001217</v>
      </c>
      <c r="CP24" s="310">
        <f>SUM(HR!CR38:CR44)+SUM(HR!CR9:CR12)</f>
        <v>-458184.89282001217</v>
      </c>
      <c r="CQ24" s="310">
        <f>SUM(HR!CS38:CS44)+SUM(HR!CS9:CS12)</f>
        <v>-458184.89282001217</v>
      </c>
      <c r="CR24" s="310">
        <f>SUM(HR!CT38:CT44)+SUM(HR!CT9:CT12)</f>
        <v>-458184.89282001217</v>
      </c>
      <c r="CS24" s="310">
        <f>SUM(HR!CU38:CU44)+SUM(HR!CU9:CU12)</f>
        <v>-458184.89282001217</v>
      </c>
      <c r="CT24" s="310">
        <f>SUM(HR!CV38:CV44)+SUM(HR!CV9:CV12)</f>
        <v>-458184.89282001217</v>
      </c>
      <c r="CU24" s="311">
        <f>SUM(HR!CW38:CW44)+SUM(HR!CW9:CW12)</f>
        <v>-458184.89282001217</v>
      </c>
      <c r="CV24" s="280">
        <f>SUM(HR!CX38:CX44)+SUM(HR!CX9:CX12)</f>
        <v>-487050.54106767284</v>
      </c>
      <c r="CW24" s="310">
        <f>SUM(HR!CY38:CY44)+SUM(HR!CY9:CY12)</f>
        <v>-487050.54106767284</v>
      </c>
      <c r="CX24" s="310">
        <f>SUM(HR!CZ38:CZ44)+SUM(HR!CZ9:CZ12)</f>
        <v>-487050.54106767284</v>
      </c>
      <c r="CY24" s="310">
        <f>SUM(HR!DA38:DA44)+SUM(HR!DA9:DA12)</f>
        <v>-487050.54106767284</v>
      </c>
      <c r="CZ24" s="310">
        <f>SUM(HR!DB38:DB44)+SUM(HR!DB9:DB12)</f>
        <v>-487050.54106767284</v>
      </c>
      <c r="DA24" s="310">
        <f>SUM(HR!DC38:DC44)+SUM(HR!DC9:DC12)</f>
        <v>-487050.54106767284</v>
      </c>
      <c r="DB24" s="310">
        <f>SUM(HR!DD38:DD44)+SUM(HR!DD9:DD12)</f>
        <v>-487050.54106767284</v>
      </c>
      <c r="DC24" s="310">
        <f>SUM(HR!DE38:DE44)+SUM(HR!DE9:DE12)</f>
        <v>-487050.54106767284</v>
      </c>
      <c r="DD24" s="310">
        <f>SUM(HR!DF38:DF44)+SUM(HR!DF9:DF12)</f>
        <v>-487050.54106767284</v>
      </c>
      <c r="DE24" s="310">
        <f>SUM(HR!DG38:DG44)+SUM(HR!DG9:DG12)</f>
        <v>-487050.54106767284</v>
      </c>
      <c r="DF24" s="310">
        <f>SUM(HR!DH38:DH44)+SUM(HR!DH9:DH12)</f>
        <v>-487050.54106767284</v>
      </c>
      <c r="DG24" s="311">
        <f>SUM(HR!DI38:DI44)+SUM(HR!DI9:DI12)</f>
        <v>-487050.54106767284</v>
      </c>
      <c r="DH24" s="280">
        <f>SUM(HR!DJ38:DJ44)+SUM(HR!DJ9:DJ12)</f>
        <v>-517734.72515493631</v>
      </c>
      <c r="DI24" s="310">
        <f>SUM(HR!DK38:DK44)+SUM(HR!DK9:DK12)</f>
        <v>-517734.72515493631</v>
      </c>
      <c r="DJ24" s="310">
        <f>SUM(HR!DL38:DL44)+SUM(HR!DL9:DL12)</f>
        <v>-517734.72515493631</v>
      </c>
      <c r="DK24" s="310">
        <f>SUM(HR!DM38:DM44)+SUM(HR!DM9:DM12)</f>
        <v>-517734.72515493631</v>
      </c>
      <c r="DL24" s="310">
        <f>SUM(HR!DN38:DN44)+SUM(HR!DN9:DN12)</f>
        <v>-517734.72515493631</v>
      </c>
      <c r="DM24" s="310">
        <f>SUM(HR!DO38:DO44)+SUM(HR!DO9:DO12)</f>
        <v>-517734.72515493631</v>
      </c>
      <c r="DN24" s="310">
        <f>SUM(HR!DP38:DP44)+SUM(HR!DP9:DP12)</f>
        <v>-517734.72515493631</v>
      </c>
      <c r="DO24" s="310">
        <f>SUM(HR!DQ38:DQ44)+SUM(HR!DQ9:DQ12)</f>
        <v>-517734.72515493631</v>
      </c>
      <c r="DP24" s="310">
        <f>SUM(HR!DR38:DR44)+SUM(HR!DR9:DR12)</f>
        <v>-517734.72515493631</v>
      </c>
      <c r="DQ24" s="310">
        <f>SUM(HR!DS38:DS44)+SUM(HR!DS9:DS12)</f>
        <v>-517734.72515493631</v>
      </c>
      <c r="DR24" s="310">
        <f>SUM(HR!DT38:DT44)+SUM(HR!DT9:DT12)</f>
        <v>-517734.72515493631</v>
      </c>
      <c r="DS24" s="311">
        <f>SUM(HR!DU38:DU44)+SUM(HR!DU9:DU12)</f>
        <v>-517734.72515493631</v>
      </c>
      <c r="DT24" s="200"/>
      <c r="DU24" s="200"/>
    </row>
    <row r="25" spans="1:125" s="268" customFormat="1" ht="15" x14ac:dyDescent="0.25">
      <c r="B25" s="169" t="s">
        <v>265</v>
      </c>
      <c r="C25" s="20">
        <v>-20000</v>
      </c>
      <c r="D25" s="463"/>
      <c r="E25" s="463"/>
      <c r="F25" s="463"/>
      <c r="G25" s="463"/>
      <c r="H25" s="463"/>
      <c r="I25" s="463"/>
      <c r="J25" s="463"/>
      <c r="K25" s="463"/>
      <c r="L25" s="463"/>
      <c r="M25" s="463"/>
      <c r="N25" s="463"/>
      <c r="O25" s="487"/>
      <c r="P25" s="280"/>
      <c r="Q25" s="310"/>
      <c r="R25" s="310">
        <f t="shared" ref="R25:AE25" si="40">$C25*R$6</f>
        <v>-21260</v>
      </c>
      <c r="S25" s="310">
        <f t="shared" si="40"/>
        <v>-21260</v>
      </c>
      <c r="T25" s="310">
        <f t="shared" si="40"/>
        <v>-21260</v>
      </c>
      <c r="U25" s="310">
        <f t="shared" si="40"/>
        <v>-21260</v>
      </c>
      <c r="V25" s="310">
        <f t="shared" si="40"/>
        <v>-21260</v>
      </c>
      <c r="W25" s="310">
        <f t="shared" si="40"/>
        <v>-21260</v>
      </c>
      <c r="X25" s="310">
        <f t="shared" si="40"/>
        <v>-21260</v>
      </c>
      <c r="Y25" s="310">
        <f t="shared" si="40"/>
        <v>-21260</v>
      </c>
      <c r="Z25" s="310">
        <f t="shared" si="40"/>
        <v>-21260</v>
      </c>
      <c r="AA25" s="311">
        <f t="shared" si="40"/>
        <v>-21260</v>
      </c>
      <c r="AB25" s="280">
        <f t="shared" si="40"/>
        <v>-22599.379999999997</v>
      </c>
      <c r="AC25" s="310">
        <f t="shared" si="40"/>
        <v>-22599.379999999997</v>
      </c>
      <c r="AD25" s="310">
        <f t="shared" si="40"/>
        <v>-22599.379999999997</v>
      </c>
      <c r="AE25" s="310">
        <f t="shared" si="40"/>
        <v>-22599.379999999997</v>
      </c>
      <c r="AF25" s="310">
        <f t="shared" ref="AF25:CQ25" si="41">$C25*AF$6</f>
        <v>-22599.379999999997</v>
      </c>
      <c r="AG25" s="310">
        <f t="shared" si="41"/>
        <v>-22599.379999999997</v>
      </c>
      <c r="AH25" s="310">
        <f t="shared" si="41"/>
        <v>-22599.379999999997</v>
      </c>
      <c r="AI25" s="310">
        <f t="shared" si="41"/>
        <v>-22599.379999999997</v>
      </c>
      <c r="AJ25" s="310">
        <f t="shared" si="41"/>
        <v>-22599.379999999997</v>
      </c>
      <c r="AK25" s="310">
        <f t="shared" si="41"/>
        <v>-22599.379999999997</v>
      </c>
      <c r="AL25" s="310">
        <f t="shared" si="41"/>
        <v>-22599.379999999997</v>
      </c>
      <c r="AM25" s="311">
        <f t="shared" si="41"/>
        <v>-22599.379999999997</v>
      </c>
      <c r="AN25" s="280">
        <f t="shared" si="41"/>
        <v>-24023.140939999994</v>
      </c>
      <c r="AO25" s="310">
        <f t="shared" si="41"/>
        <v>-24023.140939999994</v>
      </c>
      <c r="AP25" s="310">
        <f t="shared" si="41"/>
        <v>-24023.140939999994</v>
      </c>
      <c r="AQ25" s="310">
        <f t="shared" si="41"/>
        <v>-24023.140939999994</v>
      </c>
      <c r="AR25" s="310">
        <f t="shared" si="41"/>
        <v>-24023.140939999994</v>
      </c>
      <c r="AS25" s="310">
        <f t="shared" si="41"/>
        <v>-24023.140939999994</v>
      </c>
      <c r="AT25" s="310">
        <f t="shared" si="41"/>
        <v>-24023.140939999994</v>
      </c>
      <c r="AU25" s="310">
        <f t="shared" si="41"/>
        <v>-24023.140939999994</v>
      </c>
      <c r="AV25" s="310">
        <f t="shared" si="41"/>
        <v>-24023.140939999994</v>
      </c>
      <c r="AW25" s="310">
        <f t="shared" si="41"/>
        <v>-24023.140939999994</v>
      </c>
      <c r="AX25" s="310">
        <f t="shared" si="41"/>
        <v>-24023.140939999994</v>
      </c>
      <c r="AY25" s="311">
        <f t="shared" si="41"/>
        <v>-24023.140939999994</v>
      </c>
      <c r="AZ25" s="280">
        <f t="shared" si="41"/>
        <v>-25536.598819219991</v>
      </c>
      <c r="BA25" s="310">
        <f t="shared" si="41"/>
        <v>-25536.598819219991</v>
      </c>
      <c r="BB25" s="310">
        <f t="shared" si="41"/>
        <v>-25536.598819219991</v>
      </c>
      <c r="BC25" s="310">
        <f t="shared" si="41"/>
        <v>-25536.598819219991</v>
      </c>
      <c r="BD25" s="310">
        <f t="shared" si="41"/>
        <v>-25536.598819219991</v>
      </c>
      <c r="BE25" s="310">
        <f t="shared" si="41"/>
        <v>-25536.598819219991</v>
      </c>
      <c r="BF25" s="310">
        <f t="shared" si="41"/>
        <v>-25536.598819219991</v>
      </c>
      <c r="BG25" s="310">
        <f t="shared" si="41"/>
        <v>-25536.598819219991</v>
      </c>
      <c r="BH25" s="310">
        <f t="shared" si="41"/>
        <v>-25536.598819219991</v>
      </c>
      <c r="BI25" s="310">
        <f t="shared" si="41"/>
        <v>-25536.598819219991</v>
      </c>
      <c r="BJ25" s="310">
        <f t="shared" si="41"/>
        <v>-25536.598819219991</v>
      </c>
      <c r="BK25" s="311">
        <f t="shared" si="41"/>
        <v>-25536.598819219991</v>
      </c>
      <c r="BL25" s="280">
        <f t="shared" si="41"/>
        <v>-27145.40454483085</v>
      </c>
      <c r="BM25" s="310">
        <f t="shared" si="41"/>
        <v>-27145.40454483085</v>
      </c>
      <c r="BN25" s="310">
        <f t="shared" si="41"/>
        <v>-27145.40454483085</v>
      </c>
      <c r="BO25" s="310">
        <f t="shared" si="41"/>
        <v>-27145.40454483085</v>
      </c>
      <c r="BP25" s="310">
        <f t="shared" si="41"/>
        <v>-27145.40454483085</v>
      </c>
      <c r="BQ25" s="310">
        <f t="shared" si="41"/>
        <v>-27145.40454483085</v>
      </c>
      <c r="BR25" s="310">
        <f t="shared" si="41"/>
        <v>-27145.40454483085</v>
      </c>
      <c r="BS25" s="310">
        <f t="shared" si="41"/>
        <v>-27145.40454483085</v>
      </c>
      <c r="BT25" s="310">
        <f t="shared" si="41"/>
        <v>-27145.40454483085</v>
      </c>
      <c r="BU25" s="310">
        <f t="shared" si="41"/>
        <v>-27145.40454483085</v>
      </c>
      <c r="BV25" s="310">
        <f t="shared" si="41"/>
        <v>-27145.40454483085</v>
      </c>
      <c r="BW25" s="311">
        <f t="shared" si="41"/>
        <v>-27145.40454483085</v>
      </c>
      <c r="BX25" s="280">
        <f t="shared" si="41"/>
        <v>-28855.565031155191</v>
      </c>
      <c r="BY25" s="310">
        <f t="shared" si="41"/>
        <v>-28855.565031155191</v>
      </c>
      <c r="BZ25" s="310">
        <f t="shared" si="41"/>
        <v>-28855.565031155191</v>
      </c>
      <c r="CA25" s="310">
        <f t="shared" si="41"/>
        <v>-28855.565031155191</v>
      </c>
      <c r="CB25" s="310">
        <f t="shared" si="41"/>
        <v>-28855.565031155191</v>
      </c>
      <c r="CC25" s="310">
        <f t="shared" si="41"/>
        <v>-28855.565031155191</v>
      </c>
      <c r="CD25" s="310">
        <f t="shared" si="41"/>
        <v>-28855.565031155191</v>
      </c>
      <c r="CE25" s="310">
        <f t="shared" si="41"/>
        <v>-28855.565031155191</v>
      </c>
      <c r="CF25" s="310">
        <f t="shared" si="41"/>
        <v>-28855.565031155191</v>
      </c>
      <c r="CG25" s="310">
        <f t="shared" si="41"/>
        <v>-28855.565031155191</v>
      </c>
      <c r="CH25" s="310">
        <f t="shared" si="41"/>
        <v>-28855.565031155191</v>
      </c>
      <c r="CI25" s="311">
        <f t="shared" si="41"/>
        <v>-28855.565031155191</v>
      </c>
      <c r="CJ25" s="280">
        <f t="shared" si="41"/>
        <v>-30673.465628117967</v>
      </c>
      <c r="CK25" s="310">
        <f t="shared" si="41"/>
        <v>-30673.465628117967</v>
      </c>
      <c r="CL25" s="310">
        <f t="shared" si="41"/>
        <v>-30673.465628117967</v>
      </c>
      <c r="CM25" s="310">
        <f t="shared" si="41"/>
        <v>-30673.465628117967</v>
      </c>
      <c r="CN25" s="310">
        <f t="shared" si="41"/>
        <v>-30673.465628117967</v>
      </c>
      <c r="CO25" s="310">
        <f t="shared" si="41"/>
        <v>-30673.465628117967</v>
      </c>
      <c r="CP25" s="310">
        <f t="shared" si="41"/>
        <v>-30673.465628117967</v>
      </c>
      <c r="CQ25" s="310">
        <f t="shared" si="41"/>
        <v>-30673.465628117967</v>
      </c>
      <c r="CR25" s="310">
        <f t="shared" ref="CR25:DS25" si="42">$C25*CR$6</f>
        <v>-30673.465628117967</v>
      </c>
      <c r="CS25" s="310">
        <f t="shared" si="42"/>
        <v>-30673.465628117967</v>
      </c>
      <c r="CT25" s="310">
        <f t="shared" si="42"/>
        <v>-30673.465628117967</v>
      </c>
      <c r="CU25" s="311">
        <f t="shared" si="42"/>
        <v>-30673.465628117967</v>
      </c>
      <c r="CV25" s="280">
        <f t="shared" si="42"/>
        <v>-32605.893962689399</v>
      </c>
      <c r="CW25" s="310">
        <f t="shared" si="42"/>
        <v>-32605.893962689399</v>
      </c>
      <c r="CX25" s="310">
        <f t="shared" si="42"/>
        <v>-32605.893962689399</v>
      </c>
      <c r="CY25" s="310">
        <f t="shared" si="42"/>
        <v>-32605.893962689399</v>
      </c>
      <c r="CZ25" s="310">
        <f t="shared" si="42"/>
        <v>-32605.893962689399</v>
      </c>
      <c r="DA25" s="310">
        <f t="shared" si="42"/>
        <v>-32605.893962689399</v>
      </c>
      <c r="DB25" s="310">
        <f t="shared" si="42"/>
        <v>-32605.893962689399</v>
      </c>
      <c r="DC25" s="310">
        <f t="shared" si="42"/>
        <v>-32605.893962689399</v>
      </c>
      <c r="DD25" s="310">
        <f t="shared" si="42"/>
        <v>-32605.893962689399</v>
      </c>
      <c r="DE25" s="310">
        <f t="shared" si="42"/>
        <v>-32605.893962689399</v>
      </c>
      <c r="DF25" s="310">
        <f t="shared" si="42"/>
        <v>-32605.893962689399</v>
      </c>
      <c r="DG25" s="311">
        <f t="shared" si="42"/>
        <v>-32605.893962689399</v>
      </c>
      <c r="DH25" s="280">
        <f t="shared" si="42"/>
        <v>-34660.06528233883</v>
      </c>
      <c r="DI25" s="310">
        <f t="shared" si="42"/>
        <v>-34660.06528233883</v>
      </c>
      <c r="DJ25" s="310">
        <f t="shared" si="42"/>
        <v>-34660.06528233883</v>
      </c>
      <c r="DK25" s="310">
        <f t="shared" si="42"/>
        <v>-34660.06528233883</v>
      </c>
      <c r="DL25" s="310">
        <f t="shared" si="42"/>
        <v>-34660.06528233883</v>
      </c>
      <c r="DM25" s="310">
        <f t="shared" si="42"/>
        <v>-34660.06528233883</v>
      </c>
      <c r="DN25" s="310">
        <f t="shared" si="42"/>
        <v>-34660.06528233883</v>
      </c>
      <c r="DO25" s="310">
        <f t="shared" si="42"/>
        <v>-34660.06528233883</v>
      </c>
      <c r="DP25" s="310">
        <f t="shared" si="42"/>
        <v>-34660.06528233883</v>
      </c>
      <c r="DQ25" s="310">
        <f t="shared" si="42"/>
        <v>-34660.06528233883</v>
      </c>
      <c r="DR25" s="310">
        <f t="shared" si="42"/>
        <v>-34660.06528233883</v>
      </c>
      <c r="DS25" s="311">
        <f t="shared" si="42"/>
        <v>-34660.06528233883</v>
      </c>
      <c r="DT25" s="200"/>
      <c r="DU25" s="200"/>
    </row>
    <row r="26" spans="1:125" s="268" customFormat="1" ht="15" x14ac:dyDescent="0.25">
      <c r="B26" s="169" t="s">
        <v>193</v>
      </c>
      <c r="C26" s="20">
        <v>-6000</v>
      </c>
      <c r="D26" s="463"/>
      <c r="E26" s="463"/>
      <c r="F26" s="463"/>
      <c r="G26" s="463"/>
      <c r="H26" s="463"/>
      <c r="I26" s="463"/>
      <c r="J26" s="463"/>
      <c r="K26" s="463"/>
      <c r="L26" s="463"/>
      <c r="M26" s="463"/>
      <c r="N26" s="463"/>
      <c r="O26" s="487"/>
      <c r="P26" s="280"/>
      <c r="Q26" s="310"/>
      <c r="R26" s="310">
        <f t="shared" ref="R26:AW26" si="43">$C26*R6</f>
        <v>-6378</v>
      </c>
      <c r="S26" s="310">
        <f t="shared" si="43"/>
        <v>-6378</v>
      </c>
      <c r="T26" s="310">
        <f t="shared" si="43"/>
        <v>-6378</v>
      </c>
      <c r="U26" s="310">
        <f t="shared" si="43"/>
        <v>-6378</v>
      </c>
      <c r="V26" s="310">
        <f t="shared" si="43"/>
        <v>-6378</v>
      </c>
      <c r="W26" s="310">
        <f t="shared" si="43"/>
        <v>-6378</v>
      </c>
      <c r="X26" s="310">
        <f t="shared" si="43"/>
        <v>-6378</v>
      </c>
      <c r="Y26" s="310">
        <f t="shared" si="43"/>
        <v>-6378</v>
      </c>
      <c r="Z26" s="310">
        <f t="shared" si="43"/>
        <v>-6378</v>
      </c>
      <c r="AA26" s="311">
        <f t="shared" si="43"/>
        <v>-6378</v>
      </c>
      <c r="AB26" s="280">
        <f t="shared" si="43"/>
        <v>-6779.8139999999985</v>
      </c>
      <c r="AC26" s="310">
        <f t="shared" si="43"/>
        <v>-6779.8139999999985</v>
      </c>
      <c r="AD26" s="310">
        <f t="shared" si="43"/>
        <v>-6779.8139999999985</v>
      </c>
      <c r="AE26" s="310">
        <f t="shared" si="43"/>
        <v>-6779.8139999999985</v>
      </c>
      <c r="AF26" s="310">
        <f t="shared" si="43"/>
        <v>-6779.8139999999985</v>
      </c>
      <c r="AG26" s="310">
        <f t="shared" si="43"/>
        <v>-6779.8139999999985</v>
      </c>
      <c r="AH26" s="310">
        <f t="shared" si="43"/>
        <v>-6779.8139999999985</v>
      </c>
      <c r="AI26" s="310">
        <f t="shared" si="43"/>
        <v>-6779.8139999999985</v>
      </c>
      <c r="AJ26" s="310">
        <f t="shared" si="43"/>
        <v>-6779.8139999999985</v>
      </c>
      <c r="AK26" s="310">
        <f t="shared" si="43"/>
        <v>-6779.8139999999985</v>
      </c>
      <c r="AL26" s="310">
        <f t="shared" si="43"/>
        <v>-6779.8139999999985</v>
      </c>
      <c r="AM26" s="311">
        <f t="shared" si="43"/>
        <v>-6779.8139999999985</v>
      </c>
      <c r="AN26" s="280">
        <f t="shared" si="43"/>
        <v>-7206.9422819999982</v>
      </c>
      <c r="AO26" s="310">
        <f t="shared" si="43"/>
        <v>-7206.9422819999982</v>
      </c>
      <c r="AP26" s="310">
        <f t="shared" si="43"/>
        <v>-7206.9422819999982</v>
      </c>
      <c r="AQ26" s="310">
        <f t="shared" si="43"/>
        <v>-7206.9422819999982</v>
      </c>
      <c r="AR26" s="310">
        <f t="shared" si="43"/>
        <v>-7206.9422819999982</v>
      </c>
      <c r="AS26" s="310">
        <f t="shared" si="43"/>
        <v>-7206.9422819999982</v>
      </c>
      <c r="AT26" s="310">
        <f t="shared" si="43"/>
        <v>-7206.9422819999982</v>
      </c>
      <c r="AU26" s="310">
        <f t="shared" si="43"/>
        <v>-7206.9422819999982</v>
      </c>
      <c r="AV26" s="310">
        <f t="shared" si="43"/>
        <v>-7206.9422819999982</v>
      </c>
      <c r="AW26" s="310">
        <f t="shared" si="43"/>
        <v>-7206.9422819999982</v>
      </c>
      <c r="AX26" s="310">
        <f t="shared" ref="AX26:CC26" si="44">$C26*AX6</f>
        <v>-7206.9422819999982</v>
      </c>
      <c r="AY26" s="311">
        <f t="shared" si="44"/>
        <v>-7206.9422819999982</v>
      </c>
      <c r="AZ26" s="280">
        <f t="shared" si="44"/>
        <v>-7660.9796457659977</v>
      </c>
      <c r="BA26" s="310">
        <f t="shared" si="44"/>
        <v>-7660.9796457659977</v>
      </c>
      <c r="BB26" s="310">
        <f t="shared" si="44"/>
        <v>-7660.9796457659977</v>
      </c>
      <c r="BC26" s="310">
        <f t="shared" si="44"/>
        <v>-7660.9796457659977</v>
      </c>
      <c r="BD26" s="310">
        <f t="shared" si="44"/>
        <v>-7660.9796457659977</v>
      </c>
      <c r="BE26" s="310">
        <f t="shared" si="44"/>
        <v>-7660.9796457659977</v>
      </c>
      <c r="BF26" s="310">
        <f t="shared" si="44"/>
        <v>-7660.9796457659977</v>
      </c>
      <c r="BG26" s="310">
        <f t="shared" si="44"/>
        <v>-7660.9796457659977</v>
      </c>
      <c r="BH26" s="310">
        <f t="shared" si="44"/>
        <v>-7660.9796457659977</v>
      </c>
      <c r="BI26" s="310">
        <f t="shared" si="44"/>
        <v>-7660.9796457659977</v>
      </c>
      <c r="BJ26" s="310">
        <f t="shared" si="44"/>
        <v>-7660.9796457659977</v>
      </c>
      <c r="BK26" s="311">
        <f t="shared" si="44"/>
        <v>-7660.9796457659977</v>
      </c>
      <c r="BL26" s="280">
        <f t="shared" si="44"/>
        <v>-8143.6213634492551</v>
      </c>
      <c r="BM26" s="310">
        <f t="shared" si="44"/>
        <v>-8143.6213634492551</v>
      </c>
      <c r="BN26" s="310">
        <f t="shared" si="44"/>
        <v>-8143.6213634492551</v>
      </c>
      <c r="BO26" s="310">
        <f t="shared" si="44"/>
        <v>-8143.6213634492551</v>
      </c>
      <c r="BP26" s="310">
        <f t="shared" si="44"/>
        <v>-8143.6213634492551</v>
      </c>
      <c r="BQ26" s="310">
        <f t="shared" si="44"/>
        <v>-8143.6213634492551</v>
      </c>
      <c r="BR26" s="310">
        <f t="shared" si="44"/>
        <v>-8143.6213634492551</v>
      </c>
      <c r="BS26" s="310">
        <f t="shared" si="44"/>
        <v>-8143.6213634492551</v>
      </c>
      <c r="BT26" s="310">
        <f t="shared" si="44"/>
        <v>-8143.6213634492551</v>
      </c>
      <c r="BU26" s="310">
        <f t="shared" si="44"/>
        <v>-8143.6213634492551</v>
      </c>
      <c r="BV26" s="310">
        <f t="shared" si="44"/>
        <v>-8143.6213634492551</v>
      </c>
      <c r="BW26" s="311">
        <f t="shared" si="44"/>
        <v>-8143.6213634492551</v>
      </c>
      <c r="BX26" s="280">
        <f t="shared" si="44"/>
        <v>-8656.6695093465569</v>
      </c>
      <c r="BY26" s="310">
        <f t="shared" si="44"/>
        <v>-8656.6695093465569</v>
      </c>
      <c r="BZ26" s="310">
        <f t="shared" si="44"/>
        <v>-8656.6695093465569</v>
      </c>
      <c r="CA26" s="310">
        <f t="shared" si="44"/>
        <v>-8656.6695093465569</v>
      </c>
      <c r="CB26" s="310">
        <f t="shared" si="44"/>
        <v>-8656.6695093465569</v>
      </c>
      <c r="CC26" s="310">
        <f t="shared" si="44"/>
        <v>-8656.6695093465569</v>
      </c>
      <c r="CD26" s="310">
        <f t="shared" ref="CD26:DI26" si="45">$C26*CD6</f>
        <v>-8656.6695093465569</v>
      </c>
      <c r="CE26" s="310">
        <f t="shared" si="45"/>
        <v>-8656.6695093465569</v>
      </c>
      <c r="CF26" s="310">
        <f t="shared" si="45"/>
        <v>-8656.6695093465569</v>
      </c>
      <c r="CG26" s="310">
        <f t="shared" si="45"/>
        <v>-8656.6695093465569</v>
      </c>
      <c r="CH26" s="310">
        <f t="shared" si="45"/>
        <v>-8656.6695093465569</v>
      </c>
      <c r="CI26" s="311">
        <f t="shared" si="45"/>
        <v>-8656.6695093465569</v>
      </c>
      <c r="CJ26" s="280">
        <f t="shared" si="45"/>
        <v>-9202.0396884353904</v>
      </c>
      <c r="CK26" s="310">
        <f t="shared" si="45"/>
        <v>-9202.0396884353904</v>
      </c>
      <c r="CL26" s="310">
        <f t="shared" si="45"/>
        <v>-9202.0396884353904</v>
      </c>
      <c r="CM26" s="310">
        <f t="shared" si="45"/>
        <v>-9202.0396884353904</v>
      </c>
      <c r="CN26" s="310">
        <f t="shared" si="45"/>
        <v>-9202.0396884353904</v>
      </c>
      <c r="CO26" s="310">
        <f t="shared" si="45"/>
        <v>-9202.0396884353904</v>
      </c>
      <c r="CP26" s="310">
        <f t="shared" si="45"/>
        <v>-9202.0396884353904</v>
      </c>
      <c r="CQ26" s="310">
        <f t="shared" si="45"/>
        <v>-9202.0396884353904</v>
      </c>
      <c r="CR26" s="310">
        <f t="shared" si="45"/>
        <v>-9202.0396884353904</v>
      </c>
      <c r="CS26" s="310">
        <f t="shared" si="45"/>
        <v>-9202.0396884353904</v>
      </c>
      <c r="CT26" s="310">
        <f t="shared" si="45"/>
        <v>-9202.0396884353904</v>
      </c>
      <c r="CU26" s="311">
        <f t="shared" si="45"/>
        <v>-9202.0396884353904</v>
      </c>
      <c r="CV26" s="280">
        <f t="shared" si="45"/>
        <v>-9781.76818880682</v>
      </c>
      <c r="CW26" s="310">
        <f t="shared" si="45"/>
        <v>-9781.76818880682</v>
      </c>
      <c r="CX26" s="310">
        <f t="shared" si="45"/>
        <v>-9781.76818880682</v>
      </c>
      <c r="CY26" s="310">
        <f t="shared" si="45"/>
        <v>-9781.76818880682</v>
      </c>
      <c r="CZ26" s="310">
        <f t="shared" si="45"/>
        <v>-9781.76818880682</v>
      </c>
      <c r="DA26" s="310">
        <f t="shared" si="45"/>
        <v>-9781.76818880682</v>
      </c>
      <c r="DB26" s="310">
        <f t="shared" si="45"/>
        <v>-9781.76818880682</v>
      </c>
      <c r="DC26" s="310">
        <f t="shared" si="45"/>
        <v>-9781.76818880682</v>
      </c>
      <c r="DD26" s="310">
        <f t="shared" si="45"/>
        <v>-9781.76818880682</v>
      </c>
      <c r="DE26" s="310">
        <f t="shared" si="45"/>
        <v>-9781.76818880682</v>
      </c>
      <c r="DF26" s="310">
        <f t="shared" si="45"/>
        <v>-9781.76818880682</v>
      </c>
      <c r="DG26" s="311">
        <f t="shared" si="45"/>
        <v>-9781.76818880682</v>
      </c>
      <c r="DH26" s="280">
        <f t="shared" si="45"/>
        <v>-10398.019584701649</v>
      </c>
      <c r="DI26" s="310">
        <f t="shared" si="45"/>
        <v>-10398.019584701649</v>
      </c>
      <c r="DJ26" s="310">
        <f t="shared" ref="DJ26:DS26" si="46">$C26*DJ6</f>
        <v>-10398.019584701649</v>
      </c>
      <c r="DK26" s="310">
        <f t="shared" si="46"/>
        <v>-10398.019584701649</v>
      </c>
      <c r="DL26" s="310">
        <f t="shared" si="46"/>
        <v>-10398.019584701649</v>
      </c>
      <c r="DM26" s="310">
        <f t="shared" si="46"/>
        <v>-10398.019584701649</v>
      </c>
      <c r="DN26" s="310">
        <f t="shared" si="46"/>
        <v>-10398.019584701649</v>
      </c>
      <c r="DO26" s="310">
        <f t="shared" si="46"/>
        <v>-10398.019584701649</v>
      </c>
      <c r="DP26" s="310">
        <f t="shared" si="46"/>
        <v>-10398.019584701649</v>
      </c>
      <c r="DQ26" s="310">
        <f t="shared" si="46"/>
        <v>-10398.019584701649</v>
      </c>
      <c r="DR26" s="310">
        <f t="shared" si="46"/>
        <v>-10398.019584701649</v>
      </c>
      <c r="DS26" s="311">
        <f t="shared" si="46"/>
        <v>-10398.019584701649</v>
      </c>
      <c r="DT26" s="200"/>
      <c r="DU26" s="200"/>
    </row>
    <row r="27" spans="1:125" ht="15" x14ac:dyDescent="0.25">
      <c r="B27" s="162" t="s">
        <v>259</v>
      </c>
      <c r="C27" s="7">
        <v>-167</v>
      </c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86"/>
      <c r="P27" s="109"/>
      <c r="Q27" s="108"/>
      <c r="R27" s="108">
        <f t="shared" ref="R27:CB28" si="47">$C27*R$6</f>
        <v>-177.52099999999999</v>
      </c>
      <c r="S27" s="108">
        <f t="shared" si="47"/>
        <v>-177.52099999999999</v>
      </c>
      <c r="T27" s="108">
        <f t="shared" si="47"/>
        <v>-177.52099999999999</v>
      </c>
      <c r="U27" s="108">
        <f t="shared" si="47"/>
        <v>-177.52099999999999</v>
      </c>
      <c r="V27" s="108">
        <f t="shared" si="47"/>
        <v>-177.52099999999999</v>
      </c>
      <c r="W27" s="108">
        <f t="shared" si="47"/>
        <v>-177.52099999999999</v>
      </c>
      <c r="X27" s="108">
        <f t="shared" si="47"/>
        <v>-177.52099999999999</v>
      </c>
      <c r="Y27" s="108">
        <f t="shared" si="47"/>
        <v>-177.52099999999999</v>
      </c>
      <c r="Z27" s="108">
        <f t="shared" si="47"/>
        <v>-177.52099999999999</v>
      </c>
      <c r="AA27" s="110">
        <f t="shared" si="47"/>
        <v>-177.52099999999999</v>
      </c>
      <c r="AB27" s="109">
        <f t="shared" si="47"/>
        <v>-188.70482299999998</v>
      </c>
      <c r="AC27" s="108">
        <f t="shared" si="47"/>
        <v>-188.70482299999998</v>
      </c>
      <c r="AD27" s="108">
        <f t="shared" si="47"/>
        <v>-188.70482299999998</v>
      </c>
      <c r="AE27" s="108">
        <f t="shared" si="47"/>
        <v>-188.70482299999998</v>
      </c>
      <c r="AF27" s="108">
        <f t="shared" si="47"/>
        <v>-188.70482299999998</v>
      </c>
      <c r="AG27" s="108">
        <f t="shared" si="47"/>
        <v>-188.70482299999998</v>
      </c>
      <c r="AH27" s="108">
        <f t="shared" si="47"/>
        <v>-188.70482299999998</v>
      </c>
      <c r="AI27" s="108">
        <f t="shared" si="47"/>
        <v>-188.70482299999998</v>
      </c>
      <c r="AJ27" s="108">
        <f t="shared" si="47"/>
        <v>-188.70482299999998</v>
      </c>
      <c r="AK27" s="108">
        <f t="shared" si="47"/>
        <v>-188.70482299999998</v>
      </c>
      <c r="AL27" s="108">
        <f t="shared" si="47"/>
        <v>-188.70482299999998</v>
      </c>
      <c r="AM27" s="110">
        <f t="shared" si="47"/>
        <v>-188.70482299999998</v>
      </c>
      <c r="AN27" s="109">
        <f t="shared" si="47"/>
        <v>-200.59322684899996</v>
      </c>
      <c r="AO27" s="108">
        <f t="shared" si="47"/>
        <v>-200.59322684899996</v>
      </c>
      <c r="AP27" s="108">
        <f t="shared" si="47"/>
        <v>-200.59322684899996</v>
      </c>
      <c r="AQ27" s="108">
        <f t="shared" si="47"/>
        <v>-200.59322684899996</v>
      </c>
      <c r="AR27" s="108">
        <f t="shared" si="47"/>
        <v>-200.59322684899996</v>
      </c>
      <c r="AS27" s="108">
        <f t="shared" si="47"/>
        <v>-200.59322684899996</v>
      </c>
      <c r="AT27" s="108">
        <f t="shared" si="47"/>
        <v>-200.59322684899996</v>
      </c>
      <c r="AU27" s="108">
        <f t="shared" si="47"/>
        <v>-200.59322684899996</v>
      </c>
      <c r="AV27" s="108">
        <f t="shared" si="47"/>
        <v>-200.59322684899996</v>
      </c>
      <c r="AW27" s="108">
        <f t="shared" si="47"/>
        <v>-200.59322684899996</v>
      </c>
      <c r="AX27" s="108">
        <f t="shared" si="47"/>
        <v>-200.59322684899996</v>
      </c>
      <c r="AY27" s="110">
        <f t="shared" si="47"/>
        <v>-200.59322684899996</v>
      </c>
      <c r="AZ27" s="109">
        <f t="shared" si="47"/>
        <v>-213.23060014048693</v>
      </c>
      <c r="BA27" s="108">
        <f t="shared" si="47"/>
        <v>-213.23060014048693</v>
      </c>
      <c r="BB27" s="108">
        <f t="shared" si="47"/>
        <v>-213.23060014048693</v>
      </c>
      <c r="BC27" s="108">
        <f t="shared" si="47"/>
        <v>-213.23060014048693</v>
      </c>
      <c r="BD27" s="108">
        <f t="shared" si="47"/>
        <v>-213.23060014048693</v>
      </c>
      <c r="BE27" s="108">
        <f t="shared" si="47"/>
        <v>-213.23060014048693</v>
      </c>
      <c r="BF27" s="108">
        <f t="shared" si="47"/>
        <v>-213.23060014048693</v>
      </c>
      <c r="BG27" s="108">
        <f t="shared" si="47"/>
        <v>-213.23060014048693</v>
      </c>
      <c r="BH27" s="108">
        <f t="shared" si="47"/>
        <v>-213.23060014048693</v>
      </c>
      <c r="BI27" s="108">
        <f t="shared" si="47"/>
        <v>-213.23060014048693</v>
      </c>
      <c r="BJ27" s="108">
        <f t="shared" si="47"/>
        <v>-213.23060014048693</v>
      </c>
      <c r="BK27" s="110">
        <f t="shared" si="47"/>
        <v>-213.23060014048693</v>
      </c>
      <c r="BL27" s="109">
        <f t="shared" si="47"/>
        <v>-226.6641279493376</v>
      </c>
      <c r="BM27" s="108">
        <f t="shared" si="47"/>
        <v>-226.6641279493376</v>
      </c>
      <c r="BN27" s="108">
        <f t="shared" si="47"/>
        <v>-226.6641279493376</v>
      </c>
      <c r="BO27" s="108">
        <f t="shared" si="47"/>
        <v>-226.6641279493376</v>
      </c>
      <c r="BP27" s="108">
        <f t="shared" si="47"/>
        <v>-226.6641279493376</v>
      </c>
      <c r="BQ27" s="108">
        <f t="shared" si="47"/>
        <v>-226.6641279493376</v>
      </c>
      <c r="BR27" s="108">
        <f t="shared" si="47"/>
        <v>-226.6641279493376</v>
      </c>
      <c r="BS27" s="108">
        <f t="shared" si="47"/>
        <v>-226.6641279493376</v>
      </c>
      <c r="BT27" s="108">
        <f t="shared" si="47"/>
        <v>-226.6641279493376</v>
      </c>
      <c r="BU27" s="108">
        <f t="shared" si="47"/>
        <v>-226.6641279493376</v>
      </c>
      <c r="BV27" s="108">
        <f t="shared" si="47"/>
        <v>-226.6641279493376</v>
      </c>
      <c r="BW27" s="110">
        <f t="shared" si="47"/>
        <v>-226.6641279493376</v>
      </c>
      <c r="BX27" s="109">
        <f t="shared" si="47"/>
        <v>-240.94396801014585</v>
      </c>
      <c r="BY27" s="108">
        <f t="shared" si="47"/>
        <v>-240.94396801014585</v>
      </c>
      <c r="BZ27" s="108">
        <f t="shared" si="47"/>
        <v>-240.94396801014585</v>
      </c>
      <c r="CA27" s="108">
        <f t="shared" si="47"/>
        <v>-240.94396801014585</v>
      </c>
      <c r="CB27" s="108">
        <f t="shared" si="47"/>
        <v>-240.94396801014585</v>
      </c>
      <c r="CC27" s="108">
        <f t="shared" ref="CC27:DS28" si="48">$C27*CC$6</f>
        <v>-240.94396801014585</v>
      </c>
      <c r="CD27" s="108">
        <f t="shared" si="48"/>
        <v>-240.94396801014585</v>
      </c>
      <c r="CE27" s="108">
        <f t="shared" si="48"/>
        <v>-240.94396801014585</v>
      </c>
      <c r="CF27" s="108">
        <f t="shared" si="48"/>
        <v>-240.94396801014585</v>
      </c>
      <c r="CG27" s="108">
        <f t="shared" si="48"/>
        <v>-240.94396801014585</v>
      </c>
      <c r="CH27" s="108">
        <f t="shared" si="48"/>
        <v>-240.94396801014585</v>
      </c>
      <c r="CI27" s="110">
        <f t="shared" si="48"/>
        <v>-240.94396801014585</v>
      </c>
      <c r="CJ27" s="109">
        <f t="shared" si="48"/>
        <v>-256.12343799478504</v>
      </c>
      <c r="CK27" s="108">
        <f t="shared" si="48"/>
        <v>-256.12343799478504</v>
      </c>
      <c r="CL27" s="108">
        <f t="shared" si="48"/>
        <v>-256.12343799478504</v>
      </c>
      <c r="CM27" s="108">
        <f t="shared" si="48"/>
        <v>-256.12343799478504</v>
      </c>
      <c r="CN27" s="108">
        <f t="shared" si="48"/>
        <v>-256.12343799478504</v>
      </c>
      <c r="CO27" s="108">
        <f t="shared" si="48"/>
        <v>-256.12343799478504</v>
      </c>
      <c r="CP27" s="108">
        <f t="shared" si="48"/>
        <v>-256.12343799478504</v>
      </c>
      <c r="CQ27" s="108">
        <f t="shared" si="48"/>
        <v>-256.12343799478504</v>
      </c>
      <c r="CR27" s="108">
        <f t="shared" si="48"/>
        <v>-256.12343799478504</v>
      </c>
      <c r="CS27" s="108">
        <f t="shared" si="48"/>
        <v>-256.12343799478504</v>
      </c>
      <c r="CT27" s="108">
        <f t="shared" si="48"/>
        <v>-256.12343799478504</v>
      </c>
      <c r="CU27" s="110">
        <f t="shared" si="48"/>
        <v>-256.12343799478504</v>
      </c>
      <c r="CV27" s="109">
        <f t="shared" si="48"/>
        <v>-272.25921458845647</v>
      </c>
      <c r="CW27" s="108">
        <f t="shared" si="48"/>
        <v>-272.25921458845647</v>
      </c>
      <c r="CX27" s="108">
        <f t="shared" si="48"/>
        <v>-272.25921458845647</v>
      </c>
      <c r="CY27" s="108">
        <f t="shared" si="48"/>
        <v>-272.25921458845647</v>
      </c>
      <c r="CZ27" s="108">
        <f t="shared" si="48"/>
        <v>-272.25921458845647</v>
      </c>
      <c r="DA27" s="108">
        <f t="shared" si="48"/>
        <v>-272.25921458845647</v>
      </c>
      <c r="DB27" s="108">
        <f t="shared" si="48"/>
        <v>-272.25921458845647</v>
      </c>
      <c r="DC27" s="108">
        <f t="shared" si="48"/>
        <v>-272.25921458845647</v>
      </c>
      <c r="DD27" s="108">
        <f t="shared" si="48"/>
        <v>-272.25921458845647</v>
      </c>
      <c r="DE27" s="108">
        <f t="shared" si="48"/>
        <v>-272.25921458845647</v>
      </c>
      <c r="DF27" s="108">
        <f t="shared" si="48"/>
        <v>-272.25921458845647</v>
      </c>
      <c r="DG27" s="110">
        <f t="shared" si="48"/>
        <v>-272.25921458845647</v>
      </c>
      <c r="DH27" s="109">
        <f t="shared" si="48"/>
        <v>-289.41154510752921</v>
      </c>
      <c r="DI27" s="108">
        <f t="shared" si="48"/>
        <v>-289.41154510752921</v>
      </c>
      <c r="DJ27" s="108">
        <f t="shared" si="48"/>
        <v>-289.41154510752921</v>
      </c>
      <c r="DK27" s="108">
        <f t="shared" si="48"/>
        <v>-289.41154510752921</v>
      </c>
      <c r="DL27" s="108">
        <f t="shared" si="48"/>
        <v>-289.41154510752921</v>
      </c>
      <c r="DM27" s="108">
        <f t="shared" si="48"/>
        <v>-289.41154510752921</v>
      </c>
      <c r="DN27" s="108">
        <f t="shared" si="48"/>
        <v>-289.41154510752921</v>
      </c>
      <c r="DO27" s="108">
        <f t="shared" si="48"/>
        <v>-289.41154510752921</v>
      </c>
      <c r="DP27" s="108">
        <f t="shared" si="48"/>
        <v>-289.41154510752921</v>
      </c>
      <c r="DQ27" s="108">
        <f t="shared" si="48"/>
        <v>-289.41154510752921</v>
      </c>
      <c r="DR27" s="108">
        <f t="shared" si="48"/>
        <v>-289.41154510752921</v>
      </c>
      <c r="DS27" s="110">
        <f t="shared" si="48"/>
        <v>-289.41154510752921</v>
      </c>
      <c r="DT27" s="3"/>
      <c r="DU27" s="3"/>
    </row>
    <row r="28" spans="1:125" ht="15" x14ac:dyDescent="0.25">
      <c r="B28" s="162" t="s">
        <v>7</v>
      </c>
      <c r="C28" s="7">
        <v>-4000</v>
      </c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86"/>
      <c r="P28" s="109"/>
      <c r="Q28" s="108"/>
      <c r="R28" s="108">
        <f t="shared" si="47"/>
        <v>-4252</v>
      </c>
      <c r="S28" s="108">
        <f t="shared" si="47"/>
        <v>-4252</v>
      </c>
      <c r="T28" s="108">
        <f t="shared" si="47"/>
        <v>-4252</v>
      </c>
      <c r="U28" s="108">
        <f t="shared" si="47"/>
        <v>-4252</v>
      </c>
      <c r="V28" s="108">
        <f t="shared" si="47"/>
        <v>-4252</v>
      </c>
      <c r="W28" s="108">
        <f t="shared" si="47"/>
        <v>-4252</v>
      </c>
      <c r="X28" s="108">
        <f t="shared" si="47"/>
        <v>-4252</v>
      </c>
      <c r="Y28" s="108">
        <f t="shared" si="47"/>
        <v>-4252</v>
      </c>
      <c r="Z28" s="108">
        <f t="shared" si="47"/>
        <v>-4252</v>
      </c>
      <c r="AA28" s="110">
        <f t="shared" si="47"/>
        <v>-4252</v>
      </c>
      <c r="AB28" s="109">
        <f t="shared" si="47"/>
        <v>-4519.8759999999993</v>
      </c>
      <c r="AC28" s="108">
        <f t="shared" si="47"/>
        <v>-4519.8759999999993</v>
      </c>
      <c r="AD28" s="108">
        <f t="shared" si="47"/>
        <v>-4519.8759999999993</v>
      </c>
      <c r="AE28" s="108">
        <f t="shared" si="47"/>
        <v>-4519.8759999999993</v>
      </c>
      <c r="AF28" s="108">
        <f t="shared" si="47"/>
        <v>-4519.8759999999993</v>
      </c>
      <c r="AG28" s="108">
        <f t="shared" si="47"/>
        <v>-4519.8759999999993</v>
      </c>
      <c r="AH28" s="108">
        <f t="shared" si="47"/>
        <v>-4519.8759999999993</v>
      </c>
      <c r="AI28" s="108">
        <f t="shared" si="47"/>
        <v>-4519.8759999999993</v>
      </c>
      <c r="AJ28" s="108">
        <f t="shared" si="47"/>
        <v>-4519.8759999999993</v>
      </c>
      <c r="AK28" s="108">
        <f t="shared" si="47"/>
        <v>-4519.8759999999993</v>
      </c>
      <c r="AL28" s="108">
        <f t="shared" si="47"/>
        <v>-4519.8759999999993</v>
      </c>
      <c r="AM28" s="110">
        <f t="shared" si="47"/>
        <v>-4519.8759999999993</v>
      </c>
      <c r="AN28" s="109">
        <f t="shared" si="47"/>
        <v>-4804.6281879999988</v>
      </c>
      <c r="AO28" s="108">
        <f t="shared" si="47"/>
        <v>-4804.6281879999988</v>
      </c>
      <c r="AP28" s="108">
        <f t="shared" si="47"/>
        <v>-4804.6281879999988</v>
      </c>
      <c r="AQ28" s="108">
        <f t="shared" si="47"/>
        <v>-4804.6281879999988</v>
      </c>
      <c r="AR28" s="108">
        <f t="shared" si="47"/>
        <v>-4804.6281879999988</v>
      </c>
      <c r="AS28" s="108">
        <f t="shared" si="47"/>
        <v>-4804.6281879999988</v>
      </c>
      <c r="AT28" s="108">
        <f t="shared" si="47"/>
        <v>-4804.6281879999988</v>
      </c>
      <c r="AU28" s="108">
        <f t="shared" si="47"/>
        <v>-4804.6281879999988</v>
      </c>
      <c r="AV28" s="108">
        <f t="shared" si="47"/>
        <v>-4804.6281879999988</v>
      </c>
      <c r="AW28" s="108">
        <f t="shared" si="47"/>
        <v>-4804.6281879999988</v>
      </c>
      <c r="AX28" s="108">
        <f t="shared" si="47"/>
        <v>-4804.6281879999988</v>
      </c>
      <c r="AY28" s="110">
        <f t="shared" si="47"/>
        <v>-4804.6281879999988</v>
      </c>
      <c r="AZ28" s="109">
        <f t="shared" si="47"/>
        <v>-5107.3197638439979</v>
      </c>
      <c r="BA28" s="108">
        <f t="shared" si="47"/>
        <v>-5107.3197638439979</v>
      </c>
      <c r="BB28" s="108">
        <f t="shared" si="47"/>
        <v>-5107.3197638439979</v>
      </c>
      <c r="BC28" s="108">
        <f t="shared" si="47"/>
        <v>-5107.3197638439979</v>
      </c>
      <c r="BD28" s="108">
        <f t="shared" si="47"/>
        <v>-5107.3197638439979</v>
      </c>
      <c r="BE28" s="108">
        <f t="shared" si="47"/>
        <v>-5107.3197638439979</v>
      </c>
      <c r="BF28" s="108">
        <f t="shared" si="47"/>
        <v>-5107.3197638439979</v>
      </c>
      <c r="BG28" s="108">
        <f t="shared" si="47"/>
        <v>-5107.3197638439979</v>
      </c>
      <c r="BH28" s="108">
        <f t="shared" si="47"/>
        <v>-5107.3197638439979</v>
      </c>
      <c r="BI28" s="108">
        <f t="shared" si="47"/>
        <v>-5107.3197638439979</v>
      </c>
      <c r="BJ28" s="108">
        <f t="shared" si="47"/>
        <v>-5107.3197638439979</v>
      </c>
      <c r="BK28" s="110">
        <f t="shared" si="47"/>
        <v>-5107.3197638439979</v>
      </c>
      <c r="BL28" s="109">
        <f t="shared" si="47"/>
        <v>-5429.0809089661698</v>
      </c>
      <c r="BM28" s="108">
        <f t="shared" si="47"/>
        <v>-5429.0809089661698</v>
      </c>
      <c r="BN28" s="108">
        <f t="shared" si="47"/>
        <v>-5429.0809089661698</v>
      </c>
      <c r="BO28" s="108">
        <f t="shared" si="47"/>
        <v>-5429.0809089661698</v>
      </c>
      <c r="BP28" s="108">
        <f t="shared" si="47"/>
        <v>-5429.0809089661698</v>
      </c>
      <c r="BQ28" s="108">
        <f t="shared" si="47"/>
        <v>-5429.0809089661698</v>
      </c>
      <c r="BR28" s="108">
        <f t="shared" si="47"/>
        <v>-5429.0809089661698</v>
      </c>
      <c r="BS28" s="108">
        <f t="shared" si="47"/>
        <v>-5429.0809089661698</v>
      </c>
      <c r="BT28" s="108">
        <f t="shared" si="47"/>
        <v>-5429.0809089661698</v>
      </c>
      <c r="BU28" s="108">
        <f t="shared" si="47"/>
        <v>-5429.0809089661698</v>
      </c>
      <c r="BV28" s="108">
        <f t="shared" si="47"/>
        <v>-5429.0809089661698</v>
      </c>
      <c r="BW28" s="110">
        <f t="shared" si="47"/>
        <v>-5429.0809089661698</v>
      </c>
      <c r="BX28" s="109">
        <f t="shared" si="47"/>
        <v>-5771.1130062310385</v>
      </c>
      <c r="BY28" s="108">
        <f t="shared" si="47"/>
        <v>-5771.1130062310385</v>
      </c>
      <c r="BZ28" s="108">
        <f t="shared" si="47"/>
        <v>-5771.1130062310385</v>
      </c>
      <c r="CA28" s="108">
        <f t="shared" si="47"/>
        <v>-5771.1130062310385</v>
      </c>
      <c r="CB28" s="108">
        <f t="shared" si="47"/>
        <v>-5771.1130062310385</v>
      </c>
      <c r="CC28" s="108">
        <f t="shared" si="48"/>
        <v>-5771.1130062310385</v>
      </c>
      <c r="CD28" s="108">
        <f t="shared" si="48"/>
        <v>-5771.1130062310385</v>
      </c>
      <c r="CE28" s="108">
        <f t="shared" si="48"/>
        <v>-5771.1130062310385</v>
      </c>
      <c r="CF28" s="108">
        <f t="shared" si="48"/>
        <v>-5771.1130062310385</v>
      </c>
      <c r="CG28" s="108">
        <f t="shared" si="48"/>
        <v>-5771.1130062310385</v>
      </c>
      <c r="CH28" s="108">
        <f t="shared" si="48"/>
        <v>-5771.1130062310385</v>
      </c>
      <c r="CI28" s="110">
        <f t="shared" si="48"/>
        <v>-5771.1130062310385</v>
      </c>
      <c r="CJ28" s="109">
        <f t="shared" si="48"/>
        <v>-6134.6931256235939</v>
      </c>
      <c r="CK28" s="108">
        <f t="shared" si="48"/>
        <v>-6134.6931256235939</v>
      </c>
      <c r="CL28" s="108">
        <f t="shared" si="48"/>
        <v>-6134.6931256235939</v>
      </c>
      <c r="CM28" s="108">
        <f t="shared" si="48"/>
        <v>-6134.6931256235939</v>
      </c>
      <c r="CN28" s="108">
        <f t="shared" si="48"/>
        <v>-6134.6931256235939</v>
      </c>
      <c r="CO28" s="108">
        <f t="shared" si="48"/>
        <v>-6134.6931256235939</v>
      </c>
      <c r="CP28" s="108">
        <f t="shared" si="48"/>
        <v>-6134.6931256235939</v>
      </c>
      <c r="CQ28" s="108">
        <f t="shared" si="48"/>
        <v>-6134.6931256235939</v>
      </c>
      <c r="CR28" s="108">
        <f t="shared" si="48"/>
        <v>-6134.6931256235939</v>
      </c>
      <c r="CS28" s="108">
        <f t="shared" si="48"/>
        <v>-6134.6931256235939</v>
      </c>
      <c r="CT28" s="108">
        <f t="shared" si="48"/>
        <v>-6134.6931256235939</v>
      </c>
      <c r="CU28" s="110">
        <f t="shared" si="48"/>
        <v>-6134.6931256235939</v>
      </c>
      <c r="CV28" s="109">
        <f t="shared" si="48"/>
        <v>-6521.1787925378794</v>
      </c>
      <c r="CW28" s="108">
        <f t="shared" si="48"/>
        <v>-6521.1787925378794</v>
      </c>
      <c r="CX28" s="108">
        <f t="shared" si="48"/>
        <v>-6521.1787925378794</v>
      </c>
      <c r="CY28" s="108">
        <f t="shared" si="48"/>
        <v>-6521.1787925378794</v>
      </c>
      <c r="CZ28" s="108">
        <f t="shared" si="48"/>
        <v>-6521.1787925378794</v>
      </c>
      <c r="DA28" s="108">
        <f t="shared" si="48"/>
        <v>-6521.1787925378794</v>
      </c>
      <c r="DB28" s="108">
        <f t="shared" si="48"/>
        <v>-6521.1787925378794</v>
      </c>
      <c r="DC28" s="108">
        <f t="shared" si="48"/>
        <v>-6521.1787925378794</v>
      </c>
      <c r="DD28" s="108">
        <f t="shared" si="48"/>
        <v>-6521.1787925378794</v>
      </c>
      <c r="DE28" s="108">
        <f t="shared" si="48"/>
        <v>-6521.1787925378794</v>
      </c>
      <c r="DF28" s="108">
        <f t="shared" si="48"/>
        <v>-6521.1787925378794</v>
      </c>
      <c r="DG28" s="110">
        <f t="shared" si="48"/>
        <v>-6521.1787925378794</v>
      </c>
      <c r="DH28" s="109">
        <f t="shared" si="48"/>
        <v>-6932.0130564677656</v>
      </c>
      <c r="DI28" s="108">
        <f t="shared" si="48"/>
        <v>-6932.0130564677656</v>
      </c>
      <c r="DJ28" s="108">
        <f t="shared" si="48"/>
        <v>-6932.0130564677656</v>
      </c>
      <c r="DK28" s="108">
        <f t="shared" si="48"/>
        <v>-6932.0130564677656</v>
      </c>
      <c r="DL28" s="108">
        <f t="shared" si="48"/>
        <v>-6932.0130564677656</v>
      </c>
      <c r="DM28" s="108">
        <f t="shared" si="48"/>
        <v>-6932.0130564677656</v>
      </c>
      <c r="DN28" s="108">
        <f t="shared" si="48"/>
        <v>-6932.0130564677656</v>
      </c>
      <c r="DO28" s="108">
        <f t="shared" si="48"/>
        <v>-6932.0130564677656</v>
      </c>
      <c r="DP28" s="108">
        <f t="shared" si="48"/>
        <v>-6932.0130564677656</v>
      </c>
      <c r="DQ28" s="108">
        <f t="shared" si="48"/>
        <v>-6932.0130564677656</v>
      </c>
      <c r="DR28" s="108">
        <f t="shared" si="48"/>
        <v>-6932.0130564677656</v>
      </c>
      <c r="DS28" s="110">
        <f t="shared" si="48"/>
        <v>-6932.0130564677656</v>
      </c>
      <c r="DT28" s="3"/>
      <c r="DU28" s="3"/>
    </row>
    <row r="29" spans="1:125" ht="15" x14ac:dyDescent="0.25">
      <c r="B29" s="162" t="s">
        <v>8</v>
      </c>
      <c r="C29" s="7">
        <v>-22000</v>
      </c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86"/>
      <c r="P29" s="109"/>
      <c r="Q29" s="108"/>
      <c r="R29" s="108">
        <f t="shared" ref="R29:CB31" si="49">$C29*R$6</f>
        <v>-23386</v>
      </c>
      <c r="S29" s="108">
        <f t="shared" si="49"/>
        <v>-23386</v>
      </c>
      <c r="T29" s="108">
        <f t="shared" si="49"/>
        <v>-23386</v>
      </c>
      <c r="U29" s="108">
        <f t="shared" si="49"/>
        <v>-23386</v>
      </c>
      <c r="V29" s="108">
        <f t="shared" si="49"/>
        <v>-23386</v>
      </c>
      <c r="W29" s="108">
        <f t="shared" si="49"/>
        <v>-23386</v>
      </c>
      <c r="X29" s="108">
        <f t="shared" si="49"/>
        <v>-23386</v>
      </c>
      <c r="Y29" s="108">
        <f t="shared" si="49"/>
        <v>-23386</v>
      </c>
      <c r="Z29" s="108">
        <f t="shared" si="49"/>
        <v>-23386</v>
      </c>
      <c r="AA29" s="110">
        <f t="shared" si="49"/>
        <v>-23386</v>
      </c>
      <c r="AB29" s="109">
        <f t="shared" si="49"/>
        <v>-24859.317999999996</v>
      </c>
      <c r="AC29" s="108">
        <f t="shared" si="49"/>
        <v>-24859.317999999996</v>
      </c>
      <c r="AD29" s="108">
        <f t="shared" si="49"/>
        <v>-24859.317999999996</v>
      </c>
      <c r="AE29" s="108">
        <f t="shared" si="49"/>
        <v>-24859.317999999996</v>
      </c>
      <c r="AF29" s="108">
        <f t="shared" si="49"/>
        <v>-24859.317999999996</v>
      </c>
      <c r="AG29" s="108">
        <f t="shared" si="49"/>
        <v>-24859.317999999996</v>
      </c>
      <c r="AH29" s="108">
        <f t="shared" si="49"/>
        <v>-24859.317999999996</v>
      </c>
      <c r="AI29" s="108">
        <f t="shared" si="49"/>
        <v>-24859.317999999996</v>
      </c>
      <c r="AJ29" s="108">
        <f t="shared" si="49"/>
        <v>-24859.317999999996</v>
      </c>
      <c r="AK29" s="108">
        <f t="shared" si="49"/>
        <v>-24859.317999999996</v>
      </c>
      <c r="AL29" s="108">
        <f t="shared" si="49"/>
        <v>-24859.317999999996</v>
      </c>
      <c r="AM29" s="110">
        <f t="shared" si="49"/>
        <v>-24859.317999999996</v>
      </c>
      <c r="AN29" s="109">
        <f t="shared" si="49"/>
        <v>-26425.455033999995</v>
      </c>
      <c r="AO29" s="108">
        <f t="shared" si="49"/>
        <v>-26425.455033999995</v>
      </c>
      <c r="AP29" s="108">
        <f t="shared" si="49"/>
        <v>-26425.455033999995</v>
      </c>
      <c r="AQ29" s="108">
        <f t="shared" si="49"/>
        <v>-26425.455033999995</v>
      </c>
      <c r="AR29" s="108">
        <f t="shared" si="49"/>
        <v>-26425.455033999995</v>
      </c>
      <c r="AS29" s="108">
        <f t="shared" si="49"/>
        <v>-26425.455033999995</v>
      </c>
      <c r="AT29" s="108">
        <f t="shared" si="49"/>
        <v>-26425.455033999995</v>
      </c>
      <c r="AU29" s="108">
        <f t="shared" si="49"/>
        <v>-26425.455033999995</v>
      </c>
      <c r="AV29" s="108">
        <f t="shared" si="49"/>
        <v>-26425.455033999995</v>
      </c>
      <c r="AW29" s="108">
        <f t="shared" si="49"/>
        <v>-26425.455033999995</v>
      </c>
      <c r="AX29" s="108">
        <f t="shared" si="49"/>
        <v>-26425.455033999995</v>
      </c>
      <c r="AY29" s="110">
        <f t="shared" si="49"/>
        <v>-26425.455033999995</v>
      </c>
      <c r="AZ29" s="109">
        <f t="shared" si="49"/>
        <v>-28090.258701141989</v>
      </c>
      <c r="BA29" s="108">
        <f t="shared" si="49"/>
        <v>-28090.258701141989</v>
      </c>
      <c r="BB29" s="108">
        <f t="shared" si="49"/>
        <v>-28090.258701141989</v>
      </c>
      <c r="BC29" s="108">
        <f t="shared" si="49"/>
        <v>-28090.258701141989</v>
      </c>
      <c r="BD29" s="108">
        <f t="shared" si="49"/>
        <v>-28090.258701141989</v>
      </c>
      <c r="BE29" s="108">
        <f t="shared" si="49"/>
        <v>-28090.258701141989</v>
      </c>
      <c r="BF29" s="108">
        <f t="shared" si="49"/>
        <v>-28090.258701141989</v>
      </c>
      <c r="BG29" s="108">
        <f t="shared" si="49"/>
        <v>-28090.258701141989</v>
      </c>
      <c r="BH29" s="108">
        <f t="shared" si="49"/>
        <v>-28090.258701141989</v>
      </c>
      <c r="BI29" s="108">
        <f t="shared" si="49"/>
        <v>-28090.258701141989</v>
      </c>
      <c r="BJ29" s="108">
        <f t="shared" si="49"/>
        <v>-28090.258701141989</v>
      </c>
      <c r="BK29" s="110">
        <f t="shared" si="49"/>
        <v>-28090.258701141989</v>
      </c>
      <c r="BL29" s="109">
        <f t="shared" si="49"/>
        <v>-29859.944999313935</v>
      </c>
      <c r="BM29" s="108">
        <f t="shared" si="49"/>
        <v>-29859.944999313935</v>
      </c>
      <c r="BN29" s="108">
        <f t="shared" si="49"/>
        <v>-29859.944999313935</v>
      </c>
      <c r="BO29" s="108">
        <f t="shared" si="49"/>
        <v>-29859.944999313935</v>
      </c>
      <c r="BP29" s="108">
        <f t="shared" si="49"/>
        <v>-29859.944999313935</v>
      </c>
      <c r="BQ29" s="108">
        <f t="shared" si="49"/>
        <v>-29859.944999313935</v>
      </c>
      <c r="BR29" s="108">
        <f t="shared" si="49"/>
        <v>-29859.944999313935</v>
      </c>
      <c r="BS29" s="108">
        <f t="shared" si="49"/>
        <v>-29859.944999313935</v>
      </c>
      <c r="BT29" s="108">
        <f t="shared" si="49"/>
        <v>-29859.944999313935</v>
      </c>
      <c r="BU29" s="108">
        <f t="shared" si="49"/>
        <v>-29859.944999313935</v>
      </c>
      <c r="BV29" s="108">
        <f t="shared" si="49"/>
        <v>-29859.944999313935</v>
      </c>
      <c r="BW29" s="110">
        <f t="shared" si="49"/>
        <v>-29859.944999313935</v>
      </c>
      <c r="BX29" s="109">
        <f t="shared" si="49"/>
        <v>-31741.121534270711</v>
      </c>
      <c r="BY29" s="108">
        <f t="shared" si="49"/>
        <v>-31741.121534270711</v>
      </c>
      <c r="BZ29" s="108">
        <f t="shared" si="49"/>
        <v>-31741.121534270711</v>
      </c>
      <c r="CA29" s="108">
        <f t="shared" si="49"/>
        <v>-31741.121534270711</v>
      </c>
      <c r="CB29" s="108">
        <f t="shared" si="49"/>
        <v>-31741.121534270711</v>
      </c>
      <c r="CC29" s="108">
        <f t="shared" ref="CC29:DS31" si="50">$C29*CC$6</f>
        <v>-31741.121534270711</v>
      </c>
      <c r="CD29" s="108">
        <f t="shared" si="50"/>
        <v>-31741.121534270711</v>
      </c>
      <c r="CE29" s="108">
        <f t="shared" si="50"/>
        <v>-31741.121534270711</v>
      </c>
      <c r="CF29" s="108">
        <f t="shared" si="50"/>
        <v>-31741.121534270711</v>
      </c>
      <c r="CG29" s="108">
        <f t="shared" si="50"/>
        <v>-31741.121534270711</v>
      </c>
      <c r="CH29" s="108">
        <f t="shared" si="50"/>
        <v>-31741.121534270711</v>
      </c>
      <c r="CI29" s="110">
        <f t="shared" si="50"/>
        <v>-31741.121534270711</v>
      </c>
      <c r="CJ29" s="109">
        <f t="shared" si="50"/>
        <v>-33740.812190929762</v>
      </c>
      <c r="CK29" s="108">
        <f t="shared" si="50"/>
        <v>-33740.812190929762</v>
      </c>
      <c r="CL29" s="108">
        <f t="shared" si="50"/>
        <v>-33740.812190929762</v>
      </c>
      <c r="CM29" s="108">
        <f t="shared" si="50"/>
        <v>-33740.812190929762</v>
      </c>
      <c r="CN29" s="108">
        <f t="shared" si="50"/>
        <v>-33740.812190929762</v>
      </c>
      <c r="CO29" s="108">
        <f t="shared" si="50"/>
        <v>-33740.812190929762</v>
      </c>
      <c r="CP29" s="108">
        <f t="shared" si="50"/>
        <v>-33740.812190929762</v>
      </c>
      <c r="CQ29" s="108">
        <f t="shared" si="50"/>
        <v>-33740.812190929762</v>
      </c>
      <c r="CR29" s="108">
        <f t="shared" si="50"/>
        <v>-33740.812190929762</v>
      </c>
      <c r="CS29" s="108">
        <f t="shared" si="50"/>
        <v>-33740.812190929762</v>
      </c>
      <c r="CT29" s="108">
        <f t="shared" si="50"/>
        <v>-33740.812190929762</v>
      </c>
      <c r="CU29" s="110">
        <f t="shared" si="50"/>
        <v>-33740.812190929762</v>
      </c>
      <c r="CV29" s="109">
        <f t="shared" si="50"/>
        <v>-35866.483358958336</v>
      </c>
      <c r="CW29" s="108">
        <f t="shared" si="50"/>
        <v>-35866.483358958336</v>
      </c>
      <c r="CX29" s="108">
        <f t="shared" si="50"/>
        <v>-35866.483358958336</v>
      </c>
      <c r="CY29" s="108">
        <f t="shared" si="50"/>
        <v>-35866.483358958336</v>
      </c>
      <c r="CZ29" s="108">
        <f t="shared" si="50"/>
        <v>-35866.483358958336</v>
      </c>
      <c r="DA29" s="108">
        <f t="shared" si="50"/>
        <v>-35866.483358958336</v>
      </c>
      <c r="DB29" s="108">
        <f t="shared" si="50"/>
        <v>-35866.483358958336</v>
      </c>
      <c r="DC29" s="108">
        <f t="shared" si="50"/>
        <v>-35866.483358958336</v>
      </c>
      <c r="DD29" s="108">
        <f t="shared" si="50"/>
        <v>-35866.483358958336</v>
      </c>
      <c r="DE29" s="108">
        <f t="shared" si="50"/>
        <v>-35866.483358958336</v>
      </c>
      <c r="DF29" s="108">
        <f t="shared" si="50"/>
        <v>-35866.483358958336</v>
      </c>
      <c r="DG29" s="110">
        <f t="shared" si="50"/>
        <v>-35866.483358958336</v>
      </c>
      <c r="DH29" s="109">
        <f t="shared" si="50"/>
        <v>-38126.071810572714</v>
      </c>
      <c r="DI29" s="108">
        <f t="shared" si="50"/>
        <v>-38126.071810572714</v>
      </c>
      <c r="DJ29" s="108">
        <f t="shared" si="50"/>
        <v>-38126.071810572714</v>
      </c>
      <c r="DK29" s="108">
        <f t="shared" si="50"/>
        <v>-38126.071810572714</v>
      </c>
      <c r="DL29" s="108">
        <f t="shared" si="50"/>
        <v>-38126.071810572714</v>
      </c>
      <c r="DM29" s="108">
        <f t="shared" si="50"/>
        <v>-38126.071810572714</v>
      </c>
      <c r="DN29" s="108">
        <f t="shared" si="50"/>
        <v>-38126.071810572714</v>
      </c>
      <c r="DO29" s="108">
        <f t="shared" si="50"/>
        <v>-38126.071810572714</v>
      </c>
      <c r="DP29" s="108">
        <f t="shared" si="50"/>
        <v>-38126.071810572714</v>
      </c>
      <c r="DQ29" s="108">
        <f t="shared" si="50"/>
        <v>-38126.071810572714</v>
      </c>
      <c r="DR29" s="108">
        <f t="shared" si="50"/>
        <v>-38126.071810572714</v>
      </c>
      <c r="DS29" s="110">
        <f t="shared" si="50"/>
        <v>-38126.071810572714</v>
      </c>
      <c r="DT29" s="3"/>
      <c r="DU29" s="3"/>
    </row>
    <row r="30" spans="1:125" ht="15" x14ac:dyDescent="0.25">
      <c r="B30" s="162" t="s">
        <v>9</v>
      </c>
      <c r="C30" s="7">
        <v>-12000</v>
      </c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86"/>
      <c r="P30" s="109"/>
      <c r="Q30" s="108"/>
      <c r="R30" s="108">
        <f t="shared" si="49"/>
        <v>-12756</v>
      </c>
      <c r="S30" s="108">
        <f t="shared" si="49"/>
        <v>-12756</v>
      </c>
      <c r="T30" s="108">
        <f t="shared" si="49"/>
        <v>-12756</v>
      </c>
      <c r="U30" s="108">
        <f t="shared" si="49"/>
        <v>-12756</v>
      </c>
      <c r="V30" s="108">
        <f t="shared" si="49"/>
        <v>-12756</v>
      </c>
      <c r="W30" s="108">
        <f t="shared" si="49"/>
        <v>-12756</v>
      </c>
      <c r="X30" s="108">
        <f t="shared" si="49"/>
        <v>-12756</v>
      </c>
      <c r="Y30" s="108">
        <f t="shared" si="49"/>
        <v>-12756</v>
      </c>
      <c r="Z30" s="108">
        <f t="shared" si="49"/>
        <v>-12756</v>
      </c>
      <c r="AA30" s="110">
        <f t="shared" si="49"/>
        <v>-12756</v>
      </c>
      <c r="AB30" s="109">
        <f t="shared" si="49"/>
        <v>-13559.627999999997</v>
      </c>
      <c r="AC30" s="108">
        <f t="shared" si="49"/>
        <v>-13559.627999999997</v>
      </c>
      <c r="AD30" s="108">
        <f t="shared" si="49"/>
        <v>-13559.627999999997</v>
      </c>
      <c r="AE30" s="108">
        <f t="shared" si="49"/>
        <v>-13559.627999999997</v>
      </c>
      <c r="AF30" s="108">
        <f t="shared" si="49"/>
        <v>-13559.627999999997</v>
      </c>
      <c r="AG30" s="108">
        <f t="shared" si="49"/>
        <v>-13559.627999999997</v>
      </c>
      <c r="AH30" s="108">
        <f t="shared" si="49"/>
        <v>-13559.627999999997</v>
      </c>
      <c r="AI30" s="108">
        <f t="shared" si="49"/>
        <v>-13559.627999999997</v>
      </c>
      <c r="AJ30" s="108">
        <f t="shared" si="49"/>
        <v>-13559.627999999997</v>
      </c>
      <c r="AK30" s="108">
        <f t="shared" si="49"/>
        <v>-13559.627999999997</v>
      </c>
      <c r="AL30" s="108">
        <f t="shared" si="49"/>
        <v>-13559.627999999997</v>
      </c>
      <c r="AM30" s="110">
        <f t="shared" si="49"/>
        <v>-13559.627999999997</v>
      </c>
      <c r="AN30" s="109">
        <f t="shared" si="49"/>
        <v>-14413.884563999996</v>
      </c>
      <c r="AO30" s="108">
        <f t="shared" si="49"/>
        <v>-14413.884563999996</v>
      </c>
      <c r="AP30" s="108">
        <f t="shared" si="49"/>
        <v>-14413.884563999996</v>
      </c>
      <c r="AQ30" s="108">
        <f t="shared" si="49"/>
        <v>-14413.884563999996</v>
      </c>
      <c r="AR30" s="108">
        <f t="shared" si="49"/>
        <v>-14413.884563999996</v>
      </c>
      <c r="AS30" s="108">
        <f t="shared" si="49"/>
        <v>-14413.884563999996</v>
      </c>
      <c r="AT30" s="108">
        <f t="shared" si="49"/>
        <v>-14413.884563999996</v>
      </c>
      <c r="AU30" s="108">
        <f t="shared" si="49"/>
        <v>-14413.884563999996</v>
      </c>
      <c r="AV30" s="108">
        <f t="shared" si="49"/>
        <v>-14413.884563999996</v>
      </c>
      <c r="AW30" s="108">
        <f t="shared" si="49"/>
        <v>-14413.884563999996</v>
      </c>
      <c r="AX30" s="108">
        <f t="shared" si="49"/>
        <v>-14413.884563999996</v>
      </c>
      <c r="AY30" s="110">
        <f t="shared" si="49"/>
        <v>-14413.884563999996</v>
      </c>
      <c r="AZ30" s="109">
        <f t="shared" si="49"/>
        <v>-15321.959291531995</v>
      </c>
      <c r="BA30" s="108">
        <f t="shared" si="49"/>
        <v>-15321.959291531995</v>
      </c>
      <c r="BB30" s="108">
        <f t="shared" si="49"/>
        <v>-15321.959291531995</v>
      </c>
      <c r="BC30" s="108">
        <f t="shared" si="49"/>
        <v>-15321.959291531995</v>
      </c>
      <c r="BD30" s="108">
        <f t="shared" si="49"/>
        <v>-15321.959291531995</v>
      </c>
      <c r="BE30" s="108">
        <f t="shared" si="49"/>
        <v>-15321.959291531995</v>
      </c>
      <c r="BF30" s="108">
        <f t="shared" si="49"/>
        <v>-15321.959291531995</v>
      </c>
      <c r="BG30" s="108">
        <f t="shared" si="49"/>
        <v>-15321.959291531995</v>
      </c>
      <c r="BH30" s="108">
        <f t="shared" si="49"/>
        <v>-15321.959291531995</v>
      </c>
      <c r="BI30" s="108">
        <f t="shared" si="49"/>
        <v>-15321.959291531995</v>
      </c>
      <c r="BJ30" s="108">
        <f t="shared" si="49"/>
        <v>-15321.959291531995</v>
      </c>
      <c r="BK30" s="110">
        <f t="shared" si="49"/>
        <v>-15321.959291531995</v>
      </c>
      <c r="BL30" s="109">
        <f t="shared" si="49"/>
        <v>-16287.24272689851</v>
      </c>
      <c r="BM30" s="108">
        <f t="shared" si="49"/>
        <v>-16287.24272689851</v>
      </c>
      <c r="BN30" s="108">
        <f t="shared" si="49"/>
        <v>-16287.24272689851</v>
      </c>
      <c r="BO30" s="108">
        <f t="shared" si="49"/>
        <v>-16287.24272689851</v>
      </c>
      <c r="BP30" s="108">
        <f t="shared" si="49"/>
        <v>-16287.24272689851</v>
      </c>
      <c r="BQ30" s="108">
        <f t="shared" si="49"/>
        <v>-16287.24272689851</v>
      </c>
      <c r="BR30" s="108">
        <f t="shared" si="49"/>
        <v>-16287.24272689851</v>
      </c>
      <c r="BS30" s="108">
        <f t="shared" si="49"/>
        <v>-16287.24272689851</v>
      </c>
      <c r="BT30" s="108">
        <f t="shared" si="49"/>
        <v>-16287.24272689851</v>
      </c>
      <c r="BU30" s="108">
        <f t="shared" si="49"/>
        <v>-16287.24272689851</v>
      </c>
      <c r="BV30" s="108">
        <f t="shared" si="49"/>
        <v>-16287.24272689851</v>
      </c>
      <c r="BW30" s="110">
        <f t="shared" si="49"/>
        <v>-16287.24272689851</v>
      </c>
      <c r="BX30" s="109">
        <f t="shared" si="49"/>
        <v>-17313.339018693114</v>
      </c>
      <c r="BY30" s="108">
        <f t="shared" si="49"/>
        <v>-17313.339018693114</v>
      </c>
      <c r="BZ30" s="108">
        <f t="shared" si="49"/>
        <v>-17313.339018693114</v>
      </c>
      <c r="CA30" s="108">
        <f t="shared" si="49"/>
        <v>-17313.339018693114</v>
      </c>
      <c r="CB30" s="108">
        <f t="shared" si="49"/>
        <v>-17313.339018693114</v>
      </c>
      <c r="CC30" s="108">
        <f t="shared" si="50"/>
        <v>-17313.339018693114</v>
      </c>
      <c r="CD30" s="108">
        <f t="shared" si="50"/>
        <v>-17313.339018693114</v>
      </c>
      <c r="CE30" s="108">
        <f t="shared" si="50"/>
        <v>-17313.339018693114</v>
      </c>
      <c r="CF30" s="108">
        <f t="shared" si="50"/>
        <v>-17313.339018693114</v>
      </c>
      <c r="CG30" s="108">
        <f t="shared" si="50"/>
        <v>-17313.339018693114</v>
      </c>
      <c r="CH30" s="108">
        <f t="shared" si="50"/>
        <v>-17313.339018693114</v>
      </c>
      <c r="CI30" s="110">
        <f t="shared" si="50"/>
        <v>-17313.339018693114</v>
      </c>
      <c r="CJ30" s="109">
        <f t="shared" si="50"/>
        <v>-18404.079376870781</v>
      </c>
      <c r="CK30" s="108">
        <f t="shared" si="50"/>
        <v>-18404.079376870781</v>
      </c>
      <c r="CL30" s="108">
        <f t="shared" si="50"/>
        <v>-18404.079376870781</v>
      </c>
      <c r="CM30" s="108">
        <f t="shared" si="50"/>
        <v>-18404.079376870781</v>
      </c>
      <c r="CN30" s="108">
        <f t="shared" si="50"/>
        <v>-18404.079376870781</v>
      </c>
      <c r="CO30" s="108">
        <f t="shared" si="50"/>
        <v>-18404.079376870781</v>
      </c>
      <c r="CP30" s="108">
        <f t="shared" si="50"/>
        <v>-18404.079376870781</v>
      </c>
      <c r="CQ30" s="108">
        <f t="shared" si="50"/>
        <v>-18404.079376870781</v>
      </c>
      <c r="CR30" s="108">
        <f t="shared" si="50"/>
        <v>-18404.079376870781</v>
      </c>
      <c r="CS30" s="108">
        <f t="shared" si="50"/>
        <v>-18404.079376870781</v>
      </c>
      <c r="CT30" s="108">
        <f t="shared" si="50"/>
        <v>-18404.079376870781</v>
      </c>
      <c r="CU30" s="110">
        <f t="shared" si="50"/>
        <v>-18404.079376870781</v>
      </c>
      <c r="CV30" s="109">
        <f t="shared" si="50"/>
        <v>-19563.53637761364</v>
      </c>
      <c r="CW30" s="108">
        <f t="shared" si="50"/>
        <v>-19563.53637761364</v>
      </c>
      <c r="CX30" s="108">
        <f t="shared" si="50"/>
        <v>-19563.53637761364</v>
      </c>
      <c r="CY30" s="108">
        <f t="shared" si="50"/>
        <v>-19563.53637761364</v>
      </c>
      <c r="CZ30" s="108">
        <f t="shared" si="50"/>
        <v>-19563.53637761364</v>
      </c>
      <c r="DA30" s="108">
        <f t="shared" si="50"/>
        <v>-19563.53637761364</v>
      </c>
      <c r="DB30" s="108">
        <f t="shared" si="50"/>
        <v>-19563.53637761364</v>
      </c>
      <c r="DC30" s="108">
        <f t="shared" si="50"/>
        <v>-19563.53637761364</v>
      </c>
      <c r="DD30" s="108">
        <f t="shared" si="50"/>
        <v>-19563.53637761364</v>
      </c>
      <c r="DE30" s="108">
        <f t="shared" si="50"/>
        <v>-19563.53637761364</v>
      </c>
      <c r="DF30" s="108">
        <f t="shared" si="50"/>
        <v>-19563.53637761364</v>
      </c>
      <c r="DG30" s="110">
        <f t="shared" si="50"/>
        <v>-19563.53637761364</v>
      </c>
      <c r="DH30" s="109">
        <f t="shared" si="50"/>
        <v>-20796.039169403299</v>
      </c>
      <c r="DI30" s="108">
        <f t="shared" si="50"/>
        <v>-20796.039169403299</v>
      </c>
      <c r="DJ30" s="108">
        <f t="shared" si="50"/>
        <v>-20796.039169403299</v>
      </c>
      <c r="DK30" s="108">
        <f t="shared" si="50"/>
        <v>-20796.039169403299</v>
      </c>
      <c r="DL30" s="108">
        <f t="shared" si="50"/>
        <v>-20796.039169403299</v>
      </c>
      <c r="DM30" s="108">
        <f t="shared" si="50"/>
        <v>-20796.039169403299</v>
      </c>
      <c r="DN30" s="108">
        <f t="shared" si="50"/>
        <v>-20796.039169403299</v>
      </c>
      <c r="DO30" s="108">
        <f t="shared" si="50"/>
        <v>-20796.039169403299</v>
      </c>
      <c r="DP30" s="108">
        <f t="shared" si="50"/>
        <v>-20796.039169403299</v>
      </c>
      <c r="DQ30" s="108">
        <f t="shared" si="50"/>
        <v>-20796.039169403299</v>
      </c>
      <c r="DR30" s="108">
        <f t="shared" si="50"/>
        <v>-20796.039169403299</v>
      </c>
      <c r="DS30" s="110">
        <f t="shared" si="50"/>
        <v>-20796.039169403299</v>
      </c>
      <c r="DT30" s="3"/>
      <c r="DU30" s="3"/>
    </row>
    <row r="31" spans="1:125" ht="15" x14ac:dyDescent="0.25">
      <c r="B31" s="162" t="s">
        <v>358</v>
      </c>
      <c r="C31" s="7">
        <v>-12000</v>
      </c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86"/>
      <c r="P31" s="109"/>
      <c r="Q31" s="108"/>
      <c r="R31" s="108">
        <f t="shared" si="49"/>
        <v>-12756</v>
      </c>
      <c r="S31" s="108">
        <f t="shared" si="49"/>
        <v>-12756</v>
      </c>
      <c r="T31" s="108">
        <f t="shared" si="49"/>
        <v>-12756</v>
      </c>
      <c r="U31" s="108">
        <f t="shared" si="49"/>
        <v>-12756</v>
      </c>
      <c r="V31" s="108">
        <f t="shared" si="49"/>
        <v>-12756</v>
      </c>
      <c r="W31" s="108">
        <f t="shared" si="49"/>
        <v>-12756</v>
      </c>
      <c r="X31" s="108">
        <f t="shared" si="49"/>
        <v>-12756</v>
      </c>
      <c r="Y31" s="108">
        <f t="shared" si="49"/>
        <v>-12756</v>
      </c>
      <c r="Z31" s="108">
        <f t="shared" si="49"/>
        <v>-12756</v>
      </c>
      <c r="AA31" s="110">
        <f t="shared" si="49"/>
        <v>-12756</v>
      </c>
      <c r="AB31" s="109">
        <f t="shared" si="49"/>
        <v>-13559.627999999997</v>
      </c>
      <c r="AC31" s="108">
        <f t="shared" si="49"/>
        <v>-13559.627999999997</v>
      </c>
      <c r="AD31" s="108">
        <f t="shared" si="49"/>
        <v>-13559.627999999997</v>
      </c>
      <c r="AE31" s="108">
        <f t="shared" si="49"/>
        <v>-13559.627999999997</v>
      </c>
      <c r="AF31" s="108">
        <f t="shared" si="49"/>
        <v>-13559.627999999997</v>
      </c>
      <c r="AG31" s="108">
        <f t="shared" si="49"/>
        <v>-13559.627999999997</v>
      </c>
      <c r="AH31" s="108">
        <f t="shared" si="49"/>
        <v>-13559.627999999997</v>
      </c>
      <c r="AI31" s="108">
        <f t="shared" si="49"/>
        <v>-13559.627999999997</v>
      </c>
      <c r="AJ31" s="108">
        <f t="shared" si="49"/>
        <v>-13559.627999999997</v>
      </c>
      <c r="AK31" s="108">
        <f t="shared" si="49"/>
        <v>-13559.627999999997</v>
      </c>
      <c r="AL31" s="108">
        <f t="shared" si="49"/>
        <v>-13559.627999999997</v>
      </c>
      <c r="AM31" s="110">
        <f t="shared" si="49"/>
        <v>-13559.627999999997</v>
      </c>
      <c r="AN31" s="109">
        <f t="shared" si="49"/>
        <v>-14413.884563999996</v>
      </c>
      <c r="AO31" s="108">
        <f t="shared" si="49"/>
        <v>-14413.884563999996</v>
      </c>
      <c r="AP31" s="108">
        <f t="shared" si="49"/>
        <v>-14413.884563999996</v>
      </c>
      <c r="AQ31" s="108">
        <f t="shared" si="49"/>
        <v>-14413.884563999996</v>
      </c>
      <c r="AR31" s="108">
        <f t="shared" si="49"/>
        <v>-14413.884563999996</v>
      </c>
      <c r="AS31" s="108">
        <f t="shared" si="49"/>
        <v>-14413.884563999996</v>
      </c>
      <c r="AT31" s="108">
        <f t="shared" si="49"/>
        <v>-14413.884563999996</v>
      </c>
      <c r="AU31" s="108">
        <f t="shared" si="49"/>
        <v>-14413.884563999996</v>
      </c>
      <c r="AV31" s="108">
        <f t="shared" si="49"/>
        <v>-14413.884563999996</v>
      </c>
      <c r="AW31" s="108">
        <f t="shared" si="49"/>
        <v>-14413.884563999996</v>
      </c>
      <c r="AX31" s="108">
        <f t="shared" si="49"/>
        <v>-14413.884563999996</v>
      </c>
      <c r="AY31" s="110">
        <f t="shared" si="49"/>
        <v>-14413.884563999996</v>
      </c>
      <c r="AZ31" s="109">
        <f t="shared" si="49"/>
        <v>-15321.959291531995</v>
      </c>
      <c r="BA31" s="108">
        <f t="shared" si="49"/>
        <v>-15321.959291531995</v>
      </c>
      <c r="BB31" s="108">
        <f t="shared" si="49"/>
        <v>-15321.959291531995</v>
      </c>
      <c r="BC31" s="108">
        <f t="shared" si="49"/>
        <v>-15321.959291531995</v>
      </c>
      <c r="BD31" s="108">
        <f t="shared" si="49"/>
        <v>-15321.959291531995</v>
      </c>
      <c r="BE31" s="108">
        <f t="shared" si="49"/>
        <v>-15321.959291531995</v>
      </c>
      <c r="BF31" s="108">
        <f t="shared" si="49"/>
        <v>-15321.959291531995</v>
      </c>
      <c r="BG31" s="108">
        <f t="shared" si="49"/>
        <v>-15321.959291531995</v>
      </c>
      <c r="BH31" s="108">
        <f t="shared" si="49"/>
        <v>-15321.959291531995</v>
      </c>
      <c r="BI31" s="108">
        <f t="shared" si="49"/>
        <v>-15321.959291531995</v>
      </c>
      <c r="BJ31" s="108">
        <f t="shared" si="49"/>
        <v>-15321.959291531995</v>
      </c>
      <c r="BK31" s="110">
        <f t="shared" si="49"/>
        <v>-15321.959291531995</v>
      </c>
      <c r="BL31" s="109">
        <f t="shared" si="49"/>
        <v>-16287.24272689851</v>
      </c>
      <c r="BM31" s="108">
        <f t="shared" si="49"/>
        <v>-16287.24272689851</v>
      </c>
      <c r="BN31" s="108">
        <f t="shared" si="49"/>
        <v>-16287.24272689851</v>
      </c>
      <c r="BO31" s="108">
        <f t="shared" si="49"/>
        <v>-16287.24272689851</v>
      </c>
      <c r="BP31" s="108">
        <f t="shared" si="49"/>
        <v>-16287.24272689851</v>
      </c>
      <c r="BQ31" s="108">
        <f t="shared" si="49"/>
        <v>-16287.24272689851</v>
      </c>
      <c r="BR31" s="108">
        <f t="shared" si="49"/>
        <v>-16287.24272689851</v>
      </c>
      <c r="BS31" s="108">
        <f t="shared" si="49"/>
        <v>-16287.24272689851</v>
      </c>
      <c r="BT31" s="108">
        <f t="shared" si="49"/>
        <v>-16287.24272689851</v>
      </c>
      <c r="BU31" s="108">
        <f t="shared" si="49"/>
        <v>-16287.24272689851</v>
      </c>
      <c r="BV31" s="108">
        <f t="shared" si="49"/>
        <v>-16287.24272689851</v>
      </c>
      <c r="BW31" s="110">
        <f t="shared" si="49"/>
        <v>-16287.24272689851</v>
      </c>
      <c r="BX31" s="109">
        <f t="shared" si="49"/>
        <v>-17313.339018693114</v>
      </c>
      <c r="BY31" s="108">
        <f t="shared" si="49"/>
        <v>-17313.339018693114</v>
      </c>
      <c r="BZ31" s="108">
        <f t="shared" si="49"/>
        <v>-17313.339018693114</v>
      </c>
      <c r="CA31" s="108">
        <f t="shared" si="49"/>
        <v>-17313.339018693114</v>
      </c>
      <c r="CB31" s="108">
        <f t="shared" si="49"/>
        <v>-17313.339018693114</v>
      </c>
      <c r="CC31" s="108">
        <f t="shared" si="50"/>
        <v>-17313.339018693114</v>
      </c>
      <c r="CD31" s="108">
        <f t="shared" si="50"/>
        <v>-17313.339018693114</v>
      </c>
      <c r="CE31" s="108">
        <f t="shared" si="50"/>
        <v>-17313.339018693114</v>
      </c>
      <c r="CF31" s="108">
        <f t="shared" si="50"/>
        <v>-17313.339018693114</v>
      </c>
      <c r="CG31" s="108">
        <f t="shared" si="50"/>
        <v>-17313.339018693114</v>
      </c>
      <c r="CH31" s="108">
        <f t="shared" si="50"/>
        <v>-17313.339018693114</v>
      </c>
      <c r="CI31" s="110">
        <f t="shared" si="50"/>
        <v>-17313.339018693114</v>
      </c>
      <c r="CJ31" s="109">
        <f t="shared" si="50"/>
        <v>-18404.079376870781</v>
      </c>
      <c r="CK31" s="108">
        <f t="shared" si="50"/>
        <v>-18404.079376870781</v>
      </c>
      <c r="CL31" s="108">
        <f t="shared" si="50"/>
        <v>-18404.079376870781</v>
      </c>
      <c r="CM31" s="108">
        <f t="shared" si="50"/>
        <v>-18404.079376870781</v>
      </c>
      <c r="CN31" s="108">
        <f t="shared" si="50"/>
        <v>-18404.079376870781</v>
      </c>
      <c r="CO31" s="108">
        <f t="shared" si="50"/>
        <v>-18404.079376870781</v>
      </c>
      <c r="CP31" s="108">
        <f t="shared" si="50"/>
        <v>-18404.079376870781</v>
      </c>
      <c r="CQ31" s="108">
        <f t="shared" si="50"/>
        <v>-18404.079376870781</v>
      </c>
      <c r="CR31" s="108">
        <f t="shared" si="50"/>
        <v>-18404.079376870781</v>
      </c>
      <c r="CS31" s="108">
        <f t="shared" si="50"/>
        <v>-18404.079376870781</v>
      </c>
      <c r="CT31" s="108">
        <f t="shared" si="50"/>
        <v>-18404.079376870781</v>
      </c>
      <c r="CU31" s="110">
        <f t="shared" si="50"/>
        <v>-18404.079376870781</v>
      </c>
      <c r="CV31" s="109">
        <f t="shared" si="50"/>
        <v>-19563.53637761364</v>
      </c>
      <c r="CW31" s="108">
        <f t="shared" si="50"/>
        <v>-19563.53637761364</v>
      </c>
      <c r="CX31" s="108">
        <f t="shared" si="50"/>
        <v>-19563.53637761364</v>
      </c>
      <c r="CY31" s="108">
        <f t="shared" si="50"/>
        <v>-19563.53637761364</v>
      </c>
      <c r="CZ31" s="108">
        <f t="shared" si="50"/>
        <v>-19563.53637761364</v>
      </c>
      <c r="DA31" s="108">
        <f t="shared" si="50"/>
        <v>-19563.53637761364</v>
      </c>
      <c r="DB31" s="108">
        <f t="shared" si="50"/>
        <v>-19563.53637761364</v>
      </c>
      <c r="DC31" s="108">
        <f t="shared" si="50"/>
        <v>-19563.53637761364</v>
      </c>
      <c r="DD31" s="108">
        <f t="shared" si="50"/>
        <v>-19563.53637761364</v>
      </c>
      <c r="DE31" s="108">
        <f t="shared" si="50"/>
        <v>-19563.53637761364</v>
      </c>
      <c r="DF31" s="108">
        <f t="shared" si="50"/>
        <v>-19563.53637761364</v>
      </c>
      <c r="DG31" s="110">
        <f t="shared" si="50"/>
        <v>-19563.53637761364</v>
      </c>
      <c r="DH31" s="109">
        <f t="shared" si="50"/>
        <v>-20796.039169403299</v>
      </c>
      <c r="DI31" s="108">
        <f t="shared" si="50"/>
        <v>-20796.039169403299</v>
      </c>
      <c r="DJ31" s="108">
        <f t="shared" si="50"/>
        <v>-20796.039169403299</v>
      </c>
      <c r="DK31" s="108">
        <f t="shared" si="50"/>
        <v>-20796.039169403299</v>
      </c>
      <c r="DL31" s="108">
        <f t="shared" si="50"/>
        <v>-20796.039169403299</v>
      </c>
      <c r="DM31" s="108">
        <f t="shared" si="50"/>
        <v>-20796.039169403299</v>
      </c>
      <c r="DN31" s="108">
        <f t="shared" si="50"/>
        <v>-20796.039169403299</v>
      </c>
      <c r="DO31" s="108">
        <f t="shared" si="50"/>
        <v>-20796.039169403299</v>
      </c>
      <c r="DP31" s="108">
        <f t="shared" si="50"/>
        <v>-20796.039169403299</v>
      </c>
      <c r="DQ31" s="108">
        <f t="shared" si="50"/>
        <v>-20796.039169403299</v>
      </c>
      <c r="DR31" s="108">
        <f t="shared" si="50"/>
        <v>-20796.039169403299</v>
      </c>
      <c r="DS31" s="110">
        <f t="shared" si="50"/>
        <v>-20796.039169403299</v>
      </c>
      <c r="DT31" s="3"/>
      <c r="DU31" s="3"/>
    </row>
    <row r="32" spans="1:125" ht="17.25" thickBot="1" x14ac:dyDescent="0.35">
      <c r="A32" s="166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728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728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728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728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728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728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728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728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728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728"/>
      <c r="DT32" s="3"/>
      <c r="DU32" s="3"/>
    </row>
    <row r="33" spans="1:125" ht="12.75" customHeight="1" x14ac:dyDescent="0.2">
      <c r="A33" s="9"/>
      <c r="B33" s="9"/>
      <c r="C33" s="7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3"/>
      <c r="DU33" s="3"/>
    </row>
    <row r="34" spans="1:125" x14ac:dyDescent="0.2">
      <c r="J34" s="384"/>
      <c r="L34" s="384"/>
    </row>
  </sheetData>
  <mergeCells count="11">
    <mergeCell ref="BX2:CI2"/>
    <mergeCell ref="CJ2:CU2"/>
    <mergeCell ref="CV2:DG2"/>
    <mergeCell ref="DH2:DS2"/>
    <mergeCell ref="D2:O2"/>
    <mergeCell ref="A1:B3"/>
    <mergeCell ref="BL2:BW2"/>
    <mergeCell ref="P2:AA2"/>
    <mergeCell ref="AB2:AM2"/>
    <mergeCell ref="AN2:AY2"/>
    <mergeCell ref="AZ2:BK2"/>
  </mergeCells>
  <pageMargins left="0.25" right="0.25" top="0.75" bottom="0.75" header="0.3" footer="0.3"/>
  <pageSetup paperSize="9" scale="47" orientation="landscape" r:id="rId1"/>
  <ignoredErrors>
    <ignoredError sqref="S26:DS26 S22:AA22 S24:AA24 AC22:DS22 AC24:DS24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10</vt:i4>
      </vt:variant>
    </vt:vector>
  </HeadingPairs>
  <TitlesOfParts>
    <vt:vector size="50" baseType="lpstr">
      <vt:lpstr>Assumptions</vt:lpstr>
      <vt:lpstr>Valuation</vt:lpstr>
      <vt:lpstr>Sensitivities</vt:lpstr>
      <vt:lpstr>Fin Statements</vt:lpstr>
      <vt:lpstr>Monthly FS</vt:lpstr>
      <vt:lpstr>1.Revenue</vt:lpstr>
      <vt:lpstr>2.Sales Costs</vt:lpstr>
      <vt:lpstr>3. Variable Costs</vt:lpstr>
      <vt:lpstr>4. OH Expenses</vt:lpstr>
      <vt:lpstr>5.Depreciation</vt:lpstr>
      <vt:lpstr>6. Finance Income</vt:lpstr>
      <vt:lpstr>7.Finance Costs</vt:lpstr>
      <vt:lpstr>8.Income Tax</vt:lpstr>
      <vt:lpstr>9.CAPEX</vt:lpstr>
      <vt:lpstr>Production</vt:lpstr>
      <vt:lpstr>WACC</vt:lpstr>
      <vt:lpstr>HR</vt:lpstr>
      <vt:lpstr>Elec</vt:lpstr>
      <vt:lpstr>Feed</vt:lpstr>
      <vt:lpstr>R&amp;M</vt:lpstr>
      <vt:lpstr>Input data</vt:lpstr>
      <vt:lpstr>Summary Bioplan</vt:lpstr>
      <vt:lpstr>Smolt Production</vt:lpstr>
      <vt:lpstr>Batch1 - S0 Smolts</vt:lpstr>
      <vt:lpstr>Batch2 - S0 Smolts</vt:lpstr>
      <vt:lpstr>Batch 3 - S1 Smolts</vt:lpstr>
      <vt:lpstr>Production calcs</vt:lpstr>
      <vt:lpstr>Production Plan</vt:lpstr>
      <vt:lpstr>Capex Summary Sheet</vt:lpstr>
      <vt:lpstr>1. Pre-development</vt:lpstr>
      <vt:lpstr>2. Land</vt:lpstr>
      <vt:lpstr>3. Infrastructure</vt:lpstr>
      <vt:lpstr>4. Buildings</vt:lpstr>
      <vt:lpstr>5. Services</vt:lpstr>
      <vt:lpstr>6. Aquaculture systems - Hatch</vt:lpstr>
      <vt:lpstr>7. Aquaculture systems - Cages</vt:lpstr>
      <vt:lpstr>8. Vehicles</vt:lpstr>
      <vt:lpstr>9. Transport and logistics</vt:lpstr>
      <vt:lpstr>10. Professional Fees</vt:lpstr>
      <vt:lpstr>11. Contingency</vt:lpstr>
      <vt:lpstr>'4. OH Expenses'!Print_Area</vt:lpstr>
      <vt:lpstr>'5.Depreciation'!Print_Area</vt:lpstr>
      <vt:lpstr>'8.Income Tax'!Print_Area</vt:lpstr>
      <vt:lpstr>'9.CAPEX'!Print_Area</vt:lpstr>
      <vt:lpstr>'Batch 3 - S1 Smolts'!Print_Area</vt:lpstr>
      <vt:lpstr>'Batch2 - S0 Smolts'!Print_Area</vt:lpstr>
      <vt:lpstr>Feed!Print_Area</vt:lpstr>
      <vt:lpstr>'Fin Statements'!Print_Area</vt:lpstr>
      <vt:lpstr>'R&amp;M'!Print_Area</vt:lpstr>
      <vt:lpstr>'Smolt Production'!Print_Area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Adilia de Nobrega-Thorold</dc:creator>
  <cp:lastModifiedBy>MasupingM</cp:lastModifiedBy>
  <cp:lastPrinted>2016-02-29T08:29:50Z</cp:lastPrinted>
  <dcterms:created xsi:type="dcterms:W3CDTF">2014-02-10T08:24:51Z</dcterms:created>
  <dcterms:modified xsi:type="dcterms:W3CDTF">2017-06-21T11:59:27Z</dcterms:modified>
</cp:coreProperties>
</file>