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fairweather\Documents\FISHERIES\Resource Management\FRAP 2021 Allocations\Hake DST\appeals\"/>
    </mc:Choice>
  </mc:AlternateContent>
  <xr:revisionPtr revIDLastSave="0" documentId="8_{8F9CCB57-4F64-4BAD-AF86-AF411F573B4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atrix cat A" sheetId="1" r:id="rId1"/>
    <sheet name="matrix divided by max cat A" sheetId="3" r:id="rId2"/>
    <sheet name="Rankings" sheetId="4" r:id="rId3"/>
    <sheet name="Final_Allocati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4" l="1"/>
  <c r="B2" i="4"/>
  <c r="S3" i="3"/>
  <c r="B11" i="4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2" i="5"/>
  <c r="E29" i="4" l="1"/>
  <c r="E30" i="4"/>
  <c r="D6" i="4"/>
  <c r="G6" i="4" l="1"/>
  <c r="E6" i="4" s="1"/>
  <c r="B3" i="4"/>
  <c r="B4" i="4"/>
  <c r="B5" i="4"/>
  <c r="B6" i="4"/>
  <c r="B7" i="4"/>
  <c r="B8" i="4"/>
  <c r="B9" i="4"/>
  <c r="B10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D3" i="4" l="1"/>
  <c r="D4" i="4"/>
  <c r="D5" i="4"/>
  <c r="D7" i="4"/>
  <c r="D8" i="4"/>
  <c r="D9" i="4"/>
  <c r="D10" i="4"/>
  <c r="G10" i="4" s="1"/>
  <c r="H10" i="4" s="1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31" i="4"/>
  <c r="D32" i="4"/>
  <c r="K2" i="4" l="1"/>
  <c r="D35" i="4"/>
  <c r="D37" i="4" s="1"/>
  <c r="D34" i="4"/>
  <c r="D36" i="4" s="1"/>
  <c r="K1" i="4" s="1"/>
  <c r="L1" i="4" s="1"/>
  <c r="E2" i="4"/>
  <c r="E32" i="4"/>
  <c r="E26" i="4"/>
  <c r="E22" i="4"/>
  <c r="E18" i="4"/>
  <c r="E14" i="4"/>
  <c r="E10" i="4"/>
  <c r="E5" i="4"/>
  <c r="E31" i="4"/>
  <c r="E25" i="4"/>
  <c r="E21" i="4"/>
  <c r="E17" i="4"/>
  <c r="E13" i="4"/>
  <c r="E9" i="4"/>
  <c r="E4" i="4"/>
  <c r="E28" i="4"/>
  <c r="E24" i="4"/>
  <c r="E20" i="4"/>
  <c r="E16" i="4"/>
  <c r="E12" i="4"/>
  <c r="E8" i="4"/>
  <c r="E3" i="4"/>
  <c r="E27" i="4"/>
  <c r="E23" i="4"/>
  <c r="E19" i="4"/>
  <c r="E15" i="4"/>
  <c r="E11" i="4"/>
  <c r="E7" i="4"/>
  <c r="E35" i="4" l="1"/>
  <c r="E34" i="4"/>
  <c r="E36" i="4" s="1"/>
  <c r="L2" i="4"/>
  <c r="K4" i="4" s="1"/>
  <c r="S3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K8" i="4" l="1"/>
  <c r="K10" i="4" s="1"/>
  <c r="K5" i="4"/>
  <c r="O2" i="4" l="1"/>
  <c r="Q6" i="4" s="1"/>
  <c r="K6" i="4"/>
  <c r="K7" i="4"/>
  <c r="Q27" i="4"/>
  <c r="Q10" i="4" l="1"/>
  <c r="Q17" i="4"/>
  <c r="Q4" i="4"/>
  <c r="Q19" i="4"/>
  <c r="Q8" i="4"/>
  <c r="Q24" i="4"/>
  <c r="Q9" i="4"/>
  <c r="Q5" i="4"/>
  <c r="Q20" i="4"/>
  <c r="Q13" i="4"/>
  <c r="Q12" i="4"/>
  <c r="Q22" i="4"/>
  <c r="Q21" i="4"/>
  <c r="Q16" i="4"/>
  <c r="Q23" i="4"/>
  <c r="Q26" i="4"/>
  <c r="Q3" i="4"/>
  <c r="Q15" i="4"/>
  <c r="Q18" i="4"/>
  <c r="Q7" i="4"/>
  <c r="Q14" i="4"/>
  <c r="Q25" i="4"/>
  <c r="Q11" i="4"/>
  <c r="F35" i="4"/>
  <c r="Q29" i="4" l="1"/>
  <c r="P3" i="4" s="1"/>
  <c r="O3" i="4" l="1"/>
  <c r="F2" i="4" s="1"/>
  <c r="P21" i="4"/>
  <c r="O21" i="4" s="1"/>
  <c r="F20" i="4" s="1"/>
  <c r="P17" i="4"/>
  <c r="O17" i="4" s="1"/>
  <c r="F16" i="4" s="1"/>
  <c r="P18" i="4"/>
  <c r="O18" i="4" s="1"/>
  <c r="F17" i="4" s="1"/>
  <c r="P14" i="4"/>
  <c r="O14" i="4" s="1"/>
  <c r="F13" i="4" s="1"/>
  <c r="P13" i="4"/>
  <c r="O13" i="4" s="1"/>
  <c r="F12" i="4" s="1"/>
  <c r="P15" i="4"/>
  <c r="O15" i="4" s="1"/>
  <c r="F14" i="4" s="1"/>
  <c r="P12" i="4"/>
  <c r="O12" i="4" s="1"/>
  <c r="F11" i="4" s="1"/>
  <c r="P19" i="4"/>
  <c r="O19" i="4" s="1"/>
  <c r="F18" i="4" s="1"/>
  <c r="P27" i="4"/>
  <c r="O27" i="4" s="1"/>
  <c r="F26" i="4" s="1"/>
  <c r="P22" i="4"/>
  <c r="O22" i="4" s="1"/>
  <c r="F21" i="4" s="1"/>
  <c r="P11" i="4"/>
  <c r="O11" i="4" s="1"/>
  <c r="F10" i="4" s="1"/>
  <c r="P6" i="4"/>
  <c r="O6" i="4" s="1"/>
  <c r="F5" i="4" s="1"/>
  <c r="P26" i="4"/>
  <c r="O26" i="4" s="1"/>
  <c r="F25" i="4" s="1"/>
  <c r="P20" i="4"/>
  <c r="O20" i="4" s="1"/>
  <c r="F19" i="4" s="1"/>
  <c r="P9" i="4"/>
  <c r="O9" i="4" s="1"/>
  <c r="F8" i="4" s="1"/>
  <c r="P7" i="4"/>
  <c r="O7" i="4" s="1"/>
  <c r="F6" i="4" s="1"/>
  <c r="P4" i="4"/>
  <c r="O4" i="4" s="1"/>
  <c r="F3" i="4" s="1"/>
  <c r="P8" i="4"/>
  <c r="O8" i="4" s="1"/>
  <c r="F7" i="4" s="1"/>
  <c r="P10" i="4"/>
  <c r="O10" i="4" s="1"/>
  <c r="F9" i="4" s="1"/>
  <c r="P24" i="4"/>
  <c r="O24" i="4" s="1"/>
  <c r="F23" i="4" s="1"/>
  <c r="P5" i="4"/>
  <c r="O5" i="4" s="1"/>
  <c r="F4" i="4" s="1"/>
  <c r="P25" i="4"/>
  <c r="O25" i="4" s="1"/>
  <c r="F24" i="4" s="1"/>
  <c r="P16" i="4"/>
  <c r="O16" i="4" s="1"/>
  <c r="F15" i="4" s="1"/>
  <c r="P23" i="4"/>
  <c r="O23" i="4" s="1"/>
  <c r="F22" i="4" s="1"/>
  <c r="F34" i="4" l="1"/>
  <c r="F37" i="4" s="1"/>
  <c r="P29" i="4"/>
  <c r="O29" i="4" s="1"/>
</calcChain>
</file>

<file path=xl/sharedStrings.xml><?xml version="1.0" encoding="utf-8"?>
<sst xmlns="http://schemas.openxmlformats.org/spreadsheetml/2006/main" count="400" uniqueCount="125">
  <si>
    <t>Category</t>
  </si>
  <si>
    <t>APPLICATION_NO</t>
  </si>
  <si>
    <t>6_03 MAST black people per ton</t>
  </si>
  <si>
    <t>6_07 shares paid per ton</t>
  </si>
  <si>
    <t>6_10 wages per ton</t>
  </si>
  <si>
    <t>6_16 BEE procurement per ton</t>
  </si>
  <si>
    <t>6_25 learnership per ton</t>
  </si>
  <si>
    <t>6_26 ent dev per ton</t>
  </si>
  <si>
    <t>7_01 MAST_Perm_Jobs_per_ton</t>
  </si>
  <si>
    <t>7_02 MAST_Temp_Jobs_per_ton</t>
  </si>
  <si>
    <t>7_03 medical</t>
  </si>
  <si>
    <t>7_04 provident</t>
  </si>
  <si>
    <t>8_04 taxpaid_per_ton</t>
  </si>
  <si>
    <t>8_04 dividends_per_ton</t>
  </si>
  <si>
    <t>8_04 normalised shares issued</t>
  </si>
  <si>
    <t>9_01 land based cost per ton</t>
  </si>
  <si>
    <t>9_04_fleet cost per ton</t>
  </si>
  <si>
    <t>A</t>
  </si>
  <si>
    <t>HDT21011</t>
  </si>
  <si>
    <t>HDT21013</t>
  </si>
  <si>
    <t>HDT21014</t>
  </si>
  <si>
    <t>HDT21023</t>
  </si>
  <si>
    <t>HDT21025</t>
  </si>
  <si>
    <t>HDT21026</t>
  </si>
  <si>
    <t>HDT21030</t>
  </si>
  <si>
    <t>HDT21031</t>
  </si>
  <si>
    <t>HDT21040</t>
  </si>
  <si>
    <t>HDT21041</t>
  </si>
  <si>
    <t>HDT21042</t>
  </si>
  <si>
    <t>HDT21044</t>
  </si>
  <si>
    <t>HDT21046</t>
  </si>
  <si>
    <t>HDT21049</t>
  </si>
  <si>
    <t>HDT21051</t>
  </si>
  <si>
    <t>HDT21052</t>
  </si>
  <si>
    <t>HDT21060</t>
  </si>
  <si>
    <t>HDT21061</t>
  </si>
  <si>
    <t>HDT21068</t>
  </si>
  <si>
    <t>HDT21079</t>
  </si>
  <si>
    <t>HDT21081</t>
  </si>
  <si>
    <t>HDT21082</t>
  </si>
  <si>
    <t>HDT21092</t>
  </si>
  <si>
    <t>HDT21107</t>
  </si>
  <si>
    <t>HDT21110</t>
  </si>
  <si>
    <t>HDT21121</t>
  </si>
  <si>
    <t>HDT21122</t>
  </si>
  <si>
    <t>HDT21130</t>
  </si>
  <si>
    <t>HDT21138</t>
  </si>
  <si>
    <t>HDT21142</t>
  </si>
  <si>
    <t>HDT21198</t>
  </si>
  <si>
    <t>allocation_2021</t>
  </si>
  <si>
    <t>B</t>
  </si>
  <si>
    <t>C</t>
  </si>
  <si>
    <t>scaled 6_03 black people per ton</t>
  </si>
  <si>
    <t>scaled 6_07 shares paid per ton</t>
  </si>
  <si>
    <t>scaled 6_10 wages per ton</t>
  </si>
  <si>
    <t>scaled 6_16 BEE procurement per ton</t>
  </si>
  <si>
    <t>scaled 6_25 learnership per ton</t>
  </si>
  <si>
    <t>scaled 6_26 ent dev per ton</t>
  </si>
  <si>
    <t>scaled 7_01 Perm_Jobs_per_ton</t>
  </si>
  <si>
    <t>scaled 7_02 Temp_Jobs_per_ton</t>
  </si>
  <si>
    <t>scaled 8_04 taxpaid_per_ton</t>
  </si>
  <si>
    <t>scaled 8_04 dividends_per_ton</t>
  </si>
  <si>
    <t>scaled 8_04 normalised shares issued</t>
  </si>
  <si>
    <t>scaled 9_01 land based cost per ton</t>
  </si>
  <si>
    <t>scaled 9_04_fleet cost per ton</t>
  </si>
  <si>
    <t>matrix max cat A</t>
  </si>
  <si>
    <t>MaxOf6_03 MAST black people per ton</t>
  </si>
  <si>
    <t>MaxOf6_07 shares paid per ton</t>
  </si>
  <si>
    <t>MaxOf6_10 wages per ton</t>
  </si>
  <si>
    <t>MaxOf6_16 BEE procurement per ton</t>
  </si>
  <si>
    <t>MaxOf6_25 learnership per ton</t>
  </si>
  <si>
    <t>MaxOf6_26 ent dev per ton</t>
  </si>
  <si>
    <t>MaxOf7_01 MAST_Perm_Jobs_per_ton</t>
  </si>
  <si>
    <t>MaxOf7_02 MAST_Temp_Jobs_per_ton</t>
  </si>
  <si>
    <t>MaxOf7_03 medical</t>
  </si>
  <si>
    <t>MaxOf7_04 provident</t>
  </si>
  <si>
    <t>MaxOf8_04 taxpaid_per_ton</t>
  </si>
  <si>
    <t>MaxOf8_04 dividends_per_ton</t>
  </si>
  <si>
    <t>MaxOf8_04 normalised shares issued</t>
  </si>
  <si>
    <t>MaxOf9_01 land based cost per ton</t>
  </si>
  <si>
    <t>MaxOf9_04_fleet cost per ton</t>
  </si>
  <si>
    <t>Rank</t>
  </si>
  <si>
    <t>Applicants</t>
  </si>
  <si>
    <t>Rankings</t>
  </si>
  <si>
    <t>Apportionment_2022</t>
  </si>
  <si>
    <t>Quantum made available</t>
  </si>
  <si>
    <t>Quantum for new entrants</t>
  </si>
  <si>
    <t>Quantum for Cat B</t>
  </si>
  <si>
    <t>Quantum for Cat C</t>
  </si>
  <si>
    <t>Reward pool A</t>
  </si>
  <si>
    <t>Number of successful Applicant</t>
  </si>
  <si>
    <t>Slope</t>
  </si>
  <si>
    <t>Cat A</t>
  </si>
  <si>
    <t>Reward/Applicant</t>
  </si>
  <si>
    <t>Straightline_Value</t>
  </si>
  <si>
    <t>Normalized to total</t>
  </si>
  <si>
    <t>Apportionment_2006_Adjusted</t>
  </si>
  <si>
    <t>TAC_Higher_Apportion_Low_Ranking</t>
  </si>
  <si>
    <t>Prev_apportion</t>
  </si>
  <si>
    <t>Application Number</t>
  </si>
  <si>
    <t>System Score</t>
  </si>
  <si>
    <t>System Weighting (%)</t>
  </si>
  <si>
    <t>User Score</t>
  </si>
  <si>
    <t>User Weighting (%)</t>
  </si>
  <si>
    <t>Excluded</t>
  </si>
  <si>
    <t>IsAdjudicated</t>
  </si>
  <si>
    <t>Flag</t>
  </si>
  <si>
    <t>Weight_Score</t>
  </si>
  <si>
    <t>extra</t>
  </si>
  <si>
    <t>TAC_Unsucessful_App minus extra</t>
  </si>
  <si>
    <t>Total_Quant_Uns</t>
  </si>
  <si>
    <t>Total_QMinusExtra</t>
  </si>
  <si>
    <t>Totals</t>
  </si>
  <si>
    <t>New_Entrants</t>
  </si>
  <si>
    <t>Applicant</t>
  </si>
  <si>
    <t>New_Allocation</t>
  </si>
  <si>
    <t>%Allocations</t>
  </si>
  <si>
    <t>HDT21002</t>
  </si>
  <si>
    <t>HDT21163</t>
  </si>
  <si>
    <t>HDT21016</t>
  </si>
  <si>
    <t>HDT21099</t>
  </si>
  <si>
    <t>cat A</t>
  </si>
  <si>
    <t>rank</t>
  </si>
  <si>
    <t>weighting</t>
  </si>
  <si>
    <t>Prev Apportionment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</si>
</sst>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11" fontId="0" fillId="0" borderId="0" xfId="0" applyNumberFormat="1"/>
    <xf numFmtId="0" fontId="1" fillId="0" borderId="0" xfId="0" applyFont="1"/>
    <xf numFmtId="4" fontId="0" fillId="0" borderId="0" xfId="0" applyNumberFormat="1"/>
    <xf numFmtId="10" fontId="0" fillId="2" borderId="0" xfId="0" applyNumberFormat="1" applyFill="1"/>
    <xf numFmtId="0" fontId="0" fillId="2" borderId="0" xfId="0" applyFill="1"/>
    <xf numFmtId="0" fontId="0" fillId="0" borderId="0" xfId="0" applyAlignment="1">
      <alignment horizontal="center"/>
    </xf>
    <xf numFmtId="10" fontId="0" fillId="2" borderId="0" xfId="0" applyNumberFormat="1" applyFill="1" applyAlignment="1">
      <alignment horizontal="center"/>
    </xf>
    <xf numFmtId="10" fontId="0" fillId="0" borderId="0" xfId="0" applyNumberFormat="1"/>
    <xf numFmtId="0" fontId="0" fillId="3" borderId="0" xfId="0" applyFill="1"/>
    <xf numFmtId="10" fontId="0" fillId="0" borderId="0" xfId="0" applyNumberFormat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3" borderId="0" xfId="0" applyNumberFormat="1" applyFont="1" applyFill="1" applyAlignment="1">
      <alignment horizontal="center"/>
    </xf>
    <xf numFmtId="0" fontId="0" fillId="0" borderId="0" xfId="0" quotePrefix="1"/>
    <xf numFmtId="2" fontId="0" fillId="0" borderId="0" xfId="0" applyNumberFormat="1"/>
    <xf numFmtId="164" fontId="0" fillId="0" borderId="0" xfId="0" applyNumberFormat="1" applyAlignment="1">
      <alignment horizontal="center"/>
    </xf>
    <xf numFmtId="0" fontId="0" fillId="4" borderId="0" xfId="0" applyFill="1"/>
    <xf numFmtId="10" fontId="0" fillId="0" borderId="0" xfId="1" applyNumberFormat="1" applyFont="1"/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10" fontId="0" fillId="0" borderId="0" xfId="0" applyNumberFormat="1" applyFill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30927384076992E-2"/>
          <c:y val="7.1724628171478552E-2"/>
          <c:w val="0.8585579615048119"/>
          <c:h val="0.841674686497521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Rankings!$N$2:$N$28</c:f>
              <c:numCache>
                <c:formatCode>General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Rankings!$Q$2:$Q$28</c:f>
              <c:numCache>
                <c:formatCode>General</c:formatCode>
                <c:ptCount val="27"/>
                <c:pt idx="1">
                  <c:v>4.0128767307692194E-2</c:v>
                </c:pt>
                <c:pt idx="2">
                  <c:v>3.8523616615384511E-2</c:v>
                </c:pt>
                <c:pt idx="3">
                  <c:v>3.6918465923076821E-2</c:v>
                </c:pt>
                <c:pt idx="4">
                  <c:v>3.5313315230769131E-2</c:v>
                </c:pt>
                <c:pt idx="5">
                  <c:v>3.3708164538461441E-2</c:v>
                </c:pt>
                <c:pt idx="6">
                  <c:v>3.2103013846153758E-2</c:v>
                </c:pt>
                <c:pt idx="7">
                  <c:v>3.0497863153846068E-2</c:v>
                </c:pt>
                <c:pt idx="8">
                  <c:v>2.8892712461538381E-2</c:v>
                </c:pt>
                <c:pt idx="9">
                  <c:v>2.7287561769230695E-2</c:v>
                </c:pt>
                <c:pt idx="10">
                  <c:v>2.5682411076923005E-2</c:v>
                </c:pt>
                <c:pt idx="11">
                  <c:v>2.4077260384615318E-2</c:v>
                </c:pt>
                <c:pt idx="12">
                  <c:v>2.2472109692307632E-2</c:v>
                </c:pt>
                <c:pt idx="13">
                  <c:v>2.0866958999999942E-2</c:v>
                </c:pt>
                <c:pt idx="14">
                  <c:v>1.9261808307692255E-2</c:v>
                </c:pt>
                <c:pt idx="15">
                  <c:v>1.7656657615384565E-2</c:v>
                </c:pt>
                <c:pt idx="16">
                  <c:v>1.6051506923076879E-2</c:v>
                </c:pt>
                <c:pt idx="17">
                  <c:v>1.4446356230769192E-2</c:v>
                </c:pt>
                <c:pt idx="18">
                  <c:v>1.2841205538461502E-2</c:v>
                </c:pt>
                <c:pt idx="19">
                  <c:v>1.1236054846153816E-2</c:v>
                </c:pt>
                <c:pt idx="20">
                  <c:v>9.630904153846126E-3</c:v>
                </c:pt>
                <c:pt idx="21">
                  <c:v>8.0257534615384429E-3</c:v>
                </c:pt>
                <c:pt idx="22">
                  <c:v>6.420602769230753E-3</c:v>
                </c:pt>
                <c:pt idx="23">
                  <c:v>4.815452076923063E-3</c:v>
                </c:pt>
                <c:pt idx="24">
                  <c:v>3.2103013846153799E-3</c:v>
                </c:pt>
                <c:pt idx="25">
                  <c:v>1.60515069230769E-3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74-4472-B580-AC4CA4208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477576"/>
        <c:axId val="385478888"/>
      </c:scatterChart>
      <c:valAx>
        <c:axId val="38547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478888"/>
        <c:crosses val="autoZero"/>
        <c:crossBetween val="midCat"/>
      </c:valAx>
      <c:valAx>
        <c:axId val="385478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477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66674</xdr:colOff>
      <xdr:row>10</xdr:row>
      <xdr:rowOff>166687</xdr:rowOff>
    </xdr:from>
    <xdr:to>
      <xdr:col>12</xdr:col>
      <xdr:colOff>371474</xdr:colOff>
      <xdr:row>26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5" sqref="B5"/>
    </sheetView>
  </sheetViews>
  <sheetFormatPr defaultRowHeight="15" x14ac:dyDescent="0.25"/>
  <cols>
    <col min="1" max="1" width="8.85546875" bestFit="1" customWidth="1"/>
    <col min="2" max="2" width="14.85546875" bestFit="1" customWidth="1"/>
    <col min="3" max="3" width="16.85546875" bestFit="1" customWidth="1"/>
    <col min="4" max="18" width="10.7109375" customWidth="1"/>
  </cols>
  <sheetData>
    <row r="1" spans="1:18" s="18" customFormat="1" ht="30" x14ac:dyDescent="0.25">
      <c r="A1" s="18" t="s">
        <v>0</v>
      </c>
      <c r="B1" s="18" t="s">
        <v>49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7</v>
      </c>
      <c r="J1" s="18" t="s">
        <v>8</v>
      </c>
      <c r="K1" s="18" t="s">
        <v>9</v>
      </c>
      <c r="L1" s="18" t="s">
        <v>10</v>
      </c>
      <c r="M1" s="18" t="s">
        <v>11</v>
      </c>
      <c r="N1" s="18" t="s">
        <v>12</v>
      </c>
      <c r="O1" s="18" t="s">
        <v>13</v>
      </c>
      <c r="P1" s="18" t="s">
        <v>14</v>
      </c>
      <c r="Q1" s="18" t="s">
        <v>15</v>
      </c>
      <c r="R1" s="18" t="s">
        <v>16</v>
      </c>
    </row>
    <row r="2" spans="1:18" x14ac:dyDescent="0.25">
      <c r="A2" t="s">
        <v>17</v>
      </c>
      <c r="B2" s="3">
        <v>445.02499999999998</v>
      </c>
      <c r="C2" t="s">
        <v>18</v>
      </c>
      <c r="D2">
        <v>8.7800000000000003E-2</v>
      </c>
      <c r="F2">
        <v>805.34360000000004</v>
      </c>
      <c r="G2">
        <v>3142.3114999999998</v>
      </c>
      <c r="I2">
        <v>85.39</v>
      </c>
      <c r="J2">
        <v>4.0000000000000002E-4</v>
      </c>
      <c r="K2">
        <v>0</v>
      </c>
      <c r="L2">
        <v>1</v>
      </c>
      <c r="M2">
        <v>1</v>
      </c>
      <c r="N2">
        <v>846.63</v>
      </c>
      <c r="O2">
        <v>2198.83</v>
      </c>
      <c r="Q2">
        <v>77.092799999999997</v>
      </c>
      <c r="R2">
        <v>438.92</v>
      </c>
    </row>
    <row r="3" spans="1:18" x14ac:dyDescent="0.25">
      <c r="A3" t="s">
        <v>17</v>
      </c>
      <c r="B3" s="3">
        <v>36056.129999999997</v>
      </c>
      <c r="C3" t="s">
        <v>19</v>
      </c>
      <c r="D3">
        <v>4.0000000000000002E-4</v>
      </c>
      <c r="E3">
        <v>31.27</v>
      </c>
      <c r="F3">
        <v>1000</v>
      </c>
      <c r="G3">
        <v>2310.2631999999999</v>
      </c>
      <c r="H3">
        <v>75.489999999999995</v>
      </c>
      <c r="I3">
        <v>0</v>
      </c>
      <c r="J3">
        <v>3.0000000000000001E-3</v>
      </c>
      <c r="K3">
        <v>2.9999999999999997E-4</v>
      </c>
      <c r="L3">
        <v>1</v>
      </c>
      <c r="M3">
        <v>1</v>
      </c>
      <c r="N3">
        <v>1033.07</v>
      </c>
      <c r="O3">
        <v>4428.6099999999997</v>
      </c>
      <c r="P3">
        <v>100</v>
      </c>
      <c r="Q3">
        <v>1932.7044000000001</v>
      </c>
      <c r="R3">
        <v>3185.45</v>
      </c>
    </row>
    <row r="4" spans="1:18" x14ac:dyDescent="0.25">
      <c r="A4" t="s">
        <v>17</v>
      </c>
      <c r="B4" s="3">
        <v>1393.163</v>
      </c>
      <c r="C4" t="s">
        <v>20</v>
      </c>
      <c r="D4">
        <v>0.1023</v>
      </c>
      <c r="E4">
        <v>23.49</v>
      </c>
      <c r="F4">
        <v>1000</v>
      </c>
      <c r="G4">
        <v>23977.838800000001</v>
      </c>
      <c r="H4">
        <v>71.709999999999994</v>
      </c>
      <c r="J4">
        <v>1.1299999999999999E-2</v>
      </c>
      <c r="K4">
        <v>0</v>
      </c>
      <c r="L4">
        <v>1</v>
      </c>
      <c r="M4">
        <v>1</v>
      </c>
      <c r="N4">
        <v>89.79</v>
      </c>
      <c r="O4">
        <v>803.23</v>
      </c>
      <c r="P4">
        <v>0.92030000000000001</v>
      </c>
      <c r="Q4">
        <v>0</v>
      </c>
      <c r="R4">
        <v>2604.2199999999998</v>
      </c>
    </row>
    <row r="5" spans="1:18" x14ac:dyDescent="0.25">
      <c r="A5" t="s">
        <v>17</v>
      </c>
      <c r="B5" s="3">
        <v>686.89499999999998</v>
      </c>
      <c r="C5" t="s">
        <v>21</v>
      </c>
      <c r="D5">
        <v>5.7000000000000002E-2</v>
      </c>
      <c r="E5">
        <v>50.12</v>
      </c>
      <c r="F5">
        <v>942.97080000000005</v>
      </c>
      <c r="G5">
        <v>3226.6394</v>
      </c>
      <c r="H5">
        <v>8.57</v>
      </c>
      <c r="I5">
        <v>25.27</v>
      </c>
      <c r="J5">
        <v>2.8E-3</v>
      </c>
      <c r="K5">
        <v>8.9999999999999998E-4</v>
      </c>
      <c r="L5">
        <v>1</v>
      </c>
      <c r="M5">
        <v>1</v>
      </c>
      <c r="N5">
        <v>318.58</v>
      </c>
      <c r="O5">
        <v>137.47999999999999</v>
      </c>
      <c r="P5">
        <v>0</v>
      </c>
      <c r="Q5">
        <v>930.71339999999998</v>
      </c>
      <c r="R5">
        <v>586.91</v>
      </c>
    </row>
    <row r="6" spans="1:18" x14ac:dyDescent="0.25">
      <c r="A6" t="s">
        <v>17</v>
      </c>
      <c r="B6" s="3">
        <v>657.221</v>
      </c>
      <c r="C6" t="s">
        <v>22</v>
      </c>
      <c r="D6">
        <v>4.7500000000000001E-2</v>
      </c>
      <c r="F6">
        <v>1000</v>
      </c>
      <c r="G6">
        <v>23481.724999999999</v>
      </c>
      <c r="H6">
        <v>147.51</v>
      </c>
      <c r="I6">
        <v>0</v>
      </c>
      <c r="J6">
        <v>4.4699999999999997E-2</v>
      </c>
      <c r="L6">
        <v>1</v>
      </c>
      <c r="M6">
        <v>1</v>
      </c>
      <c r="N6">
        <v>8683.0400000000009</v>
      </c>
      <c r="O6">
        <v>30006.52</v>
      </c>
      <c r="P6">
        <v>2.6648999999999998</v>
      </c>
      <c r="Q6">
        <v>1910.1873000000001</v>
      </c>
      <c r="R6">
        <v>18737.419999999998</v>
      </c>
    </row>
    <row r="7" spans="1:18" x14ac:dyDescent="0.25">
      <c r="A7" t="s">
        <v>17</v>
      </c>
      <c r="B7" s="3">
        <v>1811.771</v>
      </c>
      <c r="C7" t="s">
        <v>23</v>
      </c>
      <c r="D7">
        <v>2.5999999999999999E-2</v>
      </c>
      <c r="E7">
        <v>1.37</v>
      </c>
      <c r="F7">
        <v>973.22500000000002</v>
      </c>
      <c r="G7">
        <v>0</v>
      </c>
      <c r="H7">
        <v>6.99</v>
      </c>
      <c r="J7">
        <v>8.0000000000000004E-4</v>
      </c>
      <c r="K7">
        <v>4.0000000000000002E-4</v>
      </c>
      <c r="L7">
        <v>1</v>
      </c>
      <c r="M7">
        <v>1</v>
      </c>
      <c r="N7">
        <v>28.94</v>
      </c>
      <c r="O7">
        <v>263.51</v>
      </c>
      <c r="P7">
        <v>0</v>
      </c>
      <c r="Q7">
        <v>0</v>
      </c>
      <c r="R7">
        <v>3316.85</v>
      </c>
    </row>
    <row r="8" spans="1:18" x14ac:dyDescent="0.25">
      <c r="A8" t="s">
        <v>17</v>
      </c>
      <c r="B8" s="3">
        <v>43893.044000000002</v>
      </c>
      <c r="C8" t="s">
        <v>24</v>
      </c>
      <c r="D8">
        <v>8.0000000000000004E-4</v>
      </c>
      <c r="E8">
        <v>846.13</v>
      </c>
      <c r="F8">
        <v>1029.5866000000001</v>
      </c>
      <c r="G8">
        <v>4902.5343000000003</v>
      </c>
      <c r="H8">
        <v>223.33</v>
      </c>
      <c r="I8">
        <v>193.8</v>
      </c>
      <c r="J8">
        <v>5.1999999999999998E-3</v>
      </c>
      <c r="K8">
        <v>2.7000000000000001E-3</v>
      </c>
      <c r="L8">
        <v>1</v>
      </c>
      <c r="M8">
        <v>1</v>
      </c>
      <c r="N8">
        <v>927.26</v>
      </c>
      <c r="O8">
        <v>3023.76</v>
      </c>
      <c r="P8">
        <v>82.111599999999996</v>
      </c>
      <c r="Q8">
        <v>16653.6643</v>
      </c>
      <c r="R8">
        <v>2354.11</v>
      </c>
    </row>
    <row r="9" spans="1:18" x14ac:dyDescent="0.25">
      <c r="A9" t="s">
        <v>17</v>
      </c>
      <c r="B9" s="3">
        <v>274.13900000000001</v>
      </c>
      <c r="C9" t="s">
        <v>25</v>
      </c>
      <c r="D9">
        <v>0.14249999999999999</v>
      </c>
      <c r="E9">
        <v>1.61</v>
      </c>
      <c r="F9">
        <v>1082.8161</v>
      </c>
      <c r="G9">
        <v>2871.9632999999999</v>
      </c>
      <c r="H9">
        <v>3.72</v>
      </c>
      <c r="I9">
        <v>0</v>
      </c>
      <c r="J9">
        <v>1.4E-3</v>
      </c>
      <c r="K9">
        <v>5.0000000000000001E-4</v>
      </c>
      <c r="L9">
        <v>1</v>
      </c>
      <c r="M9">
        <v>1</v>
      </c>
      <c r="N9">
        <v>0</v>
      </c>
      <c r="O9">
        <v>1120.28</v>
      </c>
      <c r="P9">
        <v>0</v>
      </c>
      <c r="Q9">
        <v>0</v>
      </c>
      <c r="R9">
        <v>20534.66</v>
      </c>
    </row>
    <row r="10" spans="1:18" x14ac:dyDescent="0.25">
      <c r="A10" t="s">
        <v>17</v>
      </c>
      <c r="B10" s="3">
        <v>5594.2420000000002</v>
      </c>
      <c r="C10" t="s">
        <v>26</v>
      </c>
      <c r="D10">
        <v>9.7000000000000003E-3</v>
      </c>
      <c r="E10">
        <v>3052.98</v>
      </c>
      <c r="F10">
        <v>1000</v>
      </c>
      <c r="G10">
        <v>10316.759599999999</v>
      </c>
      <c r="H10">
        <v>101.19</v>
      </c>
      <c r="I10">
        <v>321.11</v>
      </c>
      <c r="J10">
        <v>3.8999999999999998E-3</v>
      </c>
      <c r="K10">
        <v>2.7000000000000001E-3</v>
      </c>
      <c r="L10">
        <v>1</v>
      </c>
      <c r="M10">
        <v>1</v>
      </c>
      <c r="N10">
        <v>691.35</v>
      </c>
      <c r="O10">
        <v>231.19</v>
      </c>
      <c r="P10">
        <v>1E-4</v>
      </c>
      <c r="Q10">
        <v>1528.7012999999999</v>
      </c>
      <c r="R10">
        <v>6338.13</v>
      </c>
    </row>
    <row r="11" spans="1:18" x14ac:dyDescent="0.25">
      <c r="A11" t="s">
        <v>17</v>
      </c>
      <c r="B11" s="3">
        <v>4837.4709999999995</v>
      </c>
      <c r="C11" t="s">
        <v>27</v>
      </c>
      <c r="D11">
        <v>7.1999999999999998E-3</v>
      </c>
      <c r="E11">
        <v>1826.11</v>
      </c>
      <c r="F11">
        <v>756.06949999999995</v>
      </c>
      <c r="G11">
        <v>21814.5265</v>
      </c>
      <c r="H11">
        <v>50.84</v>
      </c>
      <c r="I11">
        <v>1537.35</v>
      </c>
      <c r="J11">
        <v>2.2000000000000001E-3</v>
      </c>
      <c r="K11">
        <v>8.9999999999999998E-4</v>
      </c>
      <c r="L11">
        <v>1</v>
      </c>
      <c r="M11">
        <v>1</v>
      </c>
      <c r="N11">
        <v>3525.81</v>
      </c>
      <c r="O11">
        <v>28916.53</v>
      </c>
      <c r="P11">
        <v>2.9999999999999997E-4</v>
      </c>
      <c r="Q11">
        <v>74.692700000000002</v>
      </c>
      <c r="R11">
        <v>4437.45</v>
      </c>
    </row>
    <row r="12" spans="1:18" x14ac:dyDescent="0.25">
      <c r="A12" t="s">
        <v>17</v>
      </c>
      <c r="B12" s="3">
        <v>456.125</v>
      </c>
      <c r="C12" t="s">
        <v>28</v>
      </c>
      <c r="D12">
        <v>4.4400000000000002E-2</v>
      </c>
      <c r="F12">
        <v>1000.0058</v>
      </c>
      <c r="G12">
        <v>2555.9281000000001</v>
      </c>
      <c r="H12">
        <v>2.38</v>
      </c>
      <c r="J12">
        <v>4.4999999999999997E-3</v>
      </c>
      <c r="K12">
        <v>0</v>
      </c>
      <c r="L12">
        <v>0</v>
      </c>
      <c r="M12">
        <v>0</v>
      </c>
      <c r="N12">
        <v>68.41</v>
      </c>
      <c r="O12">
        <v>0</v>
      </c>
      <c r="P12">
        <v>0</v>
      </c>
      <c r="Q12">
        <v>14.275600000000001</v>
      </c>
      <c r="R12">
        <v>4063.56</v>
      </c>
    </row>
    <row r="13" spans="1:18" x14ac:dyDescent="0.25">
      <c r="A13" t="s">
        <v>17</v>
      </c>
      <c r="B13" s="3">
        <v>737.13699999999994</v>
      </c>
      <c r="C13" t="s">
        <v>29</v>
      </c>
      <c r="D13">
        <v>3.7999999999999999E-2</v>
      </c>
      <c r="E13">
        <v>0</v>
      </c>
      <c r="F13">
        <v>929.80100000000004</v>
      </c>
      <c r="G13">
        <v>1022.8232</v>
      </c>
      <c r="H13">
        <v>1.49</v>
      </c>
      <c r="J13">
        <v>2.5999999999999999E-3</v>
      </c>
      <c r="K13">
        <v>0</v>
      </c>
      <c r="L13">
        <v>0</v>
      </c>
      <c r="M13">
        <v>0</v>
      </c>
      <c r="N13">
        <v>149</v>
      </c>
      <c r="O13">
        <v>0</v>
      </c>
      <c r="P13">
        <v>1E-3</v>
      </c>
      <c r="Q13">
        <v>8.8986999999999998</v>
      </c>
      <c r="R13">
        <v>2533.02</v>
      </c>
    </row>
    <row r="14" spans="1:18" x14ac:dyDescent="0.25">
      <c r="A14" t="s">
        <v>17</v>
      </c>
      <c r="B14" s="3">
        <v>281.33600000000001</v>
      </c>
      <c r="C14" t="s">
        <v>30</v>
      </c>
      <c r="D14">
        <v>4.2299999999999997E-2</v>
      </c>
      <c r="E14">
        <v>222.03</v>
      </c>
      <c r="F14">
        <v>1000</v>
      </c>
      <c r="G14">
        <v>15373.0517</v>
      </c>
      <c r="H14">
        <v>69.72</v>
      </c>
      <c r="I14">
        <v>0</v>
      </c>
      <c r="J14">
        <v>8.0000000000000002E-3</v>
      </c>
      <c r="K14">
        <v>1.9E-3</v>
      </c>
      <c r="L14">
        <v>0</v>
      </c>
      <c r="M14">
        <v>0</v>
      </c>
      <c r="N14">
        <v>1608.32</v>
      </c>
      <c r="O14">
        <v>2120.2600000000002</v>
      </c>
      <c r="P14">
        <v>0</v>
      </c>
      <c r="Q14">
        <v>1258.5163</v>
      </c>
      <c r="R14">
        <v>0</v>
      </c>
    </row>
    <row r="15" spans="1:18" x14ac:dyDescent="0.25">
      <c r="A15" t="s">
        <v>17</v>
      </c>
      <c r="B15" s="3">
        <v>136.14599999999999</v>
      </c>
      <c r="C15" t="s">
        <v>31</v>
      </c>
      <c r="D15">
        <v>0.18229999999999999</v>
      </c>
      <c r="E15">
        <v>0</v>
      </c>
      <c r="F15">
        <v>1043.5742</v>
      </c>
      <c r="G15">
        <v>24882.445800000001</v>
      </c>
      <c r="H15">
        <v>23.84</v>
      </c>
      <c r="I15">
        <v>2668.14</v>
      </c>
      <c r="J15">
        <v>4.7699999999999999E-2</v>
      </c>
      <c r="K15">
        <v>0</v>
      </c>
      <c r="L15">
        <v>1</v>
      </c>
      <c r="M15">
        <v>0</v>
      </c>
      <c r="N15">
        <v>0</v>
      </c>
      <c r="O15">
        <v>0</v>
      </c>
      <c r="Q15">
        <v>9136.6605999999992</v>
      </c>
      <c r="R15">
        <v>9056.08</v>
      </c>
    </row>
    <row r="16" spans="1:18" x14ac:dyDescent="0.25">
      <c r="A16" t="s">
        <v>17</v>
      </c>
      <c r="B16" s="3">
        <v>156.03899999999999</v>
      </c>
      <c r="C16" t="s">
        <v>32</v>
      </c>
      <c r="D16">
        <v>0.6885</v>
      </c>
      <c r="F16">
        <v>1000</v>
      </c>
      <c r="G16">
        <v>552.12810000000002</v>
      </c>
      <c r="J16">
        <v>2.0999999999999999E-3</v>
      </c>
      <c r="L16">
        <v>0</v>
      </c>
      <c r="M16">
        <v>0</v>
      </c>
      <c r="N16">
        <v>183.59</v>
      </c>
      <c r="O16">
        <v>239.74</v>
      </c>
      <c r="P16">
        <v>4.0000000000000002E-4</v>
      </c>
      <c r="Q16">
        <v>0</v>
      </c>
      <c r="R16">
        <v>1022.3</v>
      </c>
    </row>
    <row r="17" spans="1:18" x14ac:dyDescent="0.25">
      <c r="A17" t="s">
        <v>17</v>
      </c>
      <c r="B17" s="3">
        <v>131.48099999999999</v>
      </c>
      <c r="C17" t="s">
        <v>33</v>
      </c>
      <c r="D17">
        <v>0.2374</v>
      </c>
      <c r="E17">
        <v>954.8</v>
      </c>
      <c r="F17">
        <v>1004.5439</v>
      </c>
      <c r="G17">
        <v>5148.4348</v>
      </c>
      <c r="I17">
        <v>0</v>
      </c>
      <c r="J17">
        <v>9.1000000000000004E-3</v>
      </c>
      <c r="K17">
        <v>5.0000000000000001E-4</v>
      </c>
      <c r="L17">
        <v>1</v>
      </c>
      <c r="M17">
        <v>1</v>
      </c>
      <c r="Q17">
        <v>0</v>
      </c>
      <c r="R17">
        <v>34926.75</v>
      </c>
    </row>
    <row r="18" spans="1:18" x14ac:dyDescent="0.25">
      <c r="A18" t="s">
        <v>17</v>
      </c>
      <c r="B18" s="3">
        <v>5386.7780000000002</v>
      </c>
      <c r="C18" t="s">
        <v>34</v>
      </c>
      <c r="D18">
        <v>5.7999999999999996E-3</v>
      </c>
      <c r="E18">
        <v>7.52</v>
      </c>
      <c r="F18">
        <v>477.90089999999998</v>
      </c>
      <c r="G18">
        <v>3876.9562000000001</v>
      </c>
      <c r="H18">
        <v>98.98</v>
      </c>
      <c r="I18">
        <v>163.95</v>
      </c>
      <c r="J18">
        <v>4.1999999999999997E-3</v>
      </c>
      <c r="K18">
        <v>4.5999999999999999E-3</v>
      </c>
      <c r="L18">
        <v>1</v>
      </c>
      <c r="M18">
        <v>1</v>
      </c>
      <c r="N18" s="16">
        <v>1125.75</v>
      </c>
      <c r="O18" s="16">
        <v>4054.8</v>
      </c>
      <c r="P18">
        <v>4.0000000000000002E-4</v>
      </c>
      <c r="Q18">
        <v>7995.8163000000004</v>
      </c>
      <c r="R18">
        <v>837.51</v>
      </c>
    </row>
    <row r="19" spans="1:18" x14ac:dyDescent="0.25">
      <c r="A19" t="s">
        <v>17</v>
      </c>
      <c r="B19" s="3">
        <v>743.99</v>
      </c>
      <c r="C19" t="s">
        <v>35</v>
      </c>
      <c r="D19">
        <v>2.1299999999999999E-2</v>
      </c>
      <c r="F19">
        <v>1000</v>
      </c>
      <c r="G19">
        <v>4970.3779999999997</v>
      </c>
      <c r="H19">
        <v>25.75</v>
      </c>
      <c r="I19">
        <v>50.08</v>
      </c>
      <c r="J19">
        <v>3.2000000000000002E-3</v>
      </c>
      <c r="K19">
        <v>1E-4</v>
      </c>
      <c r="L19">
        <v>1</v>
      </c>
      <c r="M19">
        <v>1</v>
      </c>
      <c r="N19">
        <v>534.14</v>
      </c>
      <c r="O19">
        <v>625.53</v>
      </c>
      <c r="P19">
        <v>0</v>
      </c>
      <c r="Q19">
        <v>3709.2763</v>
      </c>
      <c r="R19">
        <v>4906.12</v>
      </c>
    </row>
    <row r="20" spans="1:18" x14ac:dyDescent="0.25">
      <c r="A20" t="s">
        <v>17</v>
      </c>
      <c r="B20" s="3">
        <v>557.98599999999999</v>
      </c>
      <c r="C20" t="s">
        <v>36</v>
      </c>
      <c r="D20">
        <v>7.0699999999999999E-2</v>
      </c>
      <c r="E20">
        <v>25.73</v>
      </c>
      <c r="F20">
        <v>1012.3482</v>
      </c>
      <c r="G20">
        <v>906.59270000000004</v>
      </c>
      <c r="H20">
        <v>6.87</v>
      </c>
      <c r="J20">
        <v>3.0999999999999999E-3</v>
      </c>
      <c r="L20">
        <v>1</v>
      </c>
      <c r="M20">
        <v>1</v>
      </c>
      <c r="N20">
        <v>761.03</v>
      </c>
      <c r="O20">
        <v>601.28</v>
      </c>
      <c r="P20">
        <v>2.9999999999999997E-4</v>
      </c>
      <c r="Q20">
        <v>0</v>
      </c>
      <c r="R20">
        <v>1075.23</v>
      </c>
    </row>
    <row r="21" spans="1:18" x14ac:dyDescent="0.25">
      <c r="A21" t="s">
        <v>17</v>
      </c>
      <c r="B21" s="3">
        <v>180.65700000000001</v>
      </c>
      <c r="C21" t="s">
        <v>37</v>
      </c>
      <c r="D21">
        <v>0.1903</v>
      </c>
      <c r="E21">
        <v>0</v>
      </c>
      <c r="F21">
        <v>691.92169999999999</v>
      </c>
      <c r="G21">
        <v>46.287599999999998</v>
      </c>
      <c r="J21">
        <v>1.1000000000000001E-3</v>
      </c>
      <c r="K21">
        <v>0</v>
      </c>
      <c r="L21">
        <v>1</v>
      </c>
      <c r="M21">
        <v>0</v>
      </c>
      <c r="N21">
        <v>438.41</v>
      </c>
      <c r="Q21">
        <v>6522.6286</v>
      </c>
      <c r="R21">
        <v>4291.57</v>
      </c>
    </row>
    <row r="22" spans="1:18" x14ac:dyDescent="0.25">
      <c r="A22" t="s">
        <v>17</v>
      </c>
      <c r="B22" s="3">
        <v>3886.826</v>
      </c>
      <c r="C22" t="s">
        <v>38</v>
      </c>
      <c r="D22">
        <v>6.4000000000000003E-3</v>
      </c>
      <c r="E22">
        <v>0</v>
      </c>
      <c r="F22">
        <v>975.31460000000004</v>
      </c>
      <c r="G22">
        <v>3933.6179999999999</v>
      </c>
      <c r="H22">
        <v>96.61</v>
      </c>
      <c r="I22">
        <v>1.1299999999999999</v>
      </c>
      <c r="J22">
        <v>2.8E-3</v>
      </c>
      <c r="K22">
        <v>3.0000000000000001E-3</v>
      </c>
      <c r="L22">
        <v>1</v>
      </c>
      <c r="M22">
        <v>1</v>
      </c>
      <c r="N22">
        <v>509.4</v>
      </c>
      <c r="O22">
        <v>549.44000000000005</v>
      </c>
      <c r="P22">
        <v>3.8E-3</v>
      </c>
      <c r="Q22">
        <v>877.02430000000004</v>
      </c>
      <c r="R22">
        <v>1905.1</v>
      </c>
    </row>
    <row r="23" spans="1:18" x14ac:dyDescent="0.25">
      <c r="A23" t="s">
        <v>17</v>
      </c>
      <c r="B23" s="3">
        <v>1358.0509999999999</v>
      </c>
      <c r="C23" t="s">
        <v>39</v>
      </c>
      <c r="D23">
        <v>0.1399</v>
      </c>
      <c r="E23">
        <v>15.44</v>
      </c>
      <c r="F23">
        <v>1000</v>
      </c>
      <c r="G23">
        <v>28176.399000000001</v>
      </c>
      <c r="H23">
        <v>474.27</v>
      </c>
      <c r="I23">
        <v>0</v>
      </c>
      <c r="J23">
        <v>2.3800000000000002E-2</v>
      </c>
      <c r="K23">
        <v>1.6400000000000001E-2</v>
      </c>
      <c r="L23">
        <v>1</v>
      </c>
      <c r="M23">
        <v>1</v>
      </c>
      <c r="N23">
        <v>82.95</v>
      </c>
      <c r="O23">
        <v>655.77</v>
      </c>
      <c r="P23">
        <v>0</v>
      </c>
      <c r="Q23">
        <v>20145.340199999999</v>
      </c>
      <c r="R23">
        <v>2248.86</v>
      </c>
    </row>
    <row r="24" spans="1:18" x14ac:dyDescent="0.25">
      <c r="A24" t="s">
        <v>17</v>
      </c>
      <c r="B24" s="3">
        <v>2123.6320000000001</v>
      </c>
      <c r="C24" t="s">
        <v>40</v>
      </c>
      <c r="D24">
        <v>1.8599999999999998E-2</v>
      </c>
      <c r="E24">
        <v>11.72</v>
      </c>
      <c r="F24">
        <v>985.42290000000003</v>
      </c>
      <c r="G24">
        <v>6125.7929999999997</v>
      </c>
      <c r="H24">
        <v>24.56</v>
      </c>
      <c r="I24">
        <v>0</v>
      </c>
      <c r="J24">
        <v>1.6000000000000001E-3</v>
      </c>
      <c r="K24">
        <v>0</v>
      </c>
      <c r="L24">
        <v>1</v>
      </c>
      <c r="M24">
        <v>1</v>
      </c>
      <c r="N24">
        <v>675.8</v>
      </c>
      <c r="O24">
        <v>1925.36</v>
      </c>
      <c r="P24">
        <v>2.9999999999999997E-4</v>
      </c>
      <c r="Q24">
        <v>91.315899999999999</v>
      </c>
      <c r="R24">
        <v>1413.07</v>
      </c>
    </row>
    <row r="25" spans="1:18" x14ac:dyDescent="0.25">
      <c r="A25" t="s">
        <v>17</v>
      </c>
      <c r="B25" s="3">
        <v>143.483</v>
      </c>
      <c r="C25" t="s">
        <v>41</v>
      </c>
      <c r="D25">
        <v>0.27650000000000002</v>
      </c>
      <c r="E25">
        <v>0</v>
      </c>
      <c r="F25">
        <v>799.07100000000003</v>
      </c>
      <c r="G25">
        <v>5290.7120000000004</v>
      </c>
      <c r="H25">
        <v>0</v>
      </c>
      <c r="J25">
        <v>3.7000000000000002E-3</v>
      </c>
      <c r="K25">
        <v>0</v>
      </c>
      <c r="L25">
        <v>1</v>
      </c>
      <c r="M25">
        <v>1</v>
      </c>
      <c r="P25">
        <v>0</v>
      </c>
      <c r="Q25">
        <v>0</v>
      </c>
      <c r="R25">
        <v>32011.4</v>
      </c>
    </row>
    <row r="26" spans="1:18" x14ac:dyDescent="0.25">
      <c r="A26" t="s">
        <v>17</v>
      </c>
      <c r="B26" s="3">
        <v>507.09100000000001</v>
      </c>
      <c r="C26" t="s">
        <v>42</v>
      </c>
      <c r="D26">
        <v>7.0199999999999999E-2</v>
      </c>
      <c r="E26">
        <v>255.66</v>
      </c>
      <c r="F26">
        <v>935.52380000000005</v>
      </c>
      <c r="G26">
        <v>1607.1170999999999</v>
      </c>
      <c r="H26">
        <v>0</v>
      </c>
      <c r="I26">
        <v>0</v>
      </c>
      <c r="J26">
        <v>1.0800000000000001E-2</v>
      </c>
      <c r="K26">
        <v>1.8E-3</v>
      </c>
      <c r="L26">
        <v>1</v>
      </c>
      <c r="M26">
        <v>1</v>
      </c>
      <c r="N26">
        <v>182.67</v>
      </c>
      <c r="O26">
        <v>0</v>
      </c>
      <c r="P26">
        <v>0</v>
      </c>
      <c r="Q26">
        <v>1039.2902999999999</v>
      </c>
      <c r="R26">
        <v>1956.04</v>
      </c>
    </row>
    <row r="27" spans="1:18" x14ac:dyDescent="0.25">
      <c r="A27" t="s">
        <v>17</v>
      </c>
      <c r="B27" s="3"/>
      <c r="C27" t="s">
        <v>43</v>
      </c>
      <c r="L27">
        <v>0</v>
      </c>
      <c r="M27">
        <v>0</v>
      </c>
      <c r="P27">
        <v>0</v>
      </c>
    </row>
    <row r="28" spans="1:18" x14ac:dyDescent="0.25">
      <c r="A28" t="s">
        <v>17</v>
      </c>
      <c r="B28" s="3">
        <v>252.77500000000001</v>
      </c>
      <c r="C28" t="s">
        <v>44</v>
      </c>
      <c r="D28">
        <v>9.7299999999999998E-2</v>
      </c>
      <c r="E28">
        <v>0</v>
      </c>
      <c r="F28">
        <v>988.31579999999997</v>
      </c>
      <c r="G28">
        <v>172.73820000000001</v>
      </c>
      <c r="H28">
        <v>14.47</v>
      </c>
      <c r="J28">
        <v>3.8999999999999998E-3</v>
      </c>
      <c r="K28">
        <v>2.9999999999999997E-4</v>
      </c>
      <c r="L28">
        <v>0</v>
      </c>
      <c r="M28">
        <v>0</v>
      </c>
      <c r="N28">
        <v>473.64</v>
      </c>
      <c r="O28">
        <v>-5.56</v>
      </c>
      <c r="P28">
        <v>0</v>
      </c>
      <c r="Q28">
        <v>253.44589999999999</v>
      </c>
      <c r="R28">
        <v>461.36</v>
      </c>
    </row>
    <row r="29" spans="1:18" x14ac:dyDescent="0.25">
      <c r="A29" t="s">
        <v>17</v>
      </c>
      <c r="B29" s="3">
        <v>493.83199999999999</v>
      </c>
      <c r="C29" t="s">
        <v>45</v>
      </c>
      <c r="D29">
        <v>7.9699999999999993E-2</v>
      </c>
      <c r="F29">
        <v>620.36369999999999</v>
      </c>
      <c r="G29">
        <v>583.63049999999998</v>
      </c>
      <c r="J29">
        <v>5.0000000000000001E-4</v>
      </c>
      <c r="L29">
        <v>0</v>
      </c>
      <c r="M29">
        <v>0</v>
      </c>
      <c r="N29">
        <v>324.52</v>
      </c>
      <c r="O29">
        <v>315.20999999999998</v>
      </c>
      <c r="P29">
        <v>2.9999999999999997E-4</v>
      </c>
    </row>
    <row r="30" spans="1:18" x14ac:dyDescent="0.25">
      <c r="A30" t="s">
        <v>17</v>
      </c>
      <c r="B30" s="3">
        <v>2001.962</v>
      </c>
      <c r="C30" t="s">
        <v>46</v>
      </c>
      <c r="D30">
        <v>1.9199999999999998E-2</v>
      </c>
      <c r="E30">
        <v>0</v>
      </c>
      <c r="F30">
        <v>999.98900000000003</v>
      </c>
      <c r="G30">
        <v>7050.6341000000002</v>
      </c>
      <c r="H30">
        <v>75.900000000000006</v>
      </c>
      <c r="I30">
        <v>0</v>
      </c>
      <c r="J30">
        <v>1.8E-3</v>
      </c>
      <c r="K30">
        <v>1.1000000000000001E-3</v>
      </c>
      <c r="L30">
        <v>1</v>
      </c>
      <c r="M30">
        <v>1</v>
      </c>
      <c r="N30">
        <v>497.96</v>
      </c>
      <c r="O30">
        <v>480.67</v>
      </c>
      <c r="P30">
        <v>1E-4</v>
      </c>
      <c r="Q30">
        <v>57.173000000000002</v>
      </c>
      <c r="R30">
        <v>3078</v>
      </c>
    </row>
    <row r="31" spans="1:18" x14ac:dyDescent="0.25">
      <c r="A31" t="s">
        <v>17</v>
      </c>
      <c r="B31" s="3"/>
      <c r="C31" t="s">
        <v>47</v>
      </c>
      <c r="D31">
        <v>0.10440000000000001</v>
      </c>
      <c r="F31">
        <v>1.0642</v>
      </c>
      <c r="G31">
        <v>133.5069</v>
      </c>
      <c r="H31">
        <v>6.95</v>
      </c>
      <c r="J31">
        <v>1.6999999999999999E-3</v>
      </c>
      <c r="K31">
        <v>6.9999999999999999E-4</v>
      </c>
      <c r="L31">
        <v>0</v>
      </c>
      <c r="M31">
        <v>0</v>
      </c>
      <c r="N31">
        <v>54.05</v>
      </c>
      <c r="O31">
        <v>0</v>
      </c>
      <c r="P31">
        <v>0</v>
      </c>
      <c r="Q31">
        <v>0</v>
      </c>
      <c r="R31">
        <v>217.42</v>
      </c>
    </row>
    <row r="32" spans="1:18" x14ac:dyDescent="0.25">
      <c r="A32" t="s">
        <v>17</v>
      </c>
      <c r="B32" s="3">
        <v>65.227000000000004</v>
      </c>
      <c r="C32" t="s">
        <v>48</v>
      </c>
      <c r="D32">
        <v>0.60729999999999995</v>
      </c>
      <c r="F32">
        <v>865.3306</v>
      </c>
      <c r="J32">
        <v>2E-3</v>
      </c>
      <c r="L32">
        <v>0</v>
      </c>
      <c r="M32">
        <v>0</v>
      </c>
      <c r="N32">
        <v>803</v>
      </c>
      <c r="P32">
        <v>2.9999999999999997E-4</v>
      </c>
      <c r="R32">
        <v>4364.1899999999996</v>
      </c>
    </row>
    <row r="34" spans="1:18" s="2" customFormat="1" x14ac:dyDescent="0.25">
      <c r="A34"/>
      <c r="B34"/>
      <c r="C34" s="2" t="s">
        <v>65</v>
      </c>
    </row>
    <row r="35" spans="1:18" s="2" customFormat="1" x14ac:dyDescent="0.25">
      <c r="A35"/>
      <c r="B35"/>
      <c r="C35" s="2" t="s">
        <v>0</v>
      </c>
      <c r="D35" s="2" t="s">
        <v>66</v>
      </c>
      <c r="E35" s="2" t="s">
        <v>67</v>
      </c>
      <c r="F35" s="2" t="s">
        <v>68</v>
      </c>
      <c r="G35" s="2" t="s">
        <v>69</v>
      </c>
      <c r="H35" s="2" t="s">
        <v>70</v>
      </c>
      <c r="I35" s="2" t="s">
        <v>71</v>
      </c>
      <c r="J35" s="2" t="s">
        <v>72</v>
      </c>
      <c r="K35" s="2" t="s">
        <v>73</v>
      </c>
      <c r="L35" s="2" t="s">
        <v>74</v>
      </c>
      <c r="M35" s="2" t="s">
        <v>75</v>
      </c>
      <c r="N35" s="2" t="s">
        <v>76</v>
      </c>
      <c r="O35" s="2" t="s">
        <v>77</v>
      </c>
      <c r="P35" s="2" t="s">
        <v>78</v>
      </c>
      <c r="Q35" s="2" t="s">
        <v>79</v>
      </c>
      <c r="R35" s="2" t="s">
        <v>80</v>
      </c>
    </row>
    <row r="36" spans="1:18" x14ac:dyDescent="0.25">
      <c r="C36" t="s">
        <v>17</v>
      </c>
      <c r="D36">
        <v>0.6885</v>
      </c>
      <c r="E36">
        <v>3052.98</v>
      </c>
      <c r="F36">
        <v>1082.8161</v>
      </c>
      <c r="G36">
        <v>28176.399000000001</v>
      </c>
      <c r="H36">
        <v>474.27</v>
      </c>
      <c r="I36">
        <v>2668.14</v>
      </c>
      <c r="J36">
        <v>4.7699999999999999E-2</v>
      </c>
      <c r="K36">
        <v>1.6400000000000001E-2</v>
      </c>
      <c r="L36">
        <v>1</v>
      </c>
      <c r="M36">
        <v>1</v>
      </c>
      <c r="N36">
        <v>8683.0400000000009</v>
      </c>
      <c r="O36">
        <v>30006.52</v>
      </c>
      <c r="P36">
        <v>100</v>
      </c>
      <c r="Q36">
        <v>20145.340199999999</v>
      </c>
      <c r="R36">
        <v>34926.75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3"/>
  <sheetViews>
    <sheetView zoomScaleNormal="100" workbookViewId="0">
      <pane xSplit="3" ySplit="2" topLeftCell="D3" activePane="bottomRight" state="frozen"/>
      <selection pane="topRight" activeCell="C1" sqref="C1"/>
      <selection pane="bottomLeft" activeCell="A2" sqref="A2"/>
      <selection pane="bottomRight" activeCell="X3" sqref="X3"/>
    </sheetView>
  </sheetViews>
  <sheetFormatPr defaultRowHeight="15" x14ac:dyDescent="0.25"/>
  <cols>
    <col min="3" max="3" width="16.85546875" bestFit="1" customWidth="1"/>
  </cols>
  <sheetData>
    <row r="1" spans="1:22" x14ac:dyDescent="0.25">
      <c r="B1" s="2" t="s">
        <v>123</v>
      </c>
      <c r="C1" s="2"/>
      <c r="D1">
        <v>4.7031158142269255E-2</v>
      </c>
      <c r="E1">
        <v>7.5249853027630792E-2</v>
      </c>
      <c r="F1">
        <v>1.8812463256907698E-2</v>
      </c>
      <c r="G1">
        <v>1.8812463256907698E-2</v>
      </c>
      <c r="H1">
        <v>4.7031158142269255E-2</v>
      </c>
      <c r="I1">
        <v>4.7031158142269255E-2</v>
      </c>
      <c r="J1">
        <v>0.14814814814814811</v>
      </c>
      <c r="K1">
        <v>7.4074074074074056E-2</v>
      </c>
      <c r="L1">
        <v>5.5555555555555552E-2</v>
      </c>
      <c r="M1">
        <v>5.5555555555555552E-2</v>
      </c>
      <c r="N1">
        <v>0.16666666666666669</v>
      </c>
      <c r="O1">
        <v>3.5714285714285719E-2</v>
      </c>
      <c r="P1">
        <v>3.5714285714285698E-2</v>
      </c>
      <c r="Q1">
        <v>8.7301587301587297E-2</v>
      </c>
      <c r="R1">
        <v>8.7301587301587297E-2</v>
      </c>
    </row>
    <row r="2" spans="1:22" s="18" customFormat="1" ht="90" x14ac:dyDescent="0.25">
      <c r="A2" s="18" t="s">
        <v>0</v>
      </c>
      <c r="C2" s="18" t="s">
        <v>1</v>
      </c>
      <c r="D2" s="18" t="s">
        <v>52</v>
      </c>
      <c r="E2" s="18" t="s">
        <v>53</v>
      </c>
      <c r="F2" s="18" t="s">
        <v>54</v>
      </c>
      <c r="G2" s="18" t="s">
        <v>55</v>
      </c>
      <c r="H2" s="18" t="s">
        <v>56</v>
      </c>
      <c r="I2" s="18" t="s">
        <v>57</v>
      </c>
      <c r="J2" s="18" t="s">
        <v>58</v>
      </c>
      <c r="K2" s="18" t="s">
        <v>59</v>
      </c>
      <c r="L2" s="18" t="s">
        <v>10</v>
      </c>
      <c r="M2" s="18" t="s">
        <v>11</v>
      </c>
      <c r="N2" s="19" t="s">
        <v>60</v>
      </c>
      <c r="O2" s="19" t="s">
        <v>61</v>
      </c>
      <c r="P2" s="19" t="s">
        <v>62</v>
      </c>
      <c r="Q2" s="19" t="s">
        <v>63</v>
      </c>
      <c r="R2" s="19" t="s">
        <v>64</v>
      </c>
      <c r="S2" s="18" t="s">
        <v>81</v>
      </c>
      <c r="U2" s="21" t="s">
        <v>121</v>
      </c>
      <c r="V2" s="21" t="s">
        <v>122</v>
      </c>
    </row>
    <row r="3" spans="1:22" s="2" customFormat="1" x14ac:dyDescent="0.25">
      <c r="A3" s="1" t="s">
        <v>17</v>
      </c>
      <c r="B3" s="8">
        <v>3.8300000000000001E-3</v>
      </c>
      <c r="C3" t="s">
        <v>18</v>
      </c>
      <c r="D3" s="1">
        <v>1.11150087288509E-3</v>
      </c>
      <c r="E3"/>
      <c r="F3" s="1">
        <v>0.21033716270164299</v>
      </c>
      <c r="G3" s="1">
        <v>0.111522820925413</v>
      </c>
      <c r="H3"/>
      <c r="I3" s="1">
        <v>3.2003568028664199E-2</v>
      </c>
      <c r="J3" s="1">
        <v>8.3857442348008408E-3</v>
      </c>
      <c r="K3">
        <v>0</v>
      </c>
      <c r="L3" s="1">
        <v>1</v>
      </c>
      <c r="M3">
        <v>1</v>
      </c>
      <c r="N3" s="1">
        <v>2.0696919195448998E-2</v>
      </c>
      <c r="O3" s="1">
        <v>7.13878574046969E-2</v>
      </c>
      <c r="P3"/>
      <c r="Q3" s="1">
        <v>3.8268303853215601E-3</v>
      </c>
      <c r="R3" s="1">
        <v>1.25668720966022E-2</v>
      </c>
      <c r="S3">
        <f>SUMPRODUCT($D$1:$R$1,D3:R3)</f>
        <v>0.12739611186547345</v>
      </c>
      <c r="T3"/>
      <c r="U3" t="s">
        <v>39</v>
      </c>
      <c r="V3" s="8">
        <v>0.43497218139633353</v>
      </c>
    </row>
    <row r="4" spans="1:22" x14ac:dyDescent="0.25">
      <c r="A4" s="1" t="s">
        <v>17</v>
      </c>
      <c r="B4" s="8">
        <v>0.31002000000000002</v>
      </c>
      <c r="C4" s="1" t="s">
        <v>19</v>
      </c>
      <c r="D4" s="1">
        <v>4.0789022858168402E-6</v>
      </c>
      <c r="E4" s="1">
        <v>1.02424516374166E-2</v>
      </c>
      <c r="F4" s="1">
        <v>4.6355511112144698E-3</v>
      </c>
      <c r="G4" s="1">
        <v>8.1992847986004203E-2</v>
      </c>
      <c r="H4" s="1">
        <v>0.159170936386447</v>
      </c>
      <c r="I4">
        <v>0</v>
      </c>
      <c r="J4" s="1">
        <v>6.2893081761006303E-2</v>
      </c>
      <c r="K4" s="1">
        <v>1.8292682926829298E-2</v>
      </c>
      <c r="L4">
        <v>1</v>
      </c>
      <c r="M4">
        <v>1</v>
      </c>
      <c r="N4" s="1">
        <v>2.03386059844212E-2</v>
      </c>
      <c r="O4" s="1">
        <v>0.115793186504369</v>
      </c>
      <c r="P4">
        <v>1</v>
      </c>
      <c r="Q4" s="1">
        <v>9.5938037323390596E-2</v>
      </c>
      <c r="R4" s="1">
        <v>9.1203733528026507E-2</v>
      </c>
      <c r="S4">
        <f>SUMPRODUCT($D$1:$R$1,D4:R4)</f>
        <v>0.1912475380978908</v>
      </c>
      <c r="U4" t="s">
        <v>22</v>
      </c>
      <c r="V4" s="8">
        <v>0.41165954316334646</v>
      </c>
    </row>
    <row r="5" spans="1:22" x14ac:dyDescent="0.25">
      <c r="A5" s="1" t="s">
        <v>17</v>
      </c>
      <c r="B5" s="8">
        <v>1.1979999999999999E-2</v>
      </c>
      <c r="C5" t="s">
        <v>20</v>
      </c>
      <c r="D5" s="1">
        <v>1.04317925959766E-3</v>
      </c>
      <c r="E5" s="1">
        <v>7.69412180885561E-3</v>
      </c>
      <c r="F5">
        <v>0.73248877933071299</v>
      </c>
      <c r="G5">
        <v>0.85099017798548304</v>
      </c>
      <c r="H5">
        <v>0.15120079279735199</v>
      </c>
      <c r="J5">
        <v>0.23689727463312399</v>
      </c>
      <c r="K5" s="1">
        <v>0</v>
      </c>
      <c r="L5" s="1">
        <v>1</v>
      </c>
      <c r="M5">
        <v>1</v>
      </c>
      <c r="N5" s="1">
        <v>1.7677441328672601E-3</v>
      </c>
      <c r="O5" s="1">
        <v>2.10017502547988E-2</v>
      </c>
      <c r="P5">
        <v>9.2029999999999994E-3</v>
      </c>
      <c r="Q5">
        <v>0</v>
      </c>
      <c r="R5" s="1">
        <v>7.4562334027643604E-2</v>
      </c>
      <c r="S5">
        <f>SUMPRODUCT($D$1:$R$1,D5:R5)</f>
        <v>0.19161811042945731</v>
      </c>
      <c r="U5" t="s">
        <v>31</v>
      </c>
      <c r="V5" s="8">
        <v>0.34608813979282194</v>
      </c>
    </row>
    <row r="6" spans="1:22" x14ac:dyDescent="0.25">
      <c r="A6" s="1" t="s">
        <v>17</v>
      </c>
      <c r="B6" s="8">
        <v>5.9899999999999997E-3</v>
      </c>
      <c r="C6" t="s">
        <v>21</v>
      </c>
      <c r="D6" s="1">
        <v>6.1591424515834302E-4</v>
      </c>
      <c r="E6" s="1">
        <v>1.6416746916127802E-2</v>
      </c>
      <c r="F6" s="1">
        <v>0.23866789919614301</v>
      </c>
      <c r="G6" s="1">
        <v>0.114515676754861</v>
      </c>
      <c r="H6" s="1">
        <v>1.8069875809138301E-2</v>
      </c>
      <c r="I6" s="1">
        <v>9.4710172629622093E-3</v>
      </c>
      <c r="J6" s="1">
        <v>5.8700209643605901E-2</v>
      </c>
      <c r="K6" s="1">
        <v>5.4878048780487798E-2</v>
      </c>
      <c r="L6" s="1">
        <v>1</v>
      </c>
      <c r="M6">
        <v>1</v>
      </c>
      <c r="N6" s="1">
        <v>6.6512381985508002E-3</v>
      </c>
      <c r="O6" s="1">
        <v>3.8119158518072301E-3</v>
      </c>
      <c r="P6">
        <v>0</v>
      </c>
      <c r="Q6" s="1">
        <v>4.61999346131668E-2</v>
      </c>
      <c r="R6" s="1">
        <v>1.6804025567795498E-2</v>
      </c>
      <c r="S6">
        <f>SUMPRODUCT($D$1:$R$1,D6:R6)</f>
        <v>0.13982136249368998</v>
      </c>
      <c r="U6" s="1" t="s">
        <v>24</v>
      </c>
      <c r="V6" s="20">
        <v>0.30231966316661535</v>
      </c>
    </row>
    <row r="7" spans="1:22" x14ac:dyDescent="0.25">
      <c r="A7" s="1" t="s">
        <v>17</v>
      </c>
      <c r="B7" s="8">
        <v>5.6499999999999996E-3</v>
      </c>
      <c r="C7" t="s">
        <v>22</v>
      </c>
      <c r="D7" s="1">
        <v>4.8436964644075001E-4</v>
      </c>
      <c r="F7">
        <v>1</v>
      </c>
      <c r="G7">
        <v>0.83338275412695595</v>
      </c>
      <c r="H7">
        <v>0.31102536529824798</v>
      </c>
      <c r="I7">
        <v>0</v>
      </c>
      <c r="J7">
        <v>0.93710691823899395</v>
      </c>
      <c r="L7">
        <v>1</v>
      </c>
      <c r="M7">
        <v>1</v>
      </c>
      <c r="N7" s="1">
        <v>0.17094768922432099</v>
      </c>
      <c r="O7">
        <v>0.78456910107394595</v>
      </c>
      <c r="P7">
        <v>2.6648999999999999E-2</v>
      </c>
      <c r="Q7" s="1">
        <v>9.4820304896116897E-2</v>
      </c>
      <c r="R7">
        <v>0.53647762817897404</v>
      </c>
      <c r="S7">
        <f>SUMPRODUCT($D$1:$R$1,D7:R7)</f>
        <v>0.41165954316334646</v>
      </c>
      <c r="U7" t="s">
        <v>27</v>
      </c>
      <c r="V7" s="8">
        <v>0.27711149707368282</v>
      </c>
    </row>
    <row r="8" spans="1:22" x14ac:dyDescent="0.25">
      <c r="A8" s="1" t="s">
        <v>17</v>
      </c>
      <c r="B8" s="8">
        <v>1.558E-2</v>
      </c>
      <c r="C8" t="s">
        <v>23</v>
      </c>
      <c r="D8" s="1">
        <v>2.7226672757827401E-4</v>
      </c>
      <c r="E8" s="1">
        <v>4.4874188497795599E-4</v>
      </c>
      <c r="F8">
        <v>0.117993379998915</v>
      </c>
      <c r="G8" s="1">
        <v>0</v>
      </c>
      <c r="H8" s="1">
        <v>1.47384401290404E-2</v>
      </c>
      <c r="J8" s="1">
        <v>1.6771488469601699E-2</v>
      </c>
      <c r="K8" s="1">
        <v>2.4390243902439001E-2</v>
      </c>
      <c r="L8" s="1">
        <v>1</v>
      </c>
      <c r="M8">
        <v>1</v>
      </c>
      <c r="N8" s="1">
        <v>5.8550741186627002E-4</v>
      </c>
      <c r="O8" s="1">
        <v>7.07945905779083E-3</v>
      </c>
      <c r="P8">
        <v>0</v>
      </c>
      <c r="Q8">
        <v>0</v>
      </c>
      <c r="R8" s="1">
        <v>9.4965892904435703E-2</v>
      </c>
      <c r="S8">
        <f>SUMPRODUCT($D$1:$R$1,D8:R8)</f>
        <v>0.12700304119997205</v>
      </c>
      <c r="U8" t="s">
        <v>33</v>
      </c>
      <c r="V8" s="8">
        <v>0.26777733509961221</v>
      </c>
    </row>
    <row r="9" spans="1:22" x14ac:dyDescent="0.25">
      <c r="A9" s="1" t="s">
        <v>17</v>
      </c>
      <c r="B9" s="8">
        <v>0.37740000000000001</v>
      </c>
      <c r="C9" s="1" t="s">
        <v>24</v>
      </c>
      <c r="D9" s="1">
        <v>8.1578045716336804E-6</v>
      </c>
      <c r="E9">
        <v>0.277148884041166</v>
      </c>
      <c r="F9" s="1">
        <v>4.9853491779260897E-3</v>
      </c>
      <c r="G9">
        <v>0.173994352507572</v>
      </c>
      <c r="H9">
        <v>0.47089210787104402</v>
      </c>
      <c r="I9" s="1">
        <v>7.2634869234747795E-2</v>
      </c>
      <c r="J9">
        <v>0.109014675052411</v>
      </c>
      <c r="K9" s="1">
        <v>0.16463414634146301</v>
      </c>
      <c r="L9" s="1">
        <v>1</v>
      </c>
      <c r="M9">
        <v>1</v>
      </c>
      <c r="N9" s="1">
        <v>1.7730991434936099E-2</v>
      </c>
      <c r="O9" s="1">
        <v>7.6789226337177399E-2</v>
      </c>
      <c r="P9">
        <v>0.82111599999999996</v>
      </c>
      <c r="Q9">
        <v>0.82667575402871596</v>
      </c>
      <c r="R9" s="1">
        <v>6.7401347105012596E-2</v>
      </c>
      <c r="S9">
        <f>SUMPRODUCT($D$1:$R$1,D9:R9)</f>
        <v>0.30231966316661535</v>
      </c>
      <c r="U9" s="1" t="s">
        <v>26</v>
      </c>
      <c r="V9" s="8">
        <v>0.25984050518917373</v>
      </c>
    </row>
    <row r="10" spans="1:22" x14ac:dyDescent="0.25">
      <c r="A10" s="1" t="s">
        <v>17</v>
      </c>
      <c r="B10" s="8">
        <v>2.3600000000000001E-3</v>
      </c>
      <c r="C10" t="s">
        <v>25</v>
      </c>
      <c r="D10" s="1">
        <v>1.3419588520337401E-3</v>
      </c>
      <c r="E10" s="1">
        <v>5.2735360205438599E-4</v>
      </c>
      <c r="F10">
        <v>0.646162298551197</v>
      </c>
      <c r="G10" s="1">
        <v>0.101927975253332</v>
      </c>
      <c r="H10" s="1">
        <v>7.8436333733948992E-3</v>
      </c>
      <c r="I10">
        <v>0</v>
      </c>
      <c r="J10" s="1">
        <v>2.9350104821802898E-2</v>
      </c>
      <c r="K10" s="1">
        <v>3.0487804878048801E-2</v>
      </c>
      <c r="L10" s="1">
        <v>1</v>
      </c>
      <c r="M10">
        <v>1</v>
      </c>
      <c r="N10">
        <v>0</v>
      </c>
      <c r="O10" s="1">
        <v>2.70512939178254E-2</v>
      </c>
      <c r="P10">
        <v>0</v>
      </c>
      <c r="Q10">
        <v>0</v>
      </c>
      <c r="R10">
        <v>0.58793503546708503</v>
      </c>
      <c r="S10">
        <f>SUMPRODUCT($D$1:$R$1,D10:R10)</f>
        <v>0.18455652328215202</v>
      </c>
      <c r="U10" s="1" t="s">
        <v>47</v>
      </c>
      <c r="V10" s="8">
        <v>0.22413388598468198</v>
      </c>
    </row>
    <row r="11" spans="1:22" x14ac:dyDescent="0.25">
      <c r="A11" s="1" t="s">
        <v>17</v>
      </c>
      <c r="B11" s="8">
        <v>4.8099999999999997E-2</v>
      </c>
      <c r="C11" s="1" t="s">
        <v>26</v>
      </c>
      <c r="D11" s="1">
        <v>9.8913380431058393E-5</v>
      </c>
      <c r="E11">
        <v>1</v>
      </c>
      <c r="F11" s="1">
        <v>8.6772206847902794E-2</v>
      </c>
      <c r="G11" s="1">
        <v>0.366148974537165</v>
      </c>
      <c r="H11">
        <v>0.213359478777911</v>
      </c>
      <c r="I11">
        <v>0.12034975675939</v>
      </c>
      <c r="J11" s="1">
        <v>8.17610062893082E-2</v>
      </c>
      <c r="K11" s="1">
        <v>0.16463414634146301</v>
      </c>
      <c r="L11" s="1">
        <v>1</v>
      </c>
      <c r="M11">
        <v>1</v>
      </c>
      <c r="N11" s="1">
        <v>1.36109801342887E-2</v>
      </c>
      <c r="O11" s="1">
        <v>6.0448372712759001E-3</v>
      </c>
      <c r="P11">
        <v>9.9999999999999995E-7</v>
      </c>
      <c r="Q11">
        <v>7.5883617989235999E-2</v>
      </c>
      <c r="R11">
        <v>0.18146921771994201</v>
      </c>
      <c r="S11">
        <f>SUMPRODUCT($D$1:$R$1,D11:R11)</f>
        <v>0.25984050518917373</v>
      </c>
      <c r="U11" s="1" t="s">
        <v>41</v>
      </c>
      <c r="V11" s="8">
        <v>0.20680284988468325</v>
      </c>
    </row>
    <row r="12" spans="1:22" x14ac:dyDescent="0.25">
      <c r="A12" s="1" t="s">
        <v>17</v>
      </c>
      <c r="B12" s="8">
        <v>4.1590000000000002E-2</v>
      </c>
      <c r="C12" t="s">
        <v>27</v>
      </c>
      <c r="D12" s="1">
        <v>9.7893654859604199E-5</v>
      </c>
      <c r="E12">
        <v>0.59814017779350004</v>
      </c>
      <c r="F12">
        <v>5.0571498337248E-2</v>
      </c>
      <c r="G12" s="1">
        <v>0.77421271965945704</v>
      </c>
      <c r="H12" s="1">
        <v>0.10719632276973</v>
      </c>
      <c r="I12">
        <v>0.57618790618183502</v>
      </c>
      <c r="J12" s="1">
        <v>4.6121593291404597E-2</v>
      </c>
      <c r="K12" s="1">
        <v>5.4878048780487798E-2</v>
      </c>
      <c r="L12">
        <v>1</v>
      </c>
      <c r="M12">
        <v>1</v>
      </c>
      <c r="N12" s="1">
        <v>9.1809688434850503E-2</v>
      </c>
      <c r="O12">
        <v>1</v>
      </c>
      <c r="P12">
        <v>3.0000000000000001E-6</v>
      </c>
      <c r="Q12" s="1">
        <v>3.7076911711821101E-3</v>
      </c>
      <c r="R12">
        <v>0.12705018359853101</v>
      </c>
      <c r="S12">
        <f>SUMPRODUCT($D$1:$R$1,D12:R12)</f>
        <v>0.27711149707368282</v>
      </c>
      <c r="U12" s="1" t="s">
        <v>34</v>
      </c>
      <c r="V12" s="20">
        <v>0.20520461736880397</v>
      </c>
    </row>
    <row r="13" spans="1:22" x14ac:dyDescent="0.25">
      <c r="A13" s="1" t="s">
        <v>17</v>
      </c>
      <c r="B13" s="8">
        <v>4.7400000000000003E-3</v>
      </c>
      <c r="C13" t="s">
        <v>28</v>
      </c>
      <c r="D13" s="1">
        <v>4.5275815372566901E-4</v>
      </c>
      <c r="E13" s="1"/>
      <c r="F13">
        <v>0.10968640264179901</v>
      </c>
      <c r="G13" s="1">
        <v>9.0711666171394006E-2</v>
      </c>
      <c r="H13" s="1">
        <v>5.0182385560967402E-3</v>
      </c>
      <c r="J13" s="1">
        <v>9.4339622641509399E-2</v>
      </c>
      <c r="K13" s="1">
        <v>0</v>
      </c>
      <c r="L13">
        <v>0</v>
      </c>
      <c r="M13">
        <v>0</v>
      </c>
      <c r="N13" s="1">
        <v>1.34682454760496E-3</v>
      </c>
      <c r="O13">
        <v>0</v>
      </c>
      <c r="P13">
        <v>0</v>
      </c>
      <c r="Q13" s="1">
        <v>7.08630375971511E-4</v>
      </c>
      <c r="R13">
        <v>0.116345208185703</v>
      </c>
      <c r="S13">
        <f>SUMPRODUCT($D$1:$R$1,D13:R13)</f>
        <v>2.8446985673205763E-2</v>
      </c>
      <c r="U13" t="s">
        <v>20</v>
      </c>
      <c r="V13" s="8">
        <v>0.19161811042945731</v>
      </c>
    </row>
    <row r="14" spans="1:22" x14ac:dyDescent="0.25">
      <c r="A14" s="1" t="s">
        <v>17</v>
      </c>
      <c r="B14" s="8">
        <v>6.3400000000000001E-3</v>
      </c>
      <c r="C14" s="1" t="s">
        <v>29</v>
      </c>
      <c r="D14" s="1">
        <v>4.17067758724772E-4</v>
      </c>
      <c r="E14" s="1">
        <v>0</v>
      </c>
      <c r="F14" s="1">
        <v>5.5224490903312301E-2</v>
      </c>
      <c r="G14" s="1">
        <v>3.6300706843340802E-2</v>
      </c>
      <c r="H14" s="1">
        <v>3.14167035654796E-3</v>
      </c>
      <c r="J14" s="1">
        <v>5.4507337526205499E-2</v>
      </c>
      <c r="K14" s="1">
        <v>0</v>
      </c>
      <c r="L14">
        <v>0</v>
      </c>
      <c r="M14">
        <v>0</v>
      </c>
      <c r="N14" s="1">
        <v>3.1547312601698401E-3</v>
      </c>
      <c r="O14" s="1">
        <v>0</v>
      </c>
      <c r="P14">
        <v>1.0000000000000001E-5</v>
      </c>
      <c r="Q14" s="1">
        <v>4.41724980151986E-4</v>
      </c>
      <c r="R14" s="1">
        <v>7.2523781915007801E-2</v>
      </c>
      <c r="S14">
        <f>SUMPRODUCT($D$1:$R$1,D14:R14)</f>
        <v>1.6860497366200985E-2</v>
      </c>
      <c r="U14" s="1" t="s">
        <v>19</v>
      </c>
      <c r="V14" s="8">
        <v>0.1912475380978908</v>
      </c>
    </row>
    <row r="15" spans="1:22" x14ac:dyDescent="0.25">
      <c r="A15" s="1" t="s">
        <v>17</v>
      </c>
      <c r="B15" s="8">
        <v>2.4199999999999998E-3</v>
      </c>
      <c r="C15" t="s">
        <v>30</v>
      </c>
      <c r="D15" s="1">
        <v>4.3134391672513102E-4</v>
      </c>
      <c r="E15" s="1">
        <v>7.2725664760332501E-2</v>
      </c>
      <c r="F15">
        <v>0.15752540638589799</v>
      </c>
      <c r="G15">
        <v>0.54560029832059098</v>
      </c>
      <c r="H15">
        <v>0.147004870643304</v>
      </c>
      <c r="I15">
        <v>0</v>
      </c>
      <c r="J15">
        <v>0.167714884696017</v>
      </c>
      <c r="K15" s="1">
        <v>0.115853658536585</v>
      </c>
      <c r="L15" s="1">
        <v>0</v>
      </c>
      <c r="M15">
        <v>0</v>
      </c>
      <c r="N15" s="1">
        <v>3.1663862832977799E-2</v>
      </c>
      <c r="O15" s="1">
        <v>5.5437634295581302E-2</v>
      </c>
      <c r="P15">
        <v>0</v>
      </c>
      <c r="Q15" s="1">
        <v>6.2471831575224498E-2</v>
      </c>
      <c r="R15">
        <v>0</v>
      </c>
      <c r="S15">
        <f>SUMPRODUCT($D$1:$R$1,D15:R15)</f>
        <v>7.1773736101860747E-2</v>
      </c>
      <c r="U15" t="s">
        <v>25</v>
      </c>
      <c r="V15" s="17">
        <v>0.18455652328215202</v>
      </c>
    </row>
    <row r="16" spans="1:22" x14ac:dyDescent="0.25">
      <c r="A16" s="1" t="s">
        <v>17</v>
      </c>
      <c r="B16" s="8">
        <v>1.17E-3</v>
      </c>
      <c r="C16" t="s">
        <v>31</v>
      </c>
      <c r="D16" s="1">
        <v>1.7814605733305099E-3</v>
      </c>
      <c r="E16" s="1">
        <v>0</v>
      </c>
      <c r="F16">
        <v>0.74745354759191596</v>
      </c>
      <c r="G16">
        <v>0.88309530965969096</v>
      </c>
      <c r="H16" s="1">
        <v>5.0266725704767298E-2</v>
      </c>
      <c r="I16">
        <v>1</v>
      </c>
      <c r="J16">
        <v>1</v>
      </c>
      <c r="K16">
        <v>0</v>
      </c>
      <c r="L16">
        <v>1</v>
      </c>
      <c r="M16">
        <v>0</v>
      </c>
      <c r="N16">
        <v>0</v>
      </c>
      <c r="O16">
        <v>0</v>
      </c>
      <c r="Q16">
        <v>0.453537170844104</v>
      </c>
      <c r="R16">
        <v>0.259287795171323</v>
      </c>
      <c r="S16">
        <f>SUMPRODUCT($D$1:$R$1,D16:R16)</f>
        <v>0.34608813979282194</v>
      </c>
      <c r="U16" t="s">
        <v>42</v>
      </c>
      <c r="V16" s="8">
        <v>0.17603293918725821</v>
      </c>
    </row>
    <row r="17" spans="1:22" x14ac:dyDescent="0.25">
      <c r="A17" s="1" t="s">
        <v>17</v>
      </c>
      <c r="B17" s="8">
        <v>1.34E-3</v>
      </c>
      <c r="C17" t="s">
        <v>32</v>
      </c>
      <c r="D17" s="1">
        <v>7.0208105594622401E-3</v>
      </c>
      <c r="F17">
        <v>0.20278016790307199</v>
      </c>
      <c r="G17" s="1">
        <v>1.9595410329048799E-2</v>
      </c>
      <c r="J17" s="1">
        <v>4.40251572327044E-2</v>
      </c>
      <c r="K17" s="1"/>
      <c r="L17" s="1">
        <v>0</v>
      </c>
      <c r="M17">
        <v>0</v>
      </c>
      <c r="N17" s="1">
        <v>3.6144352973950401E-3</v>
      </c>
      <c r="O17" s="1">
        <v>6.2683908794311299E-3</v>
      </c>
      <c r="P17">
        <v>3.9999999999999998E-6</v>
      </c>
      <c r="Q17">
        <v>0</v>
      </c>
      <c r="R17" s="1">
        <v>2.9269828999262702E-2</v>
      </c>
      <c r="S17">
        <f>SUMPRODUCT($D$1:$R$1,D17:R17)</f>
        <v>1.4417597136951087E-2</v>
      </c>
      <c r="U17" t="s">
        <v>35</v>
      </c>
      <c r="V17" s="8">
        <v>0.16114063143719548</v>
      </c>
    </row>
    <row r="18" spans="1:22" x14ac:dyDescent="0.25">
      <c r="A18" s="1" t="s">
        <v>17</v>
      </c>
      <c r="B18" s="8">
        <v>1.1299999999999999E-3</v>
      </c>
      <c r="C18" t="s">
        <v>33</v>
      </c>
      <c r="D18" s="1">
        <v>2.4096115253463002E-3</v>
      </c>
      <c r="E18">
        <v>0.31274361443573201</v>
      </c>
      <c r="F18">
        <v>0.62503972775826899</v>
      </c>
      <c r="G18">
        <v>0.18272153230084501</v>
      </c>
      <c r="H18" s="1"/>
      <c r="I18">
        <v>0</v>
      </c>
      <c r="J18">
        <v>0.19077568134171899</v>
      </c>
      <c r="K18" s="1">
        <v>3.0487804878048801E-2</v>
      </c>
      <c r="L18">
        <v>1</v>
      </c>
      <c r="M18">
        <v>1</v>
      </c>
      <c r="Q18">
        <v>0</v>
      </c>
      <c r="R18">
        <v>1</v>
      </c>
      <c r="S18">
        <f>SUMPRODUCT($D$1:$R$1,D18:R18)</f>
        <v>0.26777733509961221</v>
      </c>
      <c r="U18" s="1" t="s">
        <v>38</v>
      </c>
      <c r="V18" s="8">
        <v>0.15687136652120331</v>
      </c>
    </row>
    <row r="19" spans="1:22" x14ac:dyDescent="0.25">
      <c r="A19" s="1" t="s">
        <v>17</v>
      </c>
      <c r="B19" s="8">
        <v>4.632E-2</v>
      </c>
      <c r="C19" s="1" t="s">
        <v>34</v>
      </c>
      <c r="D19" s="1">
        <v>1.22367068574505E-4</v>
      </c>
      <c r="E19" s="1">
        <v>2.4631671350614798E-3</v>
      </c>
      <c r="F19" s="1">
        <v>2.9915970946412102E-2</v>
      </c>
      <c r="G19" s="1">
        <v>0.137595872346924</v>
      </c>
      <c r="H19">
        <v>0.208699685832964</v>
      </c>
      <c r="I19" s="1">
        <v>6.1447300366547497E-2</v>
      </c>
      <c r="J19" s="1">
        <v>8.8050314465408799E-2</v>
      </c>
      <c r="K19" s="1">
        <v>0.28048780487804897</v>
      </c>
      <c r="L19">
        <v>1</v>
      </c>
      <c r="M19">
        <v>1</v>
      </c>
      <c r="N19" s="1">
        <v>2.21632471051935E-2</v>
      </c>
      <c r="O19" s="1">
        <v>0.106019318169339</v>
      </c>
      <c r="P19">
        <v>3.9999999999999998E-6</v>
      </c>
      <c r="Q19">
        <v>0.39690649155679197</v>
      </c>
      <c r="R19" s="1">
        <v>2.3979041851875701E-2</v>
      </c>
      <c r="S19">
        <f>SUMPRODUCT($D$1:$R$1,D19:R19)</f>
        <v>0.20520461736880397</v>
      </c>
      <c r="U19" s="1" t="s">
        <v>46</v>
      </c>
      <c r="V19" s="8">
        <v>0.14533973555137819</v>
      </c>
    </row>
    <row r="20" spans="1:22" x14ac:dyDescent="0.25">
      <c r="A20" s="1" t="s">
        <v>17</v>
      </c>
      <c r="B20" s="8">
        <v>1.1769999999999999E-2</v>
      </c>
      <c r="C20" t="s">
        <v>35</v>
      </c>
      <c r="D20" s="1">
        <v>2.1720154671974701E-4</v>
      </c>
      <c r="E20" s="1"/>
      <c r="F20" s="1">
        <v>0.11693042022278601</v>
      </c>
      <c r="G20" s="1">
        <v>0.17640217261261801</v>
      </c>
      <c r="H20" s="1">
        <v>5.4293967571214699E-2</v>
      </c>
      <c r="I20" s="1">
        <v>1.8769629779546802E-2</v>
      </c>
      <c r="J20" s="1">
        <v>6.7085953878406698E-2</v>
      </c>
      <c r="K20" s="1">
        <v>6.0975609756097598E-3</v>
      </c>
      <c r="L20" s="1">
        <v>1</v>
      </c>
      <c r="M20">
        <v>1</v>
      </c>
      <c r="N20" s="1">
        <v>1.05159021174933E-2</v>
      </c>
      <c r="O20" s="1">
        <v>1.63554957320871E-2</v>
      </c>
      <c r="P20">
        <v>0</v>
      </c>
      <c r="Q20">
        <v>0.18412577117958001</v>
      </c>
      <c r="R20">
        <v>0.14046883835455601</v>
      </c>
      <c r="S20">
        <f>SUMPRODUCT($D$1:$R$1,D20:R20)</f>
        <v>0.16114063143719548</v>
      </c>
      <c r="U20" t="s">
        <v>21</v>
      </c>
      <c r="V20" s="8">
        <v>0.13982136249368998</v>
      </c>
    </row>
    <row r="21" spans="1:22" x14ac:dyDescent="0.25">
      <c r="A21" s="1" t="s">
        <v>17</v>
      </c>
      <c r="B21" s="8">
        <v>4.7999999999999996E-3</v>
      </c>
      <c r="C21" t="s">
        <v>36</v>
      </c>
      <c r="D21" s="1">
        <v>7.1278817444649296E-4</v>
      </c>
      <c r="E21" s="1">
        <v>8.4278311682356305E-3</v>
      </c>
      <c r="F21">
        <v>0.26844918335232498</v>
      </c>
      <c r="G21" s="1">
        <v>3.2175605548459198E-2</v>
      </c>
      <c r="H21" s="1">
        <v>1.4485419697640599E-2</v>
      </c>
      <c r="J21" s="1">
        <v>6.4989517819706494E-2</v>
      </c>
      <c r="K21" s="1"/>
      <c r="L21" s="1">
        <v>1</v>
      </c>
      <c r="M21">
        <v>1</v>
      </c>
      <c r="N21" s="1">
        <v>1.4800107493963301E-2</v>
      </c>
      <c r="O21" s="1">
        <v>1.5529785446058699E-2</v>
      </c>
      <c r="P21">
        <v>3.0000000000000001E-6</v>
      </c>
      <c r="Q21">
        <v>0</v>
      </c>
      <c r="R21" s="1">
        <v>3.0785286349288201E-2</v>
      </c>
      <c r="S21">
        <f>SUMPRODUCT($D$1:$R$1,D21:R21)</f>
        <v>0.13345269427862919</v>
      </c>
      <c r="U21" t="s">
        <v>36</v>
      </c>
      <c r="V21" s="8">
        <v>0.13345269427862919</v>
      </c>
    </row>
    <row r="22" spans="1:22" x14ac:dyDescent="0.25">
      <c r="A22" s="1" t="s">
        <v>17</v>
      </c>
      <c r="B22" s="8">
        <v>1.5499999999999999E-3</v>
      </c>
      <c r="C22" s="1" t="s">
        <v>37</v>
      </c>
      <c r="D22" s="1">
        <v>2.8042453214990799E-3</v>
      </c>
      <c r="E22">
        <v>0</v>
      </c>
      <c r="F22" s="1">
        <v>4.7948497321767702E-2</v>
      </c>
      <c r="G22" s="1">
        <v>1.64277912163297E-3</v>
      </c>
      <c r="J22" s="1">
        <v>2.3060796645702299E-2</v>
      </c>
      <c r="K22" s="1">
        <v>0</v>
      </c>
      <c r="L22">
        <v>1</v>
      </c>
      <c r="M22">
        <v>0</v>
      </c>
      <c r="N22" s="1">
        <v>1.24742216285335E-2</v>
      </c>
      <c r="Q22">
        <v>0.32377852819780101</v>
      </c>
      <c r="R22">
        <v>0.12287344227562</v>
      </c>
      <c r="S22">
        <f>SUMPRODUCT($D$1:$R$1,D22:R22)</f>
        <v>0.10110925377637742</v>
      </c>
      <c r="U22" t="s">
        <v>40</v>
      </c>
      <c r="V22" s="8">
        <v>0.13282490067987363</v>
      </c>
    </row>
    <row r="23" spans="1:22" x14ac:dyDescent="0.25">
      <c r="A23" s="1" t="s">
        <v>17</v>
      </c>
      <c r="B23" s="8">
        <v>3.3419999999999998E-2</v>
      </c>
      <c r="C23" s="1" t="s">
        <v>38</v>
      </c>
      <c r="D23" s="1">
        <v>6.73018877159779E-5</v>
      </c>
      <c r="E23">
        <v>0</v>
      </c>
      <c r="F23" s="1">
        <v>2.55255691728099E-2</v>
      </c>
      <c r="G23" s="1">
        <v>0.13960683904284599</v>
      </c>
      <c r="H23">
        <v>0.20370253231281801</v>
      </c>
      <c r="I23" s="1">
        <v>4.23516007405908E-4</v>
      </c>
      <c r="J23" s="1">
        <v>5.8700209643605901E-2</v>
      </c>
      <c r="K23" s="1">
        <v>0.18292682926829301</v>
      </c>
      <c r="L23" s="1">
        <v>1</v>
      </c>
      <c r="M23">
        <v>1</v>
      </c>
      <c r="N23" s="1">
        <v>1.02828016549345E-2</v>
      </c>
      <c r="O23" s="1">
        <v>1.47296988484505E-2</v>
      </c>
      <c r="P23">
        <v>3.8000000000000002E-5</v>
      </c>
      <c r="Q23" s="1">
        <v>4.3534846832718202E-2</v>
      </c>
      <c r="R23" s="1">
        <v>5.4545584687954098E-2</v>
      </c>
      <c r="S23">
        <f>SUMPRODUCT($D$1:$R$1,D23:R23)</f>
        <v>0.15687136652120331</v>
      </c>
      <c r="U23" t="s">
        <v>18</v>
      </c>
      <c r="V23" s="8">
        <v>0.12739611186547345</v>
      </c>
    </row>
    <row r="24" spans="1:22" x14ac:dyDescent="0.25">
      <c r="A24" s="1" t="s">
        <v>17</v>
      </c>
      <c r="B24" s="8">
        <v>1.1679999999999999E-2</v>
      </c>
      <c r="C24" t="s">
        <v>39</v>
      </c>
      <c r="D24" s="1">
        <v>1.4265960744644401E-3</v>
      </c>
      <c r="E24" s="1">
        <v>5.0573537985836798E-3</v>
      </c>
      <c r="F24">
        <v>0.83825473051014299</v>
      </c>
      <c r="G24">
        <v>1</v>
      </c>
      <c r="H24">
        <v>1</v>
      </c>
      <c r="I24">
        <v>0</v>
      </c>
      <c r="J24">
        <v>0.49895178197064999</v>
      </c>
      <c r="K24" s="1">
        <v>1</v>
      </c>
      <c r="L24">
        <v>1</v>
      </c>
      <c r="M24">
        <v>1</v>
      </c>
      <c r="N24" s="1">
        <v>1.63308136564583E-3</v>
      </c>
      <c r="O24" s="1">
        <v>1.7146169546193999E-2</v>
      </c>
      <c r="P24">
        <v>0</v>
      </c>
      <c r="Q24">
        <v>1</v>
      </c>
      <c r="R24" s="1">
        <v>6.4387897528398699E-2</v>
      </c>
      <c r="S24">
        <f>SUMPRODUCT($D$1:$R$1,D24:R24)</f>
        <v>0.43497218139633353</v>
      </c>
      <c r="U24" t="s">
        <v>23</v>
      </c>
      <c r="V24" s="8">
        <v>0.12700304119997205</v>
      </c>
    </row>
    <row r="25" spans="1:22" x14ac:dyDescent="0.25">
      <c r="A25" s="1" t="s">
        <v>17</v>
      </c>
      <c r="B25" s="8">
        <v>1.8259999999999998E-2</v>
      </c>
      <c r="C25" t="s">
        <v>40</v>
      </c>
      <c r="D25" s="1">
        <v>1.91708407433392E-4</v>
      </c>
      <c r="E25" s="1">
        <v>3.8388721838990099E-3</v>
      </c>
      <c r="F25">
        <v>0.101974372689007</v>
      </c>
      <c r="G25" s="1">
        <v>0.217408654668753</v>
      </c>
      <c r="H25" s="1">
        <v>5.1784848293166298E-2</v>
      </c>
      <c r="I25">
        <v>0</v>
      </c>
      <c r="J25" s="1">
        <v>3.3542976939203398E-2</v>
      </c>
      <c r="K25" s="1">
        <v>0</v>
      </c>
      <c r="L25" s="1">
        <v>1</v>
      </c>
      <c r="M25">
        <v>1</v>
      </c>
      <c r="N25" s="1">
        <v>1.3501714292464301E-2</v>
      </c>
      <c r="O25" s="1">
        <v>5.1086313655909397E-2</v>
      </c>
      <c r="P25">
        <v>3.0000000000000001E-6</v>
      </c>
      <c r="Q25" s="1">
        <v>4.5328546995696802E-3</v>
      </c>
      <c r="R25" s="1">
        <v>4.0458101598345099E-2</v>
      </c>
      <c r="S25">
        <f>SUMPRODUCT($D$1:$R$1,D25:R25)</f>
        <v>0.13282490067987363</v>
      </c>
      <c r="U25" s="1" t="s">
        <v>37</v>
      </c>
      <c r="V25" s="8">
        <v>0.10110925377637742</v>
      </c>
    </row>
    <row r="26" spans="1:22" x14ac:dyDescent="0.25">
      <c r="A26" s="1" t="s">
        <v>17</v>
      </c>
      <c r="B26" s="8">
        <v>1.23E-3</v>
      </c>
      <c r="C26" s="1" t="s">
        <v>41</v>
      </c>
      <c r="D26" s="1">
        <v>3.5292702028030202E-3</v>
      </c>
      <c r="E26">
        <v>0</v>
      </c>
      <c r="F26" s="1">
        <v>2.5900560452082499E-2</v>
      </c>
      <c r="G26" s="1">
        <v>0.18777104909679901</v>
      </c>
      <c r="H26">
        <v>0</v>
      </c>
      <c r="J26" s="1">
        <v>7.7568134171907804E-2</v>
      </c>
      <c r="K26">
        <v>0</v>
      </c>
      <c r="L26">
        <v>1</v>
      </c>
      <c r="M26">
        <v>1</v>
      </c>
      <c r="P26">
        <v>0</v>
      </c>
      <c r="Q26">
        <v>0</v>
      </c>
      <c r="R26">
        <v>0.916529594079037</v>
      </c>
      <c r="S26">
        <f>SUMPRODUCT($D$1:$R$1,D26:R26)</f>
        <v>0.20680284988468325</v>
      </c>
      <c r="U26" t="s">
        <v>30</v>
      </c>
      <c r="V26" s="8">
        <v>7.1773736101860747E-2</v>
      </c>
    </row>
    <row r="27" spans="1:22" x14ac:dyDescent="0.25">
      <c r="A27" s="1" t="s">
        <v>17</v>
      </c>
      <c r="B27" s="8">
        <v>4.3600000000000002E-3</v>
      </c>
      <c r="C27" t="s">
        <v>42</v>
      </c>
      <c r="D27" s="1">
        <v>7.6479417859065795E-4</v>
      </c>
      <c r="E27" s="1">
        <v>8.3741131615667305E-2</v>
      </c>
      <c r="F27">
        <v>0.30854418114307403</v>
      </c>
      <c r="G27">
        <v>5.7037703788904999E-2</v>
      </c>
      <c r="H27">
        <v>0</v>
      </c>
      <c r="I27">
        <v>0</v>
      </c>
      <c r="J27">
        <v>0.22641509433962301</v>
      </c>
      <c r="K27" s="1">
        <v>0.109756097560976</v>
      </c>
      <c r="L27">
        <v>1</v>
      </c>
      <c r="M27">
        <v>1</v>
      </c>
      <c r="N27" s="1">
        <v>3.8441888783123002E-3</v>
      </c>
      <c r="O27" s="1">
        <v>0</v>
      </c>
      <c r="P27">
        <v>0</v>
      </c>
      <c r="Q27">
        <v>5.1589612768118E-2</v>
      </c>
      <c r="R27" s="1">
        <v>5.6004065651685302E-2</v>
      </c>
      <c r="S27">
        <f>SUMPRODUCT($D$1:$R$1,D27:R27)</f>
        <v>0.17603293918725821</v>
      </c>
      <c r="U27" t="s">
        <v>28</v>
      </c>
      <c r="V27" s="8">
        <v>2.8446985673205763E-2</v>
      </c>
    </row>
    <row r="28" spans="1:22" x14ac:dyDescent="0.25">
      <c r="A28" t="s">
        <v>17</v>
      </c>
      <c r="C28" t="s">
        <v>43</v>
      </c>
      <c r="L28">
        <v>0</v>
      </c>
      <c r="M28">
        <v>0</v>
      </c>
      <c r="P28">
        <v>0</v>
      </c>
      <c r="S28">
        <f>SUMPRODUCT($D$1:$R$1,D28:R28)</f>
        <v>0</v>
      </c>
      <c r="U28" t="s">
        <v>48</v>
      </c>
      <c r="V28">
        <v>2.5114121327441303E-2</v>
      </c>
    </row>
    <row r="29" spans="1:22" x14ac:dyDescent="0.25">
      <c r="A29" s="1" t="s">
        <v>17</v>
      </c>
      <c r="B29" s="8">
        <v>2.1700000000000001E-3</v>
      </c>
      <c r="C29" t="s">
        <v>44</v>
      </c>
      <c r="D29" s="1">
        <v>1.0044296878824E-3</v>
      </c>
      <c r="E29" s="1">
        <v>0</v>
      </c>
      <c r="F29">
        <v>0.21502794508654799</v>
      </c>
      <c r="G29" s="1">
        <v>6.1305988746113401E-3</v>
      </c>
      <c r="H29" s="1">
        <v>3.0510047019630199E-2</v>
      </c>
      <c r="J29" s="1">
        <v>8.17610062893082E-2</v>
      </c>
      <c r="K29" s="1">
        <v>1.8292682926829298E-2</v>
      </c>
      <c r="L29" s="1">
        <v>0</v>
      </c>
      <c r="M29">
        <v>0</v>
      </c>
      <c r="N29" s="1">
        <v>9.4350562226896903E-3</v>
      </c>
      <c r="O29" s="1">
        <v>-1.4720547531157601E-4</v>
      </c>
      <c r="P29">
        <v>0</v>
      </c>
      <c r="Q29" s="1">
        <v>1.25808696941241E-2</v>
      </c>
      <c r="R29" s="1">
        <v>1.32093595882812E-2</v>
      </c>
      <c r="S29">
        <f>SUMPRODUCT($D$1:$R$1,D29:R29)</f>
        <v>2.292923452791816E-2</v>
      </c>
      <c r="U29" t="s">
        <v>44</v>
      </c>
      <c r="V29" s="8">
        <v>2.292923452791816E-2</v>
      </c>
    </row>
    <row r="30" spans="1:22" x14ac:dyDescent="0.25">
      <c r="A30" s="1" t="s">
        <v>17</v>
      </c>
      <c r="B30" s="8">
        <v>4.2500000000000003E-3</v>
      </c>
      <c r="C30" s="1" t="s">
        <v>45</v>
      </c>
      <c r="D30" s="1">
        <v>1.30932763374721E-3</v>
      </c>
      <c r="F30" s="1">
        <v>5.1463919443733901E-2</v>
      </c>
      <c r="G30" s="1">
        <v>2.07134524181035E-2</v>
      </c>
      <c r="J30">
        <v>1.0482180293501E-2</v>
      </c>
      <c r="K30" s="1"/>
      <c r="L30" s="1">
        <v>0</v>
      </c>
      <c r="M30">
        <v>0</v>
      </c>
      <c r="N30" s="1">
        <v>1.02989454369699E-2</v>
      </c>
      <c r="O30" s="1">
        <v>1.3285098047213501E-2</v>
      </c>
      <c r="P30">
        <v>3.0000000000000001E-6</v>
      </c>
      <c r="S30">
        <f>SUMPRODUCT($D$1:$R$1,D30:R30)</f>
        <v>5.1633947865902486E-3</v>
      </c>
      <c r="U30" s="1" t="s">
        <v>29</v>
      </c>
      <c r="V30" s="8">
        <v>1.6860497366200985E-2</v>
      </c>
    </row>
    <row r="31" spans="1:22" x14ac:dyDescent="0.25">
      <c r="A31" s="1" t="s">
        <v>17</v>
      </c>
      <c r="B31" s="8">
        <v>1.721E-2</v>
      </c>
      <c r="C31" s="1" t="s">
        <v>46</v>
      </c>
      <c r="D31" s="1">
        <v>1.9578730971920799E-4</v>
      </c>
      <c r="E31">
        <v>0</v>
      </c>
      <c r="F31" s="1">
        <v>7.4532181422137495E-2</v>
      </c>
      <c r="G31" s="1">
        <v>0.25023190862679101</v>
      </c>
      <c r="H31" s="1">
        <v>0.16003542286039599</v>
      </c>
      <c r="I31">
        <v>0</v>
      </c>
      <c r="J31" s="1">
        <v>3.77358490566038E-2</v>
      </c>
      <c r="K31" s="1">
        <v>6.7073170731707293E-2</v>
      </c>
      <c r="L31" s="1">
        <v>1</v>
      </c>
      <c r="M31">
        <v>1</v>
      </c>
      <c r="N31" s="1">
        <v>9.8038038294232192E-3</v>
      </c>
      <c r="O31" s="1">
        <v>1.25678962376581E-2</v>
      </c>
      <c r="P31">
        <v>9.9999999999999995E-7</v>
      </c>
      <c r="Q31" s="1">
        <v>2.8380260364131299E-3</v>
      </c>
      <c r="R31" s="1">
        <v>8.8127294981640195E-2</v>
      </c>
      <c r="S31">
        <f>SUMPRODUCT($D$1:$R$1,D31:R31)</f>
        <v>0.14533973555137819</v>
      </c>
      <c r="U31" t="s">
        <v>32</v>
      </c>
      <c r="V31" s="8">
        <v>1.4417597136951087E-2</v>
      </c>
    </row>
    <row r="32" spans="1:22" x14ac:dyDescent="0.25">
      <c r="A32" t="s">
        <v>17</v>
      </c>
      <c r="C32" s="1" t="s">
        <v>47</v>
      </c>
      <c r="D32" s="1">
        <v>1</v>
      </c>
      <c r="E32" s="1"/>
      <c r="F32" s="1">
        <v>3.5755951411982699E-2</v>
      </c>
      <c r="G32" s="1">
        <v>4.73825274833736E-3</v>
      </c>
      <c r="H32" s="1">
        <v>1.4654099985240501E-2</v>
      </c>
      <c r="J32" s="1">
        <v>3.5639412997903602E-2</v>
      </c>
      <c r="K32" s="1">
        <v>4.2682926829268303E-2</v>
      </c>
      <c r="L32">
        <v>0</v>
      </c>
      <c r="M32">
        <v>0</v>
      </c>
      <c r="N32">
        <v>1</v>
      </c>
      <c r="O32" s="1">
        <v>0</v>
      </c>
      <c r="P32">
        <v>0</v>
      </c>
      <c r="Q32">
        <v>0</v>
      </c>
      <c r="R32" s="1">
        <v>6.2250280945120896E-3</v>
      </c>
      <c r="S32">
        <f>SUMPRODUCT($D$1:$R$1,D32:R32)</f>
        <v>0.22413388598468198</v>
      </c>
      <c r="U32" s="1" t="s">
        <v>45</v>
      </c>
      <c r="V32" s="8">
        <v>5.1633947865902486E-3</v>
      </c>
    </row>
    <row r="33" spans="1:22" x14ac:dyDescent="0.25">
      <c r="A33" s="1" t="s">
        <v>17</v>
      </c>
      <c r="B33" s="8">
        <v>5.5999999999999995E-4</v>
      </c>
      <c r="C33" t="s">
        <v>48</v>
      </c>
      <c r="D33" s="1">
        <v>7.1564340604656504E-3</v>
      </c>
      <c r="F33">
        <v>0.24517453082486501</v>
      </c>
      <c r="G33" s="1"/>
      <c r="J33" s="1">
        <v>4.1928721174004202E-2</v>
      </c>
      <c r="K33" s="1"/>
      <c r="L33">
        <v>0</v>
      </c>
      <c r="M33">
        <v>0</v>
      </c>
      <c r="N33" s="1">
        <v>1.82692487530405E-2</v>
      </c>
      <c r="P33">
        <v>3.0000000000000001E-6</v>
      </c>
      <c r="R33">
        <v>0.124952650905109</v>
      </c>
      <c r="S33">
        <f>SUMPRODUCT($D$1:$R$1,D33:R33)</f>
        <v>2.5114121327441303E-2</v>
      </c>
      <c r="U33" t="s">
        <v>43</v>
      </c>
      <c r="V33" s="8">
        <v>0</v>
      </c>
    </row>
  </sheetData>
  <sortState xmlns:xlrd2="http://schemas.microsoft.com/office/spreadsheetml/2017/richdata2" ref="U3:V33">
    <sortCondition descending="1" ref="V3:V3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67"/>
  <sheetViews>
    <sheetView tabSelected="1" zoomScaleNormal="100" workbookViewId="0">
      <pane ySplit="1" topLeftCell="A2" activePane="bottomLeft" state="frozen"/>
      <selection pane="bottomLeft" activeCell="K34" sqref="K34"/>
    </sheetView>
  </sheetViews>
  <sheetFormatPr defaultRowHeight="15" x14ac:dyDescent="0.25"/>
  <cols>
    <col min="1" max="1" width="10.28515625" bestFit="1" customWidth="1"/>
    <col min="2" max="2" width="13.5703125" bestFit="1" customWidth="1"/>
    <col min="3" max="3" width="18.140625" bestFit="1" customWidth="1"/>
    <col min="4" max="4" width="14.85546875" bestFit="1" customWidth="1"/>
    <col min="5" max="5" width="29.28515625" bestFit="1" customWidth="1"/>
    <col min="6" max="6" width="20" bestFit="1" customWidth="1"/>
    <col min="10" max="10" width="34.7109375" bestFit="1" customWidth="1"/>
    <col min="14" max="14" width="6.28515625" bestFit="1" customWidth="1"/>
    <col min="15" max="15" width="17.28515625" bestFit="1" customWidth="1"/>
    <col min="16" max="16" width="18.42578125" bestFit="1" customWidth="1"/>
    <col min="17" max="17" width="17.7109375" bestFit="1" customWidth="1"/>
    <col min="19" max="19" width="15.5703125" customWidth="1"/>
  </cols>
  <sheetData>
    <row r="1" spans="1:29" x14ac:dyDescent="0.25">
      <c r="A1" s="2" t="s">
        <v>82</v>
      </c>
      <c r="B1" s="2" t="s">
        <v>107</v>
      </c>
      <c r="C1" s="2" t="s">
        <v>83</v>
      </c>
      <c r="D1" s="2" t="s">
        <v>98</v>
      </c>
      <c r="E1" s="2" t="s">
        <v>96</v>
      </c>
      <c r="F1" s="2" t="s">
        <v>84</v>
      </c>
      <c r="J1" t="s">
        <v>109</v>
      </c>
      <c r="K1" s="10">
        <f>SUM(D27:D32)-D36</f>
        <v>1.1689999999999867E-2</v>
      </c>
      <c r="L1">
        <f>K1/1</f>
        <v>1.1689999999999867E-2</v>
      </c>
      <c r="N1" s="6" t="s">
        <v>92</v>
      </c>
      <c r="O1" t="s">
        <v>93</v>
      </c>
      <c r="P1" t="s">
        <v>95</v>
      </c>
      <c r="Q1" t="s">
        <v>94</v>
      </c>
      <c r="S1" s="22" t="s">
        <v>124</v>
      </c>
      <c r="T1" s="22"/>
      <c r="V1" t="s">
        <v>99</v>
      </c>
      <c r="W1" t="s">
        <v>100</v>
      </c>
      <c r="X1" t="s">
        <v>101</v>
      </c>
      <c r="Y1" t="s">
        <v>102</v>
      </c>
      <c r="Z1" t="s">
        <v>103</v>
      </c>
      <c r="AA1" t="s">
        <v>104</v>
      </c>
      <c r="AB1" t="s">
        <v>105</v>
      </c>
      <c r="AC1" t="s">
        <v>106</v>
      </c>
    </row>
    <row r="2" spans="1:29" x14ac:dyDescent="0.25">
      <c r="A2" t="s">
        <v>22</v>
      </c>
      <c r="B2">
        <f>VLOOKUP(A2,$V$2:$AC$32,5,0)</f>
        <v>76.739999999999995</v>
      </c>
      <c r="C2">
        <v>0.55931199682463018</v>
      </c>
      <c r="D2" s="4">
        <f>VLOOKUP(A2,$S$2:$T$30,2,0)</f>
        <v>5.6499999999999996E-3</v>
      </c>
      <c r="E2" s="7">
        <f>D2</f>
        <v>5.6499999999999996E-3</v>
      </c>
      <c r="F2" s="8">
        <f>E2+O3</f>
        <v>8.8603013846153753E-3</v>
      </c>
      <c r="J2" t="s">
        <v>97</v>
      </c>
      <c r="K2">
        <f>H10</f>
        <v>3.468102E-2</v>
      </c>
      <c r="L2">
        <f>K2</f>
        <v>3.468102E-2</v>
      </c>
      <c r="N2" s="6">
        <v>0</v>
      </c>
      <c r="O2" s="6">
        <f>$K$8</f>
        <v>4.1733917999999884E-2</v>
      </c>
      <c r="R2" s="13"/>
      <c r="S2" t="s">
        <v>32</v>
      </c>
      <c r="T2">
        <v>1.34E-3</v>
      </c>
      <c r="V2" t="s">
        <v>18</v>
      </c>
      <c r="W2">
        <v>357</v>
      </c>
      <c r="X2">
        <v>57.75</v>
      </c>
      <c r="Y2">
        <v>389</v>
      </c>
      <c r="Z2">
        <v>55.06</v>
      </c>
      <c r="AA2" t="b">
        <v>0</v>
      </c>
      <c r="AB2" t="b">
        <v>1</v>
      </c>
      <c r="AC2">
        <v>0</v>
      </c>
    </row>
    <row r="3" spans="1:29" x14ac:dyDescent="0.25">
      <c r="A3" t="s">
        <v>39</v>
      </c>
      <c r="B3">
        <f>VLOOKUP(A3,$V$2:$AC$32,5,0)</f>
        <v>73.239999999999995</v>
      </c>
      <c r="C3">
        <v>0.44755375885513415</v>
      </c>
      <c r="D3" s="4">
        <f>VLOOKUP(A3,$S$2:$T$30,2,0)</f>
        <v>1.1679999999999999E-2</v>
      </c>
      <c r="E3" s="7">
        <f t="shared" ref="E3:E5" si="0">D3</f>
        <v>1.1679999999999999E-2</v>
      </c>
      <c r="F3" s="8">
        <f>E3+O4</f>
        <v>1.4761889329230761E-2</v>
      </c>
      <c r="N3" s="6">
        <v>1</v>
      </c>
      <c r="O3">
        <f>$O$2*P3</f>
        <v>3.2103013846153752E-3</v>
      </c>
      <c r="P3">
        <f>Q3/$Q$29</f>
        <v>7.6923076923076913E-2</v>
      </c>
      <c r="Q3">
        <f>$K$10*N3+$O$2</f>
        <v>4.0128767307692194E-2</v>
      </c>
      <c r="S3" t="s">
        <v>26</v>
      </c>
      <c r="T3">
        <v>4.8099999999999997E-2</v>
      </c>
      <c r="V3" t="s">
        <v>19</v>
      </c>
      <c r="W3">
        <v>359</v>
      </c>
      <c r="X3">
        <v>58.07</v>
      </c>
      <c r="Y3">
        <v>424</v>
      </c>
      <c r="Z3">
        <v>82.67</v>
      </c>
      <c r="AA3" t="b">
        <v>0</v>
      </c>
      <c r="AB3" t="b">
        <v>1</v>
      </c>
      <c r="AC3">
        <v>0</v>
      </c>
    </row>
    <row r="4" spans="1:29" x14ac:dyDescent="0.25">
      <c r="A4" t="s">
        <v>31</v>
      </c>
      <c r="B4">
        <f>VLOOKUP(A4,$V$2:$AC$32,5,0)</f>
        <v>79.55</v>
      </c>
      <c r="C4">
        <v>0.36252644132311662</v>
      </c>
      <c r="D4" s="4">
        <f>VLOOKUP(A4,$S$2:$T$30,2,0)</f>
        <v>1.17E-3</v>
      </c>
      <c r="E4" s="7">
        <f t="shared" si="0"/>
        <v>1.17E-3</v>
      </c>
      <c r="F4" s="8">
        <f>E4+O5</f>
        <v>4.1234772738461458E-3</v>
      </c>
      <c r="J4" t="s">
        <v>85</v>
      </c>
      <c r="K4">
        <f>L1+L2</f>
        <v>4.6371019999999867E-2</v>
      </c>
      <c r="N4" s="6">
        <v>2</v>
      </c>
      <c r="O4">
        <f>$O$2*P4</f>
        <v>3.0818893292307611E-3</v>
      </c>
      <c r="P4">
        <f>Q4/$Q$29</f>
        <v>7.3846153846153853E-2</v>
      </c>
      <c r="Q4">
        <f>$K$10*N4+$O$2</f>
        <v>3.8523616615384511E-2</v>
      </c>
      <c r="S4" t="s">
        <v>25</v>
      </c>
      <c r="T4">
        <v>2.3600000000000001E-3</v>
      </c>
      <c r="V4" t="s">
        <v>20</v>
      </c>
      <c r="W4">
        <v>297</v>
      </c>
      <c r="X4">
        <v>52.2</v>
      </c>
      <c r="Y4">
        <v>357</v>
      </c>
      <c r="Z4">
        <v>64.739999999999995</v>
      </c>
      <c r="AA4" t="b">
        <v>0</v>
      </c>
      <c r="AB4" t="b">
        <v>1</v>
      </c>
      <c r="AC4">
        <v>0</v>
      </c>
    </row>
    <row r="5" spans="1:29" x14ac:dyDescent="0.25">
      <c r="A5" t="s">
        <v>27</v>
      </c>
      <c r="B5">
        <f>VLOOKUP(A5,$V$2:$AC$32,5,0)</f>
        <v>80.56</v>
      </c>
      <c r="C5">
        <v>0.34086027387901024</v>
      </c>
      <c r="D5" s="4">
        <f>VLOOKUP(A5,$S$2:$T$30,2,0)</f>
        <v>4.1590000000000002E-2</v>
      </c>
      <c r="E5" s="7">
        <f t="shared" si="0"/>
        <v>4.1590000000000002E-2</v>
      </c>
      <c r="F5" s="8">
        <f>E5+O6</f>
        <v>4.441506521846153E-2</v>
      </c>
      <c r="J5" t="s">
        <v>86</v>
      </c>
      <c r="K5">
        <f>0.1*K4</f>
        <v>4.6371019999999867E-3</v>
      </c>
      <c r="N5" s="6">
        <v>3</v>
      </c>
      <c r="O5">
        <f>$O$2*P5</f>
        <v>2.9534772738461453E-3</v>
      </c>
      <c r="P5">
        <f>Q5/$Q$29</f>
        <v>7.0769230769230765E-2</v>
      </c>
      <c r="Q5">
        <f>$K$10*N5+$O$2</f>
        <v>3.6918465923076821E-2</v>
      </c>
      <c r="S5" t="s">
        <v>23</v>
      </c>
      <c r="T5">
        <v>1.558E-2</v>
      </c>
      <c r="V5" t="s">
        <v>21</v>
      </c>
      <c r="W5">
        <v>354</v>
      </c>
      <c r="X5">
        <v>61.03</v>
      </c>
      <c r="Y5">
        <v>419</v>
      </c>
      <c r="Z5">
        <v>64.83</v>
      </c>
      <c r="AA5" t="b">
        <v>0</v>
      </c>
      <c r="AB5" t="b">
        <v>1</v>
      </c>
      <c r="AC5">
        <v>0</v>
      </c>
    </row>
    <row r="6" spans="1:29" x14ac:dyDescent="0.25">
      <c r="A6" t="s">
        <v>24</v>
      </c>
      <c r="B6">
        <f>VLOOKUP(A6,$V$2:$AC$32,5,0)</f>
        <v>80.959999999999994</v>
      </c>
      <c r="C6">
        <v>0.33586740575412</v>
      </c>
      <c r="D6" s="4">
        <f>VLOOKUP(A6,$S$2:$T$30,2,0)</f>
        <v>0.37740000000000001</v>
      </c>
      <c r="E6" s="7">
        <f>D6-G6</f>
        <v>0.35853000000000002</v>
      </c>
      <c r="F6" s="8">
        <f>E6+O7</f>
        <v>0.36122665316307695</v>
      </c>
      <c r="G6" s="5">
        <f>D6*0.05</f>
        <v>1.8870000000000001E-2</v>
      </c>
      <c r="J6" t="s">
        <v>87</v>
      </c>
      <c r="K6">
        <f>0.4*$K$5</f>
        <v>1.8548407999999948E-3</v>
      </c>
      <c r="N6" s="6">
        <v>4</v>
      </c>
      <c r="O6">
        <f>$O$2*P6</f>
        <v>2.8250652184615304E-3</v>
      </c>
      <c r="P6">
        <f>Q6/$Q$29</f>
        <v>6.7692307692307691E-2</v>
      </c>
      <c r="Q6">
        <f>$K$10*N6+$O$2</f>
        <v>3.5313315230769131E-2</v>
      </c>
      <c r="S6" t="s">
        <v>27</v>
      </c>
      <c r="T6">
        <v>4.1590000000000002E-2</v>
      </c>
      <c r="V6" t="s">
        <v>22</v>
      </c>
      <c r="W6">
        <v>339</v>
      </c>
      <c r="X6">
        <v>74.11</v>
      </c>
      <c r="Y6">
        <v>371</v>
      </c>
      <c r="Z6">
        <v>76.739999999999995</v>
      </c>
      <c r="AA6" t="b">
        <v>0</v>
      </c>
      <c r="AB6" t="b">
        <v>1</v>
      </c>
      <c r="AC6">
        <v>55</v>
      </c>
    </row>
    <row r="7" spans="1:29" x14ac:dyDescent="0.25">
      <c r="A7" t="s">
        <v>33</v>
      </c>
      <c r="B7">
        <f>VLOOKUP(A7,$V$2:$AC$32,5,0)</f>
        <v>64.33</v>
      </c>
      <c r="C7">
        <v>0.28957475969129814</v>
      </c>
      <c r="D7" s="4">
        <f>VLOOKUP(A7,$S$2:$T$30,2,0)</f>
        <v>1.1299999999999999E-3</v>
      </c>
      <c r="E7" s="7">
        <f>D7</f>
        <v>1.1299999999999999E-3</v>
      </c>
      <c r="F7" s="8">
        <f>E7+O8</f>
        <v>3.6982411076923005E-3</v>
      </c>
      <c r="J7" t="s">
        <v>88</v>
      </c>
      <c r="K7">
        <f>0.6*$K$5</f>
        <v>2.7822611999999921E-3</v>
      </c>
      <c r="N7" s="6">
        <v>5</v>
      </c>
      <c r="O7">
        <f>$O$2*P7</f>
        <v>2.6966531630769151E-3</v>
      </c>
      <c r="P7">
        <f>Q7/$Q$29</f>
        <v>6.4615384615384602E-2</v>
      </c>
      <c r="Q7">
        <f>$K$10*N7+$O$2</f>
        <v>3.3708164538461441E-2</v>
      </c>
      <c r="S7" t="s">
        <v>30</v>
      </c>
      <c r="T7">
        <v>2.4199999999999998E-3</v>
      </c>
      <c r="V7" t="s">
        <v>23</v>
      </c>
      <c r="W7">
        <v>349</v>
      </c>
      <c r="X7">
        <v>64.39</v>
      </c>
      <c r="Y7">
        <v>412</v>
      </c>
      <c r="Z7">
        <v>65.91</v>
      </c>
      <c r="AA7" t="b">
        <v>0</v>
      </c>
      <c r="AB7" t="b">
        <v>1</v>
      </c>
      <c r="AC7">
        <v>0</v>
      </c>
    </row>
    <row r="8" spans="1:29" x14ac:dyDescent="0.25">
      <c r="A8" t="s">
        <v>26</v>
      </c>
      <c r="B8">
        <f>VLOOKUP(A8,$V$2:$AC$32,5,0)</f>
        <v>72.900000000000006</v>
      </c>
      <c r="C8">
        <v>0.28730060764186766</v>
      </c>
      <c r="D8" s="4">
        <f>VLOOKUP(A8,$S$2:$T$30,2,0)</f>
        <v>4.8099999999999997E-2</v>
      </c>
      <c r="E8" s="7">
        <f t="shared" ref="E8:E32" si="1">D8</f>
        <v>4.8099999999999997E-2</v>
      </c>
      <c r="F8" s="8">
        <f>D8+O9</f>
        <v>5.053982905230768E-2</v>
      </c>
      <c r="J8" t="s">
        <v>89</v>
      </c>
      <c r="K8" s="6">
        <f>0.9*K4</f>
        <v>4.1733917999999884E-2</v>
      </c>
      <c r="N8" s="6">
        <v>6</v>
      </c>
      <c r="O8">
        <f>$O$2*P8</f>
        <v>2.5682411076923006E-3</v>
      </c>
      <c r="P8">
        <f>Q8/$Q$29</f>
        <v>6.1538461538461535E-2</v>
      </c>
      <c r="Q8">
        <f>$K$10*N8+$O$2</f>
        <v>3.2103013846153758E-2</v>
      </c>
      <c r="S8" t="s">
        <v>21</v>
      </c>
      <c r="T8">
        <v>5.9899999999999997E-3</v>
      </c>
      <c r="V8" t="s">
        <v>24</v>
      </c>
      <c r="W8">
        <v>345</v>
      </c>
      <c r="X8">
        <v>59.92</v>
      </c>
      <c r="Y8">
        <v>440</v>
      </c>
      <c r="Z8">
        <v>80.959999999999994</v>
      </c>
      <c r="AA8" t="b">
        <v>0</v>
      </c>
      <c r="AB8" t="b">
        <v>1</v>
      </c>
      <c r="AC8">
        <v>0</v>
      </c>
    </row>
    <row r="9" spans="1:29" x14ac:dyDescent="0.25">
      <c r="A9" t="s">
        <v>41</v>
      </c>
      <c r="B9">
        <f>VLOOKUP(A9,$V$2:$AC$32,5,0)</f>
        <v>58.12</v>
      </c>
      <c r="C9">
        <v>0.23891999111874662</v>
      </c>
      <c r="D9" s="4">
        <f>VLOOKUP(A9,$S$2:$T$30,2,0)</f>
        <v>1.23E-3</v>
      </c>
      <c r="E9" s="7">
        <f t="shared" si="1"/>
        <v>1.23E-3</v>
      </c>
      <c r="F9" s="8">
        <f>E9+O10</f>
        <v>3.5414169969230705E-3</v>
      </c>
      <c r="J9" t="s">
        <v>90</v>
      </c>
      <c r="K9" s="6">
        <v>29</v>
      </c>
      <c r="N9" s="6">
        <v>7</v>
      </c>
      <c r="O9">
        <f>$O$2*P9</f>
        <v>2.4398290523076857E-3</v>
      </c>
      <c r="P9">
        <f>Q9/$Q$29</f>
        <v>5.8461538461538461E-2</v>
      </c>
      <c r="Q9">
        <f>$K$10*N9+$O$2</f>
        <v>3.0497863153846068E-2</v>
      </c>
      <c r="S9" t="s">
        <v>45</v>
      </c>
      <c r="T9">
        <v>4.2500000000000003E-3</v>
      </c>
      <c r="V9" t="s">
        <v>25</v>
      </c>
      <c r="W9">
        <v>314</v>
      </c>
      <c r="X9">
        <v>50.22</v>
      </c>
      <c r="Y9">
        <v>338</v>
      </c>
      <c r="Z9">
        <v>62.45</v>
      </c>
      <c r="AA9" t="b">
        <v>0</v>
      </c>
      <c r="AB9" t="b">
        <v>1</v>
      </c>
      <c r="AC9">
        <v>0</v>
      </c>
    </row>
    <row r="10" spans="1:29" x14ac:dyDescent="0.25">
      <c r="A10" t="s">
        <v>19</v>
      </c>
      <c r="B10">
        <f>VLOOKUP(A10,$V$2:$AC$32,5,0)</f>
        <v>82.67</v>
      </c>
      <c r="C10">
        <v>0.22613614893549583</v>
      </c>
      <c r="D10" s="4">
        <f>VLOOKUP(A10,$S$2:$T$30,2,0)</f>
        <v>0.31002000000000002</v>
      </c>
      <c r="E10" s="7">
        <f>D10-G10</f>
        <v>0.29420898000000001</v>
      </c>
      <c r="F10" s="8">
        <f>E10+O11</f>
        <v>0.29639198494153846</v>
      </c>
      <c r="G10" s="5">
        <f>D10*0.051</f>
        <v>1.5811019999999999E-2</v>
      </c>
      <c r="H10">
        <f>G10+G6</f>
        <v>3.468102E-2</v>
      </c>
      <c r="J10" t="s">
        <v>91</v>
      </c>
      <c r="K10">
        <f>(K8-0)/(0-26)</f>
        <v>-1.6051506923076878E-3</v>
      </c>
      <c r="N10" s="6">
        <v>8</v>
      </c>
      <c r="O10">
        <f>$O$2*P10</f>
        <v>2.3114169969230707E-3</v>
      </c>
      <c r="P10">
        <f>Q10/$Q$29</f>
        <v>5.5384615384615386E-2</v>
      </c>
      <c r="Q10">
        <f>$K$10*N10+$O$2</f>
        <v>2.8892712461538381E-2</v>
      </c>
      <c r="S10" t="s">
        <v>31</v>
      </c>
      <c r="T10">
        <v>1.17E-3</v>
      </c>
      <c r="V10" t="s">
        <v>26</v>
      </c>
      <c r="W10">
        <v>342</v>
      </c>
      <c r="X10">
        <v>68.510000000000005</v>
      </c>
      <c r="Y10">
        <v>388</v>
      </c>
      <c r="Z10">
        <v>72.900000000000006</v>
      </c>
      <c r="AA10" t="b">
        <v>0</v>
      </c>
      <c r="AB10" t="b">
        <v>1</v>
      </c>
      <c r="AC10">
        <v>0</v>
      </c>
    </row>
    <row r="11" spans="1:29" x14ac:dyDescent="0.25">
      <c r="A11" t="s">
        <v>34</v>
      </c>
      <c r="B11">
        <f>VLOOKUP(A11,$V$2:$AC$32,5,0)</f>
        <v>78.13</v>
      </c>
      <c r="C11">
        <v>0.21848790306887039</v>
      </c>
      <c r="D11" s="4">
        <f>VLOOKUP(A11,$S$2:$T$30,2,0)</f>
        <v>4.632E-2</v>
      </c>
      <c r="E11" s="7">
        <f t="shared" si="1"/>
        <v>4.632E-2</v>
      </c>
      <c r="F11" s="8">
        <f>E11+O12</f>
        <v>4.8374592886153839E-2</v>
      </c>
      <c r="N11" s="6">
        <v>9</v>
      </c>
      <c r="O11">
        <f>$O$2*P11</f>
        <v>2.1830049415384558E-3</v>
      </c>
      <c r="P11">
        <f>Q11/$Q$29</f>
        <v>5.2307692307692312E-2</v>
      </c>
      <c r="Q11">
        <f>$K$10*N11+$O$2</f>
        <v>2.7287561769230695E-2</v>
      </c>
      <c r="S11" t="s">
        <v>37</v>
      </c>
      <c r="T11">
        <v>1.5499999999999999E-3</v>
      </c>
      <c r="V11" t="s">
        <v>27</v>
      </c>
      <c r="W11">
        <v>387</v>
      </c>
      <c r="X11">
        <v>77.56</v>
      </c>
      <c r="Y11">
        <v>435</v>
      </c>
      <c r="Z11">
        <v>80.56</v>
      </c>
      <c r="AA11" t="b">
        <v>0</v>
      </c>
      <c r="AB11" t="b">
        <v>1</v>
      </c>
      <c r="AC11">
        <v>0</v>
      </c>
    </row>
    <row r="12" spans="1:29" x14ac:dyDescent="0.25">
      <c r="A12" t="s">
        <v>20</v>
      </c>
      <c r="B12">
        <f>VLOOKUP(A12,$V$2:$AC$32,5,0)</f>
        <v>64.739999999999995</v>
      </c>
      <c r="C12">
        <v>0.20378565440817648</v>
      </c>
      <c r="D12" s="4">
        <f>VLOOKUP(A12,$S$2:$T$30,2,0)</f>
        <v>1.1979999999999999E-2</v>
      </c>
      <c r="E12" s="7">
        <f t="shared" si="1"/>
        <v>1.1979999999999999E-2</v>
      </c>
      <c r="F12" s="8">
        <f>E12+O13</f>
        <v>1.3906180830769225E-2</v>
      </c>
      <c r="N12" s="6">
        <v>10</v>
      </c>
      <c r="O12">
        <f>$O$2*P12</f>
        <v>2.0545928861538405E-3</v>
      </c>
      <c r="P12">
        <f>Q12/$Q$29</f>
        <v>4.9230769230769231E-2</v>
      </c>
      <c r="Q12">
        <f>$K$10*N12+$O$2</f>
        <v>2.5682411076923005E-2</v>
      </c>
      <c r="S12" t="s">
        <v>38</v>
      </c>
      <c r="T12">
        <v>3.3419999999999998E-2</v>
      </c>
      <c r="V12" t="s">
        <v>28</v>
      </c>
      <c r="W12">
        <v>271</v>
      </c>
      <c r="X12">
        <v>43.12</v>
      </c>
      <c r="Y12">
        <v>324</v>
      </c>
      <c r="Z12">
        <v>53.71</v>
      </c>
      <c r="AA12" t="b">
        <v>0</v>
      </c>
      <c r="AB12" t="b">
        <v>1</v>
      </c>
      <c r="AC12">
        <v>0</v>
      </c>
    </row>
    <row r="13" spans="1:29" x14ac:dyDescent="0.25">
      <c r="A13" t="s">
        <v>25</v>
      </c>
      <c r="B13">
        <f>VLOOKUP(A13,$V$2:$AC$32,5,0)</f>
        <v>62.45</v>
      </c>
      <c r="C13">
        <v>0.20125134509836948</v>
      </c>
      <c r="D13" s="4">
        <f>VLOOKUP(A13,$S$2:$T$30,2,0)</f>
        <v>2.3600000000000001E-3</v>
      </c>
      <c r="E13" s="7">
        <f t="shared" si="1"/>
        <v>2.3600000000000001E-3</v>
      </c>
      <c r="F13" s="8">
        <f>E13+O14</f>
        <v>4.1577687753846107E-3</v>
      </c>
      <c r="N13" s="6">
        <v>11</v>
      </c>
      <c r="O13">
        <f>$O$2*P13</f>
        <v>1.9261808307692255E-3</v>
      </c>
      <c r="P13">
        <f>Q13/$Q$29</f>
        <v>4.6153846153846156E-2</v>
      </c>
      <c r="Q13">
        <f>$K$10*N13+$O$2</f>
        <v>2.4077260384615318E-2</v>
      </c>
      <c r="S13" t="s">
        <v>42</v>
      </c>
      <c r="T13">
        <v>4.3600000000000002E-3</v>
      </c>
      <c r="V13" t="s">
        <v>29</v>
      </c>
      <c r="W13">
        <v>288</v>
      </c>
      <c r="X13">
        <v>54.38</v>
      </c>
      <c r="Y13">
        <v>328</v>
      </c>
      <c r="Z13">
        <v>48.98</v>
      </c>
      <c r="AA13" t="b">
        <v>0</v>
      </c>
      <c r="AB13" t="b">
        <v>1</v>
      </c>
      <c r="AC13">
        <v>0</v>
      </c>
    </row>
    <row r="14" spans="1:29" x14ac:dyDescent="0.25">
      <c r="A14" t="s">
        <v>42</v>
      </c>
      <c r="B14">
        <f>VLOOKUP(A14,$V$2:$AC$32,5,0)</f>
        <v>63.85</v>
      </c>
      <c r="C14">
        <v>0.19410684909105952</v>
      </c>
      <c r="D14" s="4">
        <f>VLOOKUP(A14,$S$2:$T$30,2,0)</f>
        <v>4.3600000000000002E-3</v>
      </c>
      <c r="E14" s="7">
        <f t="shared" si="1"/>
        <v>4.3600000000000002E-3</v>
      </c>
      <c r="F14" s="8">
        <f>E14+O15</f>
        <v>6.0293567199999959E-3</v>
      </c>
      <c r="N14" s="6">
        <v>12</v>
      </c>
      <c r="O14">
        <f>$O$2*P14</f>
        <v>1.7977687753846106E-3</v>
      </c>
      <c r="P14">
        <f>Q14/$Q$29</f>
        <v>4.3076923076923082E-2</v>
      </c>
      <c r="Q14">
        <f>$K$10*N14+$O$2</f>
        <v>2.2472109692307632E-2</v>
      </c>
      <c r="S14" t="s">
        <v>36</v>
      </c>
      <c r="T14">
        <v>4.7999999999999996E-3</v>
      </c>
      <c r="V14" t="s">
        <v>30</v>
      </c>
      <c r="W14">
        <v>338</v>
      </c>
      <c r="X14">
        <v>52.89</v>
      </c>
      <c r="Y14">
        <v>419</v>
      </c>
      <c r="Z14">
        <v>58.5</v>
      </c>
      <c r="AA14" t="b">
        <v>0</v>
      </c>
      <c r="AB14" t="b">
        <v>1</v>
      </c>
      <c r="AC14">
        <v>0</v>
      </c>
    </row>
    <row r="15" spans="1:29" x14ac:dyDescent="0.25">
      <c r="A15" t="s">
        <v>35</v>
      </c>
      <c r="B15">
        <f>VLOOKUP(A15,$V$2:$AC$32,5,0)</f>
        <v>74.959999999999994</v>
      </c>
      <c r="C15">
        <v>0.18641960227649851</v>
      </c>
      <c r="D15" s="4">
        <f>VLOOKUP(A15,$S$2:$T$30,2,0)</f>
        <v>1.5349999999999999E-2</v>
      </c>
      <c r="E15" s="7">
        <f t="shared" si="1"/>
        <v>1.5349999999999999E-2</v>
      </c>
      <c r="F15" s="8">
        <f>E15+O16</f>
        <v>1.6890944664615378E-2</v>
      </c>
      <c r="N15" s="6">
        <v>13</v>
      </c>
      <c r="O15">
        <f>$O$2*P15</f>
        <v>1.6693567199999955E-3</v>
      </c>
      <c r="P15">
        <f>Q15/$Q$29</f>
        <v>0.04</v>
      </c>
      <c r="Q15">
        <f>$K$10*N15+$O$2</f>
        <v>2.0866958999999942E-2</v>
      </c>
      <c r="S15" t="s">
        <v>19</v>
      </c>
      <c r="T15">
        <v>0.31002000000000002</v>
      </c>
      <c r="V15" t="s">
        <v>31</v>
      </c>
      <c r="W15">
        <v>355</v>
      </c>
      <c r="X15">
        <v>68.05</v>
      </c>
      <c r="Y15">
        <v>473</v>
      </c>
      <c r="Z15">
        <v>79.55</v>
      </c>
      <c r="AA15" t="b">
        <v>0</v>
      </c>
      <c r="AB15" t="b">
        <v>1</v>
      </c>
      <c r="AC15">
        <v>0</v>
      </c>
    </row>
    <row r="16" spans="1:29" x14ac:dyDescent="0.25">
      <c r="A16" t="s">
        <v>38</v>
      </c>
      <c r="B16">
        <f>VLOOKUP(A16,$V$2:$AC$32,5,0)</f>
        <v>74.7</v>
      </c>
      <c r="C16">
        <v>0.18196172782832412</v>
      </c>
      <c r="D16" s="4">
        <f>VLOOKUP(A16,$S$2:$T$30,2,0)</f>
        <v>3.3419999999999998E-2</v>
      </c>
      <c r="E16" s="7">
        <f t="shared" si="1"/>
        <v>3.3419999999999998E-2</v>
      </c>
      <c r="F16" s="8">
        <f>E16+O17</f>
        <v>3.4832532609230762E-2</v>
      </c>
      <c r="N16" s="6">
        <v>14</v>
      </c>
      <c r="O16">
        <f>$O$2*P16</f>
        <v>1.5409446646153806E-3</v>
      </c>
      <c r="P16">
        <f>Q16/$Q$29</f>
        <v>3.6923076923076927E-2</v>
      </c>
      <c r="Q16">
        <f>$K$10*N16+$O$2</f>
        <v>1.9261808307692255E-2</v>
      </c>
      <c r="S16" t="s">
        <v>48</v>
      </c>
      <c r="T16">
        <v>5.5999999999999995E-4</v>
      </c>
      <c r="V16" t="s">
        <v>32</v>
      </c>
      <c r="W16">
        <v>317</v>
      </c>
      <c r="X16">
        <v>42.17</v>
      </c>
      <c r="Y16">
        <v>336</v>
      </c>
      <c r="Z16">
        <v>41.48</v>
      </c>
      <c r="AA16" t="b">
        <v>0</v>
      </c>
      <c r="AB16" t="b">
        <v>1</v>
      </c>
      <c r="AC16">
        <v>0</v>
      </c>
    </row>
    <row r="17" spans="1:29" x14ac:dyDescent="0.25">
      <c r="A17" t="s">
        <v>46</v>
      </c>
      <c r="B17">
        <f>VLOOKUP(A17,$V$2:$AC$32,5,0)</f>
        <v>68.53</v>
      </c>
      <c r="C17">
        <v>0.17066076987928622</v>
      </c>
      <c r="D17" s="4">
        <f>VLOOKUP(A17,$S$2:$T$30,2,0)</f>
        <v>1.721E-2</v>
      </c>
      <c r="E17" s="7">
        <f t="shared" si="1"/>
        <v>1.721E-2</v>
      </c>
      <c r="F17" s="8">
        <f>E17+O18</f>
        <v>1.8494120553846149E-2</v>
      </c>
      <c r="N17" s="6">
        <v>15</v>
      </c>
      <c r="O17">
        <f>$O$2*P17</f>
        <v>1.4125326092307652E-3</v>
      </c>
      <c r="P17">
        <f>Q17/$Q$29</f>
        <v>3.3846153846153845E-2</v>
      </c>
      <c r="Q17">
        <f>$K$10*N17+$O$2</f>
        <v>1.7656657615384565E-2</v>
      </c>
      <c r="S17" t="s">
        <v>41</v>
      </c>
      <c r="T17">
        <v>1.23E-3</v>
      </c>
      <c r="V17" t="s">
        <v>33</v>
      </c>
      <c r="W17">
        <v>341</v>
      </c>
      <c r="X17">
        <v>51.54</v>
      </c>
      <c r="Y17">
        <v>425</v>
      </c>
      <c r="Z17">
        <v>64.33</v>
      </c>
      <c r="AA17" t="b">
        <v>0</v>
      </c>
      <c r="AB17" t="b">
        <v>1</v>
      </c>
      <c r="AC17">
        <v>0</v>
      </c>
    </row>
    <row r="18" spans="1:29" x14ac:dyDescent="0.25">
      <c r="A18" t="s">
        <v>36</v>
      </c>
      <c r="B18">
        <f>VLOOKUP(A18,$V$2:$AC$32,5,0)</f>
        <v>71.38</v>
      </c>
      <c r="C18">
        <v>0.16308857752889683</v>
      </c>
      <c r="D18" s="4">
        <f>VLOOKUP(A18,$S$2:$T$30,2,0)</f>
        <v>4.7999999999999996E-3</v>
      </c>
      <c r="E18" s="7">
        <f t="shared" si="1"/>
        <v>4.7999999999999996E-3</v>
      </c>
      <c r="F18" s="8">
        <f>E18+O19</f>
        <v>5.9557084984615347E-3</v>
      </c>
      <c r="N18" s="6">
        <v>16</v>
      </c>
      <c r="O18">
        <f>$O$2*P18</f>
        <v>1.2841205538461503E-3</v>
      </c>
      <c r="P18">
        <f>Q18/$Q$29</f>
        <v>3.0769230769230767E-2</v>
      </c>
      <c r="Q18">
        <f>$K$10*N18+$O$2</f>
        <v>1.6051506923076879E-2</v>
      </c>
      <c r="S18" t="s">
        <v>46</v>
      </c>
      <c r="T18">
        <v>1.721E-2</v>
      </c>
      <c r="V18" t="s">
        <v>34</v>
      </c>
      <c r="W18">
        <v>385</v>
      </c>
      <c r="X18">
        <v>75.75</v>
      </c>
      <c r="Y18">
        <v>467</v>
      </c>
      <c r="Z18">
        <v>78.13</v>
      </c>
      <c r="AA18" t="b">
        <v>0</v>
      </c>
      <c r="AB18" t="b">
        <v>1</v>
      </c>
      <c r="AC18">
        <v>0</v>
      </c>
    </row>
    <row r="19" spans="1:29" x14ac:dyDescent="0.25">
      <c r="A19" t="s">
        <v>21</v>
      </c>
      <c r="B19">
        <f>VLOOKUP(A19,$V$2:$AC$32,5,0)</f>
        <v>64.83</v>
      </c>
      <c r="C19">
        <v>0.16061288928804163</v>
      </c>
      <c r="D19" s="4">
        <f>VLOOKUP(A19,$S$2:$T$30,2,0)</f>
        <v>5.9899999999999997E-3</v>
      </c>
      <c r="E19" s="7">
        <f t="shared" si="1"/>
        <v>5.9899999999999997E-3</v>
      </c>
      <c r="F19" s="8">
        <f>E19+O20</f>
        <v>7.0172964430769199E-3</v>
      </c>
      <c r="N19" s="6">
        <v>17</v>
      </c>
      <c r="O19">
        <f>$O$2*P19</f>
        <v>1.1557084984615354E-3</v>
      </c>
      <c r="P19">
        <f>Q19/$Q$29</f>
        <v>2.7692307692307693E-2</v>
      </c>
      <c r="Q19">
        <f>$K$10*N19+$O$2</f>
        <v>1.4446356230769192E-2</v>
      </c>
      <c r="S19" t="s">
        <v>39</v>
      </c>
      <c r="T19">
        <v>1.1679999999999999E-2</v>
      </c>
      <c r="V19" t="s">
        <v>35</v>
      </c>
      <c r="W19">
        <v>382</v>
      </c>
      <c r="X19">
        <v>73.760000000000005</v>
      </c>
      <c r="Y19">
        <v>416</v>
      </c>
      <c r="Z19">
        <v>74.959999999999994</v>
      </c>
      <c r="AA19" t="b">
        <v>0</v>
      </c>
      <c r="AB19" t="b">
        <v>1</v>
      </c>
      <c r="AC19">
        <v>0</v>
      </c>
    </row>
    <row r="20" spans="1:29" x14ac:dyDescent="0.25">
      <c r="A20" t="s">
        <v>40</v>
      </c>
      <c r="B20">
        <f>VLOOKUP(A20,$V$2:$AC$32,5,0)</f>
        <v>61.87</v>
      </c>
      <c r="C20">
        <v>0.16047688979223981</v>
      </c>
      <c r="D20" s="4">
        <f>VLOOKUP(A20,$S$2:$T$30,2,0)</f>
        <v>1.8259999999999998E-2</v>
      </c>
      <c r="E20" s="7">
        <f t="shared" si="1"/>
        <v>1.8259999999999998E-2</v>
      </c>
      <c r="F20" s="8">
        <f>E20+O21</f>
        <v>1.9158884387692303E-2</v>
      </c>
      <c r="N20" s="6">
        <v>18</v>
      </c>
      <c r="O20">
        <f>$O$2*P20</f>
        <v>1.0272964430769202E-3</v>
      </c>
      <c r="P20">
        <f>Q20/$Q$29</f>
        <v>2.4615384615384615E-2</v>
      </c>
      <c r="Q20">
        <f>$K$10*N20+$O$2</f>
        <v>1.2841205538461502E-2</v>
      </c>
      <c r="S20" t="s">
        <v>18</v>
      </c>
      <c r="T20">
        <v>3.8300000000000001E-3</v>
      </c>
      <c r="V20" t="s">
        <v>36</v>
      </c>
      <c r="W20">
        <v>377</v>
      </c>
      <c r="X20">
        <v>71</v>
      </c>
      <c r="Y20">
        <v>432</v>
      </c>
      <c r="Z20">
        <v>71.38</v>
      </c>
      <c r="AA20" t="b">
        <v>0</v>
      </c>
      <c r="AB20" t="b">
        <v>1</v>
      </c>
      <c r="AC20">
        <v>0</v>
      </c>
    </row>
    <row r="21" spans="1:29" x14ac:dyDescent="0.25">
      <c r="A21" t="s">
        <v>18</v>
      </c>
      <c r="B21">
        <f>VLOOKUP(A21,$V$2:$AC$32,5,0)</f>
        <v>55.06</v>
      </c>
      <c r="C21">
        <v>0.15624489164644936</v>
      </c>
      <c r="D21" s="4">
        <f>VLOOKUP(A21,$S$2:$T$30,2,0)</f>
        <v>3.8300000000000001E-3</v>
      </c>
      <c r="E21" s="7">
        <f t="shared" si="1"/>
        <v>3.8300000000000001E-3</v>
      </c>
      <c r="F21" s="8">
        <f>E21+O22</f>
        <v>4.6004723323076905E-3</v>
      </c>
      <c r="N21" s="6">
        <v>19</v>
      </c>
      <c r="O21">
        <f>$O$2*P21</f>
        <v>8.9888438769230531E-4</v>
      </c>
      <c r="P21">
        <f>Q21/$Q$29</f>
        <v>2.1538461538461541E-2</v>
      </c>
      <c r="Q21">
        <f>$K$10*N21+$O$2</f>
        <v>1.1236054846153816E-2</v>
      </c>
      <c r="S21" t="s">
        <v>40</v>
      </c>
      <c r="T21">
        <v>1.8259999999999998E-2</v>
      </c>
      <c r="V21" t="s">
        <v>37</v>
      </c>
      <c r="W21">
        <v>346</v>
      </c>
      <c r="X21">
        <v>58.45</v>
      </c>
      <c r="Y21">
        <v>409</v>
      </c>
      <c r="Z21">
        <v>52.81</v>
      </c>
      <c r="AA21" t="b">
        <v>0</v>
      </c>
      <c r="AB21" t="b">
        <v>1</v>
      </c>
      <c r="AC21">
        <v>0</v>
      </c>
    </row>
    <row r="22" spans="1:29" x14ac:dyDescent="0.25">
      <c r="A22" t="s">
        <v>23</v>
      </c>
      <c r="B22">
        <f>VLOOKUP(A22,$V$2:$AC$32,5,0)</f>
        <v>65.91</v>
      </c>
      <c r="C22">
        <v>0.14397370675579621</v>
      </c>
      <c r="D22" s="4">
        <f>VLOOKUP(A22,$S$2:$T$30,2,0)</f>
        <v>1.558E-2</v>
      </c>
      <c r="E22" s="7">
        <f t="shared" si="1"/>
        <v>1.558E-2</v>
      </c>
      <c r="F22" s="8">
        <f>E22+O23</f>
        <v>1.6222060276923075E-2</v>
      </c>
      <c r="N22" s="6">
        <v>20</v>
      </c>
      <c r="O22">
        <f>$O$2*P22</f>
        <v>7.7047233230769006E-4</v>
      </c>
      <c r="P22">
        <f>Q22/$Q$29</f>
        <v>1.846153846153846E-2</v>
      </c>
      <c r="Q22">
        <f>$K$10*N22+$O$2</f>
        <v>9.630904153846126E-3</v>
      </c>
      <c r="S22" t="s">
        <v>44</v>
      </c>
      <c r="T22">
        <v>2.1700000000000001E-3</v>
      </c>
      <c r="V22" t="s">
        <v>38</v>
      </c>
      <c r="W22">
        <v>381</v>
      </c>
      <c r="X22">
        <v>73.31</v>
      </c>
      <c r="Y22">
        <v>443</v>
      </c>
      <c r="Z22">
        <v>74.7</v>
      </c>
      <c r="AA22" t="b">
        <v>0</v>
      </c>
      <c r="AB22" t="b">
        <v>1</v>
      </c>
      <c r="AC22">
        <v>0</v>
      </c>
    </row>
    <row r="23" spans="1:29" x14ac:dyDescent="0.25">
      <c r="A23" t="s">
        <v>37</v>
      </c>
      <c r="B23">
        <f>VLOOKUP(A23,$V$2:$AC$32,5,0)</f>
        <v>52.81</v>
      </c>
      <c r="C23">
        <v>0.1314318830609994</v>
      </c>
      <c r="D23" s="4">
        <f>VLOOKUP(A23,$S$2:$T$30,2,0)</f>
        <v>1.5499999999999999E-3</v>
      </c>
      <c r="E23" s="7">
        <f t="shared" si="1"/>
        <v>1.5499999999999999E-3</v>
      </c>
      <c r="F23" s="8">
        <f>E23+O24</f>
        <v>2.0636482215384603E-3</v>
      </c>
      <c r="N23" s="6">
        <v>21</v>
      </c>
      <c r="O23">
        <f>$O$2*P23</f>
        <v>6.4206027692307536E-4</v>
      </c>
      <c r="P23">
        <f>Q23/$Q$29</f>
        <v>1.5384615384615391E-2</v>
      </c>
      <c r="Q23">
        <f>$K$10*N23+$O$2</f>
        <v>8.0257534615384429E-3</v>
      </c>
      <c r="S23" t="s">
        <v>22</v>
      </c>
      <c r="T23">
        <v>5.6499999999999996E-3</v>
      </c>
      <c r="V23" t="s">
        <v>39</v>
      </c>
      <c r="W23">
        <v>318</v>
      </c>
      <c r="X23">
        <v>66.680000000000007</v>
      </c>
      <c r="Y23">
        <v>351</v>
      </c>
      <c r="Z23">
        <v>73.239999999999995</v>
      </c>
      <c r="AA23" t="b">
        <v>0</v>
      </c>
      <c r="AB23" t="b">
        <v>1</v>
      </c>
      <c r="AC23">
        <v>0</v>
      </c>
    </row>
    <row r="24" spans="1:29" x14ac:dyDescent="0.25">
      <c r="A24" t="s">
        <v>30</v>
      </c>
      <c r="B24">
        <f>VLOOKUP(A24,$V$2:$AC$32,5,0)</f>
        <v>58.5</v>
      </c>
      <c r="C24">
        <v>0.11519040335557855</v>
      </c>
      <c r="D24" s="4">
        <f>VLOOKUP(A24,$S$2:$T$30,2,0)</f>
        <v>2.4199999999999998E-3</v>
      </c>
      <c r="E24" s="7">
        <f>D24</f>
        <v>2.4199999999999998E-3</v>
      </c>
      <c r="F24" s="8">
        <f>E24+O25</f>
        <v>2.805236166153845E-3</v>
      </c>
      <c r="N24" s="6">
        <v>22</v>
      </c>
      <c r="O24">
        <f>$O$2*P24</f>
        <v>5.1364822153846022E-4</v>
      </c>
      <c r="P24">
        <f>Q24/$Q$29</f>
        <v>1.2307692307692309E-2</v>
      </c>
      <c r="Q24">
        <f>$K$10*N24+$O$2</f>
        <v>6.420602769230753E-3</v>
      </c>
      <c r="S24" t="s">
        <v>28</v>
      </c>
      <c r="T24">
        <v>4.7400000000000003E-3</v>
      </c>
      <c r="V24" t="s">
        <v>40</v>
      </c>
      <c r="W24">
        <v>381</v>
      </c>
      <c r="X24">
        <v>74.099999999999994</v>
      </c>
      <c r="Y24">
        <v>400</v>
      </c>
      <c r="Z24">
        <v>61.87</v>
      </c>
      <c r="AA24" t="b">
        <v>0</v>
      </c>
      <c r="AB24" t="b">
        <v>1</v>
      </c>
      <c r="AC24">
        <v>0</v>
      </c>
    </row>
    <row r="25" spans="1:29" x14ac:dyDescent="0.25">
      <c r="A25" t="s">
        <v>44</v>
      </c>
      <c r="B25">
        <f>VLOOKUP(A25,$V$2:$AC$32,5,0)</f>
        <v>56.07</v>
      </c>
      <c r="C25">
        <v>5.0171378482195696E-2</v>
      </c>
      <c r="D25" s="4">
        <f>VLOOKUP(A25,$S$2:$T$30,2,0)</f>
        <v>2.1700000000000001E-3</v>
      </c>
      <c r="E25" s="7">
        <f t="shared" si="1"/>
        <v>2.1700000000000001E-3</v>
      </c>
      <c r="F25" s="8">
        <f>E25+O26</f>
        <v>2.4268241107692303E-3</v>
      </c>
      <c r="N25" s="6">
        <v>23</v>
      </c>
      <c r="O25">
        <f>$O$2*P25</f>
        <v>3.8523616615384503E-4</v>
      </c>
      <c r="P25">
        <f>Q25/$Q$29</f>
        <v>9.2307692307692299E-3</v>
      </c>
      <c r="Q25">
        <f>$K$10*N25+$O$2</f>
        <v>4.815452076923063E-3</v>
      </c>
      <c r="S25" t="s">
        <v>24</v>
      </c>
      <c r="T25">
        <v>0.37740000000000001</v>
      </c>
      <c r="V25" t="s">
        <v>41</v>
      </c>
      <c r="W25">
        <v>336</v>
      </c>
      <c r="X25">
        <v>62.41</v>
      </c>
      <c r="Y25">
        <v>366</v>
      </c>
      <c r="Z25">
        <v>58.12</v>
      </c>
      <c r="AA25" t="b">
        <v>0</v>
      </c>
      <c r="AB25" t="b">
        <v>1</v>
      </c>
      <c r="AC25">
        <v>0</v>
      </c>
    </row>
    <row r="26" spans="1:29" x14ac:dyDescent="0.25">
      <c r="A26" t="s">
        <v>28</v>
      </c>
      <c r="B26">
        <f>VLOOKUP(A26,$V$2:$AC$32,5,0)</f>
        <v>53.71</v>
      </c>
      <c r="C26">
        <v>4.7857538528960943E-2</v>
      </c>
      <c r="D26" s="4">
        <f>VLOOKUP(A26,$S$2:$T$30,2,0)</f>
        <v>4.7400000000000003E-3</v>
      </c>
      <c r="E26" s="7">
        <f t="shared" si="1"/>
        <v>4.7400000000000003E-3</v>
      </c>
      <c r="F26" s="8">
        <f>E26+O27</f>
        <v>4.8684120553846152E-3</v>
      </c>
      <c r="N26" s="6">
        <v>24</v>
      </c>
      <c r="O26">
        <f>$O$2*P26</f>
        <v>2.5682411076923038E-4</v>
      </c>
      <c r="P26">
        <f>Q26/$Q$29</f>
        <v>6.1538461538461616E-3</v>
      </c>
      <c r="Q26">
        <f>$K$10*N26+$O$2</f>
        <v>3.2103013846153799E-3</v>
      </c>
      <c r="S26" t="s">
        <v>34</v>
      </c>
      <c r="T26">
        <v>4.632E-2</v>
      </c>
      <c r="V26" t="s">
        <v>42</v>
      </c>
      <c r="W26">
        <v>358</v>
      </c>
      <c r="X26">
        <v>66.88</v>
      </c>
      <c r="Y26">
        <v>396</v>
      </c>
      <c r="Z26">
        <v>63.85</v>
      </c>
      <c r="AA26" t="b">
        <v>0</v>
      </c>
      <c r="AB26" t="b">
        <v>1</v>
      </c>
      <c r="AC26">
        <v>0</v>
      </c>
    </row>
    <row r="27" spans="1:29" x14ac:dyDescent="0.25">
      <c r="A27" s="9" t="s">
        <v>29</v>
      </c>
      <c r="B27" s="9">
        <f>VLOOKUP(A27,$V$2:$AC$32,5,0)</f>
        <v>48.98</v>
      </c>
      <c r="C27" s="9">
        <v>3.6885964233068225E-2</v>
      </c>
      <c r="D27" s="4">
        <f>VLOOKUP(A27,$S$2:$T$30,2,0)</f>
        <v>6.3400000000000001E-3</v>
      </c>
      <c r="E27" s="7">
        <f>D27</f>
        <v>6.3400000000000001E-3</v>
      </c>
      <c r="F27" s="8"/>
      <c r="N27" s="6">
        <v>25</v>
      </c>
      <c r="O27">
        <f>$O$2*P27</f>
        <v>1.2841205538461519E-4</v>
      </c>
      <c r="P27">
        <f>Q27/$Q$29</f>
        <v>3.0769230769230808E-3</v>
      </c>
      <c r="Q27">
        <f>$K$10*N27+$O$2</f>
        <v>1.60515069230769E-3</v>
      </c>
      <c r="S27" t="s">
        <v>20</v>
      </c>
      <c r="T27">
        <v>1.1979999999999999E-2</v>
      </c>
      <c r="V27" t="s">
        <v>43</v>
      </c>
      <c r="W27">
        <v>237</v>
      </c>
      <c r="X27">
        <v>27.23</v>
      </c>
      <c r="Y27">
        <v>275</v>
      </c>
      <c r="Z27">
        <v>35.72</v>
      </c>
      <c r="AA27" t="b">
        <v>0</v>
      </c>
      <c r="AB27" t="b">
        <v>1</v>
      </c>
      <c r="AC27">
        <v>0</v>
      </c>
    </row>
    <row r="28" spans="1:29" x14ac:dyDescent="0.25">
      <c r="A28" s="9" t="s">
        <v>45</v>
      </c>
      <c r="B28" s="9">
        <f>VLOOKUP(A28,$V$2:$AC$32,5,0)</f>
        <v>40.79</v>
      </c>
      <c r="C28" s="9">
        <v>2.4769117545005617E-2</v>
      </c>
      <c r="D28" s="4">
        <f>VLOOKUP(A28,$S$2:$T$30,2,0)</f>
        <v>4.2500000000000003E-3</v>
      </c>
      <c r="E28" s="7">
        <f t="shared" si="1"/>
        <v>4.2500000000000003E-3</v>
      </c>
      <c r="F28" s="8"/>
      <c r="S28" t="s">
        <v>33</v>
      </c>
      <c r="T28">
        <v>1.1299999999999999E-3</v>
      </c>
      <c r="V28" t="s">
        <v>44</v>
      </c>
      <c r="W28">
        <v>352</v>
      </c>
      <c r="X28">
        <v>55.35</v>
      </c>
      <c r="Y28">
        <v>403</v>
      </c>
      <c r="Z28">
        <v>56.07</v>
      </c>
      <c r="AA28" t="b">
        <v>0</v>
      </c>
      <c r="AB28" t="b">
        <v>1</v>
      </c>
      <c r="AC28">
        <v>0</v>
      </c>
    </row>
    <row r="29" spans="1:29" x14ac:dyDescent="0.25">
      <c r="A29" s="9" t="s">
        <v>47</v>
      </c>
      <c r="B29" s="9">
        <f>VLOOKUP(A29,$V$2:$AC$32,5,0)</f>
        <v>40.799999999999997</v>
      </c>
      <c r="C29" s="9">
        <v>1.7950877776052161E-2</v>
      </c>
      <c r="D29" s="4">
        <v>0</v>
      </c>
      <c r="E29" s="7">
        <f t="shared" si="1"/>
        <v>0</v>
      </c>
      <c r="F29" s="8"/>
      <c r="N29" t="s">
        <v>112</v>
      </c>
      <c r="O29">
        <f>$O$2*P29</f>
        <v>4.1733917999999884E-2</v>
      </c>
      <c r="P29">
        <f>SUM(P3:P28)</f>
        <v>1</v>
      </c>
      <c r="Q29">
        <f>SUM(Q3:Q28)</f>
        <v>0.52167397499999857</v>
      </c>
      <c r="S29" t="s">
        <v>29</v>
      </c>
      <c r="T29">
        <v>6.3400000000000001E-3</v>
      </c>
      <c r="V29" t="s">
        <v>45</v>
      </c>
      <c r="W29">
        <v>302</v>
      </c>
      <c r="X29">
        <v>39.65</v>
      </c>
      <c r="Y29">
        <v>330</v>
      </c>
      <c r="Z29">
        <v>40.79</v>
      </c>
      <c r="AA29" t="b">
        <v>0</v>
      </c>
      <c r="AB29" t="b">
        <v>1</v>
      </c>
      <c r="AC29">
        <v>0</v>
      </c>
    </row>
    <row r="30" spans="1:29" x14ac:dyDescent="0.25">
      <c r="A30" s="9" t="s">
        <v>43</v>
      </c>
      <c r="B30" s="9">
        <f>VLOOKUP(A30,$V$2:$AC$32,5,0)</f>
        <v>35.72</v>
      </c>
      <c r="C30" s="9">
        <v>0</v>
      </c>
      <c r="D30" s="4">
        <v>0</v>
      </c>
      <c r="E30" s="7">
        <f t="shared" si="1"/>
        <v>0</v>
      </c>
      <c r="F30" s="8"/>
      <c r="S30" t="s">
        <v>35</v>
      </c>
      <c r="T30">
        <v>1.5349999999999999E-2</v>
      </c>
      <c r="V30" t="s">
        <v>46</v>
      </c>
      <c r="W30">
        <v>386</v>
      </c>
      <c r="X30">
        <v>74.180000000000007</v>
      </c>
      <c r="Y30">
        <v>418</v>
      </c>
      <c r="Z30">
        <v>68.53</v>
      </c>
      <c r="AA30" t="b">
        <v>0</v>
      </c>
      <c r="AB30" t="b">
        <v>1</v>
      </c>
      <c r="AC30">
        <v>0</v>
      </c>
    </row>
    <row r="31" spans="1:29" x14ac:dyDescent="0.25">
      <c r="A31" s="9" t="s">
        <v>48</v>
      </c>
      <c r="B31" s="9">
        <f>VLOOKUP(A31,$V$2:$AC$32,5,0)</f>
        <v>42.52</v>
      </c>
      <c r="C31" s="9">
        <v>8.9051888956453662E-2</v>
      </c>
      <c r="D31" s="4">
        <f>VLOOKUP(A31,$S$2:$T$30,2,0)</f>
        <v>5.5999999999999995E-4</v>
      </c>
      <c r="E31" s="7">
        <f t="shared" si="1"/>
        <v>5.5999999999999995E-4</v>
      </c>
      <c r="F31" s="8"/>
      <c r="V31" t="s">
        <v>47</v>
      </c>
      <c r="W31">
        <v>291</v>
      </c>
      <c r="X31">
        <v>42.19</v>
      </c>
      <c r="Y31">
        <v>347</v>
      </c>
      <c r="Z31">
        <v>40.799999999999997</v>
      </c>
      <c r="AA31" t="b">
        <v>0</v>
      </c>
      <c r="AB31" t="b">
        <v>1</v>
      </c>
      <c r="AC31">
        <v>54</v>
      </c>
    </row>
    <row r="32" spans="1:29" x14ac:dyDescent="0.25">
      <c r="A32" s="9" t="s">
        <v>32</v>
      </c>
      <c r="B32" s="9">
        <f>VLOOKUP(A32,$V$2:$AC$32,5,0)</f>
        <v>41.48</v>
      </c>
      <c r="C32" s="9">
        <v>7.766039483634421E-2</v>
      </c>
      <c r="D32" s="4">
        <f>VLOOKUP(A32,$S$2:$T$30,2,0)</f>
        <v>1.34E-3</v>
      </c>
      <c r="E32" s="7">
        <f t="shared" si="1"/>
        <v>1.34E-3</v>
      </c>
      <c r="F32" s="8"/>
      <c r="V32" t="s">
        <v>48</v>
      </c>
      <c r="W32">
        <v>310</v>
      </c>
      <c r="X32">
        <v>37.520000000000003</v>
      </c>
      <c r="Y32">
        <v>356</v>
      </c>
      <c r="Z32">
        <v>42.52</v>
      </c>
      <c r="AA32" t="b">
        <v>0</v>
      </c>
      <c r="AB32" t="b">
        <v>1</v>
      </c>
      <c r="AC32">
        <v>0</v>
      </c>
    </row>
    <row r="34" spans="3:7" x14ac:dyDescent="0.25">
      <c r="C34" s="2" t="s">
        <v>112</v>
      </c>
      <c r="D34" s="11">
        <f>SUM(D2:D32)</f>
        <v>1.0008000000000001</v>
      </c>
      <c r="E34" s="10">
        <f>SUM(E2:E32)+H10</f>
        <v>1.0008000000000001</v>
      </c>
      <c r="F34" s="8">
        <f>SUM(F2:F26)</f>
        <v>0.99536289799999988</v>
      </c>
    </row>
    <row r="35" spans="3:7" x14ac:dyDescent="0.25">
      <c r="C35" s="2" t="s">
        <v>110</v>
      </c>
      <c r="D35" s="11">
        <f>SUM(D27:D32)</f>
        <v>1.2490000000000001E-2</v>
      </c>
      <c r="E35" s="10">
        <f>SUM(E27:E32)</f>
        <v>1.2490000000000001E-2</v>
      </c>
      <c r="F35">
        <f>SUM(K6:K7)</f>
        <v>4.6371019999999867E-3</v>
      </c>
      <c r="G35" t="s">
        <v>113</v>
      </c>
    </row>
    <row r="36" spans="3:7" x14ac:dyDescent="0.25">
      <c r="C36" s="2" t="s">
        <v>108</v>
      </c>
      <c r="D36" s="12">
        <f>D34-1</f>
        <v>8.0000000000013394E-4</v>
      </c>
      <c r="E36" s="12">
        <f>E34-1</f>
        <v>8.0000000000013394E-4</v>
      </c>
    </row>
    <row r="37" spans="3:7" x14ac:dyDescent="0.25">
      <c r="C37" s="2" t="s">
        <v>111</v>
      </c>
      <c r="D37" s="11">
        <f>D35-0.0008</f>
        <v>1.1690000000000001E-2</v>
      </c>
      <c r="F37" s="8">
        <f>SUM(F34:F35)</f>
        <v>0.99999999999999989</v>
      </c>
    </row>
    <row r="38" spans="3:7" x14ac:dyDescent="0.25">
      <c r="D38" s="8"/>
    </row>
    <row r="39" spans="3:7" x14ac:dyDescent="0.25">
      <c r="D39" s="8"/>
      <c r="E39" s="10"/>
    </row>
    <row r="40" spans="3:7" x14ac:dyDescent="0.25">
      <c r="D40" s="8"/>
      <c r="E40" s="10"/>
      <c r="F40" s="8"/>
    </row>
    <row r="41" spans="3:7" x14ac:dyDescent="0.25">
      <c r="D41" s="8"/>
    </row>
    <row r="45" spans="3:7" x14ac:dyDescent="0.25">
      <c r="D45" s="8"/>
    </row>
    <row r="67" spans="6:6" x14ac:dyDescent="0.25">
      <c r="F67" s="14"/>
    </row>
  </sheetData>
  <sortState xmlns:xlrd2="http://schemas.microsoft.com/office/spreadsheetml/2017/richdata2" ref="A2:E34">
    <sortCondition descending="1" ref="C2:C34"/>
  </sortState>
  <mergeCells count="1">
    <mergeCell ref="S1:T1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workbookViewId="0">
      <selection activeCell="G33" sqref="G33"/>
    </sheetView>
  </sheetViews>
  <sheetFormatPr defaultRowHeight="15" x14ac:dyDescent="0.25"/>
  <cols>
    <col min="2" max="2" width="9.5703125" bestFit="1" customWidth="1"/>
    <col min="3" max="3" width="15.28515625" bestFit="1" customWidth="1"/>
    <col min="4" max="4" width="12.42578125" bestFit="1" customWidth="1"/>
    <col min="5" max="5" width="14.85546875" bestFit="1" customWidth="1"/>
  </cols>
  <sheetData>
    <row r="1" spans="1:5" x14ac:dyDescent="0.25">
      <c r="A1" t="s">
        <v>0</v>
      </c>
      <c r="B1" t="s">
        <v>114</v>
      </c>
      <c r="C1" t="s">
        <v>115</v>
      </c>
      <c r="D1" t="s">
        <v>116</v>
      </c>
      <c r="E1" t="s">
        <v>98</v>
      </c>
    </row>
    <row r="2" spans="1:5" x14ac:dyDescent="0.25">
      <c r="A2" t="s">
        <v>17</v>
      </c>
      <c r="B2" t="s">
        <v>22</v>
      </c>
      <c r="C2">
        <v>8.8603013846153753E-3</v>
      </c>
      <c r="D2" s="15">
        <f>C2*100</f>
        <v>0.88603013846153755</v>
      </c>
      <c r="E2">
        <v>0.56499999999999995</v>
      </c>
    </row>
    <row r="3" spans="1:5" x14ac:dyDescent="0.25">
      <c r="A3" t="s">
        <v>17</v>
      </c>
      <c r="B3" t="s">
        <v>39</v>
      </c>
      <c r="C3">
        <v>1.4761889329230761E-2</v>
      </c>
      <c r="D3" s="15">
        <f t="shared" ref="D3:D30" si="0">C3*100</f>
        <v>1.4761889329230762</v>
      </c>
      <c r="E3">
        <v>1.1679999999999999</v>
      </c>
    </row>
    <row r="4" spans="1:5" x14ac:dyDescent="0.25">
      <c r="A4" t="s">
        <v>17</v>
      </c>
      <c r="B4" t="s">
        <v>31</v>
      </c>
      <c r="C4">
        <v>4.1234772738461458E-3</v>
      </c>
      <c r="D4" s="15">
        <f t="shared" si="0"/>
        <v>0.41234772738461456</v>
      </c>
      <c r="E4">
        <v>0.11700000000000001</v>
      </c>
    </row>
    <row r="5" spans="1:5" x14ac:dyDescent="0.25">
      <c r="A5" t="s">
        <v>17</v>
      </c>
      <c r="B5" t="s">
        <v>27</v>
      </c>
      <c r="C5">
        <v>4.441506521846153E-2</v>
      </c>
      <c r="D5" s="15">
        <f t="shared" si="0"/>
        <v>4.4415065218461534</v>
      </c>
      <c r="E5">
        <v>4.1589999999999998</v>
      </c>
    </row>
    <row r="6" spans="1:5" x14ac:dyDescent="0.25">
      <c r="A6" t="s">
        <v>17</v>
      </c>
      <c r="B6" t="s">
        <v>24</v>
      </c>
      <c r="C6">
        <v>0.36122665316307695</v>
      </c>
      <c r="D6" s="15">
        <f t="shared" si="0"/>
        <v>36.122665316307696</v>
      </c>
      <c r="E6">
        <v>37.74</v>
      </c>
    </row>
    <row r="7" spans="1:5" x14ac:dyDescent="0.25">
      <c r="A7" t="s">
        <v>17</v>
      </c>
      <c r="B7" t="s">
        <v>33</v>
      </c>
      <c r="C7">
        <v>3.6982411076923005E-3</v>
      </c>
      <c r="D7" s="15">
        <f t="shared" si="0"/>
        <v>0.36982411076923005</v>
      </c>
      <c r="E7">
        <v>0.11299999999999999</v>
      </c>
    </row>
    <row r="8" spans="1:5" x14ac:dyDescent="0.25">
      <c r="A8" t="s">
        <v>17</v>
      </c>
      <c r="B8" t="s">
        <v>26</v>
      </c>
      <c r="C8">
        <v>5.053982905230768E-2</v>
      </c>
      <c r="D8" s="15">
        <f t="shared" si="0"/>
        <v>5.0539829052307681</v>
      </c>
      <c r="E8">
        <v>4.8099999999999996</v>
      </c>
    </row>
    <row r="9" spans="1:5" x14ac:dyDescent="0.25">
      <c r="A9" t="s">
        <v>17</v>
      </c>
      <c r="B9" t="s">
        <v>41</v>
      </c>
      <c r="C9">
        <v>3.5414169969230705E-3</v>
      </c>
      <c r="D9" s="15">
        <f t="shared" si="0"/>
        <v>0.35414169969230702</v>
      </c>
      <c r="E9">
        <v>0.123</v>
      </c>
    </row>
    <row r="10" spans="1:5" x14ac:dyDescent="0.25">
      <c r="A10" t="s">
        <v>17</v>
      </c>
      <c r="B10" t="s">
        <v>19</v>
      </c>
      <c r="C10">
        <v>0.29639198494153846</v>
      </c>
      <c r="D10" s="15">
        <f t="shared" si="0"/>
        <v>29.639198494153845</v>
      </c>
      <c r="E10">
        <v>31.002000000000002</v>
      </c>
    </row>
    <row r="11" spans="1:5" x14ac:dyDescent="0.25">
      <c r="A11" t="s">
        <v>17</v>
      </c>
      <c r="B11" t="s">
        <v>34</v>
      </c>
      <c r="C11">
        <v>4.8374592886153839E-2</v>
      </c>
      <c r="D11" s="15">
        <f t="shared" si="0"/>
        <v>4.837459288615384</v>
      </c>
      <c r="E11">
        <v>4.6319999999999997</v>
      </c>
    </row>
    <row r="12" spans="1:5" x14ac:dyDescent="0.25">
      <c r="A12" t="s">
        <v>17</v>
      </c>
      <c r="B12" t="s">
        <v>20</v>
      </c>
      <c r="C12">
        <v>1.3906180830769225E-2</v>
      </c>
      <c r="D12" s="15">
        <f t="shared" si="0"/>
        <v>1.3906180830769226</v>
      </c>
      <c r="E12">
        <v>1.198</v>
      </c>
    </row>
    <row r="13" spans="1:5" x14ac:dyDescent="0.25">
      <c r="A13" t="s">
        <v>17</v>
      </c>
      <c r="B13" t="s">
        <v>25</v>
      </c>
      <c r="C13">
        <v>4.1577687753846107E-3</v>
      </c>
      <c r="D13" s="15">
        <f t="shared" si="0"/>
        <v>0.4157768775384611</v>
      </c>
      <c r="E13">
        <v>0.23600000000000002</v>
      </c>
    </row>
    <row r="14" spans="1:5" x14ac:dyDescent="0.25">
      <c r="A14" t="s">
        <v>17</v>
      </c>
      <c r="B14" t="s">
        <v>42</v>
      </c>
      <c r="C14">
        <v>6.0293567199999959E-3</v>
      </c>
      <c r="D14" s="15">
        <f t="shared" si="0"/>
        <v>0.60293567199999953</v>
      </c>
      <c r="E14">
        <v>0.436</v>
      </c>
    </row>
    <row r="15" spans="1:5" x14ac:dyDescent="0.25">
      <c r="A15" t="s">
        <v>17</v>
      </c>
      <c r="B15" t="s">
        <v>35</v>
      </c>
      <c r="C15">
        <v>1.6890944664615378E-2</v>
      </c>
      <c r="D15" s="15">
        <f t="shared" si="0"/>
        <v>1.6890944664615377</v>
      </c>
      <c r="E15">
        <v>1.5349999999999999</v>
      </c>
    </row>
    <row r="16" spans="1:5" x14ac:dyDescent="0.25">
      <c r="A16" t="s">
        <v>17</v>
      </c>
      <c r="B16" t="s">
        <v>38</v>
      </c>
      <c r="C16">
        <v>3.4832532609230762E-2</v>
      </c>
      <c r="D16" s="15">
        <f t="shared" si="0"/>
        <v>3.4832532609230764</v>
      </c>
      <c r="E16">
        <v>3.3419999999999996</v>
      </c>
    </row>
    <row r="17" spans="1:5" x14ac:dyDescent="0.25">
      <c r="A17" t="s">
        <v>17</v>
      </c>
      <c r="B17" t="s">
        <v>46</v>
      </c>
      <c r="C17">
        <v>1.8494120553846149E-2</v>
      </c>
      <c r="D17" s="15">
        <f t="shared" si="0"/>
        <v>1.849412055384615</v>
      </c>
      <c r="E17">
        <v>1.7209999999999999</v>
      </c>
    </row>
    <row r="18" spans="1:5" x14ac:dyDescent="0.25">
      <c r="A18" t="s">
        <v>17</v>
      </c>
      <c r="B18" t="s">
        <v>36</v>
      </c>
      <c r="C18">
        <v>5.9557084984615347E-3</v>
      </c>
      <c r="D18" s="15">
        <f t="shared" si="0"/>
        <v>0.59557084984615349</v>
      </c>
      <c r="E18">
        <v>0.48</v>
      </c>
    </row>
    <row r="19" spans="1:5" x14ac:dyDescent="0.25">
      <c r="A19" t="s">
        <v>17</v>
      </c>
      <c r="B19" t="s">
        <v>21</v>
      </c>
      <c r="C19">
        <v>7.0172964430769199E-3</v>
      </c>
      <c r="D19" s="15">
        <f t="shared" si="0"/>
        <v>0.70172964430769202</v>
      </c>
      <c r="E19">
        <v>0.59899999999999998</v>
      </c>
    </row>
    <row r="20" spans="1:5" x14ac:dyDescent="0.25">
      <c r="A20" t="s">
        <v>17</v>
      </c>
      <c r="B20" t="s">
        <v>40</v>
      </c>
      <c r="C20">
        <v>1.9158884387692303E-2</v>
      </c>
      <c r="D20" s="15">
        <f t="shared" si="0"/>
        <v>1.9158884387692303</v>
      </c>
      <c r="E20">
        <v>1.8259999999999998</v>
      </c>
    </row>
    <row r="21" spans="1:5" x14ac:dyDescent="0.25">
      <c r="A21" t="s">
        <v>17</v>
      </c>
      <c r="B21" t="s">
        <v>18</v>
      </c>
      <c r="C21">
        <v>4.6004723323076905E-3</v>
      </c>
      <c r="D21" s="15">
        <f t="shared" si="0"/>
        <v>0.46004723323076907</v>
      </c>
      <c r="E21">
        <v>0.38300000000000001</v>
      </c>
    </row>
    <row r="22" spans="1:5" x14ac:dyDescent="0.25">
      <c r="A22" t="s">
        <v>17</v>
      </c>
      <c r="B22" t="s">
        <v>23</v>
      </c>
      <c r="C22">
        <v>1.6222060276923075E-2</v>
      </c>
      <c r="D22" s="15">
        <f t="shared" si="0"/>
        <v>1.6222060276923074</v>
      </c>
      <c r="E22">
        <v>1.5580000000000001</v>
      </c>
    </row>
    <row r="23" spans="1:5" x14ac:dyDescent="0.25">
      <c r="A23" t="s">
        <v>17</v>
      </c>
      <c r="B23" t="s">
        <v>37</v>
      </c>
      <c r="C23">
        <v>2.0636482215384603E-3</v>
      </c>
      <c r="D23" s="15">
        <f t="shared" si="0"/>
        <v>0.20636482215384602</v>
      </c>
      <c r="E23">
        <v>0.155</v>
      </c>
    </row>
    <row r="24" spans="1:5" x14ac:dyDescent="0.25">
      <c r="A24" t="s">
        <v>17</v>
      </c>
      <c r="B24" t="s">
        <v>30</v>
      </c>
      <c r="C24" s="14">
        <v>2.805236166153845E-3</v>
      </c>
      <c r="D24" s="15">
        <f t="shared" si="0"/>
        <v>0.2805236166153845</v>
      </c>
      <c r="E24">
        <v>0.24199999999999999</v>
      </c>
    </row>
    <row r="25" spans="1:5" x14ac:dyDescent="0.25">
      <c r="A25" t="s">
        <v>17</v>
      </c>
      <c r="B25" t="s">
        <v>44</v>
      </c>
      <c r="C25">
        <v>2.4268241107692303E-3</v>
      </c>
      <c r="D25" s="15">
        <f t="shared" si="0"/>
        <v>0.24268241107692304</v>
      </c>
      <c r="E25">
        <v>0.217</v>
      </c>
    </row>
    <row r="26" spans="1:5" x14ac:dyDescent="0.25">
      <c r="A26" t="s">
        <v>17</v>
      </c>
      <c r="B26" t="s">
        <v>28</v>
      </c>
      <c r="C26">
        <v>4.8684120553846152E-3</v>
      </c>
      <c r="D26" s="15">
        <f t="shared" si="0"/>
        <v>0.4868412055384615</v>
      </c>
      <c r="E26">
        <v>0.47400000000000003</v>
      </c>
    </row>
    <row r="27" spans="1:5" x14ac:dyDescent="0.25">
      <c r="A27" t="s">
        <v>50</v>
      </c>
      <c r="B27" t="s">
        <v>117</v>
      </c>
      <c r="C27">
        <v>9.2742039999999741E-4</v>
      </c>
      <c r="D27" s="15">
        <f t="shared" si="0"/>
        <v>9.2742039999999734E-2</v>
      </c>
    </row>
    <row r="28" spans="1:5" x14ac:dyDescent="0.25">
      <c r="A28" t="s">
        <v>50</v>
      </c>
      <c r="B28" t="s">
        <v>118</v>
      </c>
      <c r="C28">
        <v>9.2742039999999741E-4</v>
      </c>
      <c r="D28" s="15">
        <f t="shared" si="0"/>
        <v>9.2742039999999734E-2</v>
      </c>
    </row>
    <row r="29" spans="1:5" x14ac:dyDescent="0.25">
      <c r="A29" t="s">
        <v>51</v>
      </c>
      <c r="B29" t="s">
        <v>119</v>
      </c>
      <c r="C29">
        <v>1.3911305999999961E-3</v>
      </c>
      <c r="D29" s="15">
        <f t="shared" si="0"/>
        <v>0.13911305999999959</v>
      </c>
    </row>
    <row r="30" spans="1:5" x14ac:dyDescent="0.25">
      <c r="A30" t="s">
        <v>51</v>
      </c>
      <c r="B30" t="s">
        <v>120</v>
      </c>
      <c r="C30">
        <v>1.3911305999999961E-3</v>
      </c>
      <c r="D30" s="15">
        <f t="shared" si="0"/>
        <v>0.13911305999999959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matrix cat A</vt:lpstr>
      <vt:lpstr>matrix divided by max cat A</vt:lpstr>
      <vt:lpstr>Rankings</vt:lpstr>
      <vt:lpstr>Final_Allocation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Pamela Fairweather</dc:creator>
  <cp:lastModifiedBy>Tracey Pamela Fairweather</cp:lastModifiedBy>
  <dcterms:created xsi:type="dcterms:W3CDTF">2022-02-23T20:30:02Z</dcterms:created>
  <dcterms:modified xsi:type="dcterms:W3CDTF">2023-11-30T08:20:46Z</dcterms:modified>
</cp:coreProperties>
</file>